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45314303-FB37-4436-BDBF-70141000942A}" xr6:coauthVersionLast="47" xr6:coauthVersionMax="47" xr10:uidLastSave="{00000000-0000-0000-0000-000000000000}"/>
  <bookViews>
    <workbookView xWindow="612" yWindow="0" windowWidth="21528" windowHeight="12360" tabRatio="710" xr2:uid="{00000000-000D-0000-FFFF-FFFF00000000}"/>
  </bookViews>
  <sheets>
    <sheet name="3-Lift" sheetId="14601" r:id="rId1"/>
    <sheet name="DATA" sheetId="14584" state="hidden" r:id="rId2"/>
    <sheet name="Please read" sheetId="14585" state="hidden" r:id="rId3"/>
    <sheet name="Black &amp; White load sheet" sheetId="14606" state="hidden" r:id="rId4"/>
    <sheet name="DV-IDENTITY-0" sheetId="14608" state="veryHidden" r:id="rId5"/>
  </sheets>
  <definedNames>
    <definedName name="_xlnm.Print_Area" localSheetId="0">'3-Lift'!#REF!</definedName>
    <definedName name="_xlnm.Print_Area">#REF!</definedName>
    <definedName name="_xlnm.Print_Titles" localSheetId="3">'Black &amp; White load sheet'!$1:$2</definedName>
    <definedName name="_xlnm.Print_Titles">#REF!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4584" l="1"/>
  <c r="P11" i="14584"/>
  <c r="Q11" i="14584"/>
  <c r="S11" i="14584"/>
  <c r="T11" i="14584"/>
  <c r="FS48" i="14608" l="1"/>
  <c r="D253" i="14608"/>
  <c r="R253" i="14608"/>
  <c r="U253" i="14608"/>
  <c r="AF253" i="14608"/>
  <c r="AI253" i="14608"/>
  <c r="AT253" i="14608"/>
  <c r="AW253" i="14608"/>
  <c r="BH253" i="14608"/>
  <c r="BK253" i="14608"/>
  <c r="BV253" i="14608"/>
  <c r="CI253" i="14608"/>
  <c r="CL253" i="14608"/>
  <c r="CM253" i="14608"/>
  <c r="CN253" i="14608"/>
  <c r="CO253" i="14608"/>
  <c r="CS253" i="14608"/>
  <c r="CT253" i="14608"/>
  <c r="CU253" i="14608"/>
  <c r="CV253" i="14608"/>
  <c r="CW253" i="14608"/>
  <c r="CX253" i="14608"/>
  <c r="CY253" i="14608"/>
  <c r="CZ253" i="14608"/>
  <c r="H252" i="14608"/>
  <c r="K252" i="14608"/>
  <c r="V252" i="14608"/>
  <c r="Y252" i="14608"/>
  <c r="AJ252" i="14608"/>
  <c r="AM252" i="14608"/>
  <c r="AX252" i="14608"/>
  <c r="BA252" i="14608"/>
  <c r="BL252" i="14608"/>
  <c r="BO252" i="14608"/>
  <c r="BZ252" i="14608"/>
  <c r="CC252" i="14608"/>
  <c r="CN252" i="14608"/>
  <c r="CQ252" i="14608"/>
  <c r="DB252" i="14608"/>
  <c r="DE252" i="14608"/>
  <c r="DP252" i="14608"/>
  <c r="DS252" i="14608"/>
  <c r="ED252" i="14608"/>
  <c r="EG252" i="14608"/>
  <c r="ER252" i="14608"/>
  <c r="EU252" i="14608"/>
  <c r="FF252" i="14608"/>
  <c r="FI252" i="14608"/>
  <c r="FT252" i="14608"/>
  <c r="FW252" i="14608"/>
  <c r="GH252" i="14608"/>
  <c r="GK252" i="14608"/>
  <c r="GV252" i="14608"/>
  <c r="GY252" i="14608"/>
  <c r="HJ252" i="14608"/>
  <c r="HM252" i="14608"/>
  <c r="HX252" i="14608"/>
  <c r="IA252" i="14608"/>
  <c r="IL252" i="14608"/>
  <c r="IO252" i="14608"/>
  <c r="L251" i="14608"/>
  <c r="O251" i="14608"/>
  <c r="Z251" i="14608"/>
  <c r="AC251" i="14608"/>
  <c r="AN251" i="14608"/>
  <c r="AQ251" i="14608"/>
  <c r="BB251" i="14608"/>
  <c r="BE251" i="14608"/>
  <c r="BP251" i="14608"/>
  <c r="BS251" i="14608"/>
  <c r="CD251" i="14608"/>
  <c r="CG251" i="14608"/>
  <c r="CR251" i="14608"/>
  <c r="CU251" i="14608"/>
  <c r="DF251" i="14608"/>
  <c r="DI251" i="14608"/>
  <c r="DT251" i="14608"/>
  <c r="DW251" i="14608"/>
  <c r="EH251" i="14608"/>
  <c r="EK251" i="14608"/>
  <c r="EV251" i="14608"/>
  <c r="EY251" i="14608"/>
  <c r="FJ251" i="14608"/>
  <c r="FM251" i="14608"/>
  <c r="FX251" i="14608"/>
  <c r="GA251" i="14608"/>
  <c r="GL251" i="14608"/>
  <c r="GO251" i="14608"/>
  <c r="GZ251" i="14608"/>
  <c r="HC251" i="14608"/>
  <c r="HN251" i="14608"/>
  <c r="HQ251" i="14608"/>
  <c r="IB251" i="14608"/>
  <c r="IE251" i="14608"/>
  <c r="IP251" i="14608"/>
  <c r="IS251" i="14608"/>
  <c r="B250" i="14608"/>
  <c r="P250" i="14608"/>
  <c r="S250" i="14608"/>
  <c r="AD250" i="14608"/>
  <c r="AG250" i="14608"/>
  <c r="AR250" i="14608"/>
  <c r="AU250" i="14608"/>
  <c r="BF250" i="14608"/>
  <c r="BI250" i="14608"/>
  <c r="BT250" i="14608"/>
  <c r="BW250" i="14608"/>
  <c r="CH250" i="14608"/>
  <c r="CK250" i="14608"/>
  <c r="CV250" i="14608"/>
  <c r="CY250" i="14608"/>
  <c r="DJ250" i="14608"/>
  <c r="DM250" i="14608"/>
  <c r="DX250" i="14608"/>
  <c r="EA250" i="14608"/>
  <c r="EL250" i="14608"/>
  <c r="EO250" i="14608"/>
  <c r="EZ250" i="14608"/>
  <c r="FC250" i="14608"/>
  <c r="FN250" i="14608"/>
  <c r="FQ250" i="14608"/>
  <c r="GB250" i="14608"/>
  <c r="GE250" i="14608"/>
  <c r="GP250" i="14608"/>
  <c r="GS250" i="14608"/>
  <c r="HD250" i="14608"/>
  <c r="HG250" i="14608"/>
  <c r="HR250" i="14608"/>
  <c r="HU250" i="14608"/>
  <c r="IF250" i="14608"/>
  <c r="II250" i="14608"/>
  <c r="IT250" i="14608"/>
  <c r="F249" i="14608"/>
  <c r="T249" i="14608"/>
  <c r="W249" i="14608"/>
  <c r="AH249" i="14608"/>
  <c r="AK249" i="14608"/>
  <c r="AV249" i="14608"/>
  <c r="AY249" i="14608"/>
  <c r="BJ249" i="14608"/>
  <c r="BM249" i="14608"/>
  <c r="BX249" i="14608"/>
  <c r="CA249" i="14608"/>
  <c r="CL249" i="14608"/>
  <c r="CO249" i="14608"/>
  <c r="CZ249" i="14608"/>
  <c r="DC249" i="14608"/>
  <c r="DN249" i="14608"/>
  <c r="DQ249" i="14608"/>
  <c r="EB249" i="14608"/>
  <c r="EE249" i="14608"/>
  <c r="EP249" i="14608"/>
  <c r="ES249" i="14608"/>
  <c r="FD249" i="14608"/>
  <c r="FG249" i="14608"/>
  <c r="FR249" i="14608"/>
  <c r="FU249" i="14608"/>
  <c r="GF249" i="14608"/>
  <c r="GI249" i="14608"/>
  <c r="GT249" i="14608"/>
  <c r="GW249" i="14608"/>
  <c r="HH249" i="14608"/>
  <c r="HK249" i="14608"/>
  <c r="HV249" i="14608"/>
  <c r="HY249" i="14608"/>
  <c r="IJ249" i="14608"/>
  <c r="IM249" i="14608"/>
  <c r="J248" i="14608"/>
  <c r="X248" i="14608"/>
  <c r="AA248" i="14608"/>
  <c r="AL248" i="14608"/>
  <c r="AO248" i="14608"/>
  <c r="AZ248" i="14608"/>
  <c r="BC248" i="14608"/>
  <c r="BN248" i="14608"/>
  <c r="BQ248" i="14608"/>
  <c r="CB248" i="14608"/>
  <c r="CE248" i="14608"/>
  <c r="CP248" i="14608"/>
  <c r="CS248" i="14608"/>
  <c r="DD248" i="14608"/>
  <c r="DG248" i="14608"/>
  <c r="DR248" i="14608"/>
  <c r="DU248" i="14608"/>
  <c r="EF248" i="14608"/>
  <c r="EI248" i="14608"/>
  <c r="ET248" i="14608"/>
  <c r="EW248" i="14608"/>
  <c r="FH248" i="14608"/>
  <c r="FK248" i="14608"/>
  <c r="FV248" i="14608"/>
  <c r="FY248" i="14608"/>
  <c r="GJ248" i="14608"/>
  <c r="GM248" i="14608"/>
  <c r="GX248" i="14608"/>
  <c r="HA248" i="14608"/>
  <c r="HL248" i="14608"/>
  <c r="HO248" i="14608"/>
  <c r="HZ248" i="14608"/>
  <c r="IC248" i="14608"/>
  <c r="IN248" i="14608"/>
  <c r="IQ248" i="14608"/>
  <c r="N247" i="14608"/>
  <c r="Q247" i="14608"/>
  <c r="AB247" i="14608"/>
  <c r="AE247" i="14608"/>
  <c r="AP247" i="14608"/>
  <c r="AS247" i="14608"/>
  <c r="BD247" i="14608"/>
  <c r="BG247" i="14608"/>
  <c r="BR247" i="14608"/>
  <c r="BU247" i="14608"/>
  <c r="CF247" i="14608"/>
  <c r="CI247" i="14608"/>
  <c r="CT247" i="14608"/>
  <c r="CW247" i="14608"/>
  <c r="DH247" i="14608"/>
  <c r="DK247" i="14608"/>
  <c r="DV247" i="14608"/>
  <c r="DY247" i="14608"/>
  <c r="EJ247" i="14608"/>
  <c r="EM247" i="14608"/>
  <c r="EX247" i="14608"/>
  <c r="FA247" i="14608"/>
  <c r="FL247" i="14608"/>
  <c r="FO247" i="14608"/>
  <c r="FZ247" i="14608"/>
  <c r="GC247" i="14608"/>
  <c r="GN247" i="14608"/>
  <c r="GQ247" i="14608"/>
  <c r="HB247" i="14608"/>
  <c r="HE247" i="14608"/>
  <c r="HP247" i="14608"/>
  <c r="HS247" i="14608"/>
  <c r="ID247" i="14608"/>
  <c r="IG247" i="14608"/>
  <c r="IR247" i="14608"/>
  <c r="IU247" i="14608"/>
  <c r="D246" i="14608"/>
  <c r="R246" i="14608"/>
  <c r="U246" i="14608"/>
  <c r="AF246" i="14608"/>
  <c r="AI246" i="14608"/>
  <c r="AT246" i="14608"/>
  <c r="AW246" i="14608"/>
  <c r="BH246" i="14608"/>
  <c r="BK246" i="14608"/>
  <c r="BV246" i="14608"/>
  <c r="BY246" i="14608"/>
  <c r="CJ246" i="14608"/>
  <c r="CM246" i="14608"/>
  <c r="CX246" i="14608"/>
  <c r="DA246" i="14608"/>
  <c r="DL246" i="14608"/>
  <c r="DO246" i="14608"/>
  <c r="DZ246" i="14608"/>
  <c r="EC246" i="14608"/>
  <c r="EN246" i="14608"/>
  <c r="EQ246" i="14608"/>
  <c r="FB246" i="14608"/>
  <c r="FE246" i="14608"/>
  <c r="FP246" i="14608"/>
  <c r="FS246" i="14608"/>
  <c r="GD246" i="14608"/>
  <c r="GG246" i="14608"/>
  <c r="GR246" i="14608"/>
  <c r="GU246" i="14608"/>
  <c r="HF246" i="14608"/>
  <c r="HI246" i="14608"/>
  <c r="HT246" i="14608"/>
  <c r="HW246" i="14608"/>
  <c r="IH246" i="14608"/>
  <c r="IK246" i="14608"/>
  <c r="IV246" i="14608"/>
  <c r="H245" i="14608"/>
  <c r="K245" i="14608"/>
  <c r="V245" i="14608"/>
  <c r="Y245" i="14608"/>
  <c r="AJ245" i="14608"/>
  <c r="AM245" i="14608"/>
  <c r="AX245" i="14608"/>
  <c r="BA245" i="14608"/>
  <c r="BL245" i="14608"/>
  <c r="BO245" i="14608"/>
  <c r="BZ245" i="14608"/>
  <c r="CC245" i="14608"/>
  <c r="CN245" i="14608"/>
  <c r="CQ245" i="14608"/>
  <c r="DB245" i="14608"/>
  <c r="DE245" i="14608"/>
  <c r="DP245" i="14608"/>
  <c r="DS245" i="14608"/>
  <c r="ED245" i="14608"/>
  <c r="EG245" i="14608"/>
  <c r="ER245" i="14608"/>
  <c r="EU245" i="14608"/>
  <c r="FF245" i="14608"/>
  <c r="FI245" i="14608"/>
  <c r="FT245" i="14608"/>
  <c r="FW245" i="14608"/>
  <c r="GH245" i="14608"/>
  <c r="GK245" i="14608"/>
  <c r="GV245" i="14608"/>
  <c r="GY245" i="14608"/>
  <c r="HJ245" i="14608"/>
  <c r="HM245" i="14608"/>
  <c r="HX245" i="14608"/>
  <c r="IA245" i="14608"/>
  <c r="IL245" i="14608"/>
  <c r="IO245" i="14608"/>
  <c r="L244" i="14608"/>
  <c r="O244" i="14608"/>
  <c r="Z244" i="14608"/>
  <c r="AC244" i="14608"/>
  <c r="AN244" i="14608"/>
  <c r="AQ244" i="14608"/>
  <c r="BB244" i="14608"/>
  <c r="BE244" i="14608"/>
  <c r="BP244" i="14608"/>
  <c r="BS244" i="14608"/>
  <c r="CD244" i="14608"/>
  <c r="CG244" i="14608"/>
  <c r="CR244" i="14608"/>
  <c r="CU244" i="14608"/>
  <c r="DF244" i="14608"/>
  <c r="DI244" i="14608"/>
  <c r="DT244" i="14608"/>
  <c r="DW244" i="14608"/>
  <c r="EH244" i="14608"/>
  <c r="EK244" i="14608"/>
  <c r="EV244" i="14608"/>
  <c r="EY244" i="14608"/>
  <c r="FJ244" i="14608"/>
  <c r="FM244" i="14608"/>
  <c r="FX244" i="14608"/>
  <c r="GA244" i="14608"/>
  <c r="GL244" i="14608"/>
  <c r="GO244" i="14608"/>
  <c r="GZ244" i="14608"/>
  <c r="HC244" i="14608"/>
  <c r="HN244" i="14608"/>
  <c r="HQ244" i="14608"/>
  <c r="IB244" i="14608"/>
  <c r="IE244" i="14608"/>
  <c r="IP244" i="14608"/>
  <c r="IS244" i="14608"/>
  <c r="B243" i="14608"/>
  <c r="P243" i="14608"/>
  <c r="S243" i="14608"/>
  <c r="AD243" i="14608"/>
  <c r="AG243" i="14608"/>
  <c r="AR243" i="14608"/>
  <c r="AU243" i="14608"/>
  <c r="BF243" i="14608"/>
  <c r="BI243" i="14608"/>
  <c r="BT243" i="14608"/>
  <c r="BW243" i="14608"/>
  <c r="CH243" i="14608"/>
  <c r="CK243" i="14608"/>
  <c r="CV243" i="14608"/>
  <c r="CY243" i="14608"/>
  <c r="DJ243" i="14608"/>
  <c r="DM243" i="14608"/>
  <c r="DX243" i="14608"/>
  <c r="EA243" i="14608"/>
  <c r="EL243" i="14608"/>
  <c r="EO243" i="14608"/>
  <c r="EZ243" i="14608"/>
  <c r="FC243" i="14608"/>
  <c r="FN243" i="14608"/>
  <c r="FQ243" i="14608"/>
  <c r="GB243" i="14608"/>
  <c r="GE243" i="14608"/>
  <c r="GP243" i="14608"/>
  <c r="GS243" i="14608"/>
  <c r="HD243" i="14608"/>
  <c r="HG243" i="14608"/>
  <c r="HR243" i="14608"/>
  <c r="HU243" i="14608"/>
  <c r="IF243" i="14608"/>
  <c r="II243" i="14608"/>
  <c r="IT243" i="14608"/>
  <c r="F242" i="14608"/>
  <c r="T242" i="14608"/>
  <c r="W242" i="14608"/>
  <c r="AH242" i="14608"/>
  <c r="AK242" i="14608"/>
  <c r="AV242" i="14608"/>
  <c r="AY242" i="14608"/>
  <c r="BJ242" i="14608"/>
  <c r="BM242" i="14608"/>
  <c r="BX242" i="14608"/>
  <c r="CA242" i="14608"/>
  <c r="CL242" i="14608"/>
  <c r="CO242" i="14608"/>
  <c r="CZ242" i="14608"/>
  <c r="DC242" i="14608"/>
  <c r="DN242" i="14608"/>
  <c r="DQ242" i="14608"/>
  <c r="EB242" i="14608"/>
  <c r="EE242" i="14608"/>
  <c r="EP242" i="14608"/>
  <c r="ES242" i="14608"/>
  <c r="FD242" i="14608"/>
  <c r="FG242" i="14608"/>
  <c r="FR242" i="14608"/>
  <c r="FU242" i="14608"/>
  <c r="GF242" i="14608"/>
  <c r="GI242" i="14608"/>
  <c r="GT242" i="14608"/>
  <c r="GW242" i="14608"/>
  <c r="HH242" i="14608"/>
  <c r="HK242" i="14608"/>
  <c r="HV242" i="14608"/>
  <c r="HY242" i="14608"/>
  <c r="IJ242" i="14608"/>
  <c r="IM242" i="14608"/>
  <c r="J241" i="14608"/>
  <c r="X241" i="14608"/>
  <c r="AA241" i="14608"/>
  <c r="AL241" i="14608"/>
  <c r="AO241" i="14608"/>
  <c r="AZ241" i="14608"/>
  <c r="BC241" i="14608"/>
  <c r="BN241" i="14608"/>
  <c r="BQ241" i="14608"/>
  <c r="CB241" i="14608"/>
  <c r="CE241" i="14608"/>
  <c r="CP241" i="14608"/>
  <c r="CS241" i="14608"/>
  <c r="DD241" i="14608"/>
  <c r="DG241" i="14608"/>
  <c r="DR241" i="14608"/>
  <c r="DU241" i="14608"/>
  <c r="EF241" i="14608"/>
  <c r="EI241" i="14608"/>
  <c r="ET241" i="14608"/>
  <c r="EW241" i="14608"/>
  <c r="FH241" i="14608"/>
  <c r="FK241" i="14608"/>
  <c r="FV241" i="14608"/>
  <c r="FY241" i="14608"/>
  <c r="GJ241" i="14608"/>
  <c r="GM241" i="14608"/>
  <c r="GX241" i="14608"/>
  <c r="HA241" i="14608"/>
  <c r="HL241" i="14608"/>
  <c r="HO241" i="14608"/>
  <c r="HZ241" i="14608"/>
  <c r="IC241" i="14608"/>
  <c r="IN241" i="14608"/>
  <c r="IQ241" i="14608"/>
  <c r="N240" i="14608"/>
  <c r="Q240" i="14608"/>
  <c r="AB240" i="14608"/>
  <c r="AE240" i="14608"/>
  <c r="AP240" i="14608"/>
  <c r="AS240" i="14608"/>
  <c r="BD240" i="14608"/>
  <c r="BG240" i="14608"/>
  <c r="BR240" i="14608"/>
  <c r="BU240" i="14608"/>
  <c r="CF240" i="14608"/>
  <c r="CI240" i="14608"/>
  <c r="CT240" i="14608"/>
  <c r="CW240" i="14608"/>
  <c r="DH240" i="14608"/>
  <c r="DK240" i="14608"/>
  <c r="DV240" i="14608"/>
  <c r="DY240" i="14608"/>
  <c r="EJ240" i="14608"/>
  <c r="EM240" i="14608"/>
  <c r="EX240" i="14608"/>
  <c r="FA240" i="14608"/>
  <c r="FL240" i="14608"/>
  <c r="FO240" i="14608"/>
  <c r="FZ240" i="14608"/>
  <c r="GC240" i="14608"/>
  <c r="GN240" i="14608"/>
  <c r="GQ240" i="14608"/>
  <c r="HB240" i="14608"/>
  <c r="HE240" i="14608"/>
  <c r="HP240" i="14608"/>
  <c r="HS240" i="14608"/>
  <c r="ID240" i="14608"/>
  <c r="IG240" i="14608"/>
  <c r="IR240" i="14608"/>
  <c r="IU240" i="14608"/>
  <c r="A239" i="14608"/>
  <c r="B239" i="14608"/>
  <c r="C239" i="14608"/>
  <c r="D239" i="14608"/>
  <c r="E239" i="14608"/>
  <c r="F239" i="14608"/>
  <c r="G239" i="14608"/>
  <c r="H239" i="14608"/>
  <c r="J239" i="14608"/>
  <c r="K239" i="14608"/>
  <c r="L239" i="14608"/>
  <c r="M239" i="14608"/>
  <c r="N239" i="14608"/>
  <c r="P239" i="14608"/>
  <c r="Z239" i="14608"/>
  <c r="AA239" i="14608"/>
  <c r="AB239" i="14608"/>
  <c r="AC239" i="14608"/>
  <c r="AE239" i="14608"/>
  <c r="AF239" i="14608"/>
  <c r="AG239" i="14608"/>
  <c r="AH239" i="14608"/>
  <c r="AI239" i="14608"/>
  <c r="AJ239" i="14608"/>
  <c r="AK239" i="14608"/>
  <c r="AL239" i="14608"/>
  <c r="AM239" i="14608"/>
  <c r="AN239" i="14608"/>
  <c r="AO239" i="14608"/>
  <c r="AP239" i="14608"/>
  <c r="AQ239" i="14608"/>
  <c r="AR239" i="14608"/>
  <c r="AS239" i="14608"/>
  <c r="AT239" i="14608"/>
  <c r="AU239" i="14608"/>
  <c r="AW239" i="14608"/>
  <c r="AX239" i="14608"/>
  <c r="AY239" i="14608"/>
  <c r="BJ239" i="14608"/>
  <c r="BK239" i="14608"/>
  <c r="BL239" i="14608"/>
  <c r="BO239" i="14608"/>
  <c r="BP239" i="14608"/>
  <c r="BQ239" i="14608"/>
  <c r="CB239" i="14608"/>
  <c r="CC239" i="14608"/>
  <c r="CE239" i="14608"/>
  <c r="CG239" i="14608"/>
  <c r="CH239" i="14608"/>
  <c r="CI239" i="14608"/>
  <c r="CT239" i="14608"/>
  <c r="CU239" i="14608"/>
  <c r="CW239" i="14608"/>
  <c r="CY239" i="14608"/>
  <c r="CZ239" i="14608"/>
  <c r="DA239" i="14608"/>
  <c r="DL239" i="14608"/>
  <c r="DM239" i="14608"/>
  <c r="DO239" i="14608"/>
  <c r="DZ239" i="14608"/>
  <c r="EA239" i="14608"/>
  <c r="EC239" i="14608"/>
  <c r="EN239" i="14608"/>
  <c r="EO239" i="14608"/>
  <c r="EQ239" i="14608"/>
  <c r="FB239" i="14608"/>
  <c r="FC239" i="14608"/>
  <c r="FE239" i="14608"/>
  <c r="FP239" i="14608"/>
  <c r="FQ239" i="14608"/>
  <c r="FS239" i="14608"/>
  <c r="GD239" i="14608"/>
  <c r="GE239" i="14608"/>
  <c r="GG239" i="14608"/>
  <c r="GR239" i="14608"/>
  <c r="GU239" i="14608"/>
  <c r="HF239" i="14608"/>
  <c r="HI239" i="14608"/>
  <c r="HT239" i="14608"/>
  <c r="HW239" i="14608"/>
  <c r="IH239" i="14608"/>
  <c r="IK239" i="14608"/>
  <c r="IV239" i="14608"/>
  <c r="A238" i="14608"/>
  <c r="B238" i="14608"/>
  <c r="C238" i="14608"/>
  <c r="D238" i="14608"/>
  <c r="E238" i="14608"/>
  <c r="F238" i="14608"/>
  <c r="G238" i="14608"/>
  <c r="H238" i="14608"/>
  <c r="I238" i="14608"/>
  <c r="J238" i="14608"/>
  <c r="K238" i="14608"/>
  <c r="L238" i="14608"/>
  <c r="M238" i="14608"/>
  <c r="N238" i="14608"/>
  <c r="O238" i="14608"/>
  <c r="P238" i="14608"/>
  <c r="Q238" i="14608"/>
  <c r="R238" i="14608"/>
  <c r="S238" i="14608"/>
  <c r="T238" i="14608"/>
  <c r="U238" i="14608"/>
  <c r="V238" i="14608"/>
  <c r="W238" i="14608"/>
  <c r="X238" i="14608"/>
  <c r="Y238" i="14608"/>
  <c r="Z238" i="14608"/>
  <c r="AA238" i="14608"/>
  <c r="AB238" i="14608"/>
  <c r="AC238" i="14608"/>
  <c r="AD238" i="14608"/>
  <c r="AE238" i="14608"/>
  <c r="AF238" i="14608"/>
  <c r="AG238" i="14608"/>
  <c r="AH238" i="14608"/>
  <c r="AI238" i="14608"/>
  <c r="AJ238" i="14608"/>
  <c r="AK238" i="14608"/>
  <c r="AL238" i="14608"/>
  <c r="AM238" i="14608"/>
  <c r="AN238" i="14608"/>
  <c r="AO238" i="14608"/>
  <c r="AP238" i="14608"/>
  <c r="AQ238" i="14608"/>
  <c r="AR238" i="14608"/>
  <c r="AS238" i="14608"/>
  <c r="AT238" i="14608"/>
  <c r="AU238" i="14608"/>
  <c r="AV238" i="14608"/>
  <c r="AW238" i="14608"/>
  <c r="AX238" i="14608"/>
  <c r="AY238" i="14608"/>
  <c r="AZ238" i="14608"/>
  <c r="BA238" i="14608"/>
  <c r="BB238" i="14608"/>
  <c r="BC238" i="14608"/>
  <c r="BD238" i="14608"/>
  <c r="BE238" i="14608"/>
  <c r="BF238" i="14608"/>
  <c r="BG238" i="14608"/>
  <c r="BH238" i="14608"/>
  <c r="BI238" i="14608"/>
  <c r="BJ238" i="14608"/>
  <c r="BK238" i="14608"/>
  <c r="BL238" i="14608"/>
  <c r="BM238" i="14608"/>
  <c r="BN238" i="14608"/>
  <c r="BO238" i="14608"/>
  <c r="BP238" i="14608"/>
  <c r="BQ238" i="14608"/>
  <c r="BR238" i="14608"/>
  <c r="BS238" i="14608"/>
  <c r="BT238" i="14608"/>
  <c r="BU238" i="14608"/>
  <c r="BV238" i="14608"/>
  <c r="BW238" i="14608"/>
  <c r="BX238" i="14608"/>
  <c r="BY238" i="14608"/>
  <c r="BZ238" i="14608"/>
  <c r="CA238" i="14608"/>
  <c r="CB238" i="14608"/>
  <c r="CC238" i="14608"/>
  <c r="CD238" i="14608"/>
  <c r="CE238" i="14608"/>
  <c r="CF238" i="14608"/>
  <c r="CG238" i="14608"/>
  <c r="CH238" i="14608"/>
  <c r="CI238" i="14608"/>
  <c r="CJ238" i="14608"/>
  <c r="CK238" i="14608"/>
  <c r="CL238" i="14608"/>
  <c r="CM238" i="14608"/>
  <c r="CN238" i="14608"/>
  <c r="CO238" i="14608"/>
  <c r="CP238" i="14608"/>
  <c r="CQ238" i="14608"/>
  <c r="CR238" i="14608"/>
  <c r="CS238" i="14608"/>
  <c r="CT238" i="14608"/>
  <c r="CU238" i="14608"/>
  <c r="CV238" i="14608"/>
  <c r="CW238" i="14608"/>
  <c r="CX238" i="14608"/>
  <c r="CY238" i="14608"/>
  <c r="CZ238" i="14608"/>
  <c r="DA238" i="14608"/>
  <c r="DB238" i="14608"/>
  <c r="DC238" i="14608"/>
  <c r="DD238" i="14608"/>
  <c r="DE238" i="14608"/>
  <c r="DF238" i="14608"/>
  <c r="DG238" i="14608"/>
  <c r="DH238" i="14608"/>
  <c r="DI238" i="14608"/>
  <c r="DJ238" i="14608"/>
  <c r="DK238" i="14608"/>
  <c r="DL238" i="14608"/>
  <c r="DM238" i="14608"/>
  <c r="DN238" i="14608"/>
  <c r="DO238" i="14608"/>
  <c r="DP238" i="14608"/>
  <c r="DQ238" i="14608"/>
  <c r="DR238" i="14608"/>
  <c r="DS238" i="14608"/>
  <c r="DT238" i="14608"/>
  <c r="DU238" i="14608"/>
  <c r="DV238" i="14608"/>
  <c r="DW238" i="14608"/>
  <c r="DX238" i="14608"/>
  <c r="DY238" i="14608"/>
  <c r="DZ238" i="14608"/>
  <c r="EA238" i="14608"/>
  <c r="EB238" i="14608"/>
  <c r="EC238" i="14608"/>
  <c r="ED238" i="14608"/>
  <c r="EE238" i="14608"/>
  <c r="EF238" i="14608"/>
  <c r="EG238" i="14608"/>
  <c r="EH238" i="14608"/>
  <c r="EI238" i="14608"/>
  <c r="EJ238" i="14608"/>
  <c r="EK238" i="14608"/>
  <c r="EL238" i="14608"/>
  <c r="EM238" i="14608"/>
  <c r="EN238" i="14608"/>
  <c r="EO238" i="14608"/>
  <c r="EP238" i="14608"/>
  <c r="EQ238" i="14608"/>
  <c r="ER238" i="14608"/>
  <c r="ES238" i="14608"/>
  <c r="ET238" i="14608"/>
  <c r="EU238" i="14608"/>
  <c r="EV238" i="14608"/>
  <c r="EW238" i="14608"/>
  <c r="EX238" i="14608"/>
  <c r="EY238" i="14608"/>
  <c r="EZ238" i="14608"/>
  <c r="FA238" i="14608"/>
  <c r="FB238" i="14608"/>
  <c r="FC238" i="14608"/>
  <c r="FD238" i="14608"/>
  <c r="FE238" i="14608"/>
  <c r="FF238" i="14608"/>
  <c r="FG238" i="14608"/>
  <c r="FH238" i="14608"/>
  <c r="FI238" i="14608"/>
  <c r="FJ238" i="14608"/>
  <c r="FK238" i="14608"/>
  <c r="FL238" i="14608"/>
  <c r="FM238" i="14608"/>
  <c r="FN238" i="14608"/>
  <c r="FO238" i="14608"/>
  <c r="FP238" i="14608"/>
  <c r="FQ238" i="14608"/>
  <c r="FR238" i="14608"/>
  <c r="FS238" i="14608"/>
  <c r="FT238" i="14608"/>
  <c r="FU238" i="14608"/>
  <c r="FV238" i="14608"/>
  <c r="FW238" i="14608"/>
  <c r="FX238" i="14608"/>
  <c r="FY238" i="14608"/>
  <c r="FZ238" i="14608"/>
  <c r="GA238" i="14608"/>
  <c r="GB238" i="14608"/>
  <c r="GC238" i="14608"/>
  <c r="GD238" i="14608"/>
  <c r="GE238" i="14608"/>
  <c r="GF238" i="14608"/>
  <c r="GG238" i="14608"/>
  <c r="GH238" i="14608"/>
  <c r="GI238" i="14608"/>
  <c r="GJ238" i="14608"/>
  <c r="GK238" i="14608"/>
  <c r="GL238" i="14608"/>
  <c r="GM238" i="14608"/>
  <c r="GN238" i="14608"/>
  <c r="GO238" i="14608"/>
  <c r="GP238" i="14608"/>
  <c r="GQ238" i="14608"/>
  <c r="GR238" i="14608"/>
  <c r="GS238" i="14608"/>
  <c r="GT238" i="14608"/>
  <c r="GU238" i="14608"/>
  <c r="GV238" i="14608"/>
  <c r="GW238" i="14608"/>
  <c r="GX238" i="14608"/>
  <c r="GY238" i="14608"/>
  <c r="GZ238" i="14608"/>
  <c r="HA238" i="14608"/>
  <c r="HB238" i="14608"/>
  <c r="HC238" i="14608"/>
  <c r="HD238" i="14608"/>
  <c r="HE238" i="14608"/>
  <c r="HF238" i="14608"/>
  <c r="HG238" i="14608"/>
  <c r="HH238" i="14608"/>
  <c r="HI238" i="14608"/>
  <c r="HJ238" i="14608"/>
  <c r="HK238" i="14608"/>
  <c r="HL238" i="14608"/>
  <c r="HM238" i="14608"/>
  <c r="HN238" i="14608"/>
  <c r="HO238" i="14608"/>
  <c r="HP238" i="14608"/>
  <c r="HQ238" i="14608"/>
  <c r="HR238" i="14608"/>
  <c r="HS238" i="14608"/>
  <c r="HT238" i="14608"/>
  <c r="HU238" i="14608"/>
  <c r="HV238" i="14608"/>
  <c r="HW238" i="14608"/>
  <c r="HX238" i="14608"/>
  <c r="HY238" i="14608"/>
  <c r="HZ238" i="14608"/>
  <c r="IA238" i="14608"/>
  <c r="IB238" i="14608"/>
  <c r="IC238" i="14608"/>
  <c r="ID238" i="14608"/>
  <c r="IE238" i="14608"/>
  <c r="IF238" i="14608"/>
  <c r="IG238" i="14608"/>
  <c r="IH238" i="14608"/>
  <c r="II238" i="14608"/>
  <c r="IJ238" i="14608"/>
  <c r="IK238" i="14608"/>
  <c r="IL238" i="14608"/>
  <c r="IM238" i="14608"/>
  <c r="IN238" i="14608"/>
  <c r="IO238" i="14608"/>
  <c r="IP238" i="14608"/>
  <c r="IQ238" i="14608"/>
  <c r="IR238" i="14608"/>
  <c r="IS238" i="14608"/>
  <c r="IT238" i="14608"/>
  <c r="IU238" i="14608"/>
  <c r="IV238" i="14608"/>
  <c r="A237" i="14608"/>
  <c r="B237" i="14608"/>
  <c r="C237" i="14608"/>
  <c r="D237" i="14608"/>
  <c r="E237" i="14608"/>
  <c r="F237" i="14608"/>
  <c r="G237" i="14608"/>
  <c r="H237" i="14608"/>
  <c r="I237" i="14608"/>
  <c r="J237" i="14608"/>
  <c r="K237" i="14608"/>
  <c r="L237" i="14608"/>
  <c r="M237" i="14608"/>
  <c r="N237" i="14608"/>
  <c r="O237" i="14608"/>
  <c r="P237" i="14608"/>
  <c r="Q237" i="14608"/>
  <c r="R237" i="14608"/>
  <c r="S237" i="14608"/>
  <c r="T237" i="14608"/>
  <c r="U237" i="14608"/>
  <c r="V237" i="14608"/>
  <c r="W237" i="14608"/>
  <c r="X237" i="14608"/>
  <c r="Y237" i="14608"/>
  <c r="Z237" i="14608"/>
  <c r="AA237" i="14608"/>
  <c r="AB237" i="14608"/>
  <c r="AC237" i="14608"/>
  <c r="AD237" i="14608"/>
  <c r="AE237" i="14608"/>
  <c r="AF237" i="14608"/>
  <c r="AG237" i="14608"/>
  <c r="AH237" i="14608"/>
  <c r="AI237" i="14608"/>
  <c r="AJ237" i="14608"/>
  <c r="AK237" i="14608"/>
  <c r="AL237" i="14608"/>
  <c r="AM237" i="14608"/>
  <c r="AN237" i="14608"/>
  <c r="AO237" i="14608"/>
  <c r="AP237" i="14608"/>
  <c r="AQ237" i="14608"/>
  <c r="AR237" i="14608"/>
  <c r="AS237" i="14608"/>
  <c r="AT237" i="14608"/>
  <c r="AU237" i="14608"/>
  <c r="AV237" i="14608"/>
  <c r="AW237" i="14608"/>
  <c r="AX237" i="14608"/>
  <c r="AY237" i="14608"/>
  <c r="AZ237" i="14608"/>
  <c r="BA237" i="14608"/>
  <c r="BB237" i="14608"/>
  <c r="BC237" i="14608"/>
  <c r="BD237" i="14608"/>
  <c r="BE237" i="14608"/>
  <c r="BF237" i="14608"/>
  <c r="BG237" i="14608"/>
  <c r="BH237" i="14608"/>
  <c r="BI237" i="14608"/>
  <c r="BJ237" i="14608"/>
  <c r="BK237" i="14608"/>
  <c r="BL237" i="14608"/>
  <c r="BM237" i="14608"/>
  <c r="BN237" i="14608"/>
  <c r="BO237" i="14608"/>
  <c r="BP237" i="14608"/>
  <c r="BQ237" i="14608"/>
  <c r="BR237" i="14608"/>
  <c r="BS237" i="14608"/>
  <c r="BT237" i="14608"/>
  <c r="BU237" i="14608"/>
  <c r="BV237" i="14608"/>
  <c r="BW237" i="14608"/>
  <c r="BX237" i="14608"/>
  <c r="BY237" i="14608"/>
  <c r="BZ237" i="14608"/>
  <c r="CA237" i="14608"/>
  <c r="CB237" i="14608"/>
  <c r="CC237" i="14608"/>
  <c r="CD237" i="14608"/>
  <c r="CE237" i="14608"/>
  <c r="CF237" i="14608"/>
  <c r="CG237" i="14608"/>
  <c r="CH237" i="14608"/>
  <c r="CI237" i="14608"/>
  <c r="CJ237" i="14608"/>
  <c r="CK237" i="14608"/>
  <c r="CL237" i="14608"/>
  <c r="CM237" i="14608"/>
  <c r="CN237" i="14608"/>
  <c r="CO237" i="14608"/>
  <c r="CP237" i="14608"/>
  <c r="CQ237" i="14608"/>
  <c r="CR237" i="14608"/>
  <c r="CS237" i="14608"/>
  <c r="CT237" i="14608"/>
  <c r="CU237" i="14608"/>
  <c r="CV237" i="14608"/>
  <c r="CW237" i="14608"/>
  <c r="CX237" i="14608"/>
  <c r="CY237" i="14608"/>
  <c r="CZ237" i="14608"/>
  <c r="DA237" i="14608"/>
  <c r="DB237" i="14608"/>
  <c r="DC237" i="14608"/>
  <c r="DD237" i="14608"/>
  <c r="DE237" i="14608"/>
  <c r="DF237" i="14608"/>
  <c r="DG237" i="14608"/>
  <c r="DH237" i="14608"/>
  <c r="DI237" i="14608"/>
  <c r="DJ237" i="14608"/>
  <c r="DK237" i="14608"/>
  <c r="DL237" i="14608"/>
  <c r="DM237" i="14608"/>
  <c r="DN237" i="14608"/>
  <c r="DO237" i="14608"/>
  <c r="DP237" i="14608"/>
  <c r="DQ237" i="14608"/>
  <c r="DR237" i="14608"/>
  <c r="DS237" i="14608"/>
  <c r="DT237" i="14608"/>
  <c r="DU237" i="14608"/>
  <c r="DV237" i="14608"/>
  <c r="DW237" i="14608"/>
  <c r="DX237" i="14608"/>
  <c r="DY237" i="14608"/>
  <c r="DZ237" i="14608"/>
  <c r="EA237" i="14608"/>
  <c r="EB237" i="14608"/>
  <c r="EC237" i="14608"/>
  <c r="ED237" i="14608"/>
  <c r="EE237" i="14608"/>
  <c r="EF237" i="14608"/>
  <c r="EG237" i="14608"/>
  <c r="EH237" i="14608"/>
  <c r="EI237" i="14608"/>
  <c r="EJ237" i="14608"/>
  <c r="EK237" i="14608"/>
  <c r="EL237" i="14608"/>
  <c r="EM237" i="14608"/>
  <c r="EN237" i="14608"/>
  <c r="EO237" i="14608"/>
  <c r="EP237" i="14608"/>
  <c r="EQ237" i="14608"/>
  <c r="ER237" i="14608"/>
  <c r="ES237" i="14608"/>
  <c r="ET237" i="14608"/>
  <c r="EU237" i="14608"/>
  <c r="EV237" i="14608"/>
  <c r="EW237" i="14608"/>
  <c r="EX237" i="14608"/>
  <c r="EY237" i="14608"/>
  <c r="EZ237" i="14608"/>
  <c r="FA237" i="14608"/>
  <c r="FB237" i="14608"/>
  <c r="FC237" i="14608"/>
  <c r="FD237" i="14608"/>
  <c r="FE237" i="14608"/>
  <c r="FF237" i="14608"/>
  <c r="FG237" i="14608"/>
  <c r="FH237" i="14608"/>
  <c r="FI237" i="14608"/>
  <c r="FJ237" i="14608"/>
  <c r="FK237" i="14608"/>
  <c r="FL237" i="14608"/>
  <c r="FM237" i="14608"/>
  <c r="FN237" i="14608"/>
  <c r="FO237" i="14608"/>
  <c r="FP237" i="14608"/>
  <c r="FQ237" i="14608"/>
  <c r="FR237" i="14608"/>
  <c r="FS237" i="14608"/>
  <c r="FT237" i="14608"/>
  <c r="FU237" i="14608"/>
  <c r="FV237" i="14608"/>
  <c r="FW237" i="14608"/>
  <c r="FX237" i="14608"/>
  <c r="FY237" i="14608"/>
  <c r="FZ237" i="14608"/>
  <c r="GA237" i="14608"/>
  <c r="GB237" i="14608"/>
  <c r="GC237" i="14608"/>
  <c r="GD237" i="14608"/>
  <c r="GE237" i="14608"/>
  <c r="GF237" i="14608"/>
  <c r="GG237" i="14608"/>
  <c r="GH237" i="14608"/>
  <c r="GI237" i="14608"/>
  <c r="GJ237" i="14608"/>
  <c r="GK237" i="14608"/>
  <c r="GL237" i="14608"/>
  <c r="GM237" i="14608"/>
  <c r="GN237" i="14608"/>
  <c r="GO237" i="14608"/>
  <c r="GP237" i="14608"/>
  <c r="GQ237" i="14608"/>
  <c r="GR237" i="14608"/>
  <c r="GS237" i="14608"/>
  <c r="GT237" i="14608"/>
  <c r="GU237" i="14608"/>
  <c r="GV237" i="14608"/>
  <c r="GW237" i="14608"/>
  <c r="GX237" i="14608"/>
  <c r="GY237" i="14608"/>
  <c r="GZ237" i="14608"/>
  <c r="HA237" i="14608"/>
  <c r="HB237" i="14608"/>
  <c r="HC237" i="14608"/>
  <c r="HD237" i="14608"/>
  <c r="HE237" i="14608"/>
  <c r="HF237" i="14608"/>
  <c r="HG237" i="14608"/>
  <c r="HH237" i="14608"/>
  <c r="HI237" i="14608"/>
  <c r="HJ237" i="14608"/>
  <c r="HK237" i="14608"/>
  <c r="HL237" i="14608"/>
  <c r="HM237" i="14608"/>
  <c r="HN237" i="14608"/>
  <c r="HO237" i="14608"/>
  <c r="HP237" i="14608"/>
  <c r="HQ237" i="14608"/>
  <c r="HR237" i="14608"/>
  <c r="HS237" i="14608"/>
  <c r="HT237" i="14608"/>
  <c r="HU237" i="14608"/>
  <c r="HV237" i="14608"/>
  <c r="HW237" i="14608"/>
  <c r="HX237" i="14608"/>
  <c r="HY237" i="14608"/>
  <c r="HZ237" i="14608"/>
  <c r="IA237" i="14608"/>
  <c r="IB237" i="14608"/>
  <c r="IC237" i="14608"/>
  <c r="ID237" i="14608"/>
  <c r="IE237" i="14608"/>
  <c r="IF237" i="14608"/>
  <c r="IG237" i="14608"/>
  <c r="IH237" i="14608"/>
  <c r="II237" i="14608"/>
  <c r="IJ237" i="14608"/>
  <c r="IK237" i="14608"/>
  <c r="IL237" i="14608"/>
  <c r="IM237" i="14608"/>
  <c r="IN237" i="14608"/>
  <c r="IO237" i="14608"/>
  <c r="IP237" i="14608"/>
  <c r="IQ237" i="14608"/>
  <c r="IR237" i="14608"/>
  <c r="IS237" i="14608"/>
  <c r="IT237" i="14608"/>
  <c r="IU237" i="14608"/>
  <c r="IV237" i="14608"/>
  <c r="A236" i="14608"/>
  <c r="B236" i="14608"/>
  <c r="C236" i="14608"/>
  <c r="D236" i="14608"/>
  <c r="E236" i="14608"/>
  <c r="F236" i="14608"/>
  <c r="G236" i="14608"/>
  <c r="H236" i="14608"/>
  <c r="I236" i="14608"/>
  <c r="J236" i="14608"/>
  <c r="K236" i="14608"/>
  <c r="L236" i="14608"/>
  <c r="M236" i="14608"/>
  <c r="N236" i="14608"/>
  <c r="O236" i="14608"/>
  <c r="P236" i="14608"/>
  <c r="Q236" i="14608"/>
  <c r="R236" i="14608"/>
  <c r="S236" i="14608"/>
  <c r="T236" i="14608"/>
  <c r="U236" i="14608"/>
  <c r="V236" i="14608"/>
  <c r="W236" i="14608"/>
  <c r="X236" i="14608"/>
  <c r="Y236" i="14608"/>
  <c r="Z236" i="14608"/>
  <c r="AA236" i="14608"/>
  <c r="AB236" i="14608"/>
  <c r="AC236" i="14608"/>
  <c r="AD236" i="14608"/>
  <c r="AE236" i="14608"/>
  <c r="AF236" i="14608"/>
  <c r="AG236" i="14608"/>
  <c r="AH236" i="14608"/>
  <c r="AI236" i="14608"/>
  <c r="AJ236" i="14608"/>
  <c r="AK236" i="14608"/>
  <c r="AL236" i="14608"/>
  <c r="AM236" i="14608"/>
  <c r="AO236" i="14608"/>
  <c r="AP236" i="14608"/>
  <c r="AQ236" i="14608"/>
  <c r="AR236" i="14608"/>
  <c r="AS236" i="14608"/>
  <c r="AT236" i="14608"/>
  <c r="AU236" i="14608"/>
  <c r="AV236" i="14608"/>
  <c r="AW236" i="14608"/>
  <c r="AX236" i="14608"/>
  <c r="AY236" i="14608"/>
  <c r="AZ236" i="14608"/>
  <c r="BA236" i="14608"/>
  <c r="BC236" i="14608"/>
  <c r="BD236" i="14608"/>
  <c r="BE236" i="14608"/>
  <c r="BF236" i="14608"/>
  <c r="BG236" i="14608"/>
  <c r="BH236" i="14608"/>
  <c r="BI236" i="14608"/>
  <c r="BJ236" i="14608"/>
  <c r="BK236" i="14608"/>
  <c r="BL236" i="14608"/>
  <c r="BM236" i="14608"/>
  <c r="BN236" i="14608"/>
  <c r="BO236" i="14608"/>
  <c r="BP236" i="14608"/>
  <c r="BQ236" i="14608"/>
  <c r="BR236" i="14608"/>
  <c r="BS236" i="14608"/>
  <c r="BT236" i="14608"/>
  <c r="BU236" i="14608"/>
  <c r="BV236" i="14608"/>
  <c r="BX236" i="14608"/>
  <c r="BY236" i="14608"/>
  <c r="BZ236" i="14608"/>
  <c r="CA236" i="14608"/>
  <c r="CB236" i="14608"/>
  <c r="CC236" i="14608"/>
  <c r="CD236" i="14608"/>
  <c r="CE236" i="14608"/>
  <c r="CL236" i="14608"/>
  <c r="CM236" i="14608"/>
  <c r="CN236" i="14608"/>
  <c r="CO236" i="14608"/>
  <c r="CP236" i="14608"/>
  <c r="CQ236" i="14608"/>
  <c r="CR236" i="14608"/>
  <c r="CS236" i="14608"/>
  <c r="CT236" i="14608"/>
  <c r="CU236" i="14608"/>
  <c r="CV236" i="14608"/>
  <c r="CW236" i="14608"/>
  <c r="CX236" i="14608"/>
  <c r="CY236" i="14608"/>
  <c r="CZ236" i="14608"/>
  <c r="DA236" i="14608"/>
  <c r="DB236" i="14608"/>
  <c r="DC236" i="14608"/>
  <c r="DD236" i="14608"/>
  <c r="DE236" i="14608"/>
  <c r="DG236" i="14608"/>
  <c r="DH236" i="14608"/>
  <c r="DI236" i="14608"/>
  <c r="DJ236" i="14608"/>
  <c r="DK236" i="14608"/>
  <c r="DL236" i="14608"/>
  <c r="DM236" i="14608"/>
  <c r="DN236" i="14608"/>
  <c r="DU236" i="14608"/>
  <c r="DV236" i="14608"/>
  <c r="DW236" i="14608"/>
  <c r="DX236" i="14608"/>
  <c r="DY236" i="14608"/>
  <c r="DZ236" i="14608"/>
  <c r="EA236" i="14608"/>
  <c r="EB236" i="14608"/>
  <c r="EC236" i="14608"/>
  <c r="ED236" i="14608"/>
  <c r="EE236" i="14608"/>
  <c r="EF236" i="14608"/>
  <c r="EG236" i="14608"/>
  <c r="EH236" i="14608"/>
  <c r="EI236" i="14608"/>
  <c r="EJ236" i="14608"/>
  <c r="EK236" i="14608"/>
  <c r="EL236" i="14608"/>
  <c r="EM236" i="14608"/>
  <c r="EN236" i="14608"/>
  <c r="EP236" i="14608"/>
  <c r="EQ236" i="14608"/>
  <c r="ER236" i="14608"/>
  <c r="ES236" i="14608"/>
  <c r="ET236" i="14608"/>
  <c r="EU236" i="14608"/>
  <c r="EV236" i="14608"/>
  <c r="EW236" i="14608"/>
  <c r="FD236" i="14608"/>
  <c r="FE236" i="14608"/>
  <c r="FF236" i="14608"/>
  <c r="FG236" i="14608"/>
  <c r="FH236" i="14608"/>
  <c r="FI236" i="14608"/>
  <c r="FJ236" i="14608"/>
  <c r="FK236" i="14608"/>
  <c r="FL236" i="14608"/>
  <c r="FM236" i="14608"/>
  <c r="FN236" i="14608"/>
  <c r="FO236" i="14608"/>
  <c r="FP236" i="14608"/>
  <c r="FQ236" i="14608"/>
  <c r="FR236" i="14608"/>
  <c r="FS236" i="14608"/>
  <c r="FT236" i="14608"/>
  <c r="FU236" i="14608"/>
  <c r="FV236" i="14608"/>
  <c r="FW236" i="14608"/>
  <c r="FY236" i="14608"/>
  <c r="FZ236" i="14608"/>
  <c r="GA236" i="14608"/>
  <c r="GB236" i="14608"/>
  <c r="GC236" i="14608"/>
  <c r="GD236" i="14608"/>
  <c r="GE236" i="14608"/>
  <c r="GF236" i="14608"/>
  <c r="GM236" i="14608"/>
  <c r="GN236" i="14608"/>
  <c r="GO236" i="14608"/>
  <c r="GP236" i="14608"/>
  <c r="GQ236" i="14608"/>
  <c r="GR236" i="14608"/>
  <c r="GS236" i="14608"/>
  <c r="GT236" i="14608"/>
  <c r="GU236" i="14608"/>
  <c r="GV236" i="14608"/>
  <c r="GW236" i="14608"/>
  <c r="GX236" i="14608"/>
  <c r="GY236" i="14608"/>
  <c r="GZ236" i="14608"/>
  <c r="HA236" i="14608"/>
  <c r="HB236" i="14608"/>
  <c r="HC236" i="14608"/>
  <c r="HD236" i="14608"/>
  <c r="HE236" i="14608"/>
  <c r="HF236" i="14608"/>
  <c r="HH236" i="14608"/>
  <c r="HI236" i="14608"/>
  <c r="HJ236" i="14608"/>
  <c r="HK236" i="14608"/>
  <c r="HL236" i="14608"/>
  <c r="HM236" i="14608"/>
  <c r="HN236" i="14608"/>
  <c r="HO236" i="14608"/>
  <c r="HV236" i="14608"/>
  <c r="HW236" i="14608"/>
  <c r="HX236" i="14608"/>
  <c r="HY236" i="14608"/>
  <c r="HZ236" i="14608"/>
  <c r="IA236" i="14608"/>
  <c r="IB236" i="14608"/>
  <c r="IC236" i="14608"/>
  <c r="ID236" i="14608"/>
  <c r="IE236" i="14608"/>
  <c r="IF236" i="14608"/>
  <c r="IG236" i="14608"/>
  <c r="IH236" i="14608"/>
  <c r="II236" i="14608"/>
  <c r="IJ236" i="14608"/>
  <c r="IK236" i="14608"/>
  <c r="IL236" i="14608"/>
  <c r="IM236" i="14608"/>
  <c r="IN236" i="14608"/>
  <c r="IO236" i="14608"/>
  <c r="IP236" i="14608"/>
  <c r="IQ236" i="14608"/>
  <c r="IR236" i="14608"/>
  <c r="IS236" i="14608"/>
  <c r="IT236" i="14608"/>
  <c r="IU236" i="14608"/>
  <c r="IV236" i="14608"/>
  <c r="A235" i="14608"/>
  <c r="B235" i="14608"/>
  <c r="C235" i="14608"/>
  <c r="D235" i="14608"/>
  <c r="E235" i="14608"/>
  <c r="F235" i="14608"/>
  <c r="G235" i="14608"/>
  <c r="H235" i="14608"/>
  <c r="I235" i="14608"/>
  <c r="J235" i="14608"/>
  <c r="K235" i="14608"/>
  <c r="L235" i="14608"/>
  <c r="M235" i="14608"/>
  <c r="N235" i="14608"/>
  <c r="O235" i="14608"/>
  <c r="P235" i="14608"/>
  <c r="Q235" i="14608"/>
  <c r="R235" i="14608"/>
  <c r="S235" i="14608"/>
  <c r="T235" i="14608"/>
  <c r="U235" i="14608"/>
  <c r="V235" i="14608"/>
  <c r="W235" i="14608"/>
  <c r="X235" i="14608"/>
  <c r="Y235" i="14608"/>
  <c r="Z235" i="14608"/>
  <c r="AA235" i="14608"/>
  <c r="AB235" i="14608"/>
  <c r="AC235" i="14608"/>
  <c r="AD235" i="14608"/>
  <c r="AE235" i="14608"/>
  <c r="AF235" i="14608"/>
  <c r="AG235" i="14608"/>
  <c r="AH235" i="14608"/>
  <c r="AI235" i="14608"/>
  <c r="AJ235" i="14608"/>
  <c r="AK235" i="14608"/>
  <c r="AL235" i="14608"/>
  <c r="AM235" i="14608"/>
  <c r="AN235" i="14608"/>
  <c r="AO235" i="14608"/>
  <c r="AP235" i="14608"/>
  <c r="AQ235" i="14608"/>
  <c r="AR235" i="14608"/>
  <c r="AS235" i="14608"/>
  <c r="AT235" i="14608"/>
  <c r="AU235" i="14608"/>
  <c r="AV235" i="14608"/>
  <c r="AW235" i="14608"/>
  <c r="AX235" i="14608"/>
  <c r="AY235" i="14608"/>
  <c r="AZ235" i="14608"/>
  <c r="BA235" i="14608"/>
  <c r="BB235" i="14608"/>
  <c r="BC235" i="14608"/>
  <c r="BD235" i="14608"/>
  <c r="BE235" i="14608"/>
  <c r="BF235" i="14608"/>
  <c r="BH235" i="14608"/>
  <c r="BI235" i="14608"/>
  <c r="BJ235" i="14608"/>
  <c r="BK235" i="14608"/>
  <c r="BL235" i="14608"/>
  <c r="BM235" i="14608"/>
  <c r="BN235" i="14608"/>
  <c r="BO235" i="14608"/>
  <c r="BP235" i="14608"/>
  <c r="BQ235" i="14608"/>
  <c r="BR235" i="14608"/>
  <c r="BS235" i="14608"/>
  <c r="BT235" i="14608"/>
  <c r="BU235" i="14608"/>
  <c r="BV235" i="14608"/>
  <c r="BW235" i="14608"/>
  <c r="BX235" i="14608"/>
  <c r="BY235" i="14608"/>
  <c r="BZ235" i="14608"/>
  <c r="CA235" i="14608"/>
  <c r="CB235" i="14608"/>
  <c r="CC235" i="14608"/>
  <c r="CD235" i="14608"/>
  <c r="CE235" i="14608"/>
  <c r="CF235" i="14608"/>
  <c r="CG235" i="14608"/>
  <c r="CH235" i="14608"/>
  <c r="CI235" i="14608"/>
  <c r="CJ235" i="14608"/>
  <c r="CK235" i="14608"/>
  <c r="CL235" i="14608"/>
  <c r="CM235" i="14608"/>
  <c r="CN235" i="14608"/>
  <c r="CO235" i="14608"/>
  <c r="CP235" i="14608"/>
  <c r="CQ235" i="14608"/>
  <c r="CR235" i="14608"/>
  <c r="CS235" i="14608"/>
  <c r="CT235" i="14608"/>
  <c r="CU235" i="14608"/>
  <c r="CV235" i="14608"/>
  <c r="CW235" i="14608"/>
  <c r="CX235" i="14608"/>
  <c r="CY235" i="14608"/>
  <c r="CZ235" i="14608"/>
  <c r="DA235" i="14608"/>
  <c r="DB235" i="14608"/>
  <c r="DC235" i="14608"/>
  <c r="DD235" i="14608"/>
  <c r="DE235" i="14608"/>
  <c r="DF235" i="14608"/>
  <c r="DG235" i="14608"/>
  <c r="DH235" i="14608"/>
  <c r="DI235" i="14608"/>
  <c r="DJ235" i="14608"/>
  <c r="DK235" i="14608"/>
  <c r="DL235" i="14608"/>
  <c r="DM235" i="14608"/>
  <c r="DN235" i="14608"/>
  <c r="DO235" i="14608"/>
  <c r="DP235" i="14608"/>
  <c r="DQ235" i="14608"/>
  <c r="DR235" i="14608"/>
  <c r="DS235" i="14608"/>
  <c r="DT235" i="14608"/>
  <c r="DU235" i="14608"/>
  <c r="DV235" i="14608"/>
  <c r="DW235" i="14608"/>
  <c r="DX235" i="14608"/>
  <c r="DY235" i="14608"/>
  <c r="DZ235" i="14608"/>
  <c r="EA235" i="14608"/>
  <c r="EB235" i="14608"/>
  <c r="EC235" i="14608"/>
  <c r="ED235" i="14608"/>
  <c r="EE235" i="14608"/>
  <c r="EF235" i="14608"/>
  <c r="EG235" i="14608"/>
  <c r="EH235" i="14608"/>
  <c r="EI235" i="14608"/>
  <c r="EJ235" i="14608"/>
  <c r="EK235" i="14608"/>
  <c r="EL235" i="14608"/>
  <c r="EM235" i="14608"/>
  <c r="EN235" i="14608"/>
  <c r="EO235" i="14608"/>
  <c r="EP235" i="14608"/>
  <c r="EQ235" i="14608"/>
  <c r="ER235" i="14608"/>
  <c r="ES235" i="14608"/>
  <c r="ET235" i="14608"/>
  <c r="EU235" i="14608"/>
  <c r="EV235" i="14608"/>
  <c r="EW235" i="14608"/>
  <c r="EX235" i="14608"/>
  <c r="EY235" i="14608"/>
  <c r="EZ235" i="14608"/>
  <c r="FA235" i="14608"/>
  <c r="FB235" i="14608"/>
  <c r="FC235" i="14608"/>
  <c r="FD235" i="14608"/>
  <c r="FE235" i="14608"/>
  <c r="FF235" i="14608"/>
  <c r="FG235" i="14608"/>
  <c r="FH235" i="14608"/>
  <c r="FI235" i="14608"/>
  <c r="FJ235" i="14608"/>
  <c r="FK235" i="14608"/>
  <c r="FL235" i="14608"/>
  <c r="FM235" i="14608"/>
  <c r="FN235" i="14608"/>
  <c r="FO235" i="14608"/>
  <c r="FP235" i="14608"/>
  <c r="FQ235" i="14608"/>
  <c r="FR235" i="14608"/>
  <c r="FS235" i="14608"/>
  <c r="FT235" i="14608"/>
  <c r="FU235" i="14608"/>
  <c r="FV235" i="14608"/>
  <c r="FW235" i="14608"/>
  <c r="FX235" i="14608"/>
  <c r="FY235" i="14608"/>
  <c r="FZ235" i="14608"/>
  <c r="GA235" i="14608"/>
  <c r="GB235" i="14608"/>
  <c r="GC235" i="14608"/>
  <c r="GD235" i="14608"/>
  <c r="GE235" i="14608"/>
  <c r="GF235" i="14608"/>
  <c r="GG235" i="14608"/>
  <c r="GJ235" i="14608"/>
  <c r="GK235" i="14608"/>
  <c r="GL235" i="14608"/>
  <c r="GM235" i="14608"/>
  <c r="GN235" i="14608"/>
  <c r="GO235" i="14608"/>
  <c r="GP235" i="14608"/>
  <c r="GQ235" i="14608"/>
  <c r="GR235" i="14608"/>
  <c r="GS235" i="14608"/>
  <c r="GT235" i="14608"/>
  <c r="GU235" i="14608"/>
  <c r="GV235" i="14608"/>
  <c r="GW235" i="14608"/>
  <c r="GX235" i="14608"/>
  <c r="GY235" i="14608"/>
  <c r="GZ235" i="14608"/>
  <c r="HA235" i="14608"/>
  <c r="HB235" i="14608"/>
  <c r="HC235" i="14608"/>
  <c r="HD235" i="14608"/>
  <c r="HE235" i="14608"/>
  <c r="HF235" i="14608"/>
  <c r="HG235" i="14608"/>
  <c r="HH235" i="14608"/>
  <c r="HI235" i="14608"/>
  <c r="HJ235" i="14608"/>
  <c r="HK235" i="14608"/>
  <c r="HL235" i="14608"/>
  <c r="HM235" i="14608"/>
  <c r="HN235" i="14608"/>
  <c r="HO235" i="14608"/>
  <c r="HP235" i="14608"/>
  <c r="HQ235" i="14608"/>
  <c r="HS235" i="14608"/>
  <c r="HT235" i="14608"/>
  <c r="HU235" i="14608"/>
  <c r="HV235" i="14608"/>
  <c r="HW235" i="14608"/>
  <c r="HX235" i="14608"/>
  <c r="HY235" i="14608"/>
  <c r="HZ235" i="14608"/>
  <c r="IB235" i="14608"/>
  <c r="IC235" i="14608"/>
  <c r="ID235" i="14608"/>
  <c r="IE235" i="14608"/>
  <c r="IF235" i="14608"/>
  <c r="IG235" i="14608"/>
  <c r="IH235" i="14608"/>
  <c r="II235" i="14608"/>
  <c r="IJ235" i="14608"/>
  <c r="IK235" i="14608"/>
  <c r="IL235" i="14608"/>
  <c r="IM235" i="14608"/>
  <c r="IN235" i="14608"/>
  <c r="IO235" i="14608"/>
  <c r="IP235" i="14608"/>
  <c r="IQ235" i="14608"/>
  <c r="IR235" i="14608"/>
  <c r="IS235" i="14608"/>
  <c r="IT235" i="14608"/>
  <c r="IU235" i="14608"/>
  <c r="IV235" i="14608"/>
  <c r="A234" i="14608"/>
  <c r="B234" i="14608"/>
  <c r="C234" i="14608"/>
  <c r="D234" i="14608"/>
  <c r="E234" i="14608"/>
  <c r="F234" i="14608"/>
  <c r="G234" i="14608"/>
  <c r="H234" i="14608"/>
  <c r="I234" i="14608"/>
  <c r="J234" i="14608"/>
  <c r="K234" i="14608"/>
  <c r="L234" i="14608"/>
  <c r="M234" i="14608"/>
  <c r="N234" i="14608"/>
  <c r="O234" i="14608"/>
  <c r="P234" i="14608"/>
  <c r="Q234" i="14608"/>
  <c r="R234" i="14608"/>
  <c r="S234" i="14608"/>
  <c r="T234" i="14608"/>
  <c r="U234" i="14608"/>
  <c r="V234" i="14608"/>
  <c r="W234" i="14608"/>
  <c r="X234" i="14608"/>
  <c r="Y234" i="14608"/>
  <c r="Z234" i="14608"/>
  <c r="AA234" i="14608"/>
  <c r="AB234" i="14608"/>
  <c r="AC234" i="14608"/>
  <c r="AD234" i="14608"/>
  <c r="AE234" i="14608"/>
  <c r="AF234" i="14608"/>
  <c r="AG234" i="14608"/>
  <c r="AH234" i="14608"/>
  <c r="AI234" i="14608"/>
  <c r="AJ234" i="14608"/>
  <c r="AK234" i="14608"/>
  <c r="AL234" i="14608"/>
  <c r="AM234" i="14608"/>
  <c r="AN234" i="14608"/>
  <c r="AO234" i="14608"/>
  <c r="AP234" i="14608"/>
  <c r="AQ234" i="14608"/>
  <c r="AR234" i="14608"/>
  <c r="AS234" i="14608"/>
  <c r="AT234" i="14608"/>
  <c r="AU234" i="14608"/>
  <c r="AV234" i="14608"/>
  <c r="AW234" i="14608"/>
  <c r="AX234" i="14608"/>
  <c r="AY234" i="14608"/>
  <c r="AZ234" i="14608"/>
  <c r="BA234" i="14608"/>
  <c r="BB234" i="14608"/>
  <c r="BC234" i="14608"/>
  <c r="BD234" i="14608"/>
  <c r="BE234" i="14608"/>
  <c r="BF234" i="14608"/>
  <c r="BG234" i="14608"/>
  <c r="BH234" i="14608"/>
  <c r="BI234" i="14608"/>
  <c r="BJ234" i="14608"/>
  <c r="BK234" i="14608"/>
  <c r="BL234" i="14608"/>
  <c r="BM234" i="14608"/>
  <c r="BN234" i="14608"/>
  <c r="BO234" i="14608"/>
  <c r="BP234" i="14608"/>
  <c r="BQ234" i="14608"/>
  <c r="BR234" i="14608"/>
  <c r="BS234" i="14608"/>
  <c r="BT234" i="14608"/>
  <c r="BU234" i="14608"/>
  <c r="BV234" i="14608"/>
  <c r="BW234" i="14608"/>
  <c r="BX234" i="14608"/>
  <c r="BY234" i="14608"/>
  <c r="BZ234" i="14608"/>
  <c r="CA234" i="14608"/>
  <c r="CB234" i="14608"/>
  <c r="CC234" i="14608"/>
  <c r="CD234" i="14608"/>
  <c r="CE234" i="14608"/>
  <c r="CF234" i="14608"/>
  <c r="CG234" i="14608"/>
  <c r="CH234" i="14608"/>
  <c r="CI234" i="14608"/>
  <c r="CJ234" i="14608"/>
  <c r="CK234" i="14608"/>
  <c r="CL234" i="14608"/>
  <c r="CM234" i="14608"/>
  <c r="CN234" i="14608"/>
  <c r="CO234" i="14608"/>
  <c r="CP234" i="14608"/>
  <c r="CQ234" i="14608"/>
  <c r="CR234" i="14608"/>
  <c r="CS234" i="14608"/>
  <c r="CT234" i="14608"/>
  <c r="CU234" i="14608"/>
  <c r="CV234" i="14608"/>
  <c r="CW234" i="14608"/>
  <c r="CX234" i="14608"/>
  <c r="CY234" i="14608"/>
  <c r="CZ234" i="14608"/>
  <c r="DA234" i="14608"/>
  <c r="DB234" i="14608"/>
  <c r="DC234" i="14608"/>
  <c r="DD234" i="14608"/>
  <c r="DE234" i="14608"/>
  <c r="DF234" i="14608"/>
  <c r="DG234" i="14608"/>
  <c r="DH234" i="14608"/>
  <c r="DI234" i="14608"/>
  <c r="DJ234" i="14608"/>
  <c r="DK234" i="14608"/>
  <c r="DL234" i="14608"/>
  <c r="DM234" i="14608"/>
  <c r="DN234" i="14608"/>
  <c r="DO234" i="14608"/>
  <c r="DP234" i="14608"/>
  <c r="DQ234" i="14608"/>
  <c r="DR234" i="14608"/>
  <c r="DS234" i="14608"/>
  <c r="DT234" i="14608"/>
  <c r="DU234" i="14608"/>
  <c r="DV234" i="14608"/>
  <c r="DW234" i="14608"/>
  <c r="DX234" i="14608"/>
  <c r="DY234" i="14608"/>
  <c r="DZ234" i="14608"/>
  <c r="EA234" i="14608"/>
  <c r="EB234" i="14608"/>
  <c r="EC234" i="14608"/>
  <c r="ED234" i="14608"/>
  <c r="EE234" i="14608"/>
  <c r="EF234" i="14608"/>
  <c r="EG234" i="14608"/>
  <c r="EH234" i="14608"/>
  <c r="EI234" i="14608"/>
  <c r="EJ234" i="14608"/>
  <c r="EK234" i="14608"/>
  <c r="EL234" i="14608"/>
  <c r="EM234" i="14608"/>
  <c r="EN234" i="14608"/>
  <c r="EO234" i="14608"/>
  <c r="EP234" i="14608"/>
  <c r="EQ234" i="14608"/>
  <c r="ER234" i="14608"/>
  <c r="ES234" i="14608"/>
  <c r="ET234" i="14608"/>
  <c r="EU234" i="14608"/>
  <c r="EV234" i="14608"/>
  <c r="EW234" i="14608"/>
  <c r="EX234" i="14608"/>
  <c r="EY234" i="14608"/>
  <c r="EZ234" i="14608"/>
  <c r="FA234" i="14608"/>
  <c r="FB234" i="14608"/>
  <c r="FC234" i="14608"/>
  <c r="FD234" i="14608"/>
  <c r="FE234" i="14608"/>
  <c r="FF234" i="14608"/>
  <c r="FG234" i="14608"/>
  <c r="FH234" i="14608"/>
  <c r="FI234" i="14608"/>
  <c r="FJ234" i="14608"/>
  <c r="FK234" i="14608"/>
  <c r="FL234" i="14608"/>
  <c r="FM234" i="14608"/>
  <c r="FN234" i="14608"/>
  <c r="FO234" i="14608"/>
  <c r="FP234" i="14608"/>
  <c r="FQ234" i="14608"/>
  <c r="FR234" i="14608"/>
  <c r="FS234" i="14608"/>
  <c r="FT234" i="14608"/>
  <c r="FU234" i="14608"/>
  <c r="FV234" i="14608"/>
  <c r="FW234" i="14608"/>
  <c r="FX234" i="14608"/>
  <c r="FY234" i="14608"/>
  <c r="FZ234" i="14608"/>
  <c r="GA234" i="14608"/>
  <c r="GB234" i="14608"/>
  <c r="GC234" i="14608"/>
  <c r="GD234" i="14608"/>
  <c r="GE234" i="14608"/>
  <c r="GF234" i="14608"/>
  <c r="GG234" i="14608"/>
  <c r="GH234" i="14608"/>
  <c r="GI234" i="14608"/>
  <c r="GJ234" i="14608"/>
  <c r="GK234" i="14608"/>
  <c r="GL234" i="14608"/>
  <c r="GM234" i="14608"/>
  <c r="GN234" i="14608"/>
  <c r="GO234" i="14608"/>
  <c r="GP234" i="14608"/>
  <c r="GQ234" i="14608"/>
  <c r="GR234" i="14608"/>
  <c r="GS234" i="14608"/>
  <c r="GT234" i="14608"/>
  <c r="GU234" i="14608"/>
  <c r="GV234" i="14608"/>
  <c r="GW234" i="14608"/>
  <c r="GX234" i="14608"/>
  <c r="GY234" i="14608"/>
  <c r="GZ234" i="14608"/>
  <c r="HA234" i="14608"/>
  <c r="HB234" i="14608"/>
  <c r="HC234" i="14608"/>
  <c r="HD234" i="14608"/>
  <c r="HE234" i="14608"/>
  <c r="HF234" i="14608"/>
  <c r="HG234" i="14608"/>
  <c r="HH234" i="14608"/>
  <c r="HI234" i="14608"/>
  <c r="HJ234" i="14608"/>
  <c r="HK234" i="14608"/>
  <c r="HL234" i="14608"/>
  <c r="HM234" i="14608"/>
  <c r="HN234" i="14608"/>
  <c r="HO234" i="14608"/>
  <c r="HP234" i="14608"/>
  <c r="HQ234" i="14608"/>
  <c r="HR234" i="14608"/>
  <c r="HS234" i="14608"/>
  <c r="HT234" i="14608"/>
  <c r="HU234" i="14608"/>
  <c r="HV234" i="14608"/>
  <c r="HW234" i="14608"/>
  <c r="HX234" i="14608"/>
  <c r="HY234" i="14608"/>
  <c r="HZ234" i="14608"/>
  <c r="IA234" i="14608"/>
  <c r="IB234" i="14608"/>
  <c r="IC234" i="14608"/>
  <c r="ID234" i="14608"/>
  <c r="IE234" i="14608"/>
  <c r="IF234" i="14608"/>
  <c r="IG234" i="14608"/>
  <c r="IH234" i="14608"/>
  <c r="II234" i="14608"/>
  <c r="IJ234" i="14608"/>
  <c r="IK234" i="14608"/>
  <c r="IL234" i="14608"/>
  <c r="IM234" i="14608"/>
  <c r="IN234" i="14608"/>
  <c r="IO234" i="14608"/>
  <c r="IP234" i="14608"/>
  <c r="IQ234" i="14608"/>
  <c r="IR234" i="14608"/>
  <c r="IS234" i="14608"/>
  <c r="IT234" i="14608"/>
  <c r="IU234" i="14608"/>
  <c r="IV234" i="14608"/>
  <c r="A233" i="14608"/>
  <c r="B233" i="14608"/>
  <c r="C233" i="14608"/>
  <c r="D233" i="14608"/>
  <c r="E233" i="14608"/>
  <c r="F233" i="14608"/>
  <c r="G233" i="14608"/>
  <c r="H233" i="14608"/>
  <c r="I233" i="14608"/>
  <c r="J233" i="14608"/>
  <c r="K233" i="14608"/>
  <c r="L233" i="14608"/>
  <c r="M233" i="14608"/>
  <c r="N233" i="14608"/>
  <c r="O233" i="14608"/>
  <c r="P233" i="14608"/>
  <c r="Q233" i="14608"/>
  <c r="R233" i="14608"/>
  <c r="T233" i="14608"/>
  <c r="U233" i="14608"/>
  <c r="V233" i="14608"/>
  <c r="W233" i="14608"/>
  <c r="X233" i="14608"/>
  <c r="Y233" i="14608"/>
  <c r="Z233" i="14608"/>
  <c r="AA233" i="14608"/>
  <c r="AB233" i="14608"/>
  <c r="AC233" i="14608"/>
  <c r="AD233" i="14608"/>
  <c r="AE233" i="14608"/>
  <c r="AF233" i="14608"/>
  <c r="AG233" i="14608"/>
  <c r="AH233" i="14608"/>
  <c r="AI233" i="14608"/>
  <c r="AJ233" i="14608"/>
  <c r="AK233" i="14608"/>
  <c r="AL233" i="14608"/>
  <c r="AM233" i="14608"/>
  <c r="AN233" i="14608"/>
  <c r="AO233" i="14608"/>
  <c r="AP233" i="14608"/>
  <c r="AQ233" i="14608"/>
  <c r="AR233" i="14608"/>
  <c r="AS233" i="14608"/>
  <c r="AT233" i="14608"/>
  <c r="AU233" i="14608"/>
  <c r="AV233" i="14608"/>
  <c r="AW233" i="14608"/>
  <c r="AX233" i="14608"/>
  <c r="AY233" i="14608"/>
  <c r="AZ233" i="14608"/>
  <c r="BA233" i="14608"/>
  <c r="BB233" i="14608"/>
  <c r="BC233" i="14608"/>
  <c r="BD233" i="14608"/>
  <c r="BE233" i="14608"/>
  <c r="BF233" i="14608"/>
  <c r="BG233" i="14608"/>
  <c r="BH233" i="14608"/>
  <c r="BI233" i="14608"/>
  <c r="BJ233" i="14608"/>
  <c r="BK233" i="14608"/>
  <c r="BL233" i="14608"/>
  <c r="BM233" i="14608"/>
  <c r="BN233" i="14608"/>
  <c r="BO233" i="14608"/>
  <c r="BP233" i="14608"/>
  <c r="BQ233" i="14608"/>
  <c r="BR233" i="14608"/>
  <c r="BS233" i="14608"/>
  <c r="BT233" i="14608"/>
  <c r="BU233" i="14608"/>
  <c r="BV233" i="14608"/>
  <c r="BW233" i="14608"/>
  <c r="BX233" i="14608"/>
  <c r="BY233" i="14608"/>
  <c r="BZ233" i="14608"/>
  <c r="CA233" i="14608"/>
  <c r="CB233" i="14608"/>
  <c r="CC233" i="14608"/>
  <c r="CD233" i="14608"/>
  <c r="CE233" i="14608"/>
  <c r="CF233" i="14608"/>
  <c r="CG233" i="14608"/>
  <c r="CH233" i="14608"/>
  <c r="CI233" i="14608"/>
  <c r="CJ233" i="14608"/>
  <c r="CK233" i="14608"/>
  <c r="CL233" i="14608"/>
  <c r="CM233" i="14608"/>
  <c r="CN233" i="14608"/>
  <c r="CO233" i="14608"/>
  <c r="CP233" i="14608"/>
  <c r="CQ233" i="14608"/>
  <c r="CR233" i="14608"/>
  <c r="CS233" i="14608"/>
  <c r="CT233" i="14608"/>
  <c r="CU233" i="14608"/>
  <c r="CV233" i="14608"/>
  <c r="CW233" i="14608"/>
  <c r="CX233" i="14608"/>
  <c r="CY233" i="14608"/>
  <c r="CZ233" i="14608"/>
  <c r="DA233" i="14608"/>
  <c r="DB233" i="14608"/>
  <c r="DC233" i="14608"/>
  <c r="DD233" i="14608"/>
  <c r="DE233" i="14608"/>
  <c r="DF233" i="14608"/>
  <c r="DG233" i="14608"/>
  <c r="DH233" i="14608"/>
  <c r="DI233" i="14608"/>
  <c r="DJ233" i="14608"/>
  <c r="DK233" i="14608"/>
  <c r="DL233" i="14608"/>
  <c r="DM233" i="14608"/>
  <c r="DN233" i="14608"/>
  <c r="DO233" i="14608"/>
  <c r="DP233" i="14608"/>
  <c r="DQ233" i="14608"/>
  <c r="DR233" i="14608"/>
  <c r="DS233" i="14608"/>
  <c r="DT233" i="14608"/>
  <c r="DU233" i="14608"/>
  <c r="DV233" i="14608"/>
  <c r="DW233" i="14608"/>
  <c r="DX233" i="14608"/>
  <c r="DY233" i="14608"/>
  <c r="DZ233" i="14608"/>
  <c r="EA233" i="14608"/>
  <c r="EB233" i="14608"/>
  <c r="EC233" i="14608"/>
  <c r="ED233" i="14608"/>
  <c r="EE233" i="14608"/>
  <c r="EF233" i="14608"/>
  <c r="EG233" i="14608"/>
  <c r="EH233" i="14608"/>
  <c r="EI233" i="14608"/>
  <c r="EJ233" i="14608"/>
  <c r="EK233" i="14608"/>
  <c r="EL233" i="14608"/>
  <c r="EM233" i="14608"/>
  <c r="EN233" i="14608"/>
  <c r="EO233" i="14608"/>
  <c r="EP233" i="14608"/>
  <c r="EQ233" i="14608"/>
  <c r="ER233" i="14608"/>
  <c r="ES233" i="14608"/>
  <c r="ET233" i="14608"/>
  <c r="EU233" i="14608"/>
  <c r="EV233" i="14608"/>
  <c r="EW233" i="14608"/>
  <c r="EX233" i="14608"/>
  <c r="EY233" i="14608"/>
  <c r="EZ233" i="14608"/>
  <c r="FA233" i="14608"/>
  <c r="FB233" i="14608"/>
  <c r="FC233" i="14608"/>
  <c r="FD233" i="14608"/>
  <c r="FE233" i="14608"/>
  <c r="FF233" i="14608"/>
  <c r="FG233" i="14608"/>
  <c r="FH233" i="14608"/>
  <c r="FI233" i="14608"/>
  <c r="FJ233" i="14608"/>
  <c r="FK233" i="14608"/>
  <c r="FL233" i="14608"/>
  <c r="FM233" i="14608"/>
  <c r="FN233" i="14608"/>
  <c r="FO233" i="14608"/>
  <c r="FP233" i="14608"/>
  <c r="FQ233" i="14608"/>
  <c r="FR233" i="14608"/>
  <c r="FS233" i="14608"/>
  <c r="FT233" i="14608"/>
  <c r="FU233" i="14608"/>
  <c r="FV233" i="14608"/>
  <c r="FW233" i="14608"/>
  <c r="FX233" i="14608"/>
  <c r="FY233" i="14608"/>
  <c r="FZ233" i="14608"/>
  <c r="GA233" i="14608"/>
  <c r="GB233" i="14608"/>
  <c r="GC233" i="14608"/>
  <c r="GD233" i="14608"/>
  <c r="GE233" i="14608"/>
  <c r="GF233" i="14608"/>
  <c r="GG233" i="14608"/>
  <c r="GH233" i="14608"/>
  <c r="GI233" i="14608"/>
  <c r="GJ233" i="14608"/>
  <c r="GK233" i="14608"/>
  <c r="GL233" i="14608"/>
  <c r="GM233" i="14608"/>
  <c r="GN233" i="14608"/>
  <c r="GO233" i="14608"/>
  <c r="GP233" i="14608"/>
  <c r="GQ233" i="14608"/>
  <c r="GR233" i="14608"/>
  <c r="GS233" i="14608"/>
  <c r="GT233" i="14608"/>
  <c r="GU233" i="14608"/>
  <c r="GV233" i="14608"/>
  <c r="GW233" i="14608"/>
  <c r="GX233" i="14608"/>
  <c r="GY233" i="14608"/>
  <c r="GZ233" i="14608"/>
  <c r="HA233" i="14608"/>
  <c r="HB233" i="14608"/>
  <c r="HC233" i="14608"/>
  <c r="HD233" i="14608"/>
  <c r="HE233" i="14608"/>
  <c r="HF233" i="14608"/>
  <c r="HG233" i="14608"/>
  <c r="HH233" i="14608"/>
  <c r="HI233" i="14608"/>
  <c r="HJ233" i="14608"/>
  <c r="HK233" i="14608"/>
  <c r="HL233" i="14608"/>
  <c r="HM233" i="14608"/>
  <c r="HN233" i="14608"/>
  <c r="HO233" i="14608"/>
  <c r="HP233" i="14608"/>
  <c r="HQ233" i="14608"/>
  <c r="HR233" i="14608"/>
  <c r="HS233" i="14608"/>
  <c r="HT233" i="14608"/>
  <c r="HU233" i="14608"/>
  <c r="HV233" i="14608"/>
  <c r="HW233" i="14608"/>
  <c r="HX233" i="14608"/>
  <c r="HY233" i="14608"/>
  <c r="HZ233" i="14608"/>
  <c r="IA233" i="14608"/>
  <c r="IB233" i="14608"/>
  <c r="IC233" i="14608"/>
  <c r="ID233" i="14608"/>
  <c r="IE233" i="14608"/>
  <c r="IF233" i="14608"/>
  <c r="IG233" i="14608"/>
  <c r="IH233" i="14608"/>
  <c r="II233" i="14608"/>
  <c r="IJ233" i="14608"/>
  <c r="IK233" i="14608"/>
  <c r="IL233" i="14608"/>
  <c r="IM233" i="14608"/>
  <c r="IN233" i="14608"/>
  <c r="IO233" i="14608"/>
  <c r="IP233" i="14608"/>
  <c r="IQ233" i="14608"/>
  <c r="IR233" i="14608"/>
  <c r="IS233" i="14608"/>
  <c r="IT233" i="14608"/>
  <c r="IU233" i="14608"/>
  <c r="IV233" i="14608"/>
  <c r="A232" i="14608"/>
  <c r="B232" i="14608"/>
  <c r="C232" i="14608"/>
  <c r="D232" i="14608"/>
  <c r="E232" i="14608"/>
  <c r="F232" i="14608"/>
  <c r="G232" i="14608"/>
  <c r="H232" i="14608"/>
  <c r="I232" i="14608"/>
  <c r="J232" i="14608"/>
  <c r="K232" i="14608"/>
  <c r="L232" i="14608"/>
  <c r="M232" i="14608"/>
  <c r="N232" i="14608"/>
  <c r="O232" i="14608"/>
  <c r="P232" i="14608"/>
  <c r="Q232" i="14608"/>
  <c r="R232" i="14608"/>
  <c r="S232" i="14608"/>
  <c r="T232" i="14608"/>
  <c r="U232" i="14608"/>
  <c r="V232" i="14608"/>
  <c r="W232" i="14608"/>
  <c r="X232" i="14608"/>
  <c r="Y232" i="14608"/>
  <c r="Z232" i="14608"/>
  <c r="AA232" i="14608"/>
  <c r="AB232" i="14608"/>
  <c r="AC232" i="14608"/>
  <c r="AD232" i="14608"/>
  <c r="AE232" i="14608"/>
  <c r="AF232" i="14608"/>
  <c r="AG232" i="14608"/>
  <c r="AH232" i="14608"/>
  <c r="AI232" i="14608"/>
  <c r="AJ232" i="14608"/>
  <c r="AK232" i="14608"/>
  <c r="AL232" i="14608"/>
  <c r="AM232" i="14608"/>
  <c r="AN232" i="14608"/>
  <c r="AO232" i="14608"/>
  <c r="AP232" i="14608"/>
  <c r="AQ232" i="14608"/>
  <c r="AR232" i="14608"/>
  <c r="AS232" i="14608"/>
  <c r="AT232" i="14608"/>
  <c r="AU232" i="14608"/>
  <c r="AV232" i="14608"/>
  <c r="AW232" i="14608"/>
  <c r="AX232" i="14608"/>
  <c r="AY232" i="14608"/>
  <c r="AZ232" i="14608"/>
  <c r="BA232" i="14608"/>
  <c r="BB232" i="14608"/>
  <c r="BC232" i="14608"/>
  <c r="BD232" i="14608"/>
  <c r="BE232" i="14608"/>
  <c r="BF232" i="14608"/>
  <c r="BG232" i="14608"/>
  <c r="BH232" i="14608"/>
  <c r="BI232" i="14608"/>
  <c r="BJ232" i="14608"/>
  <c r="BK232" i="14608"/>
  <c r="BL232" i="14608"/>
  <c r="BM232" i="14608"/>
  <c r="BN232" i="14608"/>
  <c r="BO232" i="14608"/>
  <c r="BP232" i="14608"/>
  <c r="BQ232" i="14608"/>
  <c r="BR232" i="14608"/>
  <c r="BS232" i="14608"/>
  <c r="BT232" i="14608"/>
  <c r="BU232" i="14608"/>
  <c r="BV232" i="14608"/>
  <c r="BW232" i="14608"/>
  <c r="BX232" i="14608"/>
  <c r="BY232" i="14608"/>
  <c r="BZ232" i="14608"/>
  <c r="CA232" i="14608"/>
  <c r="CB232" i="14608"/>
  <c r="CC232" i="14608"/>
  <c r="CD232" i="14608"/>
  <c r="CE232" i="14608"/>
  <c r="CF232" i="14608"/>
  <c r="CG232" i="14608"/>
  <c r="CH232" i="14608"/>
  <c r="CI232" i="14608"/>
  <c r="CJ232" i="14608"/>
  <c r="CK232" i="14608"/>
  <c r="CL232" i="14608"/>
  <c r="CM232" i="14608"/>
  <c r="CN232" i="14608"/>
  <c r="CO232" i="14608"/>
  <c r="CP232" i="14608"/>
  <c r="CQ232" i="14608"/>
  <c r="CR232" i="14608"/>
  <c r="CS232" i="14608"/>
  <c r="CT232" i="14608"/>
  <c r="CU232" i="14608"/>
  <c r="CV232" i="14608"/>
  <c r="CW232" i="14608"/>
  <c r="CX232" i="14608"/>
  <c r="CY232" i="14608"/>
  <c r="CZ232" i="14608"/>
  <c r="DA232" i="14608"/>
  <c r="DB232" i="14608"/>
  <c r="DC232" i="14608"/>
  <c r="DD232" i="14608"/>
  <c r="DE232" i="14608"/>
  <c r="DF232" i="14608"/>
  <c r="DG232" i="14608"/>
  <c r="DH232" i="14608"/>
  <c r="DI232" i="14608"/>
  <c r="DJ232" i="14608"/>
  <c r="DK232" i="14608"/>
  <c r="DL232" i="14608"/>
  <c r="DM232" i="14608"/>
  <c r="DN232" i="14608"/>
  <c r="DO232" i="14608"/>
  <c r="DP232" i="14608"/>
  <c r="DQ232" i="14608"/>
  <c r="DR232" i="14608"/>
  <c r="DS232" i="14608"/>
  <c r="DT232" i="14608"/>
  <c r="DU232" i="14608"/>
  <c r="DV232" i="14608"/>
  <c r="DW232" i="14608"/>
  <c r="DX232" i="14608"/>
  <c r="DY232" i="14608"/>
  <c r="DZ232" i="14608"/>
  <c r="EA232" i="14608"/>
  <c r="EB232" i="14608"/>
  <c r="EC232" i="14608"/>
  <c r="ED232" i="14608"/>
  <c r="EE232" i="14608"/>
  <c r="EF232" i="14608"/>
  <c r="EG232" i="14608"/>
  <c r="EH232" i="14608"/>
  <c r="EI232" i="14608"/>
  <c r="EJ232" i="14608"/>
  <c r="EK232" i="14608"/>
  <c r="EL232" i="14608"/>
  <c r="EM232" i="14608"/>
  <c r="EN232" i="14608"/>
  <c r="EO232" i="14608"/>
  <c r="EP232" i="14608"/>
  <c r="EQ232" i="14608"/>
  <c r="ER232" i="14608"/>
  <c r="ES232" i="14608"/>
  <c r="ET232" i="14608"/>
  <c r="EU232" i="14608"/>
  <c r="EV232" i="14608"/>
  <c r="EW232" i="14608"/>
  <c r="EX232" i="14608"/>
  <c r="EY232" i="14608"/>
  <c r="EZ232" i="14608"/>
  <c r="FA232" i="14608"/>
  <c r="FB232" i="14608"/>
  <c r="FC232" i="14608"/>
  <c r="FD232" i="14608"/>
  <c r="FE232" i="14608"/>
  <c r="FF232" i="14608"/>
  <c r="FG232" i="14608"/>
  <c r="FH232" i="14608"/>
  <c r="FI232" i="14608"/>
  <c r="FJ232" i="14608"/>
  <c r="FK232" i="14608"/>
  <c r="FL232" i="14608"/>
  <c r="FM232" i="14608"/>
  <c r="FN232" i="14608"/>
  <c r="FO232" i="14608"/>
  <c r="FP232" i="14608"/>
  <c r="FQ232" i="14608"/>
  <c r="FR232" i="14608"/>
  <c r="FS232" i="14608"/>
  <c r="FT232" i="14608"/>
  <c r="FU232" i="14608"/>
  <c r="FV232" i="14608"/>
  <c r="FW232" i="14608"/>
  <c r="FX232" i="14608"/>
  <c r="FY232" i="14608"/>
  <c r="FZ232" i="14608"/>
  <c r="GA232" i="14608"/>
  <c r="GB232" i="14608"/>
  <c r="GC232" i="14608"/>
  <c r="GD232" i="14608"/>
  <c r="GE232" i="14608"/>
  <c r="GF232" i="14608"/>
  <c r="GG232" i="14608"/>
  <c r="GH232" i="14608"/>
  <c r="GI232" i="14608"/>
  <c r="GJ232" i="14608"/>
  <c r="GK232" i="14608"/>
  <c r="GL232" i="14608"/>
  <c r="GM232" i="14608"/>
  <c r="GN232" i="14608"/>
  <c r="GO232" i="14608"/>
  <c r="GP232" i="14608"/>
  <c r="GQ232" i="14608"/>
  <c r="GR232" i="14608"/>
  <c r="GS232" i="14608"/>
  <c r="GT232" i="14608"/>
  <c r="GU232" i="14608"/>
  <c r="GV232" i="14608"/>
  <c r="GW232" i="14608"/>
  <c r="GX232" i="14608"/>
  <c r="GY232" i="14608"/>
  <c r="GZ232" i="14608"/>
  <c r="HA232" i="14608"/>
  <c r="HB232" i="14608"/>
  <c r="HC232" i="14608"/>
  <c r="HD232" i="14608"/>
  <c r="HG232" i="14608"/>
  <c r="HH232" i="14608"/>
  <c r="HI232" i="14608"/>
  <c r="HJ232" i="14608"/>
  <c r="HK232" i="14608"/>
  <c r="HL232" i="14608"/>
  <c r="HM232" i="14608"/>
  <c r="HN232" i="14608"/>
  <c r="HO232" i="14608"/>
  <c r="HP232" i="14608"/>
  <c r="HQ232" i="14608"/>
  <c r="HR232" i="14608"/>
  <c r="HS232" i="14608"/>
  <c r="HT232" i="14608"/>
  <c r="HU232" i="14608"/>
  <c r="HV232" i="14608"/>
  <c r="HW232" i="14608"/>
  <c r="HX232" i="14608"/>
  <c r="HY232" i="14608"/>
  <c r="HZ232" i="14608"/>
  <c r="IA232" i="14608"/>
  <c r="IB232" i="14608"/>
  <c r="IC232" i="14608"/>
  <c r="ID232" i="14608"/>
  <c r="IE232" i="14608"/>
  <c r="IF232" i="14608"/>
  <c r="IG232" i="14608"/>
  <c r="IH232" i="14608"/>
  <c r="II232" i="14608"/>
  <c r="IJ232" i="14608"/>
  <c r="IK232" i="14608"/>
  <c r="IL232" i="14608"/>
  <c r="IM232" i="14608"/>
  <c r="IN232" i="14608"/>
  <c r="IO232" i="14608"/>
  <c r="IP232" i="14608"/>
  <c r="IQ232" i="14608"/>
  <c r="IR232" i="14608"/>
  <c r="IV232" i="14608"/>
  <c r="A231" i="14608"/>
  <c r="B231" i="14608"/>
  <c r="C231" i="14608"/>
  <c r="D231" i="14608"/>
  <c r="E231" i="14608"/>
  <c r="F231" i="14608"/>
  <c r="G231" i="14608"/>
  <c r="H231" i="14608"/>
  <c r="I231" i="14608"/>
  <c r="J231" i="14608"/>
  <c r="K231" i="14608"/>
  <c r="L231" i="14608"/>
  <c r="M231" i="14608"/>
  <c r="N231" i="14608"/>
  <c r="O231" i="14608"/>
  <c r="P231" i="14608"/>
  <c r="Q231" i="14608"/>
  <c r="R231" i="14608"/>
  <c r="S231" i="14608"/>
  <c r="T231" i="14608"/>
  <c r="U231" i="14608"/>
  <c r="V231" i="14608"/>
  <c r="W231" i="14608"/>
  <c r="X231" i="14608"/>
  <c r="Y231" i="14608"/>
  <c r="Z231" i="14608"/>
  <c r="AA231" i="14608"/>
  <c r="AB231" i="14608"/>
  <c r="AC231" i="14608"/>
  <c r="AD231" i="14608"/>
  <c r="AE231" i="14608"/>
  <c r="AF231" i="14608"/>
  <c r="AG231" i="14608"/>
  <c r="AH231" i="14608"/>
  <c r="AI231" i="14608"/>
  <c r="AJ231" i="14608"/>
  <c r="AK231" i="14608"/>
  <c r="AL231" i="14608"/>
  <c r="AM231" i="14608"/>
  <c r="AN231" i="14608"/>
  <c r="AO231" i="14608"/>
  <c r="AP231" i="14608"/>
  <c r="AQ231" i="14608"/>
  <c r="AR231" i="14608"/>
  <c r="AS231" i="14608"/>
  <c r="AT231" i="14608"/>
  <c r="AU231" i="14608"/>
  <c r="AV231" i="14608"/>
  <c r="AW231" i="14608"/>
  <c r="AX231" i="14608"/>
  <c r="AY231" i="14608"/>
  <c r="AZ231" i="14608"/>
  <c r="BA231" i="14608"/>
  <c r="BB231" i="14608"/>
  <c r="BC231" i="14608"/>
  <c r="BD231" i="14608"/>
  <c r="BE231" i="14608"/>
  <c r="BF231" i="14608"/>
  <c r="BG231" i="14608"/>
  <c r="BH231" i="14608"/>
  <c r="BI231" i="14608"/>
  <c r="BJ231" i="14608"/>
  <c r="BK231" i="14608"/>
  <c r="BL231" i="14608"/>
  <c r="BM231" i="14608"/>
  <c r="BN231" i="14608"/>
  <c r="BO231" i="14608"/>
  <c r="BP231" i="14608"/>
  <c r="BQ231" i="14608"/>
  <c r="BR231" i="14608"/>
  <c r="BS231" i="14608"/>
  <c r="BT231" i="14608"/>
  <c r="BU231" i="14608"/>
  <c r="BV231" i="14608"/>
  <c r="BW231" i="14608"/>
  <c r="BX231" i="14608"/>
  <c r="BY231" i="14608"/>
  <c r="BZ231" i="14608"/>
  <c r="CA231" i="14608"/>
  <c r="CB231" i="14608"/>
  <c r="CC231" i="14608"/>
  <c r="CD231" i="14608"/>
  <c r="CE231" i="14608"/>
  <c r="CF231" i="14608"/>
  <c r="CG231" i="14608"/>
  <c r="CH231" i="14608"/>
  <c r="CI231" i="14608"/>
  <c r="CJ231" i="14608"/>
  <c r="CK231" i="14608"/>
  <c r="CL231" i="14608"/>
  <c r="CM231" i="14608"/>
  <c r="CN231" i="14608"/>
  <c r="CO231" i="14608"/>
  <c r="CP231" i="14608"/>
  <c r="CQ231" i="14608"/>
  <c r="CR231" i="14608"/>
  <c r="CS231" i="14608"/>
  <c r="CT231" i="14608"/>
  <c r="CU231" i="14608"/>
  <c r="CV231" i="14608"/>
  <c r="CW231" i="14608"/>
  <c r="CX231" i="14608"/>
  <c r="CY231" i="14608"/>
  <c r="CZ231" i="14608"/>
  <c r="DA231" i="14608"/>
  <c r="DB231" i="14608"/>
  <c r="DC231" i="14608"/>
  <c r="DD231" i="14608"/>
  <c r="DE231" i="14608"/>
  <c r="DF231" i="14608"/>
  <c r="DG231" i="14608"/>
  <c r="DH231" i="14608"/>
  <c r="DI231" i="14608"/>
  <c r="DJ231" i="14608"/>
  <c r="DK231" i="14608"/>
  <c r="DL231" i="14608"/>
  <c r="DM231" i="14608"/>
  <c r="DN231" i="14608"/>
  <c r="DO231" i="14608"/>
  <c r="DP231" i="14608"/>
  <c r="DQ231" i="14608"/>
  <c r="DR231" i="14608"/>
  <c r="DS231" i="14608"/>
  <c r="DT231" i="14608"/>
  <c r="DU231" i="14608"/>
  <c r="DV231" i="14608"/>
  <c r="DW231" i="14608"/>
  <c r="DX231" i="14608"/>
  <c r="DY231" i="14608"/>
  <c r="DZ231" i="14608"/>
  <c r="EA231" i="14608"/>
  <c r="EB231" i="14608"/>
  <c r="EC231" i="14608"/>
  <c r="ED231" i="14608"/>
  <c r="EE231" i="14608"/>
  <c r="EF231" i="14608"/>
  <c r="EG231" i="14608"/>
  <c r="EH231" i="14608"/>
  <c r="EI231" i="14608"/>
  <c r="EJ231" i="14608"/>
  <c r="EK231" i="14608"/>
  <c r="EL231" i="14608"/>
  <c r="EM231" i="14608"/>
  <c r="EN231" i="14608"/>
  <c r="EO231" i="14608"/>
  <c r="EP231" i="14608"/>
  <c r="EQ231" i="14608"/>
  <c r="ER231" i="14608"/>
  <c r="ES231" i="14608"/>
  <c r="ET231" i="14608"/>
  <c r="EU231" i="14608"/>
  <c r="EV231" i="14608"/>
  <c r="EW231" i="14608"/>
  <c r="EX231" i="14608"/>
  <c r="EY231" i="14608"/>
  <c r="EZ231" i="14608"/>
  <c r="FA231" i="14608"/>
  <c r="FB231" i="14608"/>
  <c r="FC231" i="14608"/>
  <c r="FD231" i="14608"/>
  <c r="FE231" i="14608"/>
  <c r="FF231" i="14608"/>
  <c r="FG231" i="14608"/>
  <c r="FH231" i="14608"/>
  <c r="FI231" i="14608"/>
  <c r="FJ231" i="14608"/>
  <c r="FK231" i="14608"/>
  <c r="FL231" i="14608"/>
  <c r="FM231" i="14608"/>
  <c r="FN231" i="14608"/>
  <c r="FO231" i="14608"/>
  <c r="FP231" i="14608"/>
  <c r="FQ231" i="14608"/>
  <c r="FR231" i="14608"/>
  <c r="FS231" i="14608"/>
  <c r="FT231" i="14608"/>
  <c r="FU231" i="14608"/>
  <c r="FV231" i="14608"/>
  <c r="FW231" i="14608"/>
  <c r="FX231" i="14608"/>
  <c r="FY231" i="14608"/>
  <c r="FZ231" i="14608"/>
  <c r="GA231" i="14608"/>
  <c r="GB231" i="14608"/>
  <c r="GC231" i="14608"/>
  <c r="GD231" i="14608"/>
  <c r="GE231" i="14608"/>
  <c r="GF231" i="14608"/>
  <c r="GG231" i="14608"/>
  <c r="GH231" i="14608"/>
  <c r="GI231" i="14608"/>
  <c r="GJ231" i="14608"/>
  <c r="GK231" i="14608"/>
  <c r="GL231" i="14608"/>
  <c r="GM231" i="14608"/>
  <c r="GN231" i="14608"/>
  <c r="GO231" i="14608"/>
  <c r="GP231" i="14608"/>
  <c r="GQ231" i="14608"/>
  <c r="GR231" i="14608"/>
  <c r="GS231" i="14608"/>
  <c r="GT231" i="14608"/>
  <c r="GU231" i="14608"/>
  <c r="GV231" i="14608"/>
  <c r="GW231" i="14608"/>
  <c r="GX231" i="14608"/>
  <c r="GY231" i="14608"/>
  <c r="GZ231" i="14608"/>
  <c r="HA231" i="14608"/>
  <c r="HB231" i="14608"/>
  <c r="HC231" i="14608"/>
  <c r="HD231" i="14608"/>
  <c r="HE231" i="14608"/>
  <c r="HF231" i="14608"/>
  <c r="HG231" i="14608"/>
  <c r="HH231" i="14608"/>
  <c r="HI231" i="14608"/>
  <c r="HJ231" i="14608"/>
  <c r="HK231" i="14608"/>
  <c r="HL231" i="14608"/>
  <c r="HM231" i="14608"/>
  <c r="HN231" i="14608"/>
  <c r="HO231" i="14608"/>
  <c r="HP231" i="14608"/>
  <c r="HQ231" i="14608"/>
  <c r="HR231" i="14608"/>
  <c r="HS231" i="14608"/>
  <c r="HT231" i="14608"/>
  <c r="HU231" i="14608"/>
  <c r="HV231" i="14608"/>
  <c r="HW231" i="14608"/>
  <c r="HX231" i="14608"/>
  <c r="HY231" i="14608"/>
  <c r="HZ231" i="14608"/>
  <c r="IA231" i="14608"/>
  <c r="IB231" i="14608"/>
  <c r="IC231" i="14608"/>
  <c r="ID231" i="14608"/>
  <c r="IE231" i="14608"/>
  <c r="IF231" i="14608"/>
  <c r="IG231" i="14608"/>
  <c r="IH231" i="14608"/>
  <c r="II231" i="14608"/>
  <c r="IJ231" i="14608"/>
  <c r="IK231" i="14608"/>
  <c r="IL231" i="14608"/>
  <c r="IM231" i="14608"/>
  <c r="IN231" i="14608"/>
  <c r="IO231" i="14608"/>
  <c r="IP231" i="14608"/>
  <c r="IQ231" i="14608"/>
  <c r="IR231" i="14608"/>
  <c r="IS231" i="14608"/>
  <c r="IT231" i="14608"/>
  <c r="IU231" i="14608"/>
  <c r="IV231" i="14608"/>
  <c r="A230" i="14608"/>
  <c r="B230" i="14608"/>
  <c r="C230" i="14608"/>
  <c r="D230" i="14608"/>
  <c r="E230" i="14608"/>
  <c r="F230" i="14608"/>
  <c r="G230" i="14608"/>
  <c r="H230" i="14608"/>
  <c r="I230" i="14608"/>
  <c r="J230" i="14608"/>
  <c r="K230" i="14608"/>
  <c r="L230" i="14608"/>
  <c r="M230" i="14608"/>
  <c r="N230" i="14608"/>
  <c r="O230" i="14608"/>
  <c r="P230" i="14608"/>
  <c r="Q230" i="14608"/>
  <c r="R230" i="14608"/>
  <c r="S230" i="14608"/>
  <c r="T230" i="14608"/>
  <c r="U230" i="14608"/>
  <c r="V230" i="14608"/>
  <c r="W230" i="14608"/>
  <c r="X230" i="14608"/>
  <c r="Y230" i="14608"/>
  <c r="Z230" i="14608"/>
  <c r="AA230" i="14608"/>
  <c r="AB230" i="14608"/>
  <c r="AC230" i="14608"/>
  <c r="AD230" i="14608"/>
  <c r="AE230" i="14608"/>
  <c r="AF230" i="14608"/>
  <c r="AG230" i="14608"/>
  <c r="AH230" i="14608"/>
  <c r="AI230" i="14608"/>
  <c r="AJ230" i="14608"/>
  <c r="AK230" i="14608"/>
  <c r="AL230" i="14608"/>
  <c r="AM230" i="14608"/>
  <c r="AN230" i="14608"/>
  <c r="AO230" i="14608"/>
  <c r="AP230" i="14608"/>
  <c r="AQ230" i="14608"/>
  <c r="AR230" i="14608"/>
  <c r="AS230" i="14608"/>
  <c r="AT230" i="14608"/>
  <c r="AU230" i="14608"/>
  <c r="AV230" i="14608"/>
  <c r="AW230" i="14608"/>
  <c r="AX230" i="14608"/>
  <c r="AY230" i="14608"/>
  <c r="AZ230" i="14608"/>
  <c r="BA230" i="14608"/>
  <c r="BB230" i="14608"/>
  <c r="BC230" i="14608"/>
  <c r="BD230" i="14608"/>
  <c r="BE230" i="14608"/>
  <c r="BF230" i="14608"/>
  <c r="BG230" i="14608"/>
  <c r="BH230" i="14608"/>
  <c r="BI230" i="14608"/>
  <c r="BJ230" i="14608"/>
  <c r="BK230" i="14608"/>
  <c r="BL230" i="14608"/>
  <c r="BM230" i="14608"/>
  <c r="BN230" i="14608"/>
  <c r="BO230" i="14608"/>
  <c r="BP230" i="14608"/>
  <c r="BQ230" i="14608"/>
  <c r="BR230" i="14608"/>
  <c r="BS230" i="14608"/>
  <c r="BT230" i="14608"/>
  <c r="BU230" i="14608"/>
  <c r="BV230" i="14608"/>
  <c r="BW230" i="14608"/>
  <c r="BX230" i="14608"/>
  <c r="BY230" i="14608"/>
  <c r="BZ230" i="14608"/>
  <c r="CA230" i="14608"/>
  <c r="CB230" i="14608"/>
  <c r="CC230" i="14608"/>
  <c r="CD230" i="14608"/>
  <c r="CE230" i="14608"/>
  <c r="CF230" i="14608"/>
  <c r="CG230" i="14608"/>
  <c r="CH230" i="14608"/>
  <c r="CI230" i="14608"/>
  <c r="CJ230" i="14608"/>
  <c r="CK230" i="14608"/>
  <c r="CL230" i="14608"/>
  <c r="CM230" i="14608"/>
  <c r="CN230" i="14608"/>
  <c r="CO230" i="14608"/>
  <c r="CP230" i="14608"/>
  <c r="CQ230" i="14608"/>
  <c r="CR230" i="14608"/>
  <c r="CS230" i="14608"/>
  <c r="CT230" i="14608"/>
  <c r="CU230" i="14608"/>
  <c r="CV230" i="14608"/>
  <c r="CW230" i="14608"/>
  <c r="CX230" i="14608"/>
  <c r="CY230" i="14608"/>
  <c r="CZ230" i="14608"/>
  <c r="DA230" i="14608"/>
  <c r="DB230" i="14608"/>
  <c r="DC230" i="14608"/>
  <c r="DD230" i="14608"/>
  <c r="DE230" i="14608"/>
  <c r="DF230" i="14608"/>
  <c r="DG230" i="14608"/>
  <c r="DH230" i="14608"/>
  <c r="DI230" i="14608"/>
  <c r="DJ230" i="14608"/>
  <c r="DK230" i="14608"/>
  <c r="DL230" i="14608"/>
  <c r="DM230" i="14608"/>
  <c r="DN230" i="14608"/>
  <c r="DO230" i="14608"/>
  <c r="DP230" i="14608"/>
  <c r="DQ230" i="14608"/>
  <c r="DR230" i="14608"/>
  <c r="DS230" i="14608"/>
  <c r="DT230" i="14608"/>
  <c r="DU230" i="14608"/>
  <c r="DV230" i="14608"/>
  <c r="DW230" i="14608"/>
  <c r="DX230" i="14608"/>
  <c r="DY230" i="14608"/>
  <c r="DZ230" i="14608"/>
  <c r="EA230" i="14608"/>
  <c r="EB230" i="14608"/>
  <c r="EC230" i="14608"/>
  <c r="ED230" i="14608"/>
  <c r="EE230" i="14608"/>
  <c r="EF230" i="14608"/>
  <c r="EG230" i="14608"/>
  <c r="EH230" i="14608"/>
  <c r="EI230" i="14608"/>
  <c r="EJ230" i="14608"/>
  <c r="EK230" i="14608"/>
  <c r="EL230" i="14608"/>
  <c r="EM230" i="14608"/>
  <c r="EN230" i="14608"/>
  <c r="EO230" i="14608"/>
  <c r="EP230" i="14608"/>
  <c r="EQ230" i="14608"/>
  <c r="ER230" i="14608"/>
  <c r="ES230" i="14608"/>
  <c r="ET230" i="14608"/>
  <c r="EU230" i="14608"/>
  <c r="EV230" i="14608"/>
  <c r="EW230" i="14608"/>
  <c r="EX230" i="14608"/>
  <c r="EY230" i="14608"/>
  <c r="EZ230" i="14608"/>
  <c r="FA230" i="14608"/>
  <c r="FB230" i="14608"/>
  <c r="FC230" i="14608"/>
  <c r="FD230" i="14608"/>
  <c r="FE230" i="14608"/>
  <c r="FF230" i="14608"/>
  <c r="FG230" i="14608"/>
  <c r="FH230" i="14608"/>
  <c r="FI230" i="14608"/>
  <c r="FJ230" i="14608"/>
  <c r="FK230" i="14608"/>
  <c r="FL230" i="14608"/>
  <c r="FM230" i="14608"/>
  <c r="FN230" i="14608"/>
  <c r="FO230" i="14608"/>
  <c r="FP230" i="14608"/>
  <c r="FQ230" i="14608"/>
  <c r="FR230" i="14608"/>
  <c r="FS230" i="14608"/>
  <c r="FT230" i="14608"/>
  <c r="FU230" i="14608"/>
  <c r="FV230" i="14608"/>
  <c r="FW230" i="14608"/>
  <c r="FX230" i="14608"/>
  <c r="FY230" i="14608"/>
  <c r="FZ230" i="14608"/>
  <c r="GA230" i="14608"/>
  <c r="GB230" i="14608"/>
  <c r="GC230" i="14608"/>
  <c r="GD230" i="14608"/>
  <c r="GE230" i="14608"/>
  <c r="GF230" i="14608"/>
  <c r="GG230" i="14608"/>
  <c r="GH230" i="14608"/>
  <c r="GI230" i="14608"/>
  <c r="GJ230" i="14608"/>
  <c r="GK230" i="14608"/>
  <c r="GL230" i="14608"/>
  <c r="GM230" i="14608"/>
  <c r="GN230" i="14608"/>
  <c r="GO230" i="14608"/>
  <c r="GP230" i="14608"/>
  <c r="GQ230" i="14608"/>
  <c r="GR230" i="14608"/>
  <c r="GS230" i="14608"/>
  <c r="GT230" i="14608"/>
  <c r="GU230" i="14608"/>
  <c r="GV230" i="14608"/>
  <c r="GW230" i="14608"/>
  <c r="GX230" i="14608"/>
  <c r="GY230" i="14608"/>
  <c r="GZ230" i="14608"/>
  <c r="HA230" i="14608"/>
  <c r="HB230" i="14608"/>
  <c r="HC230" i="14608"/>
  <c r="HD230" i="14608"/>
  <c r="HE230" i="14608"/>
  <c r="HF230" i="14608"/>
  <c r="HG230" i="14608"/>
  <c r="HH230" i="14608"/>
  <c r="HI230" i="14608"/>
  <c r="HJ230" i="14608"/>
  <c r="HK230" i="14608"/>
  <c r="HL230" i="14608"/>
  <c r="HM230" i="14608"/>
  <c r="HN230" i="14608"/>
  <c r="HO230" i="14608"/>
  <c r="HP230" i="14608"/>
  <c r="HQ230" i="14608"/>
  <c r="HR230" i="14608"/>
  <c r="HS230" i="14608"/>
  <c r="HT230" i="14608"/>
  <c r="HU230" i="14608"/>
  <c r="HV230" i="14608"/>
  <c r="HW230" i="14608"/>
  <c r="HX230" i="14608"/>
  <c r="HY230" i="14608"/>
  <c r="HZ230" i="14608"/>
  <c r="IA230" i="14608"/>
  <c r="IB230" i="14608"/>
  <c r="IC230" i="14608"/>
  <c r="ID230" i="14608"/>
  <c r="IE230" i="14608"/>
  <c r="IF230" i="14608"/>
  <c r="IG230" i="14608"/>
  <c r="IH230" i="14608"/>
  <c r="II230" i="14608"/>
  <c r="IJ230" i="14608"/>
  <c r="IK230" i="14608"/>
  <c r="IL230" i="14608"/>
  <c r="IM230" i="14608"/>
  <c r="IN230" i="14608"/>
  <c r="IO230" i="14608"/>
  <c r="IP230" i="14608"/>
  <c r="IQ230" i="14608"/>
  <c r="IR230" i="14608"/>
  <c r="IS230" i="14608"/>
  <c r="IT230" i="14608"/>
  <c r="IU230" i="14608"/>
  <c r="IV230" i="14608"/>
  <c r="A229" i="14608"/>
  <c r="B229" i="14608"/>
  <c r="C229" i="14608"/>
  <c r="D229" i="14608"/>
  <c r="E229" i="14608"/>
  <c r="F229" i="14608"/>
  <c r="G229" i="14608"/>
  <c r="H229" i="14608"/>
  <c r="I229" i="14608"/>
  <c r="J229" i="14608"/>
  <c r="K229" i="14608"/>
  <c r="L229" i="14608"/>
  <c r="M229" i="14608"/>
  <c r="N229" i="14608"/>
  <c r="O229" i="14608"/>
  <c r="P229" i="14608"/>
  <c r="Q229" i="14608"/>
  <c r="R229" i="14608"/>
  <c r="S229" i="14608"/>
  <c r="T229" i="14608"/>
  <c r="U229" i="14608"/>
  <c r="V229" i="14608"/>
  <c r="W229" i="14608"/>
  <c r="X229" i="14608"/>
  <c r="Y229" i="14608"/>
  <c r="Z229" i="14608"/>
  <c r="AA229" i="14608"/>
  <c r="AB229" i="14608"/>
  <c r="AC229" i="14608"/>
  <c r="AD229" i="14608"/>
  <c r="AE229" i="14608"/>
  <c r="AF229" i="14608"/>
  <c r="AG229" i="14608"/>
  <c r="AH229" i="14608"/>
  <c r="AI229" i="14608"/>
  <c r="AJ229" i="14608"/>
  <c r="AK229" i="14608"/>
  <c r="AL229" i="14608"/>
  <c r="AM229" i="14608"/>
  <c r="AN229" i="14608"/>
  <c r="AO229" i="14608"/>
  <c r="AP229" i="14608"/>
  <c r="AQ229" i="14608"/>
  <c r="AR229" i="14608"/>
  <c r="AS229" i="14608"/>
  <c r="AT229" i="14608"/>
  <c r="AU229" i="14608"/>
  <c r="AV229" i="14608"/>
  <c r="AW229" i="14608"/>
  <c r="AX229" i="14608"/>
  <c r="AY229" i="14608"/>
  <c r="AZ229" i="14608"/>
  <c r="BA229" i="14608"/>
  <c r="BB229" i="14608"/>
  <c r="BC229" i="14608"/>
  <c r="BD229" i="14608"/>
  <c r="BE229" i="14608"/>
  <c r="BF229" i="14608"/>
  <c r="BG229" i="14608"/>
  <c r="BH229" i="14608"/>
  <c r="BI229" i="14608"/>
  <c r="BJ229" i="14608"/>
  <c r="BK229" i="14608"/>
  <c r="BL229" i="14608"/>
  <c r="BM229" i="14608"/>
  <c r="BN229" i="14608"/>
  <c r="BO229" i="14608"/>
  <c r="BP229" i="14608"/>
  <c r="BQ229" i="14608"/>
  <c r="BR229" i="14608"/>
  <c r="BS229" i="14608"/>
  <c r="BT229" i="14608"/>
  <c r="BU229" i="14608"/>
  <c r="BV229" i="14608"/>
  <c r="BW229" i="14608"/>
  <c r="BX229" i="14608"/>
  <c r="BY229" i="14608"/>
  <c r="BZ229" i="14608"/>
  <c r="CA229" i="14608"/>
  <c r="CB229" i="14608"/>
  <c r="CC229" i="14608"/>
  <c r="CD229" i="14608"/>
  <c r="CE229" i="14608"/>
  <c r="CF229" i="14608"/>
  <c r="CG229" i="14608"/>
  <c r="CH229" i="14608"/>
  <c r="CI229" i="14608"/>
  <c r="CJ229" i="14608"/>
  <c r="CK229" i="14608"/>
  <c r="CL229" i="14608"/>
  <c r="CM229" i="14608"/>
  <c r="CN229" i="14608"/>
  <c r="CO229" i="14608"/>
  <c r="CP229" i="14608"/>
  <c r="CQ229" i="14608"/>
  <c r="CR229" i="14608"/>
  <c r="CS229" i="14608"/>
  <c r="CT229" i="14608"/>
  <c r="CU229" i="14608"/>
  <c r="CV229" i="14608"/>
  <c r="CW229" i="14608"/>
  <c r="CX229" i="14608"/>
  <c r="CY229" i="14608"/>
  <c r="CZ229" i="14608"/>
  <c r="DA229" i="14608"/>
  <c r="DB229" i="14608"/>
  <c r="DC229" i="14608"/>
  <c r="DD229" i="14608"/>
  <c r="DE229" i="14608"/>
  <c r="DF229" i="14608"/>
  <c r="DG229" i="14608"/>
  <c r="DH229" i="14608"/>
  <c r="DI229" i="14608"/>
  <c r="DJ229" i="14608"/>
  <c r="DK229" i="14608"/>
  <c r="DL229" i="14608"/>
  <c r="DM229" i="14608"/>
  <c r="DN229" i="14608"/>
  <c r="DO229" i="14608"/>
  <c r="DP229" i="14608"/>
  <c r="DQ229" i="14608"/>
  <c r="DR229" i="14608"/>
  <c r="DS229" i="14608"/>
  <c r="DT229" i="14608"/>
  <c r="DU229" i="14608"/>
  <c r="DV229" i="14608"/>
  <c r="DW229" i="14608"/>
  <c r="DX229" i="14608"/>
  <c r="DY229" i="14608"/>
  <c r="DZ229" i="14608"/>
  <c r="EA229" i="14608"/>
  <c r="EB229" i="14608"/>
  <c r="EC229" i="14608"/>
  <c r="ED229" i="14608"/>
  <c r="EE229" i="14608"/>
  <c r="EF229" i="14608"/>
  <c r="EG229" i="14608"/>
  <c r="EH229" i="14608"/>
  <c r="EI229" i="14608"/>
  <c r="EJ229" i="14608"/>
  <c r="EK229" i="14608"/>
  <c r="EL229" i="14608"/>
  <c r="EM229" i="14608"/>
  <c r="EN229" i="14608"/>
  <c r="EO229" i="14608"/>
  <c r="EP229" i="14608"/>
  <c r="EQ229" i="14608"/>
  <c r="ER229" i="14608"/>
  <c r="ES229" i="14608"/>
  <c r="ET229" i="14608"/>
  <c r="EU229" i="14608"/>
  <c r="EV229" i="14608"/>
  <c r="EW229" i="14608"/>
  <c r="EX229" i="14608"/>
  <c r="EY229" i="14608"/>
  <c r="EZ229" i="14608"/>
  <c r="FA229" i="14608"/>
  <c r="FB229" i="14608"/>
  <c r="FC229" i="14608"/>
  <c r="FD229" i="14608"/>
  <c r="FE229" i="14608"/>
  <c r="FF229" i="14608"/>
  <c r="FG229" i="14608"/>
  <c r="FH229" i="14608"/>
  <c r="FI229" i="14608"/>
  <c r="FJ229" i="14608"/>
  <c r="FK229" i="14608"/>
  <c r="FL229" i="14608"/>
  <c r="FM229" i="14608"/>
  <c r="FN229" i="14608"/>
  <c r="FO229" i="14608"/>
  <c r="FP229" i="14608"/>
  <c r="FQ229" i="14608"/>
  <c r="FR229" i="14608"/>
  <c r="FS229" i="14608"/>
  <c r="FT229" i="14608"/>
  <c r="FU229" i="14608"/>
  <c r="FV229" i="14608"/>
  <c r="FW229" i="14608"/>
  <c r="FX229" i="14608"/>
  <c r="FY229" i="14608"/>
  <c r="FZ229" i="14608"/>
  <c r="GA229" i="14608"/>
  <c r="GB229" i="14608"/>
  <c r="GC229" i="14608"/>
  <c r="GD229" i="14608"/>
  <c r="GE229" i="14608"/>
  <c r="GF229" i="14608"/>
  <c r="GG229" i="14608"/>
  <c r="GH229" i="14608"/>
  <c r="GI229" i="14608"/>
  <c r="GJ229" i="14608"/>
  <c r="GK229" i="14608"/>
  <c r="GL229" i="14608"/>
  <c r="GM229" i="14608"/>
  <c r="GN229" i="14608"/>
  <c r="GO229" i="14608"/>
  <c r="GP229" i="14608"/>
  <c r="GQ229" i="14608"/>
  <c r="GR229" i="14608"/>
  <c r="GS229" i="14608"/>
  <c r="GT229" i="14608"/>
  <c r="GU229" i="14608"/>
  <c r="GV229" i="14608"/>
  <c r="GW229" i="14608"/>
  <c r="GX229" i="14608"/>
  <c r="GY229" i="14608"/>
  <c r="GZ229" i="14608"/>
  <c r="HA229" i="14608"/>
  <c r="HB229" i="14608"/>
  <c r="HC229" i="14608"/>
  <c r="HD229" i="14608"/>
  <c r="HE229" i="14608"/>
  <c r="HF229" i="14608"/>
  <c r="HG229" i="14608"/>
  <c r="HH229" i="14608"/>
  <c r="HI229" i="14608"/>
  <c r="HJ229" i="14608"/>
  <c r="HK229" i="14608"/>
  <c r="HL229" i="14608"/>
  <c r="HM229" i="14608"/>
  <c r="HN229" i="14608"/>
  <c r="HO229" i="14608"/>
  <c r="HP229" i="14608"/>
  <c r="HQ229" i="14608"/>
  <c r="HR229" i="14608"/>
  <c r="HS229" i="14608"/>
  <c r="HT229" i="14608"/>
  <c r="HU229" i="14608"/>
  <c r="HV229" i="14608"/>
  <c r="HW229" i="14608"/>
  <c r="HX229" i="14608"/>
  <c r="HY229" i="14608"/>
  <c r="HZ229" i="14608"/>
  <c r="IA229" i="14608"/>
  <c r="IB229" i="14608"/>
  <c r="IC229" i="14608"/>
  <c r="ID229" i="14608"/>
  <c r="IE229" i="14608"/>
  <c r="IF229" i="14608"/>
  <c r="IG229" i="14608"/>
  <c r="IH229" i="14608"/>
  <c r="II229" i="14608"/>
  <c r="IJ229" i="14608"/>
  <c r="IK229" i="14608"/>
  <c r="IL229" i="14608"/>
  <c r="IM229" i="14608"/>
  <c r="IN229" i="14608"/>
  <c r="IO229" i="14608"/>
  <c r="IP229" i="14608"/>
  <c r="IQ229" i="14608"/>
  <c r="IR229" i="14608"/>
  <c r="IS229" i="14608"/>
  <c r="IT229" i="14608"/>
  <c r="IU229" i="14608"/>
  <c r="IV229" i="14608"/>
  <c r="A228" i="14608"/>
  <c r="B228" i="14608"/>
  <c r="C228" i="14608"/>
  <c r="D228" i="14608"/>
  <c r="E228" i="14608"/>
  <c r="F228" i="14608"/>
  <c r="G228" i="14608"/>
  <c r="H228" i="14608"/>
  <c r="I228" i="14608"/>
  <c r="J228" i="14608"/>
  <c r="K228" i="14608"/>
  <c r="L228" i="14608"/>
  <c r="M228" i="14608"/>
  <c r="N228" i="14608"/>
  <c r="O228" i="14608"/>
  <c r="P228" i="14608"/>
  <c r="Q228" i="14608"/>
  <c r="R228" i="14608"/>
  <c r="S228" i="14608"/>
  <c r="T228" i="14608"/>
  <c r="U228" i="14608"/>
  <c r="V228" i="14608"/>
  <c r="W228" i="14608"/>
  <c r="X228" i="14608"/>
  <c r="Y228" i="14608"/>
  <c r="Z228" i="14608"/>
  <c r="AA228" i="14608"/>
  <c r="AB228" i="14608"/>
  <c r="AC228" i="14608"/>
  <c r="AD228" i="14608"/>
  <c r="AE228" i="14608"/>
  <c r="AF228" i="14608"/>
  <c r="AG228" i="14608"/>
  <c r="AH228" i="14608"/>
  <c r="AI228" i="14608"/>
  <c r="AJ228" i="14608"/>
  <c r="AK228" i="14608"/>
  <c r="AL228" i="14608"/>
  <c r="AM228" i="14608"/>
  <c r="AN228" i="14608"/>
  <c r="AO228" i="14608"/>
  <c r="AP228" i="14608"/>
  <c r="AQ228" i="14608"/>
  <c r="AR228" i="14608"/>
  <c r="AS228" i="14608"/>
  <c r="AT228" i="14608"/>
  <c r="AU228" i="14608"/>
  <c r="AV228" i="14608"/>
  <c r="AW228" i="14608"/>
  <c r="AX228" i="14608"/>
  <c r="AY228" i="14608"/>
  <c r="AZ228" i="14608"/>
  <c r="BA228" i="14608"/>
  <c r="BB228" i="14608"/>
  <c r="BC228" i="14608"/>
  <c r="BD228" i="14608"/>
  <c r="BE228" i="14608"/>
  <c r="BF228" i="14608"/>
  <c r="BG228" i="14608"/>
  <c r="BH228" i="14608"/>
  <c r="BI228" i="14608"/>
  <c r="BJ228" i="14608"/>
  <c r="BK228" i="14608"/>
  <c r="BL228" i="14608"/>
  <c r="BM228" i="14608"/>
  <c r="BN228" i="14608"/>
  <c r="BO228" i="14608"/>
  <c r="BP228" i="14608"/>
  <c r="BQ228" i="14608"/>
  <c r="BR228" i="14608"/>
  <c r="BS228" i="14608"/>
  <c r="BT228" i="14608"/>
  <c r="BU228" i="14608"/>
  <c r="BV228" i="14608"/>
  <c r="BW228" i="14608"/>
  <c r="BX228" i="14608"/>
  <c r="BY228" i="14608"/>
  <c r="BZ228" i="14608"/>
  <c r="CA228" i="14608"/>
  <c r="CB228" i="14608"/>
  <c r="CC228" i="14608"/>
  <c r="CD228" i="14608"/>
  <c r="CE228" i="14608"/>
  <c r="CF228" i="14608"/>
  <c r="CG228" i="14608"/>
  <c r="CH228" i="14608"/>
  <c r="CI228" i="14608"/>
  <c r="CJ228" i="14608"/>
  <c r="CK228" i="14608"/>
  <c r="CL228" i="14608"/>
  <c r="CM228" i="14608"/>
  <c r="CN228" i="14608"/>
  <c r="CO228" i="14608"/>
  <c r="CP228" i="14608"/>
  <c r="CQ228" i="14608"/>
  <c r="CR228" i="14608"/>
  <c r="CS228" i="14608"/>
  <c r="CT228" i="14608"/>
  <c r="CU228" i="14608"/>
  <c r="CV228" i="14608"/>
  <c r="CW228" i="14608"/>
  <c r="CX228" i="14608"/>
  <c r="CY228" i="14608"/>
  <c r="CZ228" i="14608"/>
  <c r="DA228" i="14608"/>
  <c r="DB228" i="14608"/>
  <c r="DC228" i="14608"/>
  <c r="DD228" i="14608"/>
  <c r="DE228" i="14608"/>
  <c r="DF228" i="14608"/>
  <c r="DG228" i="14608"/>
  <c r="DH228" i="14608"/>
  <c r="DI228" i="14608"/>
  <c r="DJ228" i="14608"/>
  <c r="DK228" i="14608"/>
  <c r="DL228" i="14608"/>
  <c r="DM228" i="14608"/>
  <c r="DN228" i="14608"/>
  <c r="DO228" i="14608"/>
  <c r="DP228" i="14608"/>
  <c r="DQ228" i="14608"/>
  <c r="DR228" i="14608"/>
  <c r="DS228" i="14608"/>
  <c r="DT228" i="14608"/>
  <c r="DU228" i="14608"/>
  <c r="DV228" i="14608"/>
  <c r="DW228" i="14608"/>
  <c r="DX228" i="14608"/>
  <c r="DY228" i="14608"/>
  <c r="DZ228" i="14608"/>
  <c r="EA228" i="14608"/>
  <c r="EB228" i="14608"/>
  <c r="EC228" i="14608"/>
  <c r="ED228" i="14608"/>
  <c r="EE228" i="14608"/>
  <c r="EF228" i="14608"/>
  <c r="EG228" i="14608"/>
  <c r="EH228" i="14608"/>
  <c r="EI228" i="14608"/>
  <c r="EJ228" i="14608"/>
  <c r="EK228" i="14608"/>
  <c r="EL228" i="14608"/>
  <c r="EM228" i="14608"/>
  <c r="EN228" i="14608"/>
  <c r="EO228" i="14608"/>
  <c r="EP228" i="14608"/>
  <c r="EQ228" i="14608"/>
  <c r="ER228" i="14608"/>
  <c r="ES228" i="14608"/>
  <c r="ET228" i="14608"/>
  <c r="EU228" i="14608"/>
  <c r="EV228" i="14608"/>
  <c r="EW228" i="14608"/>
  <c r="EX228" i="14608"/>
  <c r="EY228" i="14608"/>
  <c r="EZ228" i="14608"/>
  <c r="FA228" i="14608"/>
  <c r="FB228" i="14608"/>
  <c r="FC228" i="14608"/>
  <c r="FD228" i="14608"/>
  <c r="FE228" i="14608"/>
  <c r="FF228" i="14608"/>
  <c r="FG228" i="14608"/>
  <c r="FH228" i="14608"/>
  <c r="FI228" i="14608"/>
  <c r="FJ228" i="14608"/>
  <c r="FK228" i="14608"/>
  <c r="FL228" i="14608"/>
  <c r="FM228" i="14608"/>
  <c r="FN228" i="14608"/>
  <c r="FO228" i="14608"/>
  <c r="FP228" i="14608"/>
  <c r="FQ228" i="14608"/>
  <c r="FR228" i="14608"/>
  <c r="FS228" i="14608"/>
  <c r="FT228" i="14608"/>
  <c r="FU228" i="14608"/>
  <c r="FV228" i="14608"/>
  <c r="FW228" i="14608"/>
  <c r="FX228" i="14608"/>
  <c r="FY228" i="14608"/>
  <c r="FZ228" i="14608"/>
  <c r="GA228" i="14608"/>
  <c r="GB228" i="14608"/>
  <c r="GC228" i="14608"/>
  <c r="GD228" i="14608"/>
  <c r="GE228" i="14608"/>
  <c r="GF228" i="14608"/>
  <c r="GG228" i="14608"/>
  <c r="GH228" i="14608"/>
  <c r="GI228" i="14608"/>
  <c r="GJ228" i="14608"/>
  <c r="GK228" i="14608"/>
  <c r="GL228" i="14608"/>
  <c r="GM228" i="14608"/>
  <c r="GN228" i="14608"/>
  <c r="GO228" i="14608"/>
  <c r="GP228" i="14608"/>
  <c r="GQ228" i="14608"/>
  <c r="GR228" i="14608"/>
  <c r="GS228" i="14608"/>
  <c r="GT228" i="14608"/>
  <c r="GU228" i="14608"/>
  <c r="GV228" i="14608"/>
  <c r="GW228" i="14608"/>
  <c r="GX228" i="14608"/>
  <c r="GY228" i="14608"/>
  <c r="GZ228" i="14608"/>
  <c r="HA228" i="14608"/>
  <c r="HB228" i="14608"/>
  <c r="HC228" i="14608"/>
  <c r="HD228" i="14608"/>
  <c r="HE228" i="14608"/>
  <c r="HF228" i="14608"/>
  <c r="HG228" i="14608"/>
  <c r="HH228" i="14608"/>
  <c r="HI228" i="14608"/>
  <c r="HJ228" i="14608"/>
  <c r="HK228" i="14608"/>
  <c r="HL228" i="14608"/>
  <c r="HM228" i="14608"/>
  <c r="HN228" i="14608"/>
  <c r="HO228" i="14608"/>
  <c r="HP228" i="14608"/>
  <c r="HQ228" i="14608"/>
  <c r="HR228" i="14608"/>
  <c r="HS228" i="14608"/>
  <c r="HT228" i="14608"/>
  <c r="HU228" i="14608"/>
  <c r="HV228" i="14608"/>
  <c r="HW228" i="14608"/>
  <c r="HX228" i="14608"/>
  <c r="HY228" i="14608"/>
  <c r="HZ228" i="14608"/>
  <c r="IA228" i="14608"/>
  <c r="IB228" i="14608"/>
  <c r="IC228" i="14608"/>
  <c r="ID228" i="14608"/>
  <c r="IE228" i="14608"/>
  <c r="IF228" i="14608"/>
  <c r="IG228" i="14608"/>
  <c r="IH228" i="14608"/>
  <c r="II228" i="14608"/>
  <c r="IJ228" i="14608"/>
  <c r="IK228" i="14608"/>
  <c r="IL228" i="14608"/>
  <c r="IM228" i="14608"/>
  <c r="IN228" i="14608"/>
  <c r="IO228" i="14608"/>
  <c r="IP228" i="14608"/>
  <c r="IQ228" i="14608"/>
  <c r="IR228" i="14608"/>
  <c r="IS228" i="14608"/>
  <c r="IT228" i="14608"/>
  <c r="IU228" i="14608"/>
  <c r="IV228" i="14608"/>
  <c r="A227" i="14608"/>
  <c r="B227" i="14608"/>
  <c r="C227" i="14608"/>
  <c r="D227" i="14608"/>
  <c r="E227" i="14608"/>
  <c r="F227" i="14608"/>
  <c r="G227" i="14608"/>
  <c r="H227" i="14608"/>
  <c r="I227" i="14608"/>
  <c r="J227" i="14608"/>
  <c r="K227" i="14608"/>
  <c r="L227" i="14608"/>
  <c r="M227" i="14608"/>
  <c r="N227" i="14608"/>
  <c r="O227" i="14608"/>
  <c r="P227" i="14608"/>
  <c r="Q227" i="14608"/>
  <c r="R227" i="14608"/>
  <c r="S227" i="14608"/>
  <c r="T227" i="14608"/>
  <c r="U227" i="14608"/>
  <c r="V227" i="14608"/>
  <c r="W227" i="14608"/>
  <c r="X227" i="14608"/>
  <c r="Y227" i="14608"/>
  <c r="Z227" i="14608"/>
  <c r="AA227" i="14608"/>
  <c r="AB227" i="14608"/>
  <c r="AC227" i="14608"/>
  <c r="AD227" i="14608"/>
  <c r="AE227" i="14608"/>
  <c r="AF227" i="14608"/>
  <c r="AG227" i="14608"/>
  <c r="AH227" i="14608"/>
  <c r="AI227" i="14608"/>
  <c r="AJ227" i="14608"/>
  <c r="AK227" i="14608"/>
  <c r="AL227" i="14608"/>
  <c r="AM227" i="14608"/>
  <c r="AN227" i="14608"/>
  <c r="AO227" i="14608"/>
  <c r="AP227" i="14608"/>
  <c r="AQ227" i="14608"/>
  <c r="AR227" i="14608"/>
  <c r="AS227" i="14608"/>
  <c r="AT227" i="14608"/>
  <c r="AU227" i="14608"/>
  <c r="AV227" i="14608"/>
  <c r="AW227" i="14608"/>
  <c r="AX227" i="14608"/>
  <c r="AY227" i="14608"/>
  <c r="AZ227" i="14608"/>
  <c r="BA227" i="14608"/>
  <c r="BB227" i="14608"/>
  <c r="BC227" i="14608"/>
  <c r="BD227" i="14608"/>
  <c r="BE227" i="14608"/>
  <c r="BF227" i="14608"/>
  <c r="BG227" i="14608"/>
  <c r="BH227" i="14608"/>
  <c r="BI227" i="14608"/>
  <c r="BJ227" i="14608"/>
  <c r="BK227" i="14608"/>
  <c r="BL227" i="14608"/>
  <c r="BM227" i="14608"/>
  <c r="BN227" i="14608"/>
  <c r="BO227" i="14608"/>
  <c r="BP227" i="14608"/>
  <c r="BQ227" i="14608"/>
  <c r="BR227" i="14608"/>
  <c r="BS227" i="14608"/>
  <c r="BT227" i="14608"/>
  <c r="BU227" i="14608"/>
  <c r="BV227" i="14608"/>
  <c r="BW227" i="14608"/>
  <c r="BX227" i="14608"/>
  <c r="BY227" i="14608"/>
  <c r="BZ227" i="14608"/>
  <c r="CA227" i="14608"/>
  <c r="CB227" i="14608"/>
  <c r="CC227" i="14608"/>
  <c r="CD227" i="14608"/>
  <c r="CE227" i="14608"/>
  <c r="CF227" i="14608"/>
  <c r="CG227" i="14608"/>
  <c r="CH227" i="14608"/>
  <c r="CI227" i="14608"/>
  <c r="CJ227" i="14608"/>
  <c r="CK227" i="14608"/>
  <c r="CL227" i="14608"/>
  <c r="CM227" i="14608"/>
  <c r="CN227" i="14608"/>
  <c r="CO227" i="14608"/>
  <c r="CP227" i="14608"/>
  <c r="CQ227" i="14608"/>
  <c r="CR227" i="14608"/>
  <c r="CS227" i="14608"/>
  <c r="CT227" i="14608"/>
  <c r="CU227" i="14608"/>
  <c r="CV227" i="14608"/>
  <c r="CW227" i="14608"/>
  <c r="CX227" i="14608"/>
  <c r="CY227" i="14608"/>
  <c r="CZ227" i="14608"/>
  <c r="DA227" i="14608"/>
  <c r="DB227" i="14608"/>
  <c r="DC227" i="14608"/>
  <c r="DD227" i="14608"/>
  <c r="DE227" i="14608"/>
  <c r="DF227" i="14608"/>
  <c r="DG227" i="14608"/>
  <c r="DH227" i="14608"/>
  <c r="DI227" i="14608"/>
  <c r="DJ227" i="14608"/>
  <c r="DK227" i="14608"/>
  <c r="DL227" i="14608"/>
  <c r="DM227" i="14608"/>
  <c r="DN227" i="14608"/>
  <c r="DO227" i="14608"/>
  <c r="DP227" i="14608"/>
  <c r="DQ227" i="14608"/>
  <c r="DR227" i="14608"/>
  <c r="DS227" i="14608"/>
  <c r="DT227" i="14608"/>
  <c r="DU227" i="14608"/>
  <c r="DV227" i="14608"/>
  <c r="DW227" i="14608"/>
  <c r="DX227" i="14608"/>
  <c r="DY227" i="14608"/>
  <c r="DZ227" i="14608"/>
  <c r="EA227" i="14608"/>
  <c r="EB227" i="14608"/>
  <c r="EC227" i="14608"/>
  <c r="ED227" i="14608"/>
  <c r="EE227" i="14608"/>
  <c r="EF227" i="14608"/>
  <c r="EG227" i="14608"/>
  <c r="EH227" i="14608"/>
  <c r="EI227" i="14608"/>
  <c r="EJ227" i="14608"/>
  <c r="EK227" i="14608"/>
  <c r="EL227" i="14608"/>
  <c r="EM227" i="14608"/>
  <c r="EN227" i="14608"/>
  <c r="EO227" i="14608"/>
  <c r="EP227" i="14608"/>
  <c r="EQ227" i="14608"/>
  <c r="ER227" i="14608"/>
  <c r="ES227" i="14608"/>
  <c r="ET227" i="14608"/>
  <c r="EU227" i="14608"/>
  <c r="EV227" i="14608"/>
  <c r="EW227" i="14608"/>
  <c r="EX227" i="14608"/>
  <c r="EY227" i="14608"/>
  <c r="EZ227" i="14608"/>
  <c r="FA227" i="14608"/>
  <c r="FB227" i="14608"/>
  <c r="FC227" i="14608"/>
  <c r="FD227" i="14608"/>
  <c r="FE227" i="14608"/>
  <c r="FF227" i="14608"/>
  <c r="FG227" i="14608"/>
  <c r="FH227" i="14608"/>
  <c r="FI227" i="14608"/>
  <c r="FJ227" i="14608"/>
  <c r="FK227" i="14608"/>
  <c r="FL227" i="14608"/>
  <c r="FM227" i="14608"/>
  <c r="FN227" i="14608"/>
  <c r="FO227" i="14608"/>
  <c r="FP227" i="14608"/>
  <c r="FQ227" i="14608"/>
  <c r="FR227" i="14608"/>
  <c r="FS227" i="14608"/>
  <c r="FT227" i="14608"/>
  <c r="FU227" i="14608"/>
  <c r="FV227" i="14608"/>
  <c r="FW227" i="14608"/>
  <c r="FX227" i="14608"/>
  <c r="FY227" i="14608"/>
  <c r="FZ227" i="14608"/>
  <c r="GA227" i="14608"/>
  <c r="GB227" i="14608"/>
  <c r="GC227" i="14608"/>
  <c r="GD227" i="14608"/>
  <c r="GE227" i="14608"/>
  <c r="GF227" i="14608"/>
  <c r="GG227" i="14608"/>
  <c r="GH227" i="14608"/>
  <c r="GI227" i="14608"/>
  <c r="GJ227" i="14608"/>
  <c r="GK227" i="14608"/>
  <c r="GL227" i="14608"/>
  <c r="GM227" i="14608"/>
  <c r="GN227" i="14608"/>
  <c r="GO227" i="14608"/>
  <c r="GP227" i="14608"/>
  <c r="GQ227" i="14608"/>
  <c r="GR227" i="14608"/>
  <c r="GS227" i="14608"/>
  <c r="GT227" i="14608"/>
  <c r="GU227" i="14608"/>
  <c r="GV227" i="14608"/>
  <c r="GW227" i="14608"/>
  <c r="GX227" i="14608"/>
  <c r="GY227" i="14608"/>
  <c r="GZ227" i="14608"/>
  <c r="HA227" i="14608"/>
  <c r="HB227" i="14608"/>
  <c r="HC227" i="14608"/>
  <c r="HD227" i="14608"/>
  <c r="HE227" i="14608"/>
  <c r="HF227" i="14608"/>
  <c r="HG227" i="14608"/>
  <c r="HH227" i="14608"/>
  <c r="HI227" i="14608"/>
  <c r="HJ227" i="14608"/>
  <c r="HK227" i="14608"/>
  <c r="HL227" i="14608"/>
  <c r="HM227" i="14608"/>
  <c r="HN227" i="14608"/>
  <c r="HO227" i="14608"/>
  <c r="HP227" i="14608"/>
  <c r="HQ227" i="14608"/>
  <c r="HR227" i="14608"/>
  <c r="HS227" i="14608"/>
  <c r="HT227" i="14608"/>
  <c r="HU227" i="14608"/>
  <c r="HV227" i="14608"/>
  <c r="HW227" i="14608"/>
  <c r="HX227" i="14608"/>
  <c r="HY227" i="14608"/>
  <c r="HZ227" i="14608"/>
  <c r="IA227" i="14608"/>
  <c r="IB227" i="14608"/>
  <c r="IC227" i="14608"/>
  <c r="ID227" i="14608"/>
  <c r="IE227" i="14608"/>
  <c r="IF227" i="14608"/>
  <c r="IG227" i="14608"/>
  <c r="IH227" i="14608"/>
  <c r="II227" i="14608"/>
  <c r="IJ227" i="14608"/>
  <c r="IK227" i="14608"/>
  <c r="IL227" i="14608"/>
  <c r="IM227" i="14608"/>
  <c r="IN227" i="14608"/>
  <c r="IO227" i="14608"/>
  <c r="IP227" i="14608"/>
  <c r="IQ227" i="14608"/>
  <c r="IR227" i="14608"/>
  <c r="IS227" i="14608"/>
  <c r="IT227" i="14608"/>
  <c r="IU227" i="14608"/>
  <c r="IV227" i="14608"/>
  <c r="A226" i="14608"/>
  <c r="B226" i="14608"/>
  <c r="C226" i="14608"/>
  <c r="D226" i="14608"/>
  <c r="E226" i="14608"/>
  <c r="F226" i="14608"/>
  <c r="G226" i="14608"/>
  <c r="H226" i="14608"/>
  <c r="I226" i="14608"/>
  <c r="J226" i="14608"/>
  <c r="K226" i="14608"/>
  <c r="L226" i="14608"/>
  <c r="M226" i="14608"/>
  <c r="N226" i="14608"/>
  <c r="O226" i="14608"/>
  <c r="P226" i="14608"/>
  <c r="Q226" i="14608"/>
  <c r="R226" i="14608"/>
  <c r="S226" i="14608"/>
  <c r="T226" i="14608"/>
  <c r="U226" i="14608"/>
  <c r="V226" i="14608"/>
  <c r="W226" i="14608"/>
  <c r="X226" i="14608"/>
  <c r="Y226" i="14608"/>
  <c r="Z226" i="14608"/>
  <c r="AA226" i="14608"/>
  <c r="AB226" i="14608"/>
  <c r="AC226" i="14608"/>
  <c r="AD226" i="14608"/>
  <c r="AE226" i="14608"/>
  <c r="AF226" i="14608"/>
  <c r="AG226" i="14608"/>
  <c r="AH226" i="14608"/>
  <c r="AI226" i="14608"/>
  <c r="AJ226" i="14608"/>
  <c r="AK226" i="14608"/>
  <c r="AL226" i="14608"/>
  <c r="AM226" i="14608"/>
  <c r="AN226" i="14608"/>
  <c r="AO226" i="14608"/>
  <c r="AP226" i="14608"/>
  <c r="AQ226" i="14608"/>
  <c r="AR226" i="14608"/>
  <c r="AS226" i="14608"/>
  <c r="AT226" i="14608"/>
  <c r="AU226" i="14608"/>
  <c r="AV226" i="14608"/>
  <c r="AW226" i="14608"/>
  <c r="AX226" i="14608"/>
  <c r="AY226" i="14608"/>
  <c r="AZ226" i="14608"/>
  <c r="BA226" i="14608"/>
  <c r="BB226" i="14608"/>
  <c r="BC226" i="14608"/>
  <c r="BD226" i="14608"/>
  <c r="BE226" i="14608"/>
  <c r="BF226" i="14608"/>
  <c r="BG226" i="14608"/>
  <c r="BH226" i="14608"/>
  <c r="BI226" i="14608"/>
  <c r="BJ226" i="14608"/>
  <c r="BK226" i="14608"/>
  <c r="BL226" i="14608"/>
  <c r="BM226" i="14608"/>
  <c r="BN226" i="14608"/>
  <c r="BO226" i="14608"/>
  <c r="BP226" i="14608"/>
  <c r="BQ226" i="14608"/>
  <c r="BR226" i="14608"/>
  <c r="BS226" i="14608"/>
  <c r="BT226" i="14608"/>
  <c r="BU226" i="14608"/>
  <c r="BV226" i="14608"/>
  <c r="BW226" i="14608"/>
  <c r="BX226" i="14608"/>
  <c r="BY226" i="14608"/>
  <c r="BZ226" i="14608"/>
  <c r="CA226" i="14608"/>
  <c r="CB226" i="14608"/>
  <c r="CC226" i="14608"/>
  <c r="CD226" i="14608"/>
  <c r="CE226" i="14608"/>
  <c r="CF226" i="14608"/>
  <c r="CG226" i="14608"/>
  <c r="CH226" i="14608"/>
  <c r="CI226" i="14608"/>
  <c r="CJ226" i="14608"/>
  <c r="CK226" i="14608"/>
  <c r="CL226" i="14608"/>
  <c r="CM226" i="14608"/>
  <c r="CN226" i="14608"/>
  <c r="CO226" i="14608"/>
  <c r="CP226" i="14608"/>
  <c r="CQ226" i="14608"/>
  <c r="CR226" i="14608"/>
  <c r="CS226" i="14608"/>
  <c r="CT226" i="14608"/>
  <c r="CU226" i="14608"/>
  <c r="CV226" i="14608"/>
  <c r="CW226" i="14608"/>
  <c r="CX226" i="14608"/>
  <c r="CY226" i="14608"/>
  <c r="CZ226" i="14608"/>
  <c r="DA226" i="14608"/>
  <c r="DB226" i="14608"/>
  <c r="DC226" i="14608"/>
  <c r="DD226" i="14608"/>
  <c r="DE226" i="14608"/>
  <c r="DF226" i="14608"/>
  <c r="DG226" i="14608"/>
  <c r="DH226" i="14608"/>
  <c r="DI226" i="14608"/>
  <c r="DJ226" i="14608"/>
  <c r="DK226" i="14608"/>
  <c r="DL226" i="14608"/>
  <c r="DM226" i="14608"/>
  <c r="DN226" i="14608"/>
  <c r="DO226" i="14608"/>
  <c r="DP226" i="14608"/>
  <c r="DQ226" i="14608"/>
  <c r="DR226" i="14608"/>
  <c r="DS226" i="14608"/>
  <c r="DT226" i="14608"/>
  <c r="DU226" i="14608"/>
  <c r="DV226" i="14608"/>
  <c r="DW226" i="14608"/>
  <c r="DX226" i="14608"/>
  <c r="DY226" i="14608"/>
  <c r="DZ226" i="14608"/>
  <c r="EA226" i="14608"/>
  <c r="EB226" i="14608"/>
  <c r="EC226" i="14608"/>
  <c r="ED226" i="14608"/>
  <c r="EE226" i="14608"/>
  <c r="EF226" i="14608"/>
  <c r="EG226" i="14608"/>
  <c r="EH226" i="14608"/>
  <c r="EI226" i="14608"/>
  <c r="EJ226" i="14608"/>
  <c r="EK226" i="14608"/>
  <c r="EL226" i="14608"/>
  <c r="EM226" i="14608"/>
  <c r="EN226" i="14608"/>
  <c r="EO226" i="14608"/>
  <c r="EP226" i="14608"/>
  <c r="EQ226" i="14608"/>
  <c r="ER226" i="14608"/>
  <c r="ES226" i="14608"/>
  <c r="ET226" i="14608"/>
  <c r="EU226" i="14608"/>
  <c r="EV226" i="14608"/>
  <c r="EW226" i="14608"/>
  <c r="EX226" i="14608"/>
  <c r="EY226" i="14608"/>
  <c r="EZ226" i="14608"/>
  <c r="FA226" i="14608"/>
  <c r="FB226" i="14608"/>
  <c r="FC226" i="14608"/>
  <c r="FD226" i="14608"/>
  <c r="FE226" i="14608"/>
  <c r="FF226" i="14608"/>
  <c r="FG226" i="14608"/>
  <c r="FH226" i="14608"/>
  <c r="FI226" i="14608"/>
  <c r="FJ226" i="14608"/>
  <c r="FK226" i="14608"/>
  <c r="FL226" i="14608"/>
  <c r="FM226" i="14608"/>
  <c r="FN226" i="14608"/>
  <c r="FO226" i="14608"/>
  <c r="FP226" i="14608"/>
  <c r="FQ226" i="14608"/>
  <c r="FR226" i="14608"/>
  <c r="FS226" i="14608"/>
  <c r="FT226" i="14608"/>
  <c r="FU226" i="14608"/>
  <c r="FV226" i="14608"/>
  <c r="FW226" i="14608"/>
  <c r="FX226" i="14608"/>
  <c r="FY226" i="14608"/>
  <c r="FZ226" i="14608"/>
  <c r="GA226" i="14608"/>
  <c r="GB226" i="14608"/>
  <c r="GC226" i="14608"/>
  <c r="GD226" i="14608"/>
  <c r="GE226" i="14608"/>
  <c r="GF226" i="14608"/>
  <c r="GG226" i="14608"/>
  <c r="GH226" i="14608"/>
  <c r="GI226" i="14608"/>
  <c r="GJ226" i="14608"/>
  <c r="GK226" i="14608"/>
  <c r="GL226" i="14608"/>
  <c r="GM226" i="14608"/>
  <c r="GN226" i="14608"/>
  <c r="GO226" i="14608"/>
  <c r="GP226" i="14608"/>
  <c r="GQ226" i="14608"/>
  <c r="GR226" i="14608"/>
  <c r="GS226" i="14608"/>
  <c r="GT226" i="14608"/>
  <c r="GU226" i="14608"/>
  <c r="GV226" i="14608"/>
  <c r="GW226" i="14608"/>
  <c r="GX226" i="14608"/>
  <c r="GY226" i="14608"/>
  <c r="GZ226" i="14608"/>
  <c r="HA226" i="14608"/>
  <c r="HB226" i="14608"/>
  <c r="HC226" i="14608"/>
  <c r="HD226" i="14608"/>
  <c r="HE226" i="14608"/>
  <c r="HF226" i="14608"/>
  <c r="HG226" i="14608"/>
  <c r="HH226" i="14608"/>
  <c r="HI226" i="14608"/>
  <c r="HJ226" i="14608"/>
  <c r="HK226" i="14608"/>
  <c r="HL226" i="14608"/>
  <c r="HM226" i="14608"/>
  <c r="HN226" i="14608"/>
  <c r="HO226" i="14608"/>
  <c r="HP226" i="14608"/>
  <c r="HQ226" i="14608"/>
  <c r="HR226" i="14608"/>
  <c r="HS226" i="14608"/>
  <c r="HT226" i="14608"/>
  <c r="HU226" i="14608"/>
  <c r="HV226" i="14608"/>
  <c r="HW226" i="14608"/>
  <c r="HX226" i="14608"/>
  <c r="HY226" i="14608"/>
  <c r="HZ226" i="14608"/>
  <c r="IA226" i="14608"/>
  <c r="IB226" i="14608"/>
  <c r="IC226" i="14608"/>
  <c r="ID226" i="14608"/>
  <c r="IE226" i="14608"/>
  <c r="IF226" i="14608"/>
  <c r="IG226" i="14608"/>
  <c r="IH226" i="14608"/>
  <c r="II226" i="14608"/>
  <c r="IJ226" i="14608"/>
  <c r="IK226" i="14608"/>
  <c r="IL226" i="14608"/>
  <c r="IM226" i="14608"/>
  <c r="IN226" i="14608"/>
  <c r="IO226" i="14608"/>
  <c r="IP226" i="14608"/>
  <c r="IQ226" i="14608"/>
  <c r="IR226" i="14608"/>
  <c r="IS226" i="14608"/>
  <c r="IT226" i="14608"/>
  <c r="IU226" i="14608"/>
  <c r="IV226" i="14608"/>
  <c r="A225" i="14608"/>
  <c r="B225" i="14608"/>
  <c r="C225" i="14608"/>
  <c r="D225" i="14608"/>
  <c r="E225" i="14608"/>
  <c r="F225" i="14608"/>
  <c r="G225" i="14608"/>
  <c r="H225" i="14608"/>
  <c r="I225" i="14608"/>
  <c r="J225" i="14608"/>
  <c r="K225" i="14608"/>
  <c r="L225" i="14608"/>
  <c r="M225" i="14608"/>
  <c r="N225" i="14608"/>
  <c r="O225" i="14608"/>
  <c r="P225" i="14608"/>
  <c r="Q225" i="14608"/>
  <c r="R225" i="14608"/>
  <c r="S225" i="14608"/>
  <c r="T225" i="14608"/>
  <c r="U225" i="14608"/>
  <c r="V225" i="14608"/>
  <c r="W225" i="14608"/>
  <c r="X225" i="14608"/>
  <c r="Y225" i="14608"/>
  <c r="Z225" i="14608"/>
  <c r="AA225" i="14608"/>
  <c r="AB225" i="14608"/>
  <c r="AC225" i="14608"/>
  <c r="AD225" i="14608"/>
  <c r="AE225" i="14608"/>
  <c r="AF225" i="14608"/>
  <c r="AG225" i="14608"/>
  <c r="AH225" i="14608"/>
  <c r="AI225" i="14608"/>
  <c r="AJ225" i="14608"/>
  <c r="AK225" i="14608"/>
  <c r="AL225" i="14608"/>
  <c r="AM225" i="14608"/>
  <c r="AN225" i="14608"/>
  <c r="AO225" i="14608"/>
  <c r="AP225" i="14608"/>
  <c r="AQ225" i="14608"/>
  <c r="AR225" i="14608"/>
  <c r="AS225" i="14608"/>
  <c r="AT225" i="14608"/>
  <c r="AU225" i="14608"/>
  <c r="AV225" i="14608"/>
  <c r="AW225" i="14608"/>
  <c r="AX225" i="14608"/>
  <c r="AY225" i="14608"/>
  <c r="AZ225" i="14608"/>
  <c r="BA225" i="14608"/>
  <c r="BB225" i="14608"/>
  <c r="BC225" i="14608"/>
  <c r="BD225" i="14608"/>
  <c r="BE225" i="14608"/>
  <c r="BF225" i="14608"/>
  <c r="BG225" i="14608"/>
  <c r="BH225" i="14608"/>
  <c r="BI225" i="14608"/>
  <c r="BJ225" i="14608"/>
  <c r="BK225" i="14608"/>
  <c r="BL225" i="14608"/>
  <c r="BM225" i="14608"/>
  <c r="BN225" i="14608"/>
  <c r="BO225" i="14608"/>
  <c r="BP225" i="14608"/>
  <c r="BQ225" i="14608"/>
  <c r="BR225" i="14608"/>
  <c r="BS225" i="14608"/>
  <c r="BT225" i="14608"/>
  <c r="BU225" i="14608"/>
  <c r="BV225" i="14608"/>
  <c r="BW225" i="14608"/>
  <c r="BX225" i="14608"/>
  <c r="BY225" i="14608"/>
  <c r="BZ225" i="14608"/>
  <c r="CA225" i="14608"/>
  <c r="CB225" i="14608"/>
  <c r="CC225" i="14608"/>
  <c r="CD225" i="14608"/>
  <c r="CE225" i="14608"/>
  <c r="CF225" i="14608"/>
  <c r="CG225" i="14608"/>
  <c r="CH225" i="14608"/>
  <c r="CI225" i="14608"/>
  <c r="CJ225" i="14608"/>
  <c r="CK225" i="14608"/>
  <c r="CL225" i="14608"/>
  <c r="CM225" i="14608"/>
  <c r="CN225" i="14608"/>
  <c r="CO225" i="14608"/>
  <c r="CP225" i="14608"/>
  <c r="CQ225" i="14608"/>
  <c r="CR225" i="14608"/>
  <c r="CS225" i="14608"/>
  <c r="CT225" i="14608"/>
  <c r="CU225" i="14608"/>
  <c r="CV225" i="14608"/>
  <c r="CW225" i="14608"/>
  <c r="CX225" i="14608"/>
  <c r="CY225" i="14608"/>
  <c r="CZ225" i="14608"/>
  <c r="DA225" i="14608"/>
  <c r="DB225" i="14608"/>
  <c r="DC225" i="14608"/>
  <c r="DD225" i="14608"/>
  <c r="DE225" i="14608"/>
  <c r="DF225" i="14608"/>
  <c r="DG225" i="14608"/>
  <c r="DH225" i="14608"/>
  <c r="DI225" i="14608"/>
  <c r="DJ225" i="14608"/>
  <c r="DK225" i="14608"/>
  <c r="DL225" i="14608"/>
  <c r="DM225" i="14608"/>
  <c r="DN225" i="14608"/>
  <c r="DO225" i="14608"/>
  <c r="DP225" i="14608"/>
  <c r="DQ225" i="14608"/>
  <c r="DR225" i="14608"/>
  <c r="DS225" i="14608"/>
  <c r="DT225" i="14608"/>
  <c r="DU225" i="14608"/>
  <c r="DV225" i="14608"/>
  <c r="DW225" i="14608"/>
  <c r="DX225" i="14608"/>
  <c r="DY225" i="14608"/>
  <c r="DZ225" i="14608"/>
  <c r="EA225" i="14608"/>
  <c r="EB225" i="14608"/>
  <c r="EC225" i="14608"/>
  <c r="ED225" i="14608"/>
  <c r="EE225" i="14608"/>
  <c r="EF225" i="14608"/>
  <c r="EG225" i="14608"/>
  <c r="EH225" i="14608"/>
  <c r="EI225" i="14608"/>
  <c r="EJ225" i="14608"/>
  <c r="EK225" i="14608"/>
  <c r="EL225" i="14608"/>
  <c r="EM225" i="14608"/>
  <c r="EN225" i="14608"/>
  <c r="EO225" i="14608"/>
  <c r="EP225" i="14608"/>
  <c r="EQ225" i="14608"/>
  <c r="ER225" i="14608"/>
  <c r="ES225" i="14608"/>
  <c r="ET225" i="14608"/>
  <c r="EU225" i="14608"/>
  <c r="EV225" i="14608"/>
  <c r="EW225" i="14608"/>
  <c r="EX225" i="14608"/>
  <c r="EY225" i="14608"/>
  <c r="EZ225" i="14608"/>
  <c r="FA225" i="14608"/>
  <c r="FB225" i="14608"/>
  <c r="FC225" i="14608"/>
  <c r="FD225" i="14608"/>
  <c r="FE225" i="14608"/>
  <c r="FF225" i="14608"/>
  <c r="FG225" i="14608"/>
  <c r="FH225" i="14608"/>
  <c r="FI225" i="14608"/>
  <c r="FJ225" i="14608"/>
  <c r="FK225" i="14608"/>
  <c r="FL225" i="14608"/>
  <c r="FM225" i="14608"/>
  <c r="FN225" i="14608"/>
  <c r="FO225" i="14608"/>
  <c r="FP225" i="14608"/>
  <c r="FQ225" i="14608"/>
  <c r="FR225" i="14608"/>
  <c r="FS225" i="14608"/>
  <c r="FT225" i="14608"/>
  <c r="FU225" i="14608"/>
  <c r="FV225" i="14608"/>
  <c r="FW225" i="14608"/>
  <c r="FX225" i="14608"/>
  <c r="FY225" i="14608"/>
  <c r="FZ225" i="14608"/>
  <c r="GA225" i="14608"/>
  <c r="GB225" i="14608"/>
  <c r="GC225" i="14608"/>
  <c r="GD225" i="14608"/>
  <c r="GE225" i="14608"/>
  <c r="GF225" i="14608"/>
  <c r="GG225" i="14608"/>
  <c r="GH225" i="14608"/>
  <c r="GI225" i="14608"/>
  <c r="GJ225" i="14608"/>
  <c r="GK225" i="14608"/>
  <c r="GL225" i="14608"/>
  <c r="GM225" i="14608"/>
  <c r="GN225" i="14608"/>
  <c r="GO225" i="14608"/>
  <c r="GP225" i="14608"/>
  <c r="GQ225" i="14608"/>
  <c r="GR225" i="14608"/>
  <c r="GS225" i="14608"/>
  <c r="GT225" i="14608"/>
  <c r="GU225" i="14608"/>
  <c r="GV225" i="14608"/>
  <c r="GW225" i="14608"/>
  <c r="GX225" i="14608"/>
  <c r="GY225" i="14608"/>
  <c r="GZ225" i="14608"/>
  <c r="HA225" i="14608"/>
  <c r="HB225" i="14608"/>
  <c r="HC225" i="14608"/>
  <c r="HD225" i="14608"/>
  <c r="HE225" i="14608"/>
  <c r="HF225" i="14608"/>
  <c r="HG225" i="14608"/>
  <c r="HH225" i="14608"/>
  <c r="HI225" i="14608"/>
  <c r="HJ225" i="14608"/>
  <c r="HK225" i="14608"/>
  <c r="HL225" i="14608"/>
  <c r="HM225" i="14608"/>
  <c r="HN225" i="14608"/>
  <c r="HO225" i="14608"/>
  <c r="HP225" i="14608"/>
  <c r="HQ225" i="14608"/>
  <c r="HR225" i="14608"/>
  <c r="HS225" i="14608"/>
  <c r="HT225" i="14608"/>
  <c r="HU225" i="14608"/>
  <c r="HV225" i="14608"/>
  <c r="HW225" i="14608"/>
  <c r="HX225" i="14608"/>
  <c r="HY225" i="14608"/>
  <c r="HZ225" i="14608"/>
  <c r="IA225" i="14608"/>
  <c r="IB225" i="14608"/>
  <c r="IC225" i="14608"/>
  <c r="ID225" i="14608"/>
  <c r="IE225" i="14608"/>
  <c r="IF225" i="14608"/>
  <c r="IG225" i="14608"/>
  <c r="IH225" i="14608"/>
  <c r="II225" i="14608"/>
  <c r="IJ225" i="14608"/>
  <c r="IK225" i="14608"/>
  <c r="IL225" i="14608"/>
  <c r="IM225" i="14608"/>
  <c r="IN225" i="14608"/>
  <c r="IO225" i="14608"/>
  <c r="IP225" i="14608"/>
  <c r="IQ225" i="14608"/>
  <c r="IR225" i="14608"/>
  <c r="IS225" i="14608"/>
  <c r="IT225" i="14608"/>
  <c r="IU225" i="14608"/>
  <c r="IV225" i="14608"/>
  <c r="A224" i="14608"/>
  <c r="B224" i="14608"/>
  <c r="C224" i="14608"/>
  <c r="D224" i="14608"/>
  <c r="E224" i="14608"/>
  <c r="F224" i="14608"/>
  <c r="G224" i="14608"/>
  <c r="H224" i="14608"/>
  <c r="I224" i="14608"/>
  <c r="J224" i="14608"/>
  <c r="K224" i="14608"/>
  <c r="L224" i="14608"/>
  <c r="M224" i="14608"/>
  <c r="N224" i="14608"/>
  <c r="O224" i="14608"/>
  <c r="P224" i="14608"/>
  <c r="Q224" i="14608"/>
  <c r="R224" i="14608"/>
  <c r="S224" i="14608"/>
  <c r="T224" i="14608"/>
  <c r="U224" i="14608"/>
  <c r="V224" i="14608"/>
  <c r="W224" i="14608"/>
  <c r="X224" i="14608"/>
  <c r="Y224" i="14608"/>
  <c r="Z224" i="14608"/>
  <c r="AA224" i="14608"/>
  <c r="AB224" i="14608"/>
  <c r="AC224" i="14608"/>
  <c r="AD224" i="14608"/>
  <c r="AE224" i="14608"/>
  <c r="AF224" i="14608"/>
  <c r="AG224" i="14608"/>
  <c r="AH224" i="14608"/>
  <c r="AI224" i="14608"/>
  <c r="AJ224" i="14608"/>
  <c r="AK224" i="14608"/>
  <c r="AL224" i="14608"/>
  <c r="AM224" i="14608"/>
  <c r="AN224" i="14608"/>
  <c r="AO224" i="14608"/>
  <c r="AP224" i="14608"/>
  <c r="AQ224" i="14608"/>
  <c r="AR224" i="14608"/>
  <c r="AS224" i="14608"/>
  <c r="AT224" i="14608"/>
  <c r="AU224" i="14608"/>
  <c r="AV224" i="14608"/>
  <c r="AW224" i="14608"/>
  <c r="AX224" i="14608"/>
  <c r="AY224" i="14608"/>
  <c r="AZ224" i="14608"/>
  <c r="BA224" i="14608"/>
  <c r="BB224" i="14608"/>
  <c r="BC224" i="14608"/>
  <c r="BD224" i="14608"/>
  <c r="BE224" i="14608"/>
  <c r="BF224" i="14608"/>
  <c r="BG224" i="14608"/>
  <c r="BH224" i="14608"/>
  <c r="BI224" i="14608"/>
  <c r="BJ224" i="14608"/>
  <c r="BK224" i="14608"/>
  <c r="BL224" i="14608"/>
  <c r="BM224" i="14608"/>
  <c r="BN224" i="14608"/>
  <c r="BO224" i="14608"/>
  <c r="BP224" i="14608"/>
  <c r="BQ224" i="14608"/>
  <c r="BR224" i="14608"/>
  <c r="BS224" i="14608"/>
  <c r="BT224" i="14608"/>
  <c r="BU224" i="14608"/>
  <c r="BV224" i="14608"/>
  <c r="BW224" i="14608"/>
  <c r="BX224" i="14608"/>
  <c r="BY224" i="14608"/>
  <c r="BZ224" i="14608"/>
  <c r="CA224" i="14608"/>
  <c r="CB224" i="14608"/>
  <c r="CC224" i="14608"/>
  <c r="CD224" i="14608"/>
  <c r="CE224" i="14608"/>
  <c r="CF224" i="14608"/>
  <c r="CG224" i="14608"/>
  <c r="CH224" i="14608"/>
  <c r="CI224" i="14608"/>
  <c r="CJ224" i="14608"/>
  <c r="CK224" i="14608"/>
  <c r="CL224" i="14608"/>
  <c r="CM224" i="14608"/>
  <c r="CN224" i="14608"/>
  <c r="CO224" i="14608"/>
  <c r="CP224" i="14608"/>
  <c r="CQ224" i="14608"/>
  <c r="CR224" i="14608"/>
  <c r="CS224" i="14608"/>
  <c r="CT224" i="14608"/>
  <c r="CU224" i="14608"/>
  <c r="CV224" i="14608"/>
  <c r="CW224" i="14608"/>
  <c r="CX224" i="14608"/>
  <c r="CY224" i="14608"/>
  <c r="CZ224" i="14608"/>
  <c r="DA224" i="14608"/>
  <c r="DB224" i="14608"/>
  <c r="DC224" i="14608"/>
  <c r="DD224" i="14608"/>
  <c r="DE224" i="14608"/>
  <c r="DF224" i="14608"/>
  <c r="DG224" i="14608"/>
  <c r="DH224" i="14608"/>
  <c r="DI224" i="14608"/>
  <c r="DJ224" i="14608"/>
  <c r="DK224" i="14608"/>
  <c r="DL224" i="14608"/>
  <c r="DM224" i="14608"/>
  <c r="DN224" i="14608"/>
  <c r="DO224" i="14608"/>
  <c r="DP224" i="14608"/>
  <c r="DQ224" i="14608"/>
  <c r="DR224" i="14608"/>
  <c r="DS224" i="14608"/>
  <c r="DT224" i="14608"/>
  <c r="DU224" i="14608"/>
  <c r="DV224" i="14608"/>
  <c r="DW224" i="14608"/>
  <c r="DX224" i="14608"/>
  <c r="DY224" i="14608"/>
  <c r="DZ224" i="14608"/>
  <c r="EA224" i="14608"/>
  <c r="EB224" i="14608"/>
  <c r="EC224" i="14608"/>
  <c r="ED224" i="14608"/>
  <c r="EE224" i="14608"/>
  <c r="EF224" i="14608"/>
  <c r="EG224" i="14608"/>
  <c r="EH224" i="14608"/>
  <c r="EI224" i="14608"/>
  <c r="EJ224" i="14608"/>
  <c r="EK224" i="14608"/>
  <c r="EL224" i="14608"/>
  <c r="EM224" i="14608"/>
  <c r="EN224" i="14608"/>
  <c r="EO224" i="14608"/>
  <c r="EP224" i="14608"/>
  <c r="EQ224" i="14608"/>
  <c r="ER224" i="14608"/>
  <c r="ES224" i="14608"/>
  <c r="ET224" i="14608"/>
  <c r="EU224" i="14608"/>
  <c r="EV224" i="14608"/>
  <c r="EW224" i="14608"/>
  <c r="EX224" i="14608"/>
  <c r="EY224" i="14608"/>
  <c r="EZ224" i="14608"/>
  <c r="FA224" i="14608"/>
  <c r="FB224" i="14608"/>
  <c r="FC224" i="14608"/>
  <c r="FD224" i="14608"/>
  <c r="FE224" i="14608"/>
  <c r="FF224" i="14608"/>
  <c r="FG224" i="14608"/>
  <c r="FH224" i="14608"/>
  <c r="FI224" i="14608"/>
  <c r="FJ224" i="14608"/>
  <c r="FK224" i="14608"/>
  <c r="FL224" i="14608"/>
  <c r="FM224" i="14608"/>
  <c r="FN224" i="14608"/>
  <c r="FO224" i="14608"/>
  <c r="FP224" i="14608"/>
  <c r="FQ224" i="14608"/>
  <c r="FR224" i="14608"/>
  <c r="FS224" i="14608"/>
  <c r="FT224" i="14608"/>
  <c r="FU224" i="14608"/>
  <c r="FV224" i="14608"/>
  <c r="FW224" i="14608"/>
  <c r="FX224" i="14608"/>
  <c r="FY224" i="14608"/>
  <c r="FZ224" i="14608"/>
  <c r="GA224" i="14608"/>
  <c r="GB224" i="14608"/>
  <c r="GC224" i="14608"/>
  <c r="GD224" i="14608"/>
  <c r="GE224" i="14608"/>
  <c r="GF224" i="14608"/>
  <c r="GG224" i="14608"/>
  <c r="GH224" i="14608"/>
  <c r="GI224" i="14608"/>
  <c r="GJ224" i="14608"/>
  <c r="GK224" i="14608"/>
  <c r="GL224" i="14608"/>
  <c r="GM224" i="14608"/>
  <c r="GN224" i="14608"/>
  <c r="GO224" i="14608"/>
  <c r="GP224" i="14608"/>
  <c r="GQ224" i="14608"/>
  <c r="GR224" i="14608"/>
  <c r="GS224" i="14608"/>
  <c r="GT224" i="14608"/>
  <c r="GU224" i="14608"/>
  <c r="GV224" i="14608"/>
  <c r="GW224" i="14608"/>
  <c r="GX224" i="14608"/>
  <c r="GY224" i="14608"/>
  <c r="GZ224" i="14608"/>
  <c r="HA224" i="14608"/>
  <c r="HB224" i="14608"/>
  <c r="HC224" i="14608"/>
  <c r="HD224" i="14608"/>
  <c r="HE224" i="14608"/>
  <c r="HF224" i="14608"/>
  <c r="HG224" i="14608"/>
  <c r="HH224" i="14608"/>
  <c r="HI224" i="14608"/>
  <c r="HJ224" i="14608"/>
  <c r="HK224" i="14608"/>
  <c r="HL224" i="14608"/>
  <c r="HM224" i="14608"/>
  <c r="HN224" i="14608"/>
  <c r="HO224" i="14608"/>
  <c r="HP224" i="14608"/>
  <c r="HQ224" i="14608"/>
  <c r="HR224" i="14608"/>
  <c r="HS224" i="14608"/>
  <c r="HT224" i="14608"/>
  <c r="HU224" i="14608"/>
  <c r="HV224" i="14608"/>
  <c r="HW224" i="14608"/>
  <c r="HX224" i="14608"/>
  <c r="HY224" i="14608"/>
  <c r="HZ224" i="14608"/>
  <c r="IA224" i="14608"/>
  <c r="IB224" i="14608"/>
  <c r="IC224" i="14608"/>
  <c r="ID224" i="14608"/>
  <c r="IE224" i="14608"/>
  <c r="IF224" i="14608"/>
  <c r="IG224" i="14608"/>
  <c r="IH224" i="14608"/>
  <c r="II224" i="14608"/>
  <c r="IJ224" i="14608"/>
  <c r="IK224" i="14608"/>
  <c r="IL224" i="14608"/>
  <c r="IM224" i="14608"/>
  <c r="IN224" i="14608"/>
  <c r="IO224" i="14608"/>
  <c r="IP224" i="14608"/>
  <c r="IQ224" i="14608"/>
  <c r="IR224" i="14608"/>
  <c r="IS224" i="14608"/>
  <c r="IT224" i="14608"/>
  <c r="IU224" i="14608"/>
  <c r="IV224" i="14608"/>
  <c r="A223" i="14608"/>
  <c r="B223" i="14608"/>
  <c r="C223" i="14608"/>
  <c r="D223" i="14608"/>
  <c r="E223" i="14608"/>
  <c r="F223" i="14608"/>
  <c r="G223" i="14608"/>
  <c r="H223" i="14608"/>
  <c r="I223" i="14608"/>
  <c r="J223" i="14608"/>
  <c r="K223" i="14608"/>
  <c r="L223" i="14608"/>
  <c r="M223" i="14608"/>
  <c r="N223" i="14608"/>
  <c r="O223" i="14608"/>
  <c r="P223" i="14608"/>
  <c r="Q223" i="14608"/>
  <c r="R223" i="14608"/>
  <c r="S223" i="14608"/>
  <c r="T223" i="14608"/>
  <c r="U223" i="14608"/>
  <c r="V223" i="14608"/>
  <c r="W223" i="14608"/>
  <c r="X223" i="14608"/>
  <c r="Y223" i="14608"/>
  <c r="Z223" i="14608"/>
  <c r="AA223" i="14608"/>
  <c r="AB223" i="14608"/>
  <c r="AC223" i="14608"/>
  <c r="AD223" i="14608"/>
  <c r="AE223" i="14608"/>
  <c r="AF223" i="14608"/>
  <c r="AG223" i="14608"/>
  <c r="AH223" i="14608"/>
  <c r="AI223" i="14608"/>
  <c r="AJ223" i="14608"/>
  <c r="AK223" i="14608"/>
  <c r="AL223" i="14608"/>
  <c r="AM223" i="14608"/>
  <c r="AN223" i="14608"/>
  <c r="AO223" i="14608"/>
  <c r="AP223" i="14608"/>
  <c r="AQ223" i="14608"/>
  <c r="AR223" i="14608"/>
  <c r="AS223" i="14608"/>
  <c r="AT223" i="14608"/>
  <c r="AU223" i="14608"/>
  <c r="AV223" i="14608"/>
  <c r="AW223" i="14608"/>
  <c r="AX223" i="14608"/>
  <c r="AY223" i="14608"/>
  <c r="AZ223" i="14608"/>
  <c r="BA223" i="14608"/>
  <c r="BB223" i="14608"/>
  <c r="BC223" i="14608"/>
  <c r="BD223" i="14608"/>
  <c r="BE223" i="14608"/>
  <c r="BF223" i="14608"/>
  <c r="BG223" i="14608"/>
  <c r="BH223" i="14608"/>
  <c r="BI223" i="14608"/>
  <c r="BJ223" i="14608"/>
  <c r="BK223" i="14608"/>
  <c r="BL223" i="14608"/>
  <c r="BM223" i="14608"/>
  <c r="BN223" i="14608"/>
  <c r="BO223" i="14608"/>
  <c r="BP223" i="14608"/>
  <c r="BQ223" i="14608"/>
  <c r="BR223" i="14608"/>
  <c r="BS223" i="14608"/>
  <c r="BT223" i="14608"/>
  <c r="BU223" i="14608"/>
  <c r="BV223" i="14608"/>
  <c r="BW223" i="14608"/>
  <c r="BX223" i="14608"/>
  <c r="BY223" i="14608"/>
  <c r="BZ223" i="14608"/>
  <c r="CA223" i="14608"/>
  <c r="CB223" i="14608"/>
  <c r="CC223" i="14608"/>
  <c r="CD223" i="14608"/>
  <c r="CE223" i="14608"/>
  <c r="CF223" i="14608"/>
  <c r="CG223" i="14608"/>
  <c r="CH223" i="14608"/>
  <c r="CI223" i="14608"/>
  <c r="CJ223" i="14608"/>
  <c r="CK223" i="14608"/>
  <c r="CL223" i="14608"/>
  <c r="CM223" i="14608"/>
  <c r="CN223" i="14608"/>
  <c r="CO223" i="14608"/>
  <c r="CP223" i="14608"/>
  <c r="CQ223" i="14608"/>
  <c r="CR223" i="14608"/>
  <c r="CS223" i="14608"/>
  <c r="CT223" i="14608"/>
  <c r="CU223" i="14608"/>
  <c r="CV223" i="14608"/>
  <c r="CW223" i="14608"/>
  <c r="CX223" i="14608"/>
  <c r="CY223" i="14608"/>
  <c r="CZ223" i="14608"/>
  <c r="DA223" i="14608"/>
  <c r="DB223" i="14608"/>
  <c r="DC223" i="14608"/>
  <c r="DD223" i="14608"/>
  <c r="DE223" i="14608"/>
  <c r="DF223" i="14608"/>
  <c r="DG223" i="14608"/>
  <c r="DH223" i="14608"/>
  <c r="DI223" i="14608"/>
  <c r="DJ223" i="14608"/>
  <c r="DK223" i="14608"/>
  <c r="DL223" i="14608"/>
  <c r="DM223" i="14608"/>
  <c r="DN223" i="14608"/>
  <c r="DO223" i="14608"/>
  <c r="DP223" i="14608"/>
  <c r="DQ223" i="14608"/>
  <c r="DR223" i="14608"/>
  <c r="DS223" i="14608"/>
  <c r="DT223" i="14608"/>
  <c r="DU223" i="14608"/>
  <c r="DV223" i="14608"/>
  <c r="DW223" i="14608"/>
  <c r="DX223" i="14608"/>
  <c r="DY223" i="14608"/>
  <c r="DZ223" i="14608"/>
  <c r="EA223" i="14608"/>
  <c r="EB223" i="14608"/>
  <c r="EC223" i="14608"/>
  <c r="ED223" i="14608"/>
  <c r="EE223" i="14608"/>
  <c r="EF223" i="14608"/>
  <c r="EG223" i="14608"/>
  <c r="EH223" i="14608"/>
  <c r="EI223" i="14608"/>
  <c r="EJ223" i="14608"/>
  <c r="EK223" i="14608"/>
  <c r="EL223" i="14608"/>
  <c r="EM223" i="14608"/>
  <c r="EN223" i="14608"/>
  <c r="EO223" i="14608"/>
  <c r="EP223" i="14608"/>
  <c r="EQ223" i="14608"/>
  <c r="ER223" i="14608"/>
  <c r="ES223" i="14608"/>
  <c r="ET223" i="14608"/>
  <c r="EU223" i="14608"/>
  <c r="EV223" i="14608"/>
  <c r="EW223" i="14608"/>
  <c r="EX223" i="14608"/>
  <c r="EY223" i="14608"/>
  <c r="EZ223" i="14608"/>
  <c r="FA223" i="14608"/>
  <c r="FB223" i="14608"/>
  <c r="FC223" i="14608"/>
  <c r="FD223" i="14608"/>
  <c r="FE223" i="14608"/>
  <c r="FF223" i="14608"/>
  <c r="FG223" i="14608"/>
  <c r="FH223" i="14608"/>
  <c r="FI223" i="14608"/>
  <c r="FJ223" i="14608"/>
  <c r="FK223" i="14608"/>
  <c r="FL223" i="14608"/>
  <c r="FM223" i="14608"/>
  <c r="FN223" i="14608"/>
  <c r="FO223" i="14608"/>
  <c r="FP223" i="14608"/>
  <c r="FQ223" i="14608"/>
  <c r="FR223" i="14608"/>
  <c r="FS223" i="14608"/>
  <c r="FT223" i="14608"/>
  <c r="FU223" i="14608"/>
  <c r="FV223" i="14608"/>
  <c r="FW223" i="14608"/>
  <c r="FX223" i="14608"/>
  <c r="FY223" i="14608"/>
  <c r="FZ223" i="14608"/>
  <c r="GA223" i="14608"/>
  <c r="GB223" i="14608"/>
  <c r="GC223" i="14608"/>
  <c r="GD223" i="14608"/>
  <c r="GE223" i="14608"/>
  <c r="GF223" i="14608"/>
  <c r="GG223" i="14608"/>
  <c r="GH223" i="14608"/>
  <c r="GI223" i="14608"/>
  <c r="GJ223" i="14608"/>
  <c r="GK223" i="14608"/>
  <c r="GL223" i="14608"/>
  <c r="GM223" i="14608"/>
  <c r="GN223" i="14608"/>
  <c r="GO223" i="14608"/>
  <c r="GP223" i="14608"/>
  <c r="GQ223" i="14608"/>
  <c r="GR223" i="14608"/>
  <c r="GS223" i="14608"/>
  <c r="GT223" i="14608"/>
  <c r="GU223" i="14608"/>
  <c r="GV223" i="14608"/>
  <c r="GW223" i="14608"/>
  <c r="GX223" i="14608"/>
  <c r="GY223" i="14608"/>
  <c r="GZ223" i="14608"/>
  <c r="HA223" i="14608"/>
  <c r="HB223" i="14608"/>
  <c r="HC223" i="14608"/>
  <c r="HD223" i="14608"/>
  <c r="HE223" i="14608"/>
  <c r="HF223" i="14608"/>
  <c r="HG223" i="14608"/>
  <c r="HH223" i="14608"/>
  <c r="HI223" i="14608"/>
  <c r="HJ223" i="14608"/>
  <c r="HK223" i="14608"/>
  <c r="HL223" i="14608"/>
  <c r="HM223" i="14608"/>
  <c r="HN223" i="14608"/>
  <c r="HO223" i="14608"/>
  <c r="HP223" i="14608"/>
  <c r="HQ223" i="14608"/>
  <c r="HR223" i="14608"/>
  <c r="HS223" i="14608"/>
  <c r="HT223" i="14608"/>
  <c r="HU223" i="14608"/>
  <c r="HV223" i="14608"/>
  <c r="HW223" i="14608"/>
  <c r="HX223" i="14608"/>
  <c r="HY223" i="14608"/>
  <c r="HZ223" i="14608"/>
  <c r="IA223" i="14608"/>
  <c r="IB223" i="14608"/>
  <c r="IC223" i="14608"/>
  <c r="ID223" i="14608"/>
  <c r="IE223" i="14608"/>
  <c r="IF223" i="14608"/>
  <c r="IG223" i="14608"/>
  <c r="IH223" i="14608"/>
  <c r="II223" i="14608"/>
  <c r="IJ223" i="14608"/>
  <c r="IK223" i="14608"/>
  <c r="IL223" i="14608"/>
  <c r="IM223" i="14608"/>
  <c r="IN223" i="14608"/>
  <c r="IO223" i="14608"/>
  <c r="IP223" i="14608"/>
  <c r="IQ223" i="14608"/>
  <c r="IR223" i="14608"/>
  <c r="IS223" i="14608"/>
  <c r="IT223" i="14608"/>
  <c r="IU223" i="14608"/>
  <c r="IV223" i="14608"/>
  <c r="A222" i="14608"/>
  <c r="B222" i="14608"/>
  <c r="C222" i="14608"/>
  <c r="D222" i="14608"/>
  <c r="E222" i="14608"/>
  <c r="F222" i="14608"/>
  <c r="G222" i="14608"/>
  <c r="H222" i="14608"/>
  <c r="I222" i="14608"/>
  <c r="J222" i="14608"/>
  <c r="K222" i="14608"/>
  <c r="L222" i="14608"/>
  <c r="M222" i="14608"/>
  <c r="N222" i="14608"/>
  <c r="O222" i="14608"/>
  <c r="P222" i="14608"/>
  <c r="Q222" i="14608"/>
  <c r="R222" i="14608"/>
  <c r="S222" i="14608"/>
  <c r="T222" i="14608"/>
  <c r="U222" i="14608"/>
  <c r="V222" i="14608"/>
  <c r="W222" i="14608"/>
  <c r="X222" i="14608"/>
  <c r="Y222" i="14608"/>
  <c r="Z222" i="14608"/>
  <c r="AA222" i="14608"/>
  <c r="AB222" i="14608"/>
  <c r="AC222" i="14608"/>
  <c r="AD222" i="14608"/>
  <c r="AE222" i="14608"/>
  <c r="AF222" i="14608"/>
  <c r="AG222" i="14608"/>
  <c r="AH222" i="14608"/>
  <c r="AI222" i="14608"/>
  <c r="AJ222" i="14608"/>
  <c r="AK222" i="14608"/>
  <c r="AL222" i="14608"/>
  <c r="AM222" i="14608"/>
  <c r="AN222" i="14608"/>
  <c r="AO222" i="14608"/>
  <c r="AP222" i="14608"/>
  <c r="AQ222" i="14608"/>
  <c r="AR222" i="14608"/>
  <c r="AS222" i="14608"/>
  <c r="AT222" i="14608"/>
  <c r="AU222" i="14608"/>
  <c r="AV222" i="14608"/>
  <c r="AW222" i="14608"/>
  <c r="AX222" i="14608"/>
  <c r="AY222" i="14608"/>
  <c r="AZ222" i="14608"/>
  <c r="BA222" i="14608"/>
  <c r="BB222" i="14608"/>
  <c r="BC222" i="14608"/>
  <c r="BD222" i="14608"/>
  <c r="BE222" i="14608"/>
  <c r="BF222" i="14608"/>
  <c r="BG222" i="14608"/>
  <c r="BH222" i="14608"/>
  <c r="BI222" i="14608"/>
  <c r="BJ222" i="14608"/>
  <c r="BK222" i="14608"/>
  <c r="BL222" i="14608"/>
  <c r="BM222" i="14608"/>
  <c r="BN222" i="14608"/>
  <c r="BO222" i="14608"/>
  <c r="BP222" i="14608"/>
  <c r="BQ222" i="14608"/>
  <c r="BR222" i="14608"/>
  <c r="BS222" i="14608"/>
  <c r="BT222" i="14608"/>
  <c r="BU222" i="14608"/>
  <c r="BV222" i="14608"/>
  <c r="BW222" i="14608"/>
  <c r="BX222" i="14608"/>
  <c r="BY222" i="14608"/>
  <c r="BZ222" i="14608"/>
  <c r="CA222" i="14608"/>
  <c r="CB222" i="14608"/>
  <c r="CC222" i="14608"/>
  <c r="CD222" i="14608"/>
  <c r="CE222" i="14608"/>
  <c r="CF222" i="14608"/>
  <c r="CG222" i="14608"/>
  <c r="CH222" i="14608"/>
  <c r="CI222" i="14608"/>
  <c r="CJ222" i="14608"/>
  <c r="CK222" i="14608"/>
  <c r="CL222" i="14608"/>
  <c r="CM222" i="14608"/>
  <c r="CN222" i="14608"/>
  <c r="CO222" i="14608"/>
  <c r="CP222" i="14608"/>
  <c r="CQ222" i="14608"/>
  <c r="CR222" i="14608"/>
  <c r="CS222" i="14608"/>
  <c r="CT222" i="14608"/>
  <c r="CU222" i="14608"/>
  <c r="CV222" i="14608"/>
  <c r="CW222" i="14608"/>
  <c r="CX222" i="14608"/>
  <c r="CY222" i="14608"/>
  <c r="CZ222" i="14608"/>
  <c r="DA222" i="14608"/>
  <c r="DB222" i="14608"/>
  <c r="DC222" i="14608"/>
  <c r="DD222" i="14608"/>
  <c r="DE222" i="14608"/>
  <c r="DF222" i="14608"/>
  <c r="DG222" i="14608"/>
  <c r="DH222" i="14608"/>
  <c r="DI222" i="14608"/>
  <c r="DJ222" i="14608"/>
  <c r="DK222" i="14608"/>
  <c r="DL222" i="14608"/>
  <c r="DM222" i="14608"/>
  <c r="DN222" i="14608"/>
  <c r="DO222" i="14608"/>
  <c r="DP222" i="14608"/>
  <c r="DQ222" i="14608"/>
  <c r="DR222" i="14608"/>
  <c r="DS222" i="14608"/>
  <c r="DT222" i="14608"/>
  <c r="DU222" i="14608"/>
  <c r="DV222" i="14608"/>
  <c r="DW222" i="14608"/>
  <c r="DX222" i="14608"/>
  <c r="DY222" i="14608"/>
  <c r="DZ222" i="14608"/>
  <c r="EA222" i="14608"/>
  <c r="EB222" i="14608"/>
  <c r="EC222" i="14608"/>
  <c r="ED222" i="14608"/>
  <c r="EE222" i="14608"/>
  <c r="EF222" i="14608"/>
  <c r="EG222" i="14608"/>
  <c r="EH222" i="14608"/>
  <c r="EI222" i="14608"/>
  <c r="EJ222" i="14608"/>
  <c r="EK222" i="14608"/>
  <c r="EL222" i="14608"/>
  <c r="EM222" i="14608"/>
  <c r="EN222" i="14608"/>
  <c r="EO222" i="14608"/>
  <c r="EP222" i="14608"/>
  <c r="EQ222" i="14608"/>
  <c r="ER222" i="14608"/>
  <c r="ES222" i="14608"/>
  <c r="ET222" i="14608"/>
  <c r="EU222" i="14608"/>
  <c r="EV222" i="14608"/>
  <c r="EW222" i="14608"/>
  <c r="EX222" i="14608"/>
  <c r="EY222" i="14608"/>
  <c r="EZ222" i="14608"/>
  <c r="FA222" i="14608"/>
  <c r="FB222" i="14608"/>
  <c r="FC222" i="14608"/>
  <c r="FD222" i="14608"/>
  <c r="FE222" i="14608"/>
  <c r="FF222" i="14608"/>
  <c r="FG222" i="14608"/>
  <c r="FH222" i="14608"/>
  <c r="FI222" i="14608"/>
  <c r="FJ222" i="14608"/>
  <c r="FK222" i="14608"/>
  <c r="FL222" i="14608"/>
  <c r="FM222" i="14608"/>
  <c r="FN222" i="14608"/>
  <c r="FO222" i="14608"/>
  <c r="FP222" i="14608"/>
  <c r="FQ222" i="14608"/>
  <c r="FR222" i="14608"/>
  <c r="FS222" i="14608"/>
  <c r="FT222" i="14608"/>
  <c r="FU222" i="14608"/>
  <c r="FV222" i="14608"/>
  <c r="FW222" i="14608"/>
  <c r="FX222" i="14608"/>
  <c r="FY222" i="14608"/>
  <c r="FZ222" i="14608"/>
  <c r="GA222" i="14608"/>
  <c r="GB222" i="14608"/>
  <c r="GC222" i="14608"/>
  <c r="GD222" i="14608"/>
  <c r="GE222" i="14608"/>
  <c r="GF222" i="14608"/>
  <c r="GG222" i="14608"/>
  <c r="GH222" i="14608"/>
  <c r="GI222" i="14608"/>
  <c r="GJ222" i="14608"/>
  <c r="GK222" i="14608"/>
  <c r="GL222" i="14608"/>
  <c r="GM222" i="14608"/>
  <c r="GN222" i="14608"/>
  <c r="GO222" i="14608"/>
  <c r="GP222" i="14608"/>
  <c r="GQ222" i="14608"/>
  <c r="GR222" i="14608"/>
  <c r="GS222" i="14608"/>
  <c r="GT222" i="14608"/>
  <c r="GU222" i="14608"/>
  <c r="GV222" i="14608"/>
  <c r="GW222" i="14608"/>
  <c r="GX222" i="14608"/>
  <c r="GY222" i="14608"/>
  <c r="GZ222" i="14608"/>
  <c r="HA222" i="14608"/>
  <c r="HB222" i="14608"/>
  <c r="HC222" i="14608"/>
  <c r="HD222" i="14608"/>
  <c r="HE222" i="14608"/>
  <c r="HF222" i="14608"/>
  <c r="HG222" i="14608"/>
  <c r="HH222" i="14608"/>
  <c r="HI222" i="14608"/>
  <c r="HJ222" i="14608"/>
  <c r="HK222" i="14608"/>
  <c r="HL222" i="14608"/>
  <c r="HM222" i="14608"/>
  <c r="HN222" i="14608"/>
  <c r="HO222" i="14608"/>
  <c r="HP222" i="14608"/>
  <c r="HQ222" i="14608"/>
  <c r="HR222" i="14608"/>
  <c r="HS222" i="14608"/>
  <c r="HT222" i="14608"/>
  <c r="HU222" i="14608"/>
  <c r="HV222" i="14608"/>
  <c r="HW222" i="14608"/>
  <c r="HX222" i="14608"/>
  <c r="HY222" i="14608"/>
  <c r="HZ222" i="14608"/>
  <c r="IA222" i="14608"/>
  <c r="IB222" i="14608"/>
  <c r="IC222" i="14608"/>
  <c r="ID222" i="14608"/>
  <c r="IE222" i="14608"/>
  <c r="IF222" i="14608"/>
  <c r="IG222" i="14608"/>
  <c r="IH222" i="14608"/>
  <c r="II222" i="14608"/>
  <c r="IJ222" i="14608"/>
  <c r="IK222" i="14608"/>
  <c r="IL222" i="14608"/>
  <c r="IM222" i="14608"/>
  <c r="IN222" i="14608"/>
  <c r="IO222" i="14608"/>
  <c r="IP222" i="14608"/>
  <c r="IQ222" i="14608"/>
  <c r="IR222" i="14608"/>
  <c r="IS222" i="14608"/>
  <c r="IT222" i="14608"/>
  <c r="IU222" i="14608"/>
  <c r="IV222" i="14608"/>
  <c r="A221" i="14608"/>
  <c r="B221" i="14608"/>
  <c r="C221" i="14608"/>
  <c r="D221" i="14608"/>
  <c r="E221" i="14608"/>
  <c r="F221" i="14608"/>
  <c r="G221" i="14608"/>
  <c r="H221" i="14608"/>
  <c r="I221" i="14608"/>
  <c r="J221" i="14608"/>
  <c r="K221" i="14608"/>
  <c r="L221" i="14608"/>
  <c r="M221" i="14608"/>
  <c r="N221" i="14608"/>
  <c r="O221" i="14608"/>
  <c r="P221" i="14608"/>
  <c r="Q221" i="14608"/>
  <c r="R221" i="14608"/>
  <c r="S221" i="14608"/>
  <c r="T221" i="14608"/>
  <c r="U221" i="14608"/>
  <c r="V221" i="14608"/>
  <c r="W221" i="14608"/>
  <c r="X221" i="14608"/>
  <c r="Y221" i="14608"/>
  <c r="Z221" i="14608"/>
  <c r="AA221" i="14608"/>
  <c r="AB221" i="14608"/>
  <c r="AC221" i="14608"/>
  <c r="AD221" i="14608"/>
  <c r="AE221" i="14608"/>
  <c r="AF221" i="14608"/>
  <c r="AG221" i="14608"/>
  <c r="AH221" i="14608"/>
  <c r="AI221" i="14608"/>
  <c r="AJ221" i="14608"/>
  <c r="AK221" i="14608"/>
  <c r="AL221" i="14608"/>
  <c r="AM221" i="14608"/>
  <c r="AN221" i="14608"/>
  <c r="AO221" i="14608"/>
  <c r="AP221" i="14608"/>
  <c r="AQ221" i="14608"/>
  <c r="AR221" i="14608"/>
  <c r="AS221" i="14608"/>
  <c r="AT221" i="14608"/>
  <c r="AU221" i="14608"/>
  <c r="AV221" i="14608"/>
  <c r="AW221" i="14608"/>
  <c r="AX221" i="14608"/>
  <c r="AY221" i="14608"/>
  <c r="AZ221" i="14608"/>
  <c r="BA221" i="14608"/>
  <c r="BB221" i="14608"/>
  <c r="BC221" i="14608"/>
  <c r="BD221" i="14608"/>
  <c r="BE221" i="14608"/>
  <c r="BF221" i="14608"/>
  <c r="BG221" i="14608"/>
  <c r="BH221" i="14608"/>
  <c r="BI221" i="14608"/>
  <c r="BJ221" i="14608"/>
  <c r="BK221" i="14608"/>
  <c r="BL221" i="14608"/>
  <c r="BM221" i="14608"/>
  <c r="BN221" i="14608"/>
  <c r="BO221" i="14608"/>
  <c r="BP221" i="14608"/>
  <c r="BQ221" i="14608"/>
  <c r="BR221" i="14608"/>
  <c r="BS221" i="14608"/>
  <c r="BT221" i="14608"/>
  <c r="BU221" i="14608"/>
  <c r="BV221" i="14608"/>
  <c r="BW221" i="14608"/>
  <c r="BX221" i="14608"/>
  <c r="BY221" i="14608"/>
  <c r="BZ221" i="14608"/>
  <c r="CA221" i="14608"/>
  <c r="CB221" i="14608"/>
  <c r="CC221" i="14608"/>
  <c r="CD221" i="14608"/>
  <c r="CE221" i="14608"/>
  <c r="CF221" i="14608"/>
  <c r="CG221" i="14608"/>
  <c r="CH221" i="14608"/>
  <c r="CI221" i="14608"/>
  <c r="CJ221" i="14608"/>
  <c r="CK221" i="14608"/>
  <c r="CL221" i="14608"/>
  <c r="CM221" i="14608"/>
  <c r="CN221" i="14608"/>
  <c r="CO221" i="14608"/>
  <c r="CP221" i="14608"/>
  <c r="CQ221" i="14608"/>
  <c r="CR221" i="14608"/>
  <c r="CS221" i="14608"/>
  <c r="CT221" i="14608"/>
  <c r="CU221" i="14608"/>
  <c r="CV221" i="14608"/>
  <c r="CW221" i="14608"/>
  <c r="CX221" i="14608"/>
  <c r="CY221" i="14608"/>
  <c r="CZ221" i="14608"/>
  <c r="DA221" i="14608"/>
  <c r="DB221" i="14608"/>
  <c r="DC221" i="14608"/>
  <c r="DD221" i="14608"/>
  <c r="DE221" i="14608"/>
  <c r="DF221" i="14608"/>
  <c r="DG221" i="14608"/>
  <c r="DH221" i="14608"/>
  <c r="DI221" i="14608"/>
  <c r="DJ221" i="14608"/>
  <c r="DK221" i="14608"/>
  <c r="DL221" i="14608"/>
  <c r="DM221" i="14608"/>
  <c r="DN221" i="14608"/>
  <c r="DO221" i="14608"/>
  <c r="DP221" i="14608"/>
  <c r="DQ221" i="14608"/>
  <c r="DR221" i="14608"/>
  <c r="DS221" i="14608"/>
  <c r="DT221" i="14608"/>
  <c r="DU221" i="14608"/>
  <c r="DV221" i="14608"/>
  <c r="DW221" i="14608"/>
  <c r="DX221" i="14608"/>
  <c r="DY221" i="14608"/>
  <c r="DZ221" i="14608"/>
  <c r="EA221" i="14608"/>
  <c r="EB221" i="14608"/>
  <c r="EC221" i="14608"/>
  <c r="ED221" i="14608"/>
  <c r="EE221" i="14608"/>
  <c r="EF221" i="14608"/>
  <c r="EG221" i="14608"/>
  <c r="EH221" i="14608"/>
  <c r="EI221" i="14608"/>
  <c r="EJ221" i="14608"/>
  <c r="EK221" i="14608"/>
  <c r="EL221" i="14608"/>
  <c r="EM221" i="14608"/>
  <c r="EN221" i="14608"/>
  <c r="EO221" i="14608"/>
  <c r="EP221" i="14608"/>
  <c r="EQ221" i="14608"/>
  <c r="ER221" i="14608"/>
  <c r="ES221" i="14608"/>
  <c r="ET221" i="14608"/>
  <c r="EU221" i="14608"/>
  <c r="EV221" i="14608"/>
  <c r="EW221" i="14608"/>
  <c r="EX221" i="14608"/>
  <c r="EY221" i="14608"/>
  <c r="EZ221" i="14608"/>
  <c r="FA221" i="14608"/>
  <c r="FB221" i="14608"/>
  <c r="FC221" i="14608"/>
  <c r="FD221" i="14608"/>
  <c r="FE221" i="14608"/>
  <c r="FF221" i="14608"/>
  <c r="FG221" i="14608"/>
  <c r="FH221" i="14608"/>
  <c r="FI221" i="14608"/>
  <c r="FJ221" i="14608"/>
  <c r="FK221" i="14608"/>
  <c r="FL221" i="14608"/>
  <c r="FM221" i="14608"/>
  <c r="FN221" i="14608"/>
  <c r="FO221" i="14608"/>
  <c r="FP221" i="14608"/>
  <c r="FQ221" i="14608"/>
  <c r="FR221" i="14608"/>
  <c r="FS221" i="14608"/>
  <c r="FT221" i="14608"/>
  <c r="FU221" i="14608"/>
  <c r="FV221" i="14608"/>
  <c r="FW221" i="14608"/>
  <c r="FX221" i="14608"/>
  <c r="FY221" i="14608"/>
  <c r="FZ221" i="14608"/>
  <c r="GA221" i="14608"/>
  <c r="GB221" i="14608"/>
  <c r="GC221" i="14608"/>
  <c r="GD221" i="14608"/>
  <c r="GE221" i="14608"/>
  <c r="GF221" i="14608"/>
  <c r="GG221" i="14608"/>
  <c r="GH221" i="14608"/>
  <c r="GI221" i="14608"/>
  <c r="GJ221" i="14608"/>
  <c r="GK221" i="14608"/>
  <c r="GL221" i="14608"/>
  <c r="GM221" i="14608"/>
  <c r="GN221" i="14608"/>
  <c r="GO221" i="14608"/>
  <c r="GP221" i="14608"/>
  <c r="GQ221" i="14608"/>
  <c r="GR221" i="14608"/>
  <c r="GS221" i="14608"/>
  <c r="GT221" i="14608"/>
  <c r="GU221" i="14608"/>
  <c r="GV221" i="14608"/>
  <c r="GW221" i="14608"/>
  <c r="GX221" i="14608"/>
  <c r="GY221" i="14608"/>
  <c r="GZ221" i="14608"/>
  <c r="HA221" i="14608"/>
  <c r="HB221" i="14608"/>
  <c r="HC221" i="14608"/>
  <c r="HD221" i="14608"/>
  <c r="HE221" i="14608"/>
  <c r="HF221" i="14608"/>
  <c r="HG221" i="14608"/>
  <c r="HH221" i="14608"/>
  <c r="HI221" i="14608"/>
  <c r="HJ221" i="14608"/>
  <c r="HK221" i="14608"/>
  <c r="HL221" i="14608"/>
  <c r="HM221" i="14608"/>
  <c r="HN221" i="14608"/>
  <c r="HO221" i="14608"/>
  <c r="HP221" i="14608"/>
  <c r="HQ221" i="14608"/>
  <c r="HR221" i="14608"/>
  <c r="HS221" i="14608"/>
  <c r="HT221" i="14608"/>
  <c r="HU221" i="14608"/>
  <c r="HV221" i="14608"/>
  <c r="HW221" i="14608"/>
  <c r="HX221" i="14608"/>
  <c r="HY221" i="14608"/>
  <c r="HZ221" i="14608"/>
  <c r="IA221" i="14608"/>
  <c r="IB221" i="14608"/>
  <c r="IC221" i="14608"/>
  <c r="ID221" i="14608"/>
  <c r="IE221" i="14608"/>
  <c r="IF221" i="14608"/>
  <c r="IG221" i="14608"/>
  <c r="IH221" i="14608"/>
  <c r="II221" i="14608"/>
  <c r="IJ221" i="14608"/>
  <c r="IK221" i="14608"/>
  <c r="IL221" i="14608"/>
  <c r="IM221" i="14608"/>
  <c r="IN221" i="14608"/>
  <c r="IO221" i="14608"/>
  <c r="IP221" i="14608"/>
  <c r="IQ221" i="14608"/>
  <c r="IR221" i="14608"/>
  <c r="IS221" i="14608"/>
  <c r="IT221" i="14608"/>
  <c r="IU221" i="14608"/>
  <c r="IV221" i="14608"/>
  <c r="A220" i="14608"/>
  <c r="B220" i="14608"/>
  <c r="C220" i="14608"/>
  <c r="D220" i="14608"/>
  <c r="E220" i="14608"/>
  <c r="F220" i="14608"/>
  <c r="G220" i="14608"/>
  <c r="H220" i="14608"/>
  <c r="I220" i="14608"/>
  <c r="J220" i="14608"/>
  <c r="K220" i="14608"/>
  <c r="L220" i="14608"/>
  <c r="M220" i="14608"/>
  <c r="N220" i="14608"/>
  <c r="O220" i="14608"/>
  <c r="P220" i="14608"/>
  <c r="Q220" i="14608"/>
  <c r="R220" i="14608"/>
  <c r="S220" i="14608"/>
  <c r="T220" i="14608"/>
  <c r="U220" i="14608"/>
  <c r="V220" i="14608"/>
  <c r="W220" i="14608"/>
  <c r="X220" i="14608"/>
  <c r="Y220" i="14608"/>
  <c r="Z220" i="14608"/>
  <c r="AA220" i="14608"/>
  <c r="AB220" i="14608"/>
  <c r="AC220" i="14608"/>
  <c r="AD220" i="14608"/>
  <c r="AE220" i="14608"/>
  <c r="AF220" i="14608"/>
  <c r="AG220" i="14608"/>
  <c r="AH220" i="14608"/>
  <c r="AI220" i="14608"/>
  <c r="AJ220" i="14608"/>
  <c r="AK220" i="14608"/>
  <c r="AL220" i="14608"/>
  <c r="AM220" i="14608"/>
  <c r="AN220" i="14608"/>
  <c r="AO220" i="14608"/>
  <c r="AP220" i="14608"/>
  <c r="AQ220" i="14608"/>
  <c r="AR220" i="14608"/>
  <c r="AS220" i="14608"/>
  <c r="AT220" i="14608"/>
  <c r="AU220" i="14608"/>
  <c r="AV220" i="14608"/>
  <c r="AW220" i="14608"/>
  <c r="AX220" i="14608"/>
  <c r="AY220" i="14608"/>
  <c r="AZ220" i="14608"/>
  <c r="BA220" i="14608"/>
  <c r="BB220" i="14608"/>
  <c r="BC220" i="14608"/>
  <c r="BD220" i="14608"/>
  <c r="BE220" i="14608"/>
  <c r="BF220" i="14608"/>
  <c r="BG220" i="14608"/>
  <c r="BH220" i="14608"/>
  <c r="BI220" i="14608"/>
  <c r="BJ220" i="14608"/>
  <c r="BK220" i="14608"/>
  <c r="BL220" i="14608"/>
  <c r="BM220" i="14608"/>
  <c r="BN220" i="14608"/>
  <c r="BO220" i="14608"/>
  <c r="BP220" i="14608"/>
  <c r="BQ220" i="14608"/>
  <c r="BR220" i="14608"/>
  <c r="BS220" i="14608"/>
  <c r="BT220" i="14608"/>
  <c r="BU220" i="14608"/>
  <c r="BV220" i="14608"/>
  <c r="BW220" i="14608"/>
  <c r="BX220" i="14608"/>
  <c r="BY220" i="14608"/>
  <c r="BZ220" i="14608"/>
  <c r="CA220" i="14608"/>
  <c r="CB220" i="14608"/>
  <c r="CC220" i="14608"/>
  <c r="CD220" i="14608"/>
  <c r="CE220" i="14608"/>
  <c r="CF220" i="14608"/>
  <c r="CG220" i="14608"/>
  <c r="CH220" i="14608"/>
  <c r="CI220" i="14608"/>
  <c r="CJ220" i="14608"/>
  <c r="CK220" i="14608"/>
  <c r="CL220" i="14608"/>
  <c r="CM220" i="14608"/>
  <c r="CN220" i="14608"/>
  <c r="CO220" i="14608"/>
  <c r="CP220" i="14608"/>
  <c r="CQ220" i="14608"/>
  <c r="CR220" i="14608"/>
  <c r="CS220" i="14608"/>
  <c r="CT220" i="14608"/>
  <c r="CU220" i="14608"/>
  <c r="CV220" i="14608"/>
  <c r="CW220" i="14608"/>
  <c r="CX220" i="14608"/>
  <c r="CY220" i="14608"/>
  <c r="CZ220" i="14608"/>
  <c r="DA220" i="14608"/>
  <c r="DB220" i="14608"/>
  <c r="DC220" i="14608"/>
  <c r="DD220" i="14608"/>
  <c r="DE220" i="14608"/>
  <c r="DF220" i="14608"/>
  <c r="DG220" i="14608"/>
  <c r="DH220" i="14608"/>
  <c r="DI220" i="14608"/>
  <c r="DJ220" i="14608"/>
  <c r="DK220" i="14608"/>
  <c r="DL220" i="14608"/>
  <c r="DM220" i="14608"/>
  <c r="DN220" i="14608"/>
  <c r="DO220" i="14608"/>
  <c r="DP220" i="14608"/>
  <c r="DQ220" i="14608"/>
  <c r="DR220" i="14608"/>
  <c r="DS220" i="14608"/>
  <c r="DT220" i="14608"/>
  <c r="DU220" i="14608"/>
  <c r="DV220" i="14608"/>
  <c r="DW220" i="14608"/>
  <c r="DX220" i="14608"/>
  <c r="DY220" i="14608"/>
  <c r="DZ220" i="14608"/>
  <c r="EA220" i="14608"/>
  <c r="EB220" i="14608"/>
  <c r="EC220" i="14608"/>
  <c r="ED220" i="14608"/>
  <c r="EE220" i="14608"/>
  <c r="EF220" i="14608"/>
  <c r="EG220" i="14608"/>
  <c r="EH220" i="14608"/>
  <c r="EI220" i="14608"/>
  <c r="EJ220" i="14608"/>
  <c r="EK220" i="14608"/>
  <c r="EL220" i="14608"/>
  <c r="EM220" i="14608"/>
  <c r="EN220" i="14608"/>
  <c r="EO220" i="14608"/>
  <c r="EP220" i="14608"/>
  <c r="EQ220" i="14608"/>
  <c r="ER220" i="14608"/>
  <c r="ES220" i="14608"/>
  <c r="ET220" i="14608"/>
  <c r="EU220" i="14608"/>
  <c r="EV220" i="14608"/>
  <c r="EW220" i="14608"/>
  <c r="EX220" i="14608"/>
  <c r="EY220" i="14608"/>
  <c r="EZ220" i="14608"/>
  <c r="FA220" i="14608"/>
  <c r="FB220" i="14608"/>
  <c r="FC220" i="14608"/>
  <c r="FD220" i="14608"/>
  <c r="FE220" i="14608"/>
  <c r="FF220" i="14608"/>
  <c r="FG220" i="14608"/>
  <c r="FH220" i="14608"/>
  <c r="FI220" i="14608"/>
  <c r="FJ220" i="14608"/>
  <c r="FK220" i="14608"/>
  <c r="FL220" i="14608"/>
  <c r="FM220" i="14608"/>
  <c r="FN220" i="14608"/>
  <c r="FO220" i="14608"/>
  <c r="FP220" i="14608"/>
  <c r="FQ220" i="14608"/>
  <c r="FR220" i="14608"/>
  <c r="FS220" i="14608"/>
  <c r="FT220" i="14608"/>
  <c r="FU220" i="14608"/>
  <c r="FV220" i="14608"/>
  <c r="FW220" i="14608"/>
  <c r="FX220" i="14608"/>
  <c r="FY220" i="14608"/>
  <c r="FZ220" i="14608"/>
  <c r="GA220" i="14608"/>
  <c r="GB220" i="14608"/>
  <c r="GC220" i="14608"/>
  <c r="GD220" i="14608"/>
  <c r="GE220" i="14608"/>
  <c r="GF220" i="14608"/>
  <c r="GG220" i="14608"/>
  <c r="GH220" i="14608"/>
  <c r="GI220" i="14608"/>
  <c r="GJ220" i="14608"/>
  <c r="GK220" i="14608"/>
  <c r="GL220" i="14608"/>
  <c r="GM220" i="14608"/>
  <c r="GN220" i="14608"/>
  <c r="GO220" i="14608"/>
  <c r="GP220" i="14608"/>
  <c r="GQ220" i="14608"/>
  <c r="GR220" i="14608"/>
  <c r="GS220" i="14608"/>
  <c r="GT220" i="14608"/>
  <c r="GU220" i="14608"/>
  <c r="GV220" i="14608"/>
  <c r="GW220" i="14608"/>
  <c r="GX220" i="14608"/>
  <c r="GY220" i="14608"/>
  <c r="GZ220" i="14608"/>
  <c r="HA220" i="14608"/>
  <c r="HB220" i="14608"/>
  <c r="HC220" i="14608"/>
  <c r="HD220" i="14608"/>
  <c r="HE220" i="14608"/>
  <c r="HF220" i="14608"/>
  <c r="HG220" i="14608"/>
  <c r="HH220" i="14608"/>
  <c r="HI220" i="14608"/>
  <c r="HJ220" i="14608"/>
  <c r="HK220" i="14608"/>
  <c r="HL220" i="14608"/>
  <c r="HM220" i="14608"/>
  <c r="HN220" i="14608"/>
  <c r="HO220" i="14608"/>
  <c r="HP220" i="14608"/>
  <c r="HQ220" i="14608"/>
  <c r="HR220" i="14608"/>
  <c r="HS220" i="14608"/>
  <c r="HT220" i="14608"/>
  <c r="HU220" i="14608"/>
  <c r="HV220" i="14608"/>
  <c r="HW220" i="14608"/>
  <c r="HX220" i="14608"/>
  <c r="HY220" i="14608"/>
  <c r="HZ220" i="14608"/>
  <c r="IA220" i="14608"/>
  <c r="IB220" i="14608"/>
  <c r="IC220" i="14608"/>
  <c r="ID220" i="14608"/>
  <c r="IE220" i="14608"/>
  <c r="IF220" i="14608"/>
  <c r="IG220" i="14608"/>
  <c r="IH220" i="14608"/>
  <c r="II220" i="14608"/>
  <c r="IJ220" i="14608"/>
  <c r="IK220" i="14608"/>
  <c r="IL220" i="14608"/>
  <c r="IM220" i="14608"/>
  <c r="IN220" i="14608"/>
  <c r="IO220" i="14608"/>
  <c r="IP220" i="14608"/>
  <c r="IQ220" i="14608"/>
  <c r="IR220" i="14608"/>
  <c r="IS220" i="14608"/>
  <c r="IT220" i="14608"/>
  <c r="IU220" i="14608"/>
  <c r="IV220" i="14608"/>
  <c r="A219" i="14608"/>
  <c r="B219" i="14608"/>
  <c r="C219" i="14608"/>
  <c r="D219" i="14608"/>
  <c r="E219" i="14608"/>
  <c r="F219" i="14608"/>
  <c r="G219" i="14608"/>
  <c r="H219" i="14608"/>
  <c r="I219" i="14608"/>
  <c r="J219" i="14608"/>
  <c r="K219" i="14608"/>
  <c r="L219" i="14608"/>
  <c r="M219" i="14608"/>
  <c r="N219" i="14608"/>
  <c r="O219" i="14608"/>
  <c r="P219" i="14608"/>
  <c r="Q219" i="14608"/>
  <c r="R219" i="14608"/>
  <c r="S219" i="14608"/>
  <c r="T219" i="14608"/>
  <c r="U219" i="14608"/>
  <c r="V219" i="14608"/>
  <c r="W219" i="14608"/>
  <c r="X219" i="14608"/>
  <c r="Y219" i="14608"/>
  <c r="Z219" i="14608"/>
  <c r="AA219" i="14608"/>
  <c r="AB219" i="14608"/>
  <c r="AC219" i="14608"/>
  <c r="AD219" i="14608"/>
  <c r="AE219" i="14608"/>
  <c r="AF219" i="14608"/>
  <c r="AG219" i="14608"/>
  <c r="AH219" i="14608"/>
  <c r="AI219" i="14608"/>
  <c r="AJ219" i="14608"/>
  <c r="AK219" i="14608"/>
  <c r="AL219" i="14608"/>
  <c r="AM219" i="14608"/>
  <c r="AN219" i="14608"/>
  <c r="AO219" i="14608"/>
  <c r="AP219" i="14608"/>
  <c r="AQ219" i="14608"/>
  <c r="AR219" i="14608"/>
  <c r="AS219" i="14608"/>
  <c r="AT219" i="14608"/>
  <c r="AU219" i="14608"/>
  <c r="AV219" i="14608"/>
  <c r="AW219" i="14608"/>
  <c r="AX219" i="14608"/>
  <c r="AY219" i="14608"/>
  <c r="AZ219" i="14608"/>
  <c r="BA219" i="14608"/>
  <c r="BB219" i="14608"/>
  <c r="BC219" i="14608"/>
  <c r="BD219" i="14608"/>
  <c r="BE219" i="14608"/>
  <c r="BF219" i="14608"/>
  <c r="BG219" i="14608"/>
  <c r="BH219" i="14608"/>
  <c r="BI219" i="14608"/>
  <c r="BJ219" i="14608"/>
  <c r="BK219" i="14608"/>
  <c r="BL219" i="14608"/>
  <c r="BM219" i="14608"/>
  <c r="BN219" i="14608"/>
  <c r="BO219" i="14608"/>
  <c r="BP219" i="14608"/>
  <c r="BQ219" i="14608"/>
  <c r="BR219" i="14608"/>
  <c r="BS219" i="14608"/>
  <c r="BT219" i="14608"/>
  <c r="BU219" i="14608"/>
  <c r="BV219" i="14608"/>
  <c r="BW219" i="14608"/>
  <c r="BX219" i="14608"/>
  <c r="BY219" i="14608"/>
  <c r="BZ219" i="14608"/>
  <c r="CA219" i="14608"/>
  <c r="CB219" i="14608"/>
  <c r="CC219" i="14608"/>
  <c r="CD219" i="14608"/>
  <c r="CE219" i="14608"/>
  <c r="CF219" i="14608"/>
  <c r="CG219" i="14608"/>
  <c r="CH219" i="14608"/>
  <c r="CI219" i="14608"/>
  <c r="CJ219" i="14608"/>
  <c r="CK219" i="14608"/>
  <c r="CL219" i="14608"/>
  <c r="CM219" i="14608"/>
  <c r="CN219" i="14608"/>
  <c r="CO219" i="14608"/>
  <c r="CP219" i="14608"/>
  <c r="CQ219" i="14608"/>
  <c r="CR219" i="14608"/>
  <c r="CS219" i="14608"/>
  <c r="CT219" i="14608"/>
  <c r="CU219" i="14608"/>
  <c r="CV219" i="14608"/>
  <c r="CW219" i="14608"/>
  <c r="CX219" i="14608"/>
  <c r="CY219" i="14608"/>
  <c r="CZ219" i="14608"/>
  <c r="DA219" i="14608"/>
  <c r="DB219" i="14608"/>
  <c r="DC219" i="14608"/>
  <c r="DD219" i="14608"/>
  <c r="DE219" i="14608"/>
  <c r="DF219" i="14608"/>
  <c r="DG219" i="14608"/>
  <c r="DH219" i="14608"/>
  <c r="DI219" i="14608"/>
  <c r="DJ219" i="14608"/>
  <c r="DK219" i="14608"/>
  <c r="DL219" i="14608"/>
  <c r="DM219" i="14608"/>
  <c r="DN219" i="14608"/>
  <c r="DO219" i="14608"/>
  <c r="DP219" i="14608"/>
  <c r="DQ219" i="14608"/>
  <c r="DR219" i="14608"/>
  <c r="DS219" i="14608"/>
  <c r="DT219" i="14608"/>
  <c r="DU219" i="14608"/>
  <c r="DV219" i="14608"/>
  <c r="DW219" i="14608"/>
  <c r="DX219" i="14608"/>
  <c r="DY219" i="14608"/>
  <c r="DZ219" i="14608"/>
  <c r="EA219" i="14608"/>
  <c r="EB219" i="14608"/>
  <c r="EC219" i="14608"/>
  <c r="ED219" i="14608"/>
  <c r="EE219" i="14608"/>
  <c r="EF219" i="14608"/>
  <c r="EG219" i="14608"/>
  <c r="EH219" i="14608"/>
  <c r="EI219" i="14608"/>
  <c r="EJ219" i="14608"/>
  <c r="EK219" i="14608"/>
  <c r="EL219" i="14608"/>
  <c r="EM219" i="14608"/>
  <c r="EN219" i="14608"/>
  <c r="EO219" i="14608"/>
  <c r="EP219" i="14608"/>
  <c r="EQ219" i="14608"/>
  <c r="ER219" i="14608"/>
  <c r="ES219" i="14608"/>
  <c r="ET219" i="14608"/>
  <c r="EU219" i="14608"/>
  <c r="EV219" i="14608"/>
  <c r="EW219" i="14608"/>
  <c r="EX219" i="14608"/>
  <c r="EY219" i="14608"/>
  <c r="EZ219" i="14608"/>
  <c r="FA219" i="14608"/>
  <c r="FB219" i="14608"/>
  <c r="FC219" i="14608"/>
  <c r="FD219" i="14608"/>
  <c r="FE219" i="14608"/>
  <c r="FF219" i="14608"/>
  <c r="FG219" i="14608"/>
  <c r="FH219" i="14608"/>
  <c r="FI219" i="14608"/>
  <c r="FJ219" i="14608"/>
  <c r="FK219" i="14608"/>
  <c r="FL219" i="14608"/>
  <c r="FM219" i="14608"/>
  <c r="FN219" i="14608"/>
  <c r="FO219" i="14608"/>
  <c r="FP219" i="14608"/>
  <c r="FQ219" i="14608"/>
  <c r="FR219" i="14608"/>
  <c r="FS219" i="14608"/>
  <c r="FT219" i="14608"/>
  <c r="FU219" i="14608"/>
  <c r="FV219" i="14608"/>
  <c r="FW219" i="14608"/>
  <c r="FX219" i="14608"/>
  <c r="FY219" i="14608"/>
  <c r="FZ219" i="14608"/>
  <c r="GA219" i="14608"/>
  <c r="GB219" i="14608"/>
  <c r="GC219" i="14608"/>
  <c r="GD219" i="14608"/>
  <c r="GE219" i="14608"/>
  <c r="GF219" i="14608"/>
  <c r="GG219" i="14608"/>
  <c r="GH219" i="14608"/>
  <c r="GI219" i="14608"/>
  <c r="GJ219" i="14608"/>
  <c r="GK219" i="14608"/>
  <c r="GL219" i="14608"/>
  <c r="GM219" i="14608"/>
  <c r="GN219" i="14608"/>
  <c r="GO219" i="14608"/>
  <c r="GP219" i="14608"/>
  <c r="GQ219" i="14608"/>
  <c r="GR219" i="14608"/>
  <c r="GS219" i="14608"/>
  <c r="GT219" i="14608"/>
  <c r="GU219" i="14608"/>
  <c r="GV219" i="14608"/>
  <c r="GW219" i="14608"/>
  <c r="GX219" i="14608"/>
  <c r="GY219" i="14608"/>
  <c r="GZ219" i="14608"/>
  <c r="HA219" i="14608"/>
  <c r="HB219" i="14608"/>
  <c r="HC219" i="14608"/>
  <c r="HD219" i="14608"/>
  <c r="HE219" i="14608"/>
  <c r="HF219" i="14608"/>
  <c r="HG219" i="14608"/>
  <c r="HH219" i="14608"/>
  <c r="HI219" i="14608"/>
  <c r="HJ219" i="14608"/>
  <c r="HK219" i="14608"/>
  <c r="HL219" i="14608"/>
  <c r="HM219" i="14608"/>
  <c r="HN219" i="14608"/>
  <c r="HO219" i="14608"/>
  <c r="HP219" i="14608"/>
  <c r="HQ219" i="14608"/>
  <c r="HR219" i="14608"/>
  <c r="HS219" i="14608"/>
  <c r="HT219" i="14608"/>
  <c r="HU219" i="14608"/>
  <c r="HV219" i="14608"/>
  <c r="HW219" i="14608"/>
  <c r="HX219" i="14608"/>
  <c r="HY219" i="14608"/>
  <c r="HZ219" i="14608"/>
  <c r="IA219" i="14608"/>
  <c r="IB219" i="14608"/>
  <c r="IC219" i="14608"/>
  <c r="ID219" i="14608"/>
  <c r="IE219" i="14608"/>
  <c r="IF219" i="14608"/>
  <c r="IG219" i="14608"/>
  <c r="IH219" i="14608"/>
  <c r="II219" i="14608"/>
  <c r="IJ219" i="14608"/>
  <c r="IK219" i="14608"/>
  <c r="IL219" i="14608"/>
  <c r="IM219" i="14608"/>
  <c r="IN219" i="14608"/>
  <c r="IO219" i="14608"/>
  <c r="IP219" i="14608"/>
  <c r="IQ219" i="14608"/>
  <c r="IR219" i="14608"/>
  <c r="IS219" i="14608"/>
  <c r="IT219" i="14608"/>
  <c r="IU219" i="14608"/>
  <c r="IV219" i="14608"/>
  <c r="A218" i="14608"/>
  <c r="B218" i="14608"/>
  <c r="C218" i="14608"/>
  <c r="D218" i="14608"/>
  <c r="E218" i="14608"/>
  <c r="F218" i="14608"/>
  <c r="G218" i="14608"/>
  <c r="H218" i="14608"/>
  <c r="I218" i="14608"/>
  <c r="J218" i="14608"/>
  <c r="K218" i="14608"/>
  <c r="L218" i="14608"/>
  <c r="M218" i="14608"/>
  <c r="N218" i="14608"/>
  <c r="O218" i="14608"/>
  <c r="P218" i="14608"/>
  <c r="Q218" i="14608"/>
  <c r="R218" i="14608"/>
  <c r="S218" i="14608"/>
  <c r="T218" i="14608"/>
  <c r="U218" i="14608"/>
  <c r="V218" i="14608"/>
  <c r="W218" i="14608"/>
  <c r="X218" i="14608"/>
  <c r="Y218" i="14608"/>
  <c r="Z218" i="14608"/>
  <c r="AA218" i="14608"/>
  <c r="AB218" i="14608"/>
  <c r="AC218" i="14608"/>
  <c r="AD218" i="14608"/>
  <c r="AE218" i="14608"/>
  <c r="AF218" i="14608"/>
  <c r="AG218" i="14608"/>
  <c r="AH218" i="14608"/>
  <c r="AI218" i="14608"/>
  <c r="AJ218" i="14608"/>
  <c r="AK218" i="14608"/>
  <c r="AL218" i="14608"/>
  <c r="AM218" i="14608"/>
  <c r="AN218" i="14608"/>
  <c r="AO218" i="14608"/>
  <c r="AP218" i="14608"/>
  <c r="AQ218" i="14608"/>
  <c r="AR218" i="14608"/>
  <c r="AS218" i="14608"/>
  <c r="AT218" i="14608"/>
  <c r="AU218" i="14608"/>
  <c r="AV218" i="14608"/>
  <c r="AW218" i="14608"/>
  <c r="AX218" i="14608"/>
  <c r="AY218" i="14608"/>
  <c r="AZ218" i="14608"/>
  <c r="BA218" i="14608"/>
  <c r="BB218" i="14608"/>
  <c r="BC218" i="14608"/>
  <c r="BD218" i="14608"/>
  <c r="BE218" i="14608"/>
  <c r="BF218" i="14608"/>
  <c r="BG218" i="14608"/>
  <c r="BH218" i="14608"/>
  <c r="BI218" i="14608"/>
  <c r="BJ218" i="14608"/>
  <c r="BK218" i="14608"/>
  <c r="BL218" i="14608"/>
  <c r="BM218" i="14608"/>
  <c r="BN218" i="14608"/>
  <c r="BO218" i="14608"/>
  <c r="BP218" i="14608"/>
  <c r="BQ218" i="14608"/>
  <c r="BR218" i="14608"/>
  <c r="BS218" i="14608"/>
  <c r="BT218" i="14608"/>
  <c r="BU218" i="14608"/>
  <c r="BV218" i="14608"/>
  <c r="BW218" i="14608"/>
  <c r="BX218" i="14608"/>
  <c r="BY218" i="14608"/>
  <c r="BZ218" i="14608"/>
  <c r="CA218" i="14608"/>
  <c r="CB218" i="14608"/>
  <c r="CC218" i="14608"/>
  <c r="CD218" i="14608"/>
  <c r="CE218" i="14608"/>
  <c r="CF218" i="14608"/>
  <c r="CG218" i="14608"/>
  <c r="CH218" i="14608"/>
  <c r="CI218" i="14608"/>
  <c r="CJ218" i="14608"/>
  <c r="CK218" i="14608"/>
  <c r="CL218" i="14608"/>
  <c r="CM218" i="14608"/>
  <c r="CN218" i="14608"/>
  <c r="CO218" i="14608"/>
  <c r="CP218" i="14608"/>
  <c r="CQ218" i="14608"/>
  <c r="CR218" i="14608"/>
  <c r="CS218" i="14608"/>
  <c r="CT218" i="14608"/>
  <c r="CU218" i="14608"/>
  <c r="CV218" i="14608"/>
  <c r="CW218" i="14608"/>
  <c r="CX218" i="14608"/>
  <c r="CY218" i="14608"/>
  <c r="CZ218" i="14608"/>
  <c r="DA218" i="14608"/>
  <c r="DB218" i="14608"/>
  <c r="DC218" i="14608"/>
  <c r="DD218" i="14608"/>
  <c r="DE218" i="14608"/>
  <c r="DF218" i="14608"/>
  <c r="DG218" i="14608"/>
  <c r="DH218" i="14608"/>
  <c r="DI218" i="14608"/>
  <c r="DJ218" i="14608"/>
  <c r="DK218" i="14608"/>
  <c r="DL218" i="14608"/>
  <c r="DM218" i="14608"/>
  <c r="DN218" i="14608"/>
  <c r="DO218" i="14608"/>
  <c r="DP218" i="14608"/>
  <c r="DQ218" i="14608"/>
  <c r="DR218" i="14608"/>
  <c r="DS218" i="14608"/>
  <c r="DT218" i="14608"/>
  <c r="DU218" i="14608"/>
  <c r="DV218" i="14608"/>
  <c r="DW218" i="14608"/>
  <c r="DX218" i="14608"/>
  <c r="DY218" i="14608"/>
  <c r="DZ218" i="14608"/>
  <c r="EA218" i="14608"/>
  <c r="EB218" i="14608"/>
  <c r="EC218" i="14608"/>
  <c r="ED218" i="14608"/>
  <c r="EE218" i="14608"/>
  <c r="EF218" i="14608"/>
  <c r="EG218" i="14608"/>
  <c r="EH218" i="14608"/>
  <c r="EI218" i="14608"/>
  <c r="EJ218" i="14608"/>
  <c r="EK218" i="14608"/>
  <c r="EL218" i="14608"/>
  <c r="EM218" i="14608"/>
  <c r="EN218" i="14608"/>
  <c r="EO218" i="14608"/>
  <c r="EP218" i="14608"/>
  <c r="EQ218" i="14608"/>
  <c r="ER218" i="14608"/>
  <c r="ES218" i="14608"/>
  <c r="ET218" i="14608"/>
  <c r="EU218" i="14608"/>
  <c r="EV218" i="14608"/>
  <c r="EW218" i="14608"/>
  <c r="EX218" i="14608"/>
  <c r="EY218" i="14608"/>
  <c r="EZ218" i="14608"/>
  <c r="FA218" i="14608"/>
  <c r="FB218" i="14608"/>
  <c r="FC218" i="14608"/>
  <c r="FD218" i="14608"/>
  <c r="FE218" i="14608"/>
  <c r="FF218" i="14608"/>
  <c r="FG218" i="14608"/>
  <c r="FH218" i="14608"/>
  <c r="FI218" i="14608"/>
  <c r="FJ218" i="14608"/>
  <c r="FK218" i="14608"/>
  <c r="FL218" i="14608"/>
  <c r="FM218" i="14608"/>
  <c r="FN218" i="14608"/>
  <c r="FO218" i="14608"/>
  <c r="FP218" i="14608"/>
  <c r="FQ218" i="14608"/>
  <c r="FR218" i="14608"/>
  <c r="FS218" i="14608"/>
  <c r="FT218" i="14608"/>
  <c r="FU218" i="14608"/>
  <c r="FV218" i="14608"/>
  <c r="FW218" i="14608"/>
  <c r="FX218" i="14608"/>
  <c r="FY218" i="14608"/>
  <c r="FZ218" i="14608"/>
  <c r="GA218" i="14608"/>
  <c r="GB218" i="14608"/>
  <c r="GC218" i="14608"/>
  <c r="GD218" i="14608"/>
  <c r="GE218" i="14608"/>
  <c r="GF218" i="14608"/>
  <c r="GG218" i="14608"/>
  <c r="GH218" i="14608"/>
  <c r="GI218" i="14608"/>
  <c r="GJ218" i="14608"/>
  <c r="GK218" i="14608"/>
  <c r="GL218" i="14608"/>
  <c r="GM218" i="14608"/>
  <c r="GN218" i="14608"/>
  <c r="GO218" i="14608"/>
  <c r="GP218" i="14608"/>
  <c r="GQ218" i="14608"/>
  <c r="GR218" i="14608"/>
  <c r="GS218" i="14608"/>
  <c r="GT218" i="14608"/>
  <c r="GU218" i="14608"/>
  <c r="GV218" i="14608"/>
  <c r="GW218" i="14608"/>
  <c r="GX218" i="14608"/>
  <c r="GY218" i="14608"/>
  <c r="GZ218" i="14608"/>
  <c r="HA218" i="14608"/>
  <c r="HB218" i="14608"/>
  <c r="HC218" i="14608"/>
  <c r="HD218" i="14608"/>
  <c r="HE218" i="14608"/>
  <c r="HF218" i="14608"/>
  <c r="HG218" i="14608"/>
  <c r="HH218" i="14608"/>
  <c r="HI218" i="14608"/>
  <c r="HJ218" i="14608"/>
  <c r="HK218" i="14608"/>
  <c r="HL218" i="14608"/>
  <c r="HM218" i="14608"/>
  <c r="HN218" i="14608"/>
  <c r="HO218" i="14608"/>
  <c r="HP218" i="14608"/>
  <c r="HQ218" i="14608"/>
  <c r="HR218" i="14608"/>
  <c r="HS218" i="14608"/>
  <c r="HT218" i="14608"/>
  <c r="HU218" i="14608"/>
  <c r="HV218" i="14608"/>
  <c r="HW218" i="14608"/>
  <c r="HX218" i="14608"/>
  <c r="HY218" i="14608"/>
  <c r="HZ218" i="14608"/>
  <c r="IA218" i="14608"/>
  <c r="IB218" i="14608"/>
  <c r="IC218" i="14608"/>
  <c r="ID218" i="14608"/>
  <c r="IE218" i="14608"/>
  <c r="IF218" i="14608"/>
  <c r="IG218" i="14608"/>
  <c r="IH218" i="14608"/>
  <c r="II218" i="14608"/>
  <c r="IJ218" i="14608"/>
  <c r="IK218" i="14608"/>
  <c r="IL218" i="14608"/>
  <c r="IM218" i="14608"/>
  <c r="IN218" i="14608"/>
  <c r="IO218" i="14608"/>
  <c r="IP218" i="14608"/>
  <c r="IQ218" i="14608"/>
  <c r="IR218" i="14608"/>
  <c r="IS218" i="14608"/>
  <c r="IT218" i="14608"/>
  <c r="IU218" i="14608"/>
  <c r="IV218" i="14608"/>
  <c r="A217" i="14608"/>
  <c r="B217" i="14608"/>
  <c r="C217" i="14608"/>
  <c r="D217" i="14608"/>
  <c r="E217" i="14608"/>
  <c r="F217" i="14608"/>
  <c r="G217" i="14608"/>
  <c r="H217" i="14608"/>
  <c r="I217" i="14608"/>
  <c r="J217" i="14608"/>
  <c r="K217" i="14608"/>
  <c r="L217" i="14608"/>
  <c r="M217" i="14608"/>
  <c r="N217" i="14608"/>
  <c r="O217" i="14608"/>
  <c r="P217" i="14608"/>
  <c r="Q217" i="14608"/>
  <c r="R217" i="14608"/>
  <c r="S217" i="14608"/>
  <c r="T217" i="14608"/>
  <c r="U217" i="14608"/>
  <c r="V217" i="14608"/>
  <c r="W217" i="14608"/>
  <c r="X217" i="14608"/>
  <c r="Y217" i="14608"/>
  <c r="Z217" i="14608"/>
  <c r="AA217" i="14608"/>
  <c r="AB217" i="14608"/>
  <c r="AC217" i="14608"/>
  <c r="AD217" i="14608"/>
  <c r="AE217" i="14608"/>
  <c r="AF217" i="14608"/>
  <c r="AG217" i="14608"/>
  <c r="AH217" i="14608"/>
  <c r="AI217" i="14608"/>
  <c r="AJ217" i="14608"/>
  <c r="AK217" i="14608"/>
  <c r="AL217" i="14608"/>
  <c r="AM217" i="14608"/>
  <c r="AN217" i="14608"/>
  <c r="AO217" i="14608"/>
  <c r="AP217" i="14608"/>
  <c r="AQ217" i="14608"/>
  <c r="AR217" i="14608"/>
  <c r="AS217" i="14608"/>
  <c r="AT217" i="14608"/>
  <c r="AU217" i="14608"/>
  <c r="AV217" i="14608"/>
  <c r="AW217" i="14608"/>
  <c r="AX217" i="14608"/>
  <c r="AY217" i="14608"/>
  <c r="AZ217" i="14608"/>
  <c r="BA217" i="14608"/>
  <c r="BB217" i="14608"/>
  <c r="BC217" i="14608"/>
  <c r="BD217" i="14608"/>
  <c r="BE217" i="14608"/>
  <c r="BF217" i="14608"/>
  <c r="BG217" i="14608"/>
  <c r="BH217" i="14608"/>
  <c r="BI217" i="14608"/>
  <c r="BJ217" i="14608"/>
  <c r="BK217" i="14608"/>
  <c r="BL217" i="14608"/>
  <c r="BM217" i="14608"/>
  <c r="BN217" i="14608"/>
  <c r="BO217" i="14608"/>
  <c r="BP217" i="14608"/>
  <c r="BQ217" i="14608"/>
  <c r="BR217" i="14608"/>
  <c r="BS217" i="14608"/>
  <c r="BT217" i="14608"/>
  <c r="BU217" i="14608"/>
  <c r="BV217" i="14608"/>
  <c r="BW217" i="14608"/>
  <c r="BX217" i="14608"/>
  <c r="BY217" i="14608"/>
  <c r="BZ217" i="14608"/>
  <c r="CA217" i="14608"/>
  <c r="CB217" i="14608"/>
  <c r="CC217" i="14608"/>
  <c r="CD217" i="14608"/>
  <c r="CE217" i="14608"/>
  <c r="CF217" i="14608"/>
  <c r="CG217" i="14608"/>
  <c r="CH217" i="14608"/>
  <c r="CI217" i="14608"/>
  <c r="CJ217" i="14608"/>
  <c r="CK217" i="14608"/>
  <c r="CL217" i="14608"/>
  <c r="CM217" i="14608"/>
  <c r="CN217" i="14608"/>
  <c r="CO217" i="14608"/>
  <c r="CP217" i="14608"/>
  <c r="CQ217" i="14608"/>
  <c r="CR217" i="14608"/>
  <c r="CS217" i="14608"/>
  <c r="CT217" i="14608"/>
  <c r="CU217" i="14608"/>
  <c r="CV217" i="14608"/>
  <c r="CW217" i="14608"/>
  <c r="CX217" i="14608"/>
  <c r="CY217" i="14608"/>
  <c r="CZ217" i="14608"/>
  <c r="DA217" i="14608"/>
  <c r="DB217" i="14608"/>
  <c r="DC217" i="14608"/>
  <c r="DD217" i="14608"/>
  <c r="DE217" i="14608"/>
  <c r="DF217" i="14608"/>
  <c r="DG217" i="14608"/>
  <c r="DH217" i="14608"/>
  <c r="DI217" i="14608"/>
  <c r="DJ217" i="14608"/>
  <c r="DK217" i="14608"/>
  <c r="DL217" i="14608"/>
  <c r="DM217" i="14608"/>
  <c r="DN217" i="14608"/>
  <c r="DO217" i="14608"/>
  <c r="DP217" i="14608"/>
  <c r="DQ217" i="14608"/>
  <c r="DR217" i="14608"/>
  <c r="DS217" i="14608"/>
  <c r="DT217" i="14608"/>
  <c r="DU217" i="14608"/>
  <c r="DV217" i="14608"/>
  <c r="DW217" i="14608"/>
  <c r="DX217" i="14608"/>
  <c r="DY217" i="14608"/>
  <c r="DZ217" i="14608"/>
  <c r="EA217" i="14608"/>
  <c r="EB217" i="14608"/>
  <c r="EC217" i="14608"/>
  <c r="ED217" i="14608"/>
  <c r="EE217" i="14608"/>
  <c r="EF217" i="14608"/>
  <c r="EG217" i="14608"/>
  <c r="EH217" i="14608"/>
  <c r="EI217" i="14608"/>
  <c r="EJ217" i="14608"/>
  <c r="EK217" i="14608"/>
  <c r="EL217" i="14608"/>
  <c r="EM217" i="14608"/>
  <c r="EN217" i="14608"/>
  <c r="EO217" i="14608"/>
  <c r="EP217" i="14608"/>
  <c r="EQ217" i="14608"/>
  <c r="ER217" i="14608"/>
  <c r="ES217" i="14608"/>
  <c r="ET217" i="14608"/>
  <c r="EU217" i="14608"/>
  <c r="EV217" i="14608"/>
  <c r="EW217" i="14608"/>
  <c r="EX217" i="14608"/>
  <c r="EY217" i="14608"/>
  <c r="EZ217" i="14608"/>
  <c r="FA217" i="14608"/>
  <c r="FB217" i="14608"/>
  <c r="FC217" i="14608"/>
  <c r="FD217" i="14608"/>
  <c r="FE217" i="14608"/>
  <c r="FF217" i="14608"/>
  <c r="FG217" i="14608"/>
  <c r="FH217" i="14608"/>
  <c r="FI217" i="14608"/>
  <c r="FJ217" i="14608"/>
  <c r="FK217" i="14608"/>
  <c r="FL217" i="14608"/>
  <c r="FM217" i="14608"/>
  <c r="FN217" i="14608"/>
  <c r="FO217" i="14608"/>
  <c r="FP217" i="14608"/>
  <c r="FQ217" i="14608"/>
  <c r="FR217" i="14608"/>
  <c r="FS217" i="14608"/>
  <c r="FT217" i="14608"/>
  <c r="FU217" i="14608"/>
  <c r="FV217" i="14608"/>
  <c r="FW217" i="14608"/>
  <c r="FX217" i="14608"/>
  <c r="FY217" i="14608"/>
  <c r="FZ217" i="14608"/>
  <c r="GA217" i="14608"/>
  <c r="GB217" i="14608"/>
  <c r="GC217" i="14608"/>
  <c r="GD217" i="14608"/>
  <c r="GE217" i="14608"/>
  <c r="GF217" i="14608"/>
  <c r="GG217" i="14608"/>
  <c r="GH217" i="14608"/>
  <c r="GI217" i="14608"/>
  <c r="GJ217" i="14608"/>
  <c r="GK217" i="14608"/>
  <c r="GL217" i="14608"/>
  <c r="GM217" i="14608"/>
  <c r="GN217" i="14608"/>
  <c r="GO217" i="14608"/>
  <c r="GP217" i="14608"/>
  <c r="GQ217" i="14608"/>
  <c r="GR217" i="14608"/>
  <c r="GS217" i="14608"/>
  <c r="GT217" i="14608"/>
  <c r="GU217" i="14608"/>
  <c r="GV217" i="14608"/>
  <c r="GW217" i="14608"/>
  <c r="GX217" i="14608"/>
  <c r="GY217" i="14608"/>
  <c r="GZ217" i="14608"/>
  <c r="HA217" i="14608"/>
  <c r="HB217" i="14608"/>
  <c r="HC217" i="14608"/>
  <c r="HD217" i="14608"/>
  <c r="HE217" i="14608"/>
  <c r="HF217" i="14608"/>
  <c r="HG217" i="14608"/>
  <c r="HH217" i="14608"/>
  <c r="HI217" i="14608"/>
  <c r="HJ217" i="14608"/>
  <c r="HK217" i="14608"/>
  <c r="HL217" i="14608"/>
  <c r="HM217" i="14608"/>
  <c r="HN217" i="14608"/>
  <c r="HO217" i="14608"/>
  <c r="HP217" i="14608"/>
  <c r="HQ217" i="14608"/>
  <c r="HR217" i="14608"/>
  <c r="HS217" i="14608"/>
  <c r="HT217" i="14608"/>
  <c r="HU217" i="14608"/>
  <c r="HV217" i="14608"/>
  <c r="HW217" i="14608"/>
  <c r="HX217" i="14608"/>
  <c r="HY217" i="14608"/>
  <c r="HZ217" i="14608"/>
  <c r="IA217" i="14608"/>
  <c r="IB217" i="14608"/>
  <c r="IC217" i="14608"/>
  <c r="ID217" i="14608"/>
  <c r="IE217" i="14608"/>
  <c r="IF217" i="14608"/>
  <c r="IG217" i="14608"/>
  <c r="IH217" i="14608"/>
  <c r="II217" i="14608"/>
  <c r="IJ217" i="14608"/>
  <c r="IK217" i="14608"/>
  <c r="IL217" i="14608"/>
  <c r="IM217" i="14608"/>
  <c r="IN217" i="14608"/>
  <c r="IO217" i="14608"/>
  <c r="IP217" i="14608"/>
  <c r="IQ217" i="14608"/>
  <c r="IR217" i="14608"/>
  <c r="IS217" i="14608"/>
  <c r="IT217" i="14608"/>
  <c r="IU217" i="14608"/>
  <c r="IV217" i="14608"/>
  <c r="A216" i="14608"/>
  <c r="B216" i="14608"/>
  <c r="C216" i="14608"/>
  <c r="D216" i="14608"/>
  <c r="E216" i="14608"/>
  <c r="F216" i="14608"/>
  <c r="G216" i="14608"/>
  <c r="H216" i="14608"/>
  <c r="I216" i="14608"/>
  <c r="J216" i="14608"/>
  <c r="K216" i="14608"/>
  <c r="L216" i="14608"/>
  <c r="M216" i="14608"/>
  <c r="N216" i="14608"/>
  <c r="O216" i="14608"/>
  <c r="P216" i="14608"/>
  <c r="Q216" i="14608"/>
  <c r="R216" i="14608"/>
  <c r="S216" i="14608"/>
  <c r="T216" i="14608"/>
  <c r="U216" i="14608"/>
  <c r="V216" i="14608"/>
  <c r="W216" i="14608"/>
  <c r="X216" i="14608"/>
  <c r="Y216" i="14608"/>
  <c r="Z216" i="14608"/>
  <c r="AA216" i="14608"/>
  <c r="AB216" i="14608"/>
  <c r="AC216" i="14608"/>
  <c r="AD216" i="14608"/>
  <c r="AE216" i="14608"/>
  <c r="AF216" i="14608"/>
  <c r="AG216" i="14608"/>
  <c r="AH216" i="14608"/>
  <c r="AI216" i="14608"/>
  <c r="AJ216" i="14608"/>
  <c r="AK216" i="14608"/>
  <c r="AL216" i="14608"/>
  <c r="AM216" i="14608"/>
  <c r="AN216" i="14608"/>
  <c r="AO216" i="14608"/>
  <c r="AP216" i="14608"/>
  <c r="AQ216" i="14608"/>
  <c r="AR216" i="14608"/>
  <c r="AS216" i="14608"/>
  <c r="AT216" i="14608"/>
  <c r="AU216" i="14608"/>
  <c r="AV216" i="14608"/>
  <c r="AW216" i="14608"/>
  <c r="AX216" i="14608"/>
  <c r="AY216" i="14608"/>
  <c r="AZ216" i="14608"/>
  <c r="BA216" i="14608"/>
  <c r="BB216" i="14608"/>
  <c r="BC216" i="14608"/>
  <c r="BD216" i="14608"/>
  <c r="BE216" i="14608"/>
  <c r="BF216" i="14608"/>
  <c r="BG216" i="14608"/>
  <c r="BH216" i="14608"/>
  <c r="BI216" i="14608"/>
  <c r="BJ216" i="14608"/>
  <c r="BK216" i="14608"/>
  <c r="BL216" i="14608"/>
  <c r="BM216" i="14608"/>
  <c r="BN216" i="14608"/>
  <c r="BO216" i="14608"/>
  <c r="BP216" i="14608"/>
  <c r="BQ216" i="14608"/>
  <c r="BR216" i="14608"/>
  <c r="BS216" i="14608"/>
  <c r="BT216" i="14608"/>
  <c r="BU216" i="14608"/>
  <c r="BV216" i="14608"/>
  <c r="BW216" i="14608"/>
  <c r="BX216" i="14608"/>
  <c r="BY216" i="14608"/>
  <c r="BZ216" i="14608"/>
  <c r="CA216" i="14608"/>
  <c r="CB216" i="14608"/>
  <c r="CC216" i="14608"/>
  <c r="CD216" i="14608"/>
  <c r="CE216" i="14608"/>
  <c r="CF216" i="14608"/>
  <c r="CG216" i="14608"/>
  <c r="CH216" i="14608"/>
  <c r="CI216" i="14608"/>
  <c r="CJ216" i="14608"/>
  <c r="CK216" i="14608"/>
  <c r="CL216" i="14608"/>
  <c r="CM216" i="14608"/>
  <c r="CN216" i="14608"/>
  <c r="CO216" i="14608"/>
  <c r="CP216" i="14608"/>
  <c r="CQ216" i="14608"/>
  <c r="CR216" i="14608"/>
  <c r="CS216" i="14608"/>
  <c r="CT216" i="14608"/>
  <c r="CU216" i="14608"/>
  <c r="CV216" i="14608"/>
  <c r="CW216" i="14608"/>
  <c r="CX216" i="14608"/>
  <c r="CY216" i="14608"/>
  <c r="CZ216" i="14608"/>
  <c r="DA216" i="14608"/>
  <c r="DB216" i="14608"/>
  <c r="DC216" i="14608"/>
  <c r="DD216" i="14608"/>
  <c r="DE216" i="14608"/>
  <c r="DF216" i="14608"/>
  <c r="DG216" i="14608"/>
  <c r="DH216" i="14608"/>
  <c r="DI216" i="14608"/>
  <c r="DJ216" i="14608"/>
  <c r="DK216" i="14608"/>
  <c r="DL216" i="14608"/>
  <c r="DM216" i="14608"/>
  <c r="DN216" i="14608"/>
  <c r="DO216" i="14608"/>
  <c r="DP216" i="14608"/>
  <c r="DQ216" i="14608"/>
  <c r="DR216" i="14608"/>
  <c r="DS216" i="14608"/>
  <c r="DT216" i="14608"/>
  <c r="DU216" i="14608"/>
  <c r="DV216" i="14608"/>
  <c r="DW216" i="14608"/>
  <c r="DX216" i="14608"/>
  <c r="DY216" i="14608"/>
  <c r="DZ216" i="14608"/>
  <c r="EA216" i="14608"/>
  <c r="EB216" i="14608"/>
  <c r="EC216" i="14608"/>
  <c r="ED216" i="14608"/>
  <c r="EE216" i="14608"/>
  <c r="EF216" i="14608"/>
  <c r="EG216" i="14608"/>
  <c r="EH216" i="14608"/>
  <c r="EI216" i="14608"/>
  <c r="EJ216" i="14608"/>
  <c r="EK216" i="14608"/>
  <c r="EL216" i="14608"/>
  <c r="EM216" i="14608"/>
  <c r="EN216" i="14608"/>
  <c r="EO216" i="14608"/>
  <c r="EP216" i="14608"/>
  <c r="EQ216" i="14608"/>
  <c r="ER216" i="14608"/>
  <c r="ES216" i="14608"/>
  <c r="ET216" i="14608"/>
  <c r="EU216" i="14608"/>
  <c r="EV216" i="14608"/>
  <c r="EW216" i="14608"/>
  <c r="EX216" i="14608"/>
  <c r="EY216" i="14608"/>
  <c r="EZ216" i="14608"/>
  <c r="FA216" i="14608"/>
  <c r="FB216" i="14608"/>
  <c r="FC216" i="14608"/>
  <c r="FD216" i="14608"/>
  <c r="FE216" i="14608"/>
  <c r="FF216" i="14608"/>
  <c r="FG216" i="14608"/>
  <c r="FH216" i="14608"/>
  <c r="FI216" i="14608"/>
  <c r="FJ216" i="14608"/>
  <c r="FK216" i="14608"/>
  <c r="FL216" i="14608"/>
  <c r="FM216" i="14608"/>
  <c r="FN216" i="14608"/>
  <c r="FO216" i="14608"/>
  <c r="FP216" i="14608"/>
  <c r="FQ216" i="14608"/>
  <c r="FR216" i="14608"/>
  <c r="FS216" i="14608"/>
  <c r="FT216" i="14608"/>
  <c r="FU216" i="14608"/>
  <c r="FV216" i="14608"/>
  <c r="FW216" i="14608"/>
  <c r="FX216" i="14608"/>
  <c r="FY216" i="14608"/>
  <c r="FZ216" i="14608"/>
  <c r="GA216" i="14608"/>
  <c r="GB216" i="14608"/>
  <c r="GC216" i="14608"/>
  <c r="GD216" i="14608"/>
  <c r="GE216" i="14608"/>
  <c r="GF216" i="14608"/>
  <c r="GG216" i="14608"/>
  <c r="GH216" i="14608"/>
  <c r="GI216" i="14608"/>
  <c r="GJ216" i="14608"/>
  <c r="GK216" i="14608"/>
  <c r="GL216" i="14608"/>
  <c r="GM216" i="14608"/>
  <c r="GN216" i="14608"/>
  <c r="GO216" i="14608"/>
  <c r="GP216" i="14608"/>
  <c r="GQ216" i="14608"/>
  <c r="GR216" i="14608"/>
  <c r="GS216" i="14608"/>
  <c r="GT216" i="14608"/>
  <c r="GU216" i="14608"/>
  <c r="GV216" i="14608"/>
  <c r="GW216" i="14608"/>
  <c r="GX216" i="14608"/>
  <c r="GY216" i="14608"/>
  <c r="GZ216" i="14608"/>
  <c r="HA216" i="14608"/>
  <c r="HB216" i="14608"/>
  <c r="HC216" i="14608"/>
  <c r="HD216" i="14608"/>
  <c r="HE216" i="14608"/>
  <c r="HF216" i="14608"/>
  <c r="HG216" i="14608"/>
  <c r="HH216" i="14608"/>
  <c r="HI216" i="14608"/>
  <c r="HJ216" i="14608"/>
  <c r="HK216" i="14608"/>
  <c r="HL216" i="14608"/>
  <c r="HM216" i="14608"/>
  <c r="HN216" i="14608"/>
  <c r="HO216" i="14608"/>
  <c r="HP216" i="14608"/>
  <c r="HQ216" i="14608"/>
  <c r="HR216" i="14608"/>
  <c r="HS216" i="14608"/>
  <c r="HT216" i="14608"/>
  <c r="HU216" i="14608"/>
  <c r="HV216" i="14608"/>
  <c r="HW216" i="14608"/>
  <c r="HX216" i="14608"/>
  <c r="HY216" i="14608"/>
  <c r="HZ216" i="14608"/>
  <c r="IA216" i="14608"/>
  <c r="IB216" i="14608"/>
  <c r="IC216" i="14608"/>
  <c r="ID216" i="14608"/>
  <c r="IE216" i="14608"/>
  <c r="IF216" i="14608"/>
  <c r="IG216" i="14608"/>
  <c r="IH216" i="14608"/>
  <c r="II216" i="14608"/>
  <c r="IJ216" i="14608"/>
  <c r="IK216" i="14608"/>
  <c r="IL216" i="14608"/>
  <c r="IM216" i="14608"/>
  <c r="IN216" i="14608"/>
  <c r="IO216" i="14608"/>
  <c r="IP216" i="14608"/>
  <c r="IQ216" i="14608"/>
  <c r="IR216" i="14608"/>
  <c r="IS216" i="14608"/>
  <c r="IT216" i="14608"/>
  <c r="IU216" i="14608"/>
  <c r="IV216" i="14608"/>
  <c r="A215" i="14608"/>
  <c r="B215" i="14608"/>
  <c r="C215" i="14608"/>
  <c r="D215" i="14608"/>
  <c r="E215" i="14608"/>
  <c r="F215" i="14608"/>
  <c r="G215" i="14608"/>
  <c r="H215" i="14608"/>
  <c r="I215" i="14608"/>
  <c r="J215" i="14608"/>
  <c r="K215" i="14608"/>
  <c r="L215" i="14608"/>
  <c r="M215" i="14608"/>
  <c r="N215" i="14608"/>
  <c r="O215" i="14608"/>
  <c r="P215" i="14608"/>
  <c r="Q215" i="14608"/>
  <c r="R215" i="14608"/>
  <c r="S215" i="14608"/>
  <c r="T215" i="14608"/>
  <c r="U215" i="14608"/>
  <c r="V215" i="14608"/>
  <c r="W215" i="14608"/>
  <c r="X215" i="14608"/>
  <c r="Y215" i="14608"/>
  <c r="Z215" i="14608"/>
  <c r="AA215" i="14608"/>
  <c r="AB215" i="14608"/>
  <c r="AC215" i="14608"/>
  <c r="AD215" i="14608"/>
  <c r="AE215" i="14608"/>
  <c r="AF215" i="14608"/>
  <c r="AG215" i="14608"/>
  <c r="AH215" i="14608"/>
  <c r="AI215" i="14608"/>
  <c r="AJ215" i="14608"/>
  <c r="AK215" i="14608"/>
  <c r="AL215" i="14608"/>
  <c r="AM215" i="14608"/>
  <c r="AN215" i="14608"/>
  <c r="AO215" i="14608"/>
  <c r="AP215" i="14608"/>
  <c r="AQ215" i="14608"/>
  <c r="AR215" i="14608"/>
  <c r="AS215" i="14608"/>
  <c r="AT215" i="14608"/>
  <c r="AU215" i="14608"/>
  <c r="AV215" i="14608"/>
  <c r="AW215" i="14608"/>
  <c r="AX215" i="14608"/>
  <c r="AY215" i="14608"/>
  <c r="AZ215" i="14608"/>
  <c r="BA215" i="14608"/>
  <c r="BB215" i="14608"/>
  <c r="BC215" i="14608"/>
  <c r="BD215" i="14608"/>
  <c r="BE215" i="14608"/>
  <c r="BF215" i="14608"/>
  <c r="BG215" i="14608"/>
  <c r="BH215" i="14608"/>
  <c r="BI215" i="14608"/>
  <c r="BJ215" i="14608"/>
  <c r="BK215" i="14608"/>
  <c r="BL215" i="14608"/>
  <c r="BM215" i="14608"/>
  <c r="BN215" i="14608"/>
  <c r="BO215" i="14608"/>
  <c r="BP215" i="14608"/>
  <c r="BQ215" i="14608"/>
  <c r="BR215" i="14608"/>
  <c r="BS215" i="14608"/>
  <c r="BT215" i="14608"/>
  <c r="BU215" i="14608"/>
  <c r="BV215" i="14608"/>
  <c r="BW215" i="14608"/>
  <c r="BX215" i="14608"/>
  <c r="BY215" i="14608"/>
  <c r="BZ215" i="14608"/>
  <c r="CA215" i="14608"/>
  <c r="CB215" i="14608"/>
  <c r="CC215" i="14608"/>
  <c r="CD215" i="14608"/>
  <c r="CE215" i="14608"/>
  <c r="CF215" i="14608"/>
  <c r="CG215" i="14608"/>
  <c r="CH215" i="14608"/>
  <c r="CI215" i="14608"/>
  <c r="CJ215" i="14608"/>
  <c r="CK215" i="14608"/>
  <c r="CL215" i="14608"/>
  <c r="CM215" i="14608"/>
  <c r="CN215" i="14608"/>
  <c r="CO215" i="14608"/>
  <c r="CP215" i="14608"/>
  <c r="CQ215" i="14608"/>
  <c r="CR215" i="14608"/>
  <c r="CS215" i="14608"/>
  <c r="CT215" i="14608"/>
  <c r="CU215" i="14608"/>
  <c r="CV215" i="14608"/>
  <c r="CW215" i="14608"/>
  <c r="CX215" i="14608"/>
  <c r="CY215" i="14608"/>
  <c r="CZ215" i="14608"/>
  <c r="DA215" i="14608"/>
  <c r="DB215" i="14608"/>
  <c r="DC215" i="14608"/>
  <c r="DD215" i="14608"/>
  <c r="DE215" i="14608"/>
  <c r="DF215" i="14608"/>
  <c r="DG215" i="14608"/>
  <c r="DH215" i="14608"/>
  <c r="DI215" i="14608"/>
  <c r="DJ215" i="14608"/>
  <c r="DK215" i="14608"/>
  <c r="DL215" i="14608"/>
  <c r="DM215" i="14608"/>
  <c r="DN215" i="14608"/>
  <c r="DO215" i="14608"/>
  <c r="DP215" i="14608"/>
  <c r="DQ215" i="14608"/>
  <c r="DR215" i="14608"/>
  <c r="DS215" i="14608"/>
  <c r="DT215" i="14608"/>
  <c r="DU215" i="14608"/>
  <c r="DV215" i="14608"/>
  <c r="DW215" i="14608"/>
  <c r="DX215" i="14608"/>
  <c r="DY215" i="14608"/>
  <c r="DZ215" i="14608"/>
  <c r="EA215" i="14608"/>
  <c r="EB215" i="14608"/>
  <c r="EC215" i="14608"/>
  <c r="ED215" i="14608"/>
  <c r="EE215" i="14608"/>
  <c r="EF215" i="14608"/>
  <c r="EG215" i="14608"/>
  <c r="EH215" i="14608"/>
  <c r="EI215" i="14608"/>
  <c r="EJ215" i="14608"/>
  <c r="EK215" i="14608"/>
  <c r="EL215" i="14608"/>
  <c r="EM215" i="14608"/>
  <c r="EN215" i="14608"/>
  <c r="EO215" i="14608"/>
  <c r="EP215" i="14608"/>
  <c r="EQ215" i="14608"/>
  <c r="ER215" i="14608"/>
  <c r="ES215" i="14608"/>
  <c r="ET215" i="14608"/>
  <c r="EU215" i="14608"/>
  <c r="EV215" i="14608"/>
  <c r="EW215" i="14608"/>
  <c r="EX215" i="14608"/>
  <c r="EY215" i="14608"/>
  <c r="EZ215" i="14608"/>
  <c r="FA215" i="14608"/>
  <c r="FB215" i="14608"/>
  <c r="FC215" i="14608"/>
  <c r="FD215" i="14608"/>
  <c r="FE215" i="14608"/>
  <c r="FF215" i="14608"/>
  <c r="FG215" i="14608"/>
  <c r="FH215" i="14608"/>
  <c r="FI215" i="14608"/>
  <c r="FJ215" i="14608"/>
  <c r="FK215" i="14608"/>
  <c r="FL215" i="14608"/>
  <c r="FM215" i="14608"/>
  <c r="FN215" i="14608"/>
  <c r="FO215" i="14608"/>
  <c r="FP215" i="14608"/>
  <c r="FQ215" i="14608"/>
  <c r="FR215" i="14608"/>
  <c r="FS215" i="14608"/>
  <c r="FT215" i="14608"/>
  <c r="FU215" i="14608"/>
  <c r="FV215" i="14608"/>
  <c r="FW215" i="14608"/>
  <c r="FX215" i="14608"/>
  <c r="FY215" i="14608"/>
  <c r="FZ215" i="14608"/>
  <c r="GA215" i="14608"/>
  <c r="GB215" i="14608"/>
  <c r="GC215" i="14608"/>
  <c r="GD215" i="14608"/>
  <c r="GE215" i="14608"/>
  <c r="GF215" i="14608"/>
  <c r="GG215" i="14608"/>
  <c r="GH215" i="14608"/>
  <c r="GI215" i="14608"/>
  <c r="GJ215" i="14608"/>
  <c r="GK215" i="14608"/>
  <c r="GL215" i="14608"/>
  <c r="GM215" i="14608"/>
  <c r="GN215" i="14608"/>
  <c r="GO215" i="14608"/>
  <c r="GP215" i="14608"/>
  <c r="GQ215" i="14608"/>
  <c r="GR215" i="14608"/>
  <c r="GS215" i="14608"/>
  <c r="GT215" i="14608"/>
  <c r="GU215" i="14608"/>
  <c r="GV215" i="14608"/>
  <c r="GW215" i="14608"/>
  <c r="GX215" i="14608"/>
  <c r="GY215" i="14608"/>
  <c r="GZ215" i="14608"/>
  <c r="HA215" i="14608"/>
  <c r="HB215" i="14608"/>
  <c r="HC215" i="14608"/>
  <c r="HD215" i="14608"/>
  <c r="HE215" i="14608"/>
  <c r="HF215" i="14608"/>
  <c r="HG215" i="14608"/>
  <c r="HH215" i="14608"/>
  <c r="HI215" i="14608"/>
  <c r="HJ215" i="14608"/>
  <c r="HK215" i="14608"/>
  <c r="HL215" i="14608"/>
  <c r="HM215" i="14608"/>
  <c r="HN215" i="14608"/>
  <c r="HO215" i="14608"/>
  <c r="HP215" i="14608"/>
  <c r="HQ215" i="14608"/>
  <c r="HR215" i="14608"/>
  <c r="HS215" i="14608"/>
  <c r="HT215" i="14608"/>
  <c r="HU215" i="14608"/>
  <c r="HV215" i="14608"/>
  <c r="HW215" i="14608"/>
  <c r="HX215" i="14608"/>
  <c r="HY215" i="14608"/>
  <c r="HZ215" i="14608"/>
  <c r="IA215" i="14608"/>
  <c r="IB215" i="14608"/>
  <c r="IC215" i="14608"/>
  <c r="ID215" i="14608"/>
  <c r="IE215" i="14608"/>
  <c r="IF215" i="14608"/>
  <c r="IG215" i="14608"/>
  <c r="IH215" i="14608"/>
  <c r="II215" i="14608"/>
  <c r="IJ215" i="14608"/>
  <c r="IK215" i="14608"/>
  <c r="IL215" i="14608"/>
  <c r="IM215" i="14608"/>
  <c r="IN215" i="14608"/>
  <c r="IO215" i="14608"/>
  <c r="IP215" i="14608"/>
  <c r="IQ215" i="14608"/>
  <c r="IR215" i="14608"/>
  <c r="IS215" i="14608"/>
  <c r="IT215" i="14608"/>
  <c r="IU215" i="14608"/>
  <c r="IV215" i="14608"/>
  <c r="A214" i="14608"/>
  <c r="B214" i="14608"/>
  <c r="C214" i="14608"/>
  <c r="D214" i="14608"/>
  <c r="E214" i="14608"/>
  <c r="F214" i="14608"/>
  <c r="G214" i="14608"/>
  <c r="H214" i="14608"/>
  <c r="I214" i="14608"/>
  <c r="J214" i="14608"/>
  <c r="K214" i="14608"/>
  <c r="L214" i="14608"/>
  <c r="M214" i="14608"/>
  <c r="N214" i="14608"/>
  <c r="O214" i="14608"/>
  <c r="P214" i="14608"/>
  <c r="Q214" i="14608"/>
  <c r="R214" i="14608"/>
  <c r="S214" i="14608"/>
  <c r="T214" i="14608"/>
  <c r="U214" i="14608"/>
  <c r="V214" i="14608"/>
  <c r="W214" i="14608"/>
  <c r="X214" i="14608"/>
  <c r="Y214" i="14608"/>
  <c r="Z214" i="14608"/>
  <c r="AA214" i="14608"/>
  <c r="AB214" i="14608"/>
  <c r="AC214" i="14608"/>
  <c r="AD214" i="14608"/>
  <c r="AE214" i="14608"/>
  <c r="AF214" i="14608"/>
  <c r="AG214" i="14608"/>
  <c r="AH214" i="14608"/>
  <c r="AI214" i="14608"/>
  <c r="AJ214" i="14608"/>
  <c r="AK214" i="14608"/>
  <c r="AL214" i="14608"/>
  <c r="AM214" i="14608"/>
  <c r="AN214" i="14608"/>
  <c r="AO214" i="14608"/>
  <c r="AP214" i="14608"/>
  <c r="AQ214" i="14608"/>
  <c r="AR214" i="14608"/>
  <c r="AS214" i="14608"/>
  <c r="AT214" i="14608"/>
  <c r="AU214" i="14608"/>
  <c r="AV214" i="14608"/>
  <c r="AW214" i="14608"/>
  <c r="AX214" i="14608"/>
  <c r="AY214" i="14608"/>
  <c r="AZ214" i="14608"/>
  <c r="BA214" i="14608"/>
  <c r="BB214" i="14608"/>
  <c r="BC214" i="14608"/>
  <c r="BD214" i="14608"/>
  <c r="BE214" i="14608"/>
  <c r="BF214" i="14608"/>
  <c r="BG214" i="14608"/>
  <c r="BH214" i="14608"/>
  <c r="BI214" i="14608"/>
  <c r="BJ214" i="14608"/>
  <c r="BK214" i="14608"/>
  <c r="BL214" i="14608"/>
  <c r="BM214" i="14608"/>
  <c r="BN214" i="14608"/>
  <c r="BO214" i="14608"/>
  <c r="BP214" i="14608"/>
  <c r="BQ214" i="14608"/>
  <c r="BR214" i="14608"/>
  <c r="BS214" i="14608"/>
  <c r="BT214" i="14608"/>
  <c r="BU214" i="14608"/>
  <c r="BV214" i="14608"/>
  <c r="BW214" i="14608"/>
  <c r="BX214" i="14608"/>
  <c r="BY214" i="14608"/>
  <c r="BZ214" i="14608"/>
  <c r="CA214" i="14608"/>
  <c r="CB214" i="14608"/>
  <c r="CC214" i="14608"/>
  <c r="CD214" i="14608"/>
  <c r="CE214" i="14608"/>
  <c r="CF214" i="14608"/>
  <c r="CG214" i="14608"/>
  <c r="CH214" i="14608"/>
  <c r="CI214" i="14608"/>
  <c r="CJ214" i="14608"/>
  <c r="CK214" i="14608"/>
  <c r="CL214" i="14608"/>
  <c r="CM214" i="14608"/>
  <c r="CN214" i="14608"/>
  <c r="CO214" i="14608"/>
  <c r="CP214" i="14608"/>
  <c r="CQ214" i="14608"/>
  <c r="CR214" i="14608"/>
  <c r="CS214" i="14608"/>
  <c r="CT214" i="14608"/>
  <c r="CU214" i="14608"/>
  <c r="CV214" i="14608"/>
  <c r="CW214" i="14608"/>
  <c r="CX214" i="14608"/>
  <c r="CY214" i="14608"/>
  <c r="CZ214" i="14608"/>
  <c r="DA214" i="14608"/>
  <c r="DB214" i="14608"/>
  <c r="DC214" i="14608"/>
  <c r="DD214" i="14608"/>
  <c r="DE214" i="14608"/>
  <c r="DF214" i="14608"/>
  <c r="DG214" i="14608"/>
  <c r="DH214" i="14608"/>
  <c r="DI214" i="14608"/>
  <c r="DJ214" i="14608"/>
  <c r="DK214" i="14608"/>
  <c r="DL214" i="14608"/>
  <c r="DM214" i="14608"/>
  <c r="DN214" i="14608"/>
  <c r="DO214" i="14608"/>
  <c r="DP214" i="14608"/>
  <c r="DQ214" i="14608"/>
  <c r="DR214" i="14608"/>
  <c r="DS214" i="14608"/>
  <c r="DT214" i="14608"/>
  <c r="DU214" i="14608"/>
  <c r="DV214" i="14608"/>
  <c r="DW214" i="14608"/>
  <c r="DX214" i="14608"/>
  <c r="DY214" i="14608"/>
  <c r="DZ214" i="14608"/>
  <c r="EA214" i="14608"/>
  <c r="EB214" i="14608"/>
  <c r="EC214" i="14608"/>
  <c r="ED214" i="14608"/>
  <c r="EE214" i="14608"/>
  <c r="EF214" i="14608"/>
  <c r="EG214" i="14608"/>
  <c r="EH214" i="14608"/>
  <c r="EI214" i="14608"/>
  <c r="EJ214" i="14608"/>
  <c r="EK214" i="14608"/>
  <c r="EL214" i="14608"/>
  <c r="EM214" i="14608"/>
  <c r="EN214" i="14608"/>
  <c r="EO214" i="14608"/>
  <c r="EP214" i="14608"/>
  <c r="EQ214" i="14608"/>
  <c r="ER214" i="14608"/>
  <c r="ES214" i="14608"/>
  <c r="ET214" i="14608"/>
  <c r="EU214" i="14608"/>
  <c r="EV214" i="14608"/>
  <c r="EW214" i="14608"/>
  <c r="EX214" i="14608"/>
  <c r="EY214" i="14608"/>
  <c r="EZ214" i="14608"/>
  <c r="FA214" i="14608"/>
  <c r="FB214" i="14608"/>
  <c r="FC214" i="14608"/>
  <c r="FD214" i="14608"/>
  <c r="FE214" i="14608"/>
  <c r="FF214" i="14608"/>
  <c r="FG214" i="14608"/>
  <c r="FH214" i="14608"/>
  <c r="FI214" i="14608"/>
  <c r="FJ214" i="14608"/>
  <c r="FK214" i="14608"/>
  <c r="FL214" i="14608"/>
  <c r="FM214" i="14608"/>
  <c r="FN214" i="14608"/>
  <c r="FO214" i="14608"/>
  <c r="FP214" i="14608"/>
  <c r="FQ214" i="14608"/>
  <c r="FR214" i="14608"/>
  <c r="FS214" i="14608"/>
  <c r="FT214" i="14608"/>
  <c r="FU214" i="14608"/>
  <c r="FV214" i="14608"/>
  <c r="FW214" i="14608"/>
  <c r="FX214" i="14608"/>
  <c r="FY214" i="14608"/>
  <c r="FZ214" i="14608"/>
  <c r="GA214" i="14608"/>
  <c r="GB214" i="14608"/>
  <c r="GC214" i="14608"/>
  <c r="GD214" i="14608"/>
  <c r="GE214" i="14608"/>
  <c r="GF214" i="14608"/>
  <c r="GG214" i="14608"/>
  <c r="GH214" i="14608"/>
  <c r="GI214" i="14608"/>
  <c r="GJ214" i="14608"/>
  <c r="GK214" i="14608"/>
  <c r="GL214" i="14608"/>
  <c r="GM214" i="14608"/>
  <c r="GN214" i="14608"/>
  <c r="GO214" i="14608"/>
  <c r="GP214" i="14608"/>
  <c r="GQ214" i="14608"/>
  <c r="GR214" i="14608"/>
  <c r="GS214" i="14608"/>
  <c r="GT214" i="14608"/>
  <c r="GU214" i="14608"/>
  <c r="GV214" i="14608"/>
  <c r="GW214" i="14608"/>
  <c r="GX214" i="14608"/>
  <c r="GY214" i="14608"/>
  <c r="GZ214" i="14608"/>
  <c r="HA214" i="14608"/>
  <c r="HB214" i="14608"/>
  <c r="HC214" i="14608"/>
  <c r="HD214" i="14608"/>
  <c r="HE214" i="14608"/>
  <c r="HF214" i="14608"/>
  <c r="HG214" i="14608"/>
  <c r="HH214" i="14608"/>
  <c r="HI214" i="14608"/>
  <c r="HJ214" i="14608"/>
  <c r="HK214" i="14608"/>
  <c r="HL214" i="14608"/>
  <c r="HM214" i="14608"/>
  <c r="HN214" i="14608"/>
  <c r="HO214" i="14608"/>
  <c r="HP214" i="14608"/>
  <c r="HQ214" i="14608"/>
  <c r="HR214" i="14608"/>
  <c r="HS214" i="14608"/>
  <c r="HT214" i="14608"/>
  <c r="HU214" i="14608"/>
  <c r="HV214" i="14608"/>
  <c r="HW214" i="14608"/>
  <c r="HX214" i="14608"/>
  <c r="HY214" i="14608"/>
  <c r="HZ214" i="14608"/>
  <c r="IA214" i="14608"/>
  <c r="IB214" i="14608"/>
  <c r="IC214" i="14608"/>
  <c r="ID214" i="14608"/>
  <c r="IE214" i="14608"/>
  <c r="IF214" i="14608"/>
  <c r="IG214" i="14608"/>
  <c r="IH214" i="14608"/>
  <c r="II214" i="14608"/>
  <c r="IJ214" i="14608"/>
  <c r="IK214" i="14608"/>
  <c r="IL214" i="14608"/>
  <c r="IM214" i="14608"/>
  <c r="IN214" i="14608"/>
  <c r="IO214" i="14608"/>
  <c r="IP214" i="14608"/>
  <c r="IQ214" i="14608"/>
  <c r="IR214" i="14608"/>
  <c r="IS214" i="14608"/>
  <c r="IT214" i="14608"/>
  <c r="IU214" i="14608"/>
  <c r="IV214" i="14608"/>
  <c r="A213" i="14608"/>
  <c r="B213" i="14608"/>
  <c r="C213" i="14608"/>
  <c r="D213" i="14608"/>
  <c r="E213" i="14608"/>
  <c r="F213" i="14608"/>
  <c r="G213" i="14608"/>
  <c r="H213" i="14608"/>
  <c r="I213" i="14608"/>
  <c r="J213" i="14608"/>
  <c r="K213" i="14608"/>
  <c r="L213" i="14608"/>
  <c r="M213" i="14608"/>
  <c r="N213" i="14608"/>
  <c r="O213" i="14608"/>
  <c r="P213" i="14608"/>
  <c r="Q213" i="14608"/>
  <c r="R213" i="14608"/>
  <c r="S213" i="14608"/>
  <c r="T213" i="14608"/>
  <c r="U213" i="14608"/>
  <c r="V213" i="14608"/>
  <c r="W213" i="14608"/>
  <c r="X213" i="14608"/>
  <c r="Y213" i="14608"/>
  <c r="Z213" i="14608"/>
  <c r="AA213" i="14608"/>
  <c r="AB213" i="14608"/>
  <c r="AC213" i="14608"/>
  <c r="AD213" i="14608"/>
  <c r="AE213" i="14608"/>
  <c r="AF213" i="14608"/>
  <c r="AG213" i="14608"/>
  <c r="AH213" i="14608"/>
  <c r="AI213" i="14608"/>
  <c r="AJ213" i="14608"/>
  <c r="AK213" i="14608"/>
  <c r="AL213" i="14608"/>
  <c r="AM213" i="14608"/>
  <c r="AN213" i="14608"/>
  <c r="AO213" i="14608"/>
  <c r="AP213" i="14608"/>
  <c r="AQ213" i="14608"/>
  <c r="AR213" i="14608"/>
  <c r="AS213" i="14608"/>
  <c r="AT213" i="14608"/>
  <c r="AU213" i="14608"/>
  <c r="AV213" i="14608"/>
  <c r="AW213" i="14608"/>
  <c r="AX213" i="14608"/>
  <c r="AY213" i="14608"/>
  <c r="AZ213" i="14608"/>
  <c r="BA213" i="14608"/>
  <c r="BB213" i="14608"/>
  <c r="BC213" i="14608"/>
  <c r="BD213" i="14608"/>
  <c r="BE213" i="14608"/>
  <c r="BF213" i="14608"/>
  <c r="BG213" i="14608"/>
  <c r="BH213" i="14608"/>
  <c r="BI213" i="14608"/>
  <c r="BJ213" i="14608"/>
  <c r="BK213" i="14608"/>
  <c r="BL213" i="14608"/>
  <c r="BM213" i="14608"/>
  <c r="BN213" i="14608"/>
  <c r="BO213" i="14608"/>
  <c r="BP213" i="14608"/>
  <c r="BQ213" i="14608"/>
  <c r="BR213" i="14608"/>
  <c r="BS213" i="14608"/>
  <c r="BT213" i="14608"/>
  <c r="BU213" i="14608"/>
  <c r="BV213" i="14608"/>
  <c r="BW213" i="14608"/>
  <c r="BX213" i="14608"/>
  <c r="BY213" i="14608"/>
  <c r="BZ213" i="14608"/>
  <c r="CA213" i="14608"/>
  <c r="CB213" i="14608"/>
  <c r="CC213" i="14608"/>
  <c r="CD213" i="14608"/>
  <c r="CE213" i="14608"/>
  <c r="CF213" i="14608"/>
  <c r="CG213" i="14608"/>
  <c r="CH213" i="14608"/>
  <c r="CI213" i="14608"/>
  <c r="CJ213" i="14608"/>
  <c r="CK213" i="14608"/>
  <c r="CL213" i="14608"/>
  <c r="CM213" i="14608"/>
  <c r="CN213" i="14608"/>
  <c r="CO213" i="14608"/>
  <c r="CP213" i="14608"/>
  <c r="CQ213" i="14608"/>
  <c r="CR213" i="14608"/>
  <c r="CS213" i="14608"/>
  <c r="CT213" i="14608"/>
  <c r="CU213" i="14608"/>
  <c r="CV213" i="14608"/>
  <c r="CW213" i="14608"/>
  <c r="CX213" i="14608"/>
  <c r="CY213" i="14608"/>
  <c r="CZ213" i="14608"/>
  <c r="DA213" i="14608"/>
  <c r="DB213" i="14608"/>
  <c r="DC213" i="14608"/>
  <c r="DD213" i="14608"/>
  <c r="DE213" i="14608"/>
  <c r="DF213" i="14608"/>
  <c r="DG213" i="14608"/>
  <c r="DH213" i="14608"/>
  <c r="DI213" i="14608"/>
  <c r="DJ213" i="14608"/>
  <c r="DK213" i="14608"/>
  <c r="DL213" i="14608"/>
  <c r="DM213" i="14608"/>
  <c r="DN213" i="14608"/>
  <c r="DO213" i="14608"/>
  <c r="DP213" i="14608"/>
  <c r="DQ213" i="14608"/>
  <c r="DR213" i="14608"/>
  <c r="DS213" i="14608"/>
  <c r="DT213" i="14608"/>
  <c r="DU213" i="14608"/>
  <c r="DV213" i="14608"/>
  <c r="DW213" i="14608"/>
  <c r="DX213" i="14608"/>
  <c r="DY213" i="14608"/>
  <c r="DZ213" i="14608"/>
  <c r="EA213" i="14608"/>
  <c r="EB213" i="14608"/>
  <c r="EC213" i="14608"/>
  <c r="ED213" i="14608"/>
  <c r="EE213" i="14608"/>
  <c r="EF213" i="14608"/>
  <c r="EG213" i="14608"/>
  <c r="EH213" i="14608"/>
  <c r="EI213" i="14608"/>
  <c r="EJ213" i="14608"/>
  <c r="EK213" i="14608"/>
  <c r="EL213" i="14608"/>
  <c r="EM213" i="14608"/>
  <c r="EN213" i="14608"/>
  <c r="EO213" i="14608"/>
  <c r="EP213" i="14608"/>
  <c r="EQ213" i="14608"/>
  <c r="ER213" i="14608"/>
  <c r="ES213" i="14608"/>
  <c r="ET213" i="14608"/>
  <c r="EU213" i="14608"/>
  <c r="EV213" i="14608"/>
  <c r="EW213" i="14608"/>
  <c r="EX213" i="14608"/>
  <c r="EY213" i="14608"/>
  <c r="EZ213" i="14608"/>
  <c r="FA213" i="14608"/>
  <c r="FB213" i="14608"/>
  <c r="FC213" i="14608"/>
  <c r="FD213" i="14608"/>
  <c r="FE213" i="14608"/>
  <c r="FF213" i="14608"/>
  <c r="FG213" i="14608"/>
  <c r="FH213" i="14608"/>
  <c r="FI213" i="14608"/>
  <c r="FJ213" i="14608"/>
  <c r="FK213" i="14608"/>
  <c r="FL213" i="14608"/>
  <c r="FM213" i="14608"/>
  <c r="FN213" i="14608"/>
  <c r="FO213" i="14608"/>
  <c r="FP213" i="14608"/>
  <c r="FQ213" i="14608"/>
  <c r="FR213" i="14608"/>
  <c r="FS213" i="14608"/>
  <c r="FT213" i="14608"/>
  <c r="FU213" i="14608"/>
  <c r="FV213" i="14608"/>
  <c r="FW213" i="14608"/>
  <c r="FX213" i="14608"/>
  <c r="FY213" i="14608"/>
  <c r="FZ213" i="14608"/>
  <c r="GA213" i="14608"/>
  <c r="GB213" i="14608"/>
  <c r="GC213" i="14608"/>
  <c r="GD213" i="14608"/>
  <c r="GE213" i="14608"/>
  <c r="GF213" i="14608"/>
  <c r="GG213" i="14608"/>
  <c r="GH213" i="14608"/>
  <c r="GI213" i="14608"/>
  <c r="GJ213" i="14608"/>
  <c r="GK213" i="14608"/>
  <c r="GL213" i="14608"/>
  <c r="GM213" i="14608"/>
  <c r="GN213" i="14608"/>
  <c r="GO213" i="14608"/>
  <c r="GP213" i="14608"/>
  <c r="GQ213" i="14608"/>
  <c r="GR213" i="14608"/>
  <c r="GS213" i="14608"/>
  <c r="GT213" i="14608"/>
  <c r="GU213" i="14608"/>
  <c r="GV213" i="14608"/>
  <c r="GW213" i="14608"/>
  <c r="GX213" i="14608"/>
  <c r="GY213" i="14608"/>
  <c r="GZ213" i="14608"/>
  <c r="HA213" i="14608"/>
  <c r="HB213" i="14608"/>
  <c r="HC213" i="14608"/>
  <c r="HD213" i="14608"/>
  <c r="HE213" i="14608"/>
  <c r="HF213" i="14608"/>
  <c r="HG213" i="14608"/>
  <c r="HH213" i="14608"/>
  <c r="HI213" i="14608"/>
  <c r="HJ213" i="14608"/>
  <c r="HK213" i="14608"/>
  <c r="HL213" i="14608"/>
  <c r="HM213" i="14608"/>
  <c r="HN213" i="14608"/>
  <c r="HO213" i="14608"/>
  <c r="HP213" i="14608"/>
  <c r="HQ213" i="14608"/>
  <c r="HR213" i="14608"/>
  <c r="HS213" i="14608"/>
  <c r="HT213" i="14608"/>
  <c r="HU213" i="14608"/>
  <c r="HV213" i="14608"/>
  <c r="HW213" i="14608"/>
  <c r="HX213" i="14608"/>
  <c r="HY213" i="14608"/>
  <c r="HZ213" i="14608"/>
  <c r="IA213" i="14608"/>
  <c r="IB213" i="14608"/>
  <c r="IC213" i="14608"/>
  <c r="ID213" i="14608"/>
  <c r="IE213" i="14608"/>
  <c r="IF213" i="14608"/>
  <c r="IG213" i="14608"/>
  <c r="IH213" i="14608"/>
  <c r="II213" i="14608"/>
  <c r="IJ213" i="14608"/>
  <c r="IK213" i="14608"/>
  <c r="IL213" i="14608"/>
  <c r="IM213" i="14608"/>
  <c r="IN213" i="14608"/>
  <c r="IO213" i="14608"/>
  <c r="IP213" i="14608"/>
  <c r="IQ213" i="14608"/>
  <c r="IR213" i="14608"/>
  <c r="IS213" i="14608"/>
  <c r="IT213" i="14608"/>
  <c r="IU213" i="14608"/>
  <c r="IV213" i="14608"/>
  <c r="A212" i="14608"/>
  <c r="B212" i="14608"/>
  <c r="C212" i="14608"/>
  <c r="D212" i="14608"/>
  <c r="E212" i="14608"/>
  <c r="F212" i="14608"/>
  <c r="G212" i="14608"/>
  <c r="H212" i="14608"/>
  <c r="I212" i="14608"/>
  <c r="J212" i="14608"/>
  <c r="K212" i="14608"/>
  <c r="L212" i="14608"/>
  <c r="M212" i="14608"/>
  <c r="N212" i="14608"/>
  <c r="O212" i="14608"/>
  <c r="P212" i="14608"/>
  <c r="Q212" i="14608"/>
  <c r="R212" i="14608"/>
  <c r="S212" i="14608"/>
  <c r="T212" i="14608"/>
  <c r="U212" i="14608"/>
  <c r="V212" i="14608"/>
  <c r="W212" i="14608"/>
  <c r="X212" i="14608"/>
  <c r="Y212" i="14608"/>
  <c r="Z212" i="14608"/>
  <c r="AA212" i="14608"/>
  <c r="AB212" i="14608"/>
  <c r="AC212" i="14608"/>
  <c r="AD212" i="14608"/>
  <c r="AE212" i="14608"/>
  <c r="AF212" i="14608"/>
  <c r="AG212" i="14608"/>
  <c r="AH212" i="14608"/>
  <c r="AI212" i="14608"/>
  <c r="AJ212" i="14608"/>
  <c r="AK212" i="14608"/>
  <c r="AL212" i="14608"/>
  <c r="AM212" i="14608"/>
  <c r="AN212" i="14608"/>
  <c r="AO212" i="14608"/>
  <c r="AP212" i="14608"/>
  <c r="AQ212" i="14608"/>
  <c r="AR212" i="14608"/>
  <c r="AS212" i="14608"/>
  <c r="AT212" i="14608"/>
  <c r="AU212" i="14608"/>
  <c r="AV212" i="14608"/>
  <c r="AW212" i="14608"/>
  <c r="AX212" i="14608"/>
  <c r="AY212" i="14608"/>
  <c r="AZ212" i="14608"/>
  <c r="BA212" i="14608"/>
  <c r="BB212" i="14608"/>
  <c r="BC212" i="14608"/>
  <c r="BD212" i="14608"/>
  <c r="BE212" i="14608"/>
  <c r="BF212" i="14608"/>
  <c r="BG212" i="14608"/>
  <c r="BH212" i="14608"/>
  <c r="BI212" i="14608"/>
  <c r="BJ212" i="14608"/>
  <c r="BK212" i="14608"/>
  <c r="BL212" i="14608"/>
  <c r="BM212" i="14608"/>
  <c r="BN212" i="14608"/>
  <c r="BO212" i="14608"/>
  <c r="BP212" i="14608"/>
  <c r="BQ212" i="14608"/>
  <c r="BR212" i="14608"/>
  <c r="BS212" i="14608"/>
  <c r="BT212" i="14608"/>
  <c r="BU212" i="14608"/>
  <c r="BV212" i="14608"/>
  <c r="BW212" i="14608"/>
  <c r="BX212" i="14608"/>
  <c r="BY212" i="14608"/>
  <c r="BZ212" i="14608"/>
  <c r="CA212" i="14608"/>
  <c r="CB212" i="14608"/>
  <c r="CC212" i="14608"/>
  <c r="CD212" i="14608"/>
  <c r="CE212" i="14608"/>
  <c r="CF212" i="14608"/>
  <c r="CG212" i="14608"/>
  <c r="CH212" i="14608"/>
  <c r="CI212" i="14608"/>
  <c r="CJ212" i="14608"/>
  <c r="CK212" i="14608"/>
  <c r="CL212" i="14608"/>
  <c r="CM212" i="14608"/>
  <c r="CN212" i="14608"/>
  <c r="CO212" i="14608"/>
  <c r="CP212" i="14608"/>
  <c r="CQ212" i="14608"/>
  <c r="CR212" i="14608"/>
  <c r="CS212" i="14608"/>
  <c r="CT212" i="14608"/>
  <c r="CU212" i="14608"/>
  <c r="CV212" i="14608"/>
  <c r="CW212" i="14608"/>
  <c r="CX212" i="14608"/>
  <c r="CY212" i="14608"/>
  <c r="CZ212" i="14608"/>
  <c r="DA212" i="14608"/>
  <c r="DB212" i="14608"/>
  <c r="DC212" i="14608"/>
  <c r="DD212" i="14608"/>
  <c r="DE212" i="14608"/>
  <c r="DF212" i="14608"/>
  <c r="DG212" i="14608"/>
  <c r="DH212" i="14608"/>
  <c r="DI212" i="14608"/>
  <c r="DJ212" i="14608"/>
  <c r="DK212" i="14608"/>
  <c r="DL212" i="14608"/>
  <c r="DM212" i="14608"/>
  <c r="DN212" i="14608"/>
  <c r="DO212" i="14608"/>
  <c r="DP212" i="14608"/>
  <c r="DQ212" i="14608"/>
  <c r="DR212" i="14608"/>
  <c r="DS212" i="14608"/>
  <c r="DT212" i="14608"/>
  <c r="DU212" i="14608"/>
  <c r="DV212" i="14608"/>
  <c r="DW212" i="14608"/>
  <c r="DX212" i="14608"/>
  <c r="DY212" i="14608"/>
  <c r="DZ212" i="14608"/>
  <c r="EA212" i="14608"/>
  <c r="EB212" i="14608"/>
  <c r="EC212" i="14608"/>
  <c r="ED212" i="14608"/>
  <c r="EE212" i="14608"/>
  <c r="EF212" i="14608"/>
  <c r="EG212" i="14608"/>
  <c r="EH212" i="14608"/>
  <c r="EI212" i="14608"/>
  <c r="EJ212" i="14608"/>
  <c r="EK212" i="14608"/>
  <c r="EL212" i="14608"/>
  <c r="EM212" i="14608"/>
  <c r="EN212" i="14608"/>
  <c r="EO212" i="14608"/>
  <c r="EP212" i="14608"/>
  <c r="EQ212" i="14608"/>
  <c r="ER212" i="14608"/>
  <c r="ES212" i="14608"/>
  <c r="ET212" i="14608"/>
  <c r="EU212" i="14608"/>
  <c r="EV212" i="14608"/>
  <c r="EW212" i="14608"/>
  <c r="EX212" i="14608"/>
  <c r="EY212" i="14608"/>
  <c r="EZ212" i="14608"/>
  <c r="FA212" i="14608"/>
  <c r="FB212" i="14608"/>
  <c r="FC212" i="14608"/>
  <c r="FD212" i="14608"/>
  <c r="FE212" i="14608"/>
  <c r="FF212" i="14608"/>
  <c r="FG212" i="14608"/>
  <c r="FH212" i="14608"/>
  <c r="FI212" i="14608"/>
  <c r="FJ212" i="14608"/>
  <c r="FK212" i="14608"/>
  <c r="FL212" i="14608"/>
  <c r="FM212" i="14608"/>
  <c r="FN212" i="14608"/>
  <c r="FO212" i="14608"/>
  <c r="FP212" i="14608"/>
  <c r="FQ212" i="14608"/>
  <c r="FR212" i="14608"/>
  <c r="FS212" i="14608"/>
  <c r="FT212" i="14608"/>
  <c r="FU212" i="14608"/>
  <c r="FV212" i="14608"/>
  <c r="FW212" i="14608"/>
  <c r="FX212" i="14608"/>
  <c r="FY212" i="14608"/>
  <c r="FZ212" i="14608"/>
  <c r="GA212" i="14608"/>
  <c r="GB212" i="14608"/>
  <c r="GC212" i="14608"/>
  <c r="GD212" i="14608"/>
  <c r="GE212" i="14608"/>
  <c r="GF212" i="14608"/>
  <c r="GG212" i="14608"/>
  <c r="GH212" i="14608"/>
  <c r="GI212" i="14608"/>
  <c r="GJ212" i="14608"/>
  <c r="GK212" i="14608"/>
  <c r="GL212" i="14608"/>
  <c r="GM212" i="14608"/>
  <c r="GN212" i="14608"/>
  <c r="GO212" i="14608"/>
  <c r="GP212" i="14608"/>
  <c r="GQ212" i="14608"/>
  <c r="GR212" i="14608"/>
  <c r="GS212" i="14608"/>
  <c r="GT212" i="14608"/>
  <c r="GU212" i="14608"/>
  <c r="GV212" i="14608"/>
  <c r="GW212" i="14608"/>
  <c r="GX212" i="14608"/>
  <c r="GY212" i="14608"/>
  <c r="GZ212" i="14608"/>
  <c r="HA212" i="14608"/>
  <c r="HB212" i="14608"/>
  <c r="HC212" i="14608"/>
  <c r="HD212" i="14608"/>
  <c r="HE212" i="14608"/>
  <c r="HF212" i="14608"/>
  <c r="HG212" i="14608"/>
  <c r="HH212" i="14608"/>
  <c r="HI212" i="14608"/>
  <c r="HJ212" i="14608"/>
  <c r="HK212" i="14608"/>
  <c r="HL212" i="14608"/>
  <c r="HM212" i="14608"/>
  <c r="HN212" i="14608"/>
  <c r="HO212" i="14608"/>
  <c r="HP212" i="14608"/>
  <c r="HQ212" i="14608"/>
  <c r="HR212" i="14608"/>
  <c r="HS212" i="14608"/>
  <c r="HT212" i="14608"/>
  <c r="HU212" i="14608"/>
  <c r="HV212" i="14608"/>
  <c r="HW212" i="14608"/>
  <c r="HX212" i="14608"/>
  <c r="HY212" i="14608"/>
  <c r="HZ212" i="14608"/>
  <c r="IA212" i="14608"/>
  <c r="IB212" i="14608"/>
  <c r="IC212" i="14608"/>
  <c r="ID212" i="14608"/>
  <c r="IE212" i="14608"/>
  <c r="IF212" i="14608"/>
  <c r="IG212" i="14608"/>
  <c r="IH212" i="14608"/>
  <c r="II212" i="14608"/>
  <c r="IJ212" i="14608"/>
  <c r="IK212" i="14608"/>
  <c r="IL212" i="14608"/>
  <c r="IM212" i="14608"/>
  <c r="IN212" i="14608"/>
  <c r="IO212" i="14608"/>
  <c r="IP212" i="14608"/>
  <c r="IQ212" i="14608"/>
  <c r="IR212" i="14608"/>
  <c r="IS212" i="14608"/>
  <c r="IT212" i="14608"/>
  <c r="IU212" i="14608"/>
  <c r="IV212" i="14608"/>
  <c r="A211" i="14608"/>
  <c r="B211" i="14608"/>
  <c r="C211" i="14608"/>
  <c r="D211" i="14608"/>
  <c r="E211" i="14608"/>
  <c r="F211" i="14608"/>
  <c r="G211" i="14608"/>
  <c r="H211" i="14608"/>
  <c r="I211" i="14608"/>
  <c r="J211" i="14608"/>
  <c r="K211" i="14608"/>
  <c r="L211" i="14608"/>
  <c r="M211" i="14608"/>
  <c r="N211" i="14608"/>
  <c r="O211" i="14608"/>
  <c r="P211" i="14608"/>
  <c r="Q211" i="14608"/>
  <c r="R211" i="14608"/>
  <c r="S211" i="14608"/>
  <c r="T211" i="14608"/>
  <c r="U211" i="14608"/>
  <c r="V211" i="14608"/>
  <c r="W211" i="14608"/>
  <c r="X211" i="14608"/>
  <c r="Y211" i="14608"/>
  <c r="Z211" i="14608"/>
  <c r="AA211" i="14608"/>
  <c r="AB211" i="14608"/>
  <c r="AC211" i="14608"/>
  <c r="AD211" i="14608"/>
  <c r="AE211" i="14608"/>
  <c r="AF211" i="14608"/>
  <c r="AG211" i="14608"/>
  <c r="AH211" i="14608"/>
  <c r="AI211" i="14608"/>
  <c r="AJ211" i="14608"/>
  <c r="AK211" i="14608"/>
  <c r="AL211" i="14608"/>
  <c r="AM211" i="14608"/>
  <c r="AN211" i="14608"/>
  <c r="AO211" i="14608"/>
  <c r="AP211" i="14608"/>
  <c r="AQ211" i="14608"/>
  <c r="AR211" i="14608"/>
  <c r="AS211" i="14608"/>
  <c r="AT211" i="14608"/>
  <c r="AU211" i="14608"/>
  <c r="AV211" i="14608"/>
  <c r="AW211" i="14608"/>
  <c r="AX211" i="14608"/>
  <c r="AY211" i="14608"/>
  <c r="AZ211" i="14608"/>
  <c r="BA211" i="14608"/>
  <c r="BB211" i="14608"/>
  <c r="BC211" i="14608"/>
  <c r="BD211" i="14608"/>
  <c r="BE211" i="14608"/>
  <c r="BF211" i="14608"/>
  <c r="BG211" i="14608"/>
  <c r="BH211" i="14608"/>
  <c r="BI211" i="14608"/>
  <c r="BJ211" i="14608"/>
  <c r="BK211" i="14608"/>
  <c r="BL211" i="14608"/>
  <c r="BM211" i="14608"/>
  <c r="BN211" i="14608"/>
  <c r="BO211" i="14608"/>
  <c r="BP211" i="14608"/>
  <c r="BQ211" i="14608"/>
  <c r="BR211" i="14608"/>
  <c r="BS211" i="14608"/>
  <c r="BT211" i="14608"/>
  <c r="BU211" i="14608"/>
  <c r="BV211" i="14608"/>
  <c r="BW211" i="14608"/>
  <c r="BX211" i="14608"/>
  <c r="BY211" i="14608"/>
  <c r="BZ211" i="14608"/>
  <c r="CA211" i="14608"/>
  <c r="CB211" i="14608"/>
  <c r="CC211" i="14608"/>
  <c r="CD211" i="14608"/>
  <c r="CE211" i="14608"/>
  <c r="CF211" i="14608"/>
  <c r="CG211" i="14608"/>
  <c r="CH211" i="14608"/>
  <c r="CI211" i="14608"/>
  <c r="CJ211" i="14608"/>
  <c r="CK211" i="14608"/>
  <c r="CL211" i="14608"/>
  <c r="CM211" i="14608"/>
  <c r="CN211" i="14608"/>
  <c r="CO211" i="14608"/>
  <c r="CP211" i="14608"/>
  <c r="CQ211" i="14608"/>
  <c r="CR211" i="14608"/>
  <c r="CS211" i="14608"/>
  <c r="CT211" i="14608"/>
  <c r="CU211" i="14608"/>
  <c r="CV211" i="14608"/>
  <c r="CW211" i="14608"/>
  <c r="CX211" i="14608"/>
  <c r="CY211" i="14608"/>
  <c r="CZ211" i="14608"/>
  <c r="DA211" i="14608"/>
  <c r="DB211" i="14608"/>
  <c r="DC211" i="14608"/>
  <c r="DD211" i="14608"/>
  <c r="DE211" i="14608"/>
  <c r="DF211" i="14608"/>
  <c r="DG211" i="14608"/>
  <c r="DH211" i="14608"/>
  <c r="DI211" i="14608"/>
  <c r="DJ211" i="14608"/>
  <c r="DK211" i="14608"/>
  <c r="DL211" i="14608"/>
  <c r="DM211" i="14608"/>
  <c r="DN211" i="14608"/>
  <c r="DO211" i="14608"/>
  <c r="DP211" i="14608"/>
  <c r="DQ211" i="14608"/>
  <c r="DR211" i="14608"/>
  <c r="DS211" i="14608"/>
  <c r="DT211" i="14608"/>
  <c r="DU211" i="14608"/>
  <c r="DV211" i="14608"/>
  <c r="DW211" i="14608"/>
  <c r="DX211" i="14608"/>
  <c r="DY211" i="14608"/>
  <c r="DZ211" i="14608"/>
  <c r="EA211" i="14608"/>
  <c r="EB211" i="14608"/>
  <c r="EC211" i="14608"/>
  <c r="ED211" i="14608"/>
  <c r="EE211" i="14608"/>
  <c r="EF211" i="14608"/>
  <c r="EG211" i="14608"/>
  <c r="EH211" i="14608"/>
  <c r="EI211" i="14608"/>
  <c r="EJ211" i="14608"/>
  <c r="EK211" i="14608"/>
  <c r="EL211" i="14608"/>
  <c r="EM211" i="14608"/>
  <c r="EN211" i="14608"/>
  <c r="EO211" i="14608"/>
  <c r="EP211" i="14608"/>
  <c r="EQ211" i="14608"/>
  <c r="ER211" i="14608"/>
  <c r="ES211" i="14608"/>
  <c r="ET211" i="14608"/>
  <c r="EU211" i="14608"/>
  <c r="EV211" i="14608"/>
  <c r="EW211" i="14608"/>
  <c r="EX211" i="14608"/>
  <c r="EY211" i="14608"/>
  <c r="EZ211" i="14608"/>
  <c r="FA211" i="14608"/>
  <c r="FB211" i="14608"/>
  <c r="FC211" i="14608"/>
  <c r="FD211" i="14608"/>
  <c r="FE211" i="14608"/>
  <c r="FF211" i="14608"/>
  <c r="FG211" i="14608"/>
  <c r="FH211" i="14608"/>
  <c r="FI211" i="14608"/>
  <c r="FJ211" i="14608"/>
  <c r="FK211" i="14608"/>
  <c r="FL211" i="14608"/>
  <c r="FM211" i="14608"/>
  <c r="FN211" i="14608"/>
  <c r="FO211" i="14608"/>
  <c r="FP211" i="14608"/>
  <c r="FQ211" i="14608"/>
  <c r="FR211" i="14608"/>
  <c r="FS211" i="14608"/>
  <c r="FT211" i="14608"/>
  <c r="FU211" i="14608"/>
  <c r="FV211" i="14608"/>
  <c r="FW211" i="14608"/>
  <c r="FX211" i="14608"/>
  <c r="FY211" i="14608"/>
  <c r="FZ211" i="14608"/>
  <c r="GA211" i="14608"/>
  <c r="GB211" i="14608"/>
  <c r="GC211" i="14608"/>
  <c r="GD211" i="14608"/>
  <c r="GE211" i="14608"/>
  <c r="GF211" i="14608"/>
  <c r="GG211" i="14608"/>
  <c r="GH211" i="14608"/>
  <c r="GI211" i="14608"/>
  <c r="GJ211" i="14608"/>
  <c r="GK211" i="14608"/>
  <c r="GL211" i="14608"/>
  <c r="GM211" i="14608"/>
  <c r="GN211" i="14608"/>
  <c r="GO211" i="14608"/>
  <c r="GP211" i="14608"/>
  <c r="GQ211" i="14608"/>
  <c r="GR211" i="14608"/>
  <c r="GS211" i="14608"/>
  <c r="GT211" i="14608"/>
  <c r="GU211" i="14608"/>
  <c r="GV211" i="14608"/>
  <c r="GW211" i="14608"/>
  <c r="GX211" i="14608"/>
  <c r="GY211" i="14608"/>
  <c r="GZ211" i="14608"/>
  <c r="HA211" i="14608"/>
  <c r="HB211" i="14608"/>
  <c r="HC211" i="14608"/>
  <c r="HD211" i="14608"/>
  <c r="HE211" i="14608"/>
  <c r="HF211" i="14608"/>
  <c r="HG211" i="14608"/>
  <c r="HH211" i="14608"/>
  <c r="HI211" i="14608"/>
  <c r="HJ211" i="14608"/>
  <c r="HK211" i="14608"/>
  <c r="HL211" i="14608"/>
  <c r="HM211" i="14608"/>
  <c r="HN211" i="14608"/>
  <c r="HO211" i="14608"/>
  <c r="HP211" i="14608"/>
  <c r="HQ211" i="14608"/>
  <c r="HR211" i="14608"/>
  <c r="HS211" i="14608"/>
  <c r="HT211" i="14608"/>
  <c r="HU211" i="14608"/>
  <c r="HV211" i="14608"/>
  <c r="HW211" i="14608"/>
  <c r="HX211" i="14608"/>
  <c r="HY211" i="14608"/>
  <c r="HZ211" i="14608"/>
  <c r="IA211" i="14608"/>
  <c r="IB211" i="14608"/>
  <c r="IC211" i="14608"/>
  <c r="ID211" i="14608"/>
  <c r="IE211" i="14608"/>
  <c r="IF211" i="14608"/>
  <c r="IG211" i="14608"/>
  <c r="IH211" i="14608"/>
  <c r="II211" i="14608"/>
  <c r="IJ211" i="14608"/>
  <c r="IK211" i="14608"/>
  <c r="IL211" i="14608"/>
  <c r="IM211" i="14608"/>
  <c r="IN211" i="14608"/>
  <c r="IO211" i="14608"/>
  <c r="IP211" i="14608"/>
  <c r="IQ211" i="14608"/>
  <c r="IR211" i="14608"/>
  <c r="IS211" i="14608"/>
  <c r="IT211" i="14608"/>
  <c r="IU211" i="14608"/>
  <c r="IV211" i="14608"/>
  <c r="A210" i="14608"/>
  <c r="B210" i="14608"/>
  <c r="C210" i="14608"/>
  <c r="D210" i="14608"/>
  <c r="E210" i="14608"/>
  <c r="F210" i="14608"/>
  <c r="G210" i="14608"/>
  <c r="H210" i="14608"/>
  <c r="I210" i="14608"/>
  <c r="J210" i="14608"/>
  <c r="K210" i="14608"/>
  <c r="L210" i="14608"/>
  <c r="M210" i="14608"/>
  <c r="N210" i="14608"/>
  <c r="O210" i="14608"/>
  <c r="P210" i="14608"/>
  <c r="Q210" i="14608"/>
  <c r="R210" i="14608"/>
  <c r="S210" i="14608"/>
  <c r="T210" i="14608"/>
  <c r="U210" i="14608"/>
  <c r="V210" i="14608"/>
  <c r="W210" i="14608"/>
  <c r="X210" i="14608"/>
  <c r="Y210" i="14608"/>
  <c r="Z210" i="14608"/>
  <c r="AA210" i="14608"/>
  <c r="AB210" i="14608"/>
  <c r="AC210" i="14608"/>
  <c r="AD210" i="14608"/>
  <c r="AE210" i="14608"/>
  <c r="AF210" i="14608"/>
  <c r="AG210" i="14608"/>
  <c r="AH210" i="14608"/>
  <c r="AI210" i="14608"/>
  <c r="AJ210" i="14608"/>
  <c r="AK210" i="14608"/>
  <c r="AL210" i="14608"/>
  <c r="AM210" i="14608"/>
  <c r="AN210" i="14608"/>
  <c r="AO210" i="14608"/>
  <c r="AP210" i="14608"/>
  <c r="AQ210" i="14608"/>
  <c r="AR210" i="14608"/>
  <c r="AS210" i="14608"/>
  <c r="AT210" i="14608"/>
  <c r="AU210" i="14608"/>
  <c r="AV210" i="14608"/>
  <c r="AW210" i="14608"/>
  <c r="AX210" i="14608"/>
  <c r="AY210" i="14608"/>
  <c r="AZ210" i="14608"/>
  <c r="BA210" i="14608"/>
  <c r="BB210" i="14608"/>
  <c r="BC210" i="14608"/>
  <c r="BD210" i="14608"/>
  <c r="BE210" i="14608"/>
  <c r="BF210" i="14608"/>
  <c r="BG210" i="14608"/>
  <c r="BH210" i="14608"/>
  <c r="BI210" i="14608"/>
  <c r="BJ210" i="14608"/>
  <c r="BK210" i="14608"/>
  <c r="BL210" i="14608"/>
  <c r="BM210" i="14608"/>
  <c r="BN210" i="14608"/>
  <c r="BO210" i="14608"/>
  <c r="BP210" i="14608"/>
  <c r="BQ210" i="14608"/>
  <c r="BR210" i="14608"/>
  <c r="BS210" i="14608"/>
  <c r="BT210" i="14608"/>
  <c r="BU210" i="14608"/>
  <c r="BV210" i="14608"/>
  <c r="BW210" i="14608"/>
  <c r="BX210" i="14608"/>
  <c r="BY210" i="14608"/>
  <c r="BZ210" i="14608"/>
  <c r="CA210" i="14608"/>
  <c r="CB210" i="14608"/>
  <c r="CC210" i="14608"/>
  <c r="CD210" i="14608"/>
  <c r="CE210" i="14608"/>
  <c r="CF210" i="14608"/>
  <c r="CG210" i="14608"/>
  <c r="CH210" i="14608"/>
  <c r="CI210" i="14608"/>
  <c r="CJ210" i="14608"/>
  <c r="CK210" i="14608"/>
  <c r="CL210" i="14608"/>
  <c r="CM210" i="14608"/>
  <c r="CN210" i="14608"/>
  <c r="CO210" i="14608"/>
  <c r="CP210" i="14608"/>
  <c r="CQ210" i="14608"/>
  <c r="CR210" i="14608"/>
  <c r="CS210" i="14608"/>
  <c r="CT210" i="14608"/>
  <c r="CU210" i="14608"/>
  <c r="CV210" i="14608"/>
  <c r="CW210" i="14608"/>
  <c r="CX210" i="14608"/>
  <c r="CY210" i="14608"/>
  <c r="CZ210" i="14608"/>
  <c r="DA210" i="14608"/>
  <c r="DB210" i="14608"/>
  <c r="DC210" i="14608"/>
  <c r="DD210" i="14608"/>
  <c r="DE210" i="14608"/>
  <c r="DF210" i="14608"/>
  <c r="DG210" i="14608"/>
  <c r="DH210" i="14608"/>
  <c r="DI210" i="14608"/>
  <c r="DJ210" i="14608"/>
  <c r="DK210" i="14608"/>
  <c r="DL210" i="14608"/>
  <c r="DM210" i="14608"/>
  <c r="DN210" i="14608"/>
  <c r="DO210" i="14608"/>
  <c r="DP210" i="14608"/>
  <c r="DQ210" i="14608"/>
  <c r="DR210" i="14608"/>
  <c r="DS210" i="14608"/>
  <c r="DT210" i="14608"/>
  <c r="DU210" i="14608"/>
  <c r="DV210" i="14608"/>
  <c r="DW210" i="14608"/>
  <c r="DX210" i="14608"/>
  <c r="DY210" i="14608"/>
  <c r="DZ210" i="14608"/>
  <c r="EA210" i="14608"/>
  <c r="EB210" i="14608"/>
  <c r="EC210" i="14608"/>
  <c r="ED210" i="14608"/>
  <c r="EE210" i="14608"/>
  <c r="EF210" i="14608"/>
  <c r="EG210" i="14608"/>
  <c r="EH210" i="14608"/>
  <c r="EI210" i="14608"/>
  <c r="EJ210" i="14608"/>
  <c r="EK210" i="14608"/>
  <c r="EL210" i="14608"/>
  <c r="EM210" i="14608"/>
  <c r="EN210" i="14608"/>
  <c r="EO210" i="14608"/>
  <c r="EP210" i="14608"/>
  <c r="EQ210" i="14608"/>
  <c r="ER210" i="14608"/>
  <c r="ES210" i="14608"/>
  <c r="ET210" i="14608"/>
  <c r="EU210" i="14608"/>
  <c r="EV210" i="14608"/>
  <c r="EW210" i="14608"/>
  <c r="EX210" i="14608"/>
  <c r="EY210" i="14608"/>
  <c r="EZ210" i="14608"/>
  <c r="FA210" i="14608"/>
  <c r="FB210" i="14608"/>
  <c r="FC210" i="14608"/>
  <c r="FD210" i="14608"/>
  <c r="FE210" i="14608"/>
  <c r="FF210" i="14608"/>
  <c r="FG210" i="14608"/>
  <c r="FH210" i="14608"/>
  <c r="FI210" i="14608"/>
  <c r="FJ210" i="14608"/>
  <c r="FK210" i="14608"/>
  <c r="FL210" i="14608"/>
  <c r="FM210" i="14608"/>
  <c r="FN210" i="14608"/>
  <c r="FO210" i="14608"/>
  <c r="FP210" i="14608"/>
  <c r="FQ210" i="14608"/>
  <c r="FR210" i="14608"/>
  <c r="FS210" i="14608"/>
  <c r="FT210" i="14608"/>
  <c r="FU210" i="14608"/>
  <c r="FV210" i="14608"/>
  <c r="FW210" i="14608"/>
  <c r="FX210" i="14608"/>
  <c r="FY210" i="14608"/>
  <c r="FZ210" i="14608"/>
  <c r="GA210" i="14608"/>
  <c r="GB210" i="14608"/>
  <c r="GC210" i="14608"/>
  <c r="GD210" i="14608"/>
  <c r="GE210" i="14608"/>
  <c r="GF210" i="14608"/>
  <c r="GG210" i="14608"/>
  <c r="GH210" i="14608"/>
  <c r="GI210" i="14608"/>
  <c r="GJ210" i="14608"/>
  <c r="GK210" i="14608"/>
  <c r="GL210" i="14608"/>
  <c r="GM210" i="14608"/>
  <c r="GN210" i="14608"/>
  <c r="GO210" i="14608"/>
  <c r="GP210" i="14608"/>
  <c r="GQ210" i="14608"/>
  <c r="GR210" i="14608"/>
  <c r="GS210" i="14608"/>
  <c r="GT210" i="14608"/>
  <c r="GU210" i="14608"/>
  <c r="GV210" i="14608"/>
  <c r="GW210" i="14608"/>
  <c r="GX210" i="14608"/>
  <c r="GY210" i="14608"/>
  <c r="GZ210" i="14608"/>
  <c r="HA210" i="14608"/>
  <c r="HB210" i="14608"/>
  <c r="HC210" i="14608"/>
  <c r="HD210" i="14608"/>
  <c r="HE210" i="14608"/>
  <c r="HF210" i="14608"/>
  <c r="HG210" i="14608"/>
  <c r="HH210" i="14608"/>
  <c r="HI210" i="14608"/>
  <c r="HJ210" i="14608"/>
  <c r="HK210" i="14608"/>
  <c r="HL210" i="14608"/>
  <c r="HM210" i="14608"/>
  <c r="HN210" i="14608"/>
  <c r="HO210" i="14608"/>
  <c r="HP210" i="14608"/>
  <c r="HQ210" i="14608"/>
  <c r="HR210" i="14608"/>
  <c r="HS210" i="14608"/>
  <c r="HT210" i="14608"/>
  <c r="HU210" i="14608"/>
  <c r="HV210" i="14608"/>
  <c r="HW210" i="14608"/>
  <c r="HX210" i="14608"/>
  <c r="HY210" i="14608"/>
  <c r="HZ210" i="14608"/>
  <c r="IA210" i="14608"/>
  <c r="IB210" i="14608"/>
  <c r="IC210" i="14608"/>
  <c r="ID210" i="14608"/>
  <c r="IE210" i="14608"/>
  <c r="IF210" i="14608"/>
  <c r="IG210" i="14608"/>
  <c r="IH210" i="14608"/>
  <c r="II210" i="14608"/>
  <c r="IJ210" i="14608"/>
  <c r="IK210" i="14608"/>
  <c r="IL210" i="14608"/>
  <c r="IM210" i="14608"/>
  <c r="IN210" i="14608"/>
  <c r="IO210" i="14608"/>
  <c r="IP210" i="14608"/>
  <c r="IQ210" i="14608"/>
  <c r="IR210" i="14608"/>
  <c r="IS210" i="14608"/>
  <c r="IT210" i="14608"/>
  <c r="IU210" i="14608"/>
  <c r="IV210" i="14608"/>
  <c r="A209" i="14608"/>
  <c r="B209" i="14608"/>
  <c r="C209" i="14608"/>
  <c r="D209" i="14608"/>
  <c r="E209" i="14608"/>
  <c r="F209" i="14608"/>
  <c r="G209" i="14608"/>
  <c r="H209" i="14608"/>
  <c r="I209" i="14608"/>
  <c r="J209" i="14608"/>
  <c r="K209" i="14608"/>
  <c r="L209" i="14608"/>
  <c r="M209" i="14608"/>
  <c r="N209" i="14608"/>
  <c r="O209" i="14608"/>
  <c r="P209" i="14608"/>
  <c r="Q209" i="14608"/>
  <c r="R209" i="14608"/>
  <c r="S209" i="14608"/>
  <c r="T209" i="14608"/>
  <c r="U209" i="14608"/>
  <c r="V209" i="14608"/>
  <c r="W209" i="14608"/>
  <c r="X209" i="14608"/>
  <c r="Y209" i="14608"/>
  <c r="Z209" i="14608"/>
  <c r="AA209" i="14608"/>
  <c r="AB209" i="14608"/>
  <c r="AC209" i="14608"/>
  <c r="AD209" i="14608"/>
  <c r="AE209" i="14608"/>
  <c r="AF209" i="14608"/>
  <c r="AG209" i="14608"/>
  <c r="AH209" i="14608"/>
  <c r="AI209" i="14608"/>
  <c r="AJ209" i="14608"/>
  <c r="AK209" i="14608"/>
  <c r="AL209" i="14608"/>
  <c r="AM209" i="14608"/>
  <c r="AN209" i="14608"/>
  <c r="AO209" i="14608"/>
  <c r="AP209" i="14608"/>
  <c r="AQ209" i="14608"/>
  <c r="AR209" i="14608"/>
  <c r="AS209" i="14608"/>
  <c r="AT209" i="14608"/>
  <c r="AU209" i="14608"/>
  <c r="AV209" i="14608"/>
  <c r="AW209" i="14608"/>
  <c r="AX209" i="14608"/>
  <c r="AY209" i="14608"/>
  <c r="AZ209" i="14608"/>
  <c r="BA209" i="14608"/>
  <c r="BB209" i="14608"/>
  <c r="BC209" i="14608"/>
  <c r="BD209" i="14608"/>
  <c r="BE209" i="14608"/>
  <c r="BF209" i="14608"/>
  <c r="BG209" i="14608"/>
  <c r="BH209" i="14608"/>
  <c r="BI209" i="14608"/>
  <c r="BJ209" i="14608"/>
  <c r="BK209" i="14608"/>
  <c r="BL209" i="14608"/>
  <c r="BM209" i="14608"/>
  <c r="BN209" i="14608"/>
  <c r="BO209" i="14608"/>
  <c r="BP209" i="14608"/>
  <c r="BQ209" i="14608"/>
  <c r="BR209" i="14608"/>
  <c r="BS209" i="14608"/>
  <c r="BT209" i="14608"/>
  <c r="BU209" i="14608"/>
  <c r="BV209" i="14608"/>
  <c r="BW209" i="14608"/>
  <c r="BX209" i="14608"/>
  <c r="BY209" i="14608"/>
  <c r="BZ209" i="14608"/>
  <c r="CA209" i="14608"/>
  <c r="CB209" i="14608"/>
  <c r="CC209" i="14608"/>
  <c r="CD209" i="14608"/>
  <c r="CE209" i="14608"/>
  <c r="CF209" i="14608"/>
  <c r="CG209" i="14608"/>
  <c r="CH209" i="14608"/>
  <c r="CI209" i="14608"/>
  <c r="CJ209" i="14608"/>
  <c r="CK209" i="14608"/>
  <c r="CL209" i="14608"/>
  <c r="CM209" i="14608"/>
  <c r="CN209" i="14608"/>
  <c r="CO209" i="14608"/>
  <c r="CP209" i="14608"/>
  <c r="CQ209" i="14608"/>
  <c r="CR209" i="14608"/>
  <c r="CS209" i="14608"/>
  <c r="CT209" i="14608"/>
  <c r="CU209" i="14608"/>
  <c r="CV209" i="14608"/>
  <c r="CW209" i="14608"/>
  <c r="CX209" i="14608"/>
  <c r="CY209" i="14608"/>
  <c r="CZ209" i="14608"/>
  <c r="DA209" i="14608"/>
  <c r="DB209" i="14608"/>
  <c r="DC209" i="14608"/>
  <c r="DD209" i="14608"/>
  <c r="DE209" i="14608"/>
  <c r="DF209" i="14608"/>
  <c r="DG209" i="14608"/>
  <c r="DH209" i="14608"/>
  <c r="DI209" i="14608"/>
  <c r="DJ209" i="14608"/>
  <c r="DK209" i="14608"/>
  <c r="DL209" i="14608"/>
  <c r="DM209" i="14608"/>
  <c r="DN209" i="14608"/>
  <c r="DO209" i="14608"/>
  <c r="DP209" i="14608"/>
  <c r="DQ209" i="14608"/>
  <c r="DR209" i="14608"/>
  <c r="DS209" i="14608"/>
  <c r="DT209" i="14608"/>
  <c r="DU209" i="14608"/>
  <c r="DV209" i="14608"/>
  <c r="DW209" i="14608"/>
  <c r="DX209" i="14608"/>
  <c r="DY209" i="14608"/>
  <c r="DZ209" i="14608"/>
  <c r="EA209" i="14608"/>
  <c r="EB209" i="14608"/>
  <c r="EC209" i="14608"/>
  <c r="ED209" i="14608"/>
  <c r="EE209" i="14608"/>
  <c r="EF209" i="14608"/>
  <c r="EG209" i="14608"/>
  <c r="EH209" i="14608"/>
  <c r="EI209" i="14608"/>
  <c r="EJ209" i="14608"/>
  <c r="EK209" i="14608"/>
  <c r="EL209" i="14608"/>
  <c r="EM209" i="14608"/>
  <c r="EN209" i="14608"/>
  <c r="EO209" i="14608"/>
  <c r="EP209" i="14608"/>
  <c r="EQ209" i="14608"/>
  <c r="ER209" i="14608"/>
  <c r="ES209" i="14608"/>
  <c r="ET209" i="14608"/>
  <c r="EU209" i="14608"/>
  <c r="EV209" i="14608"/>
  <c r="EW209" i="14608"/>
  <c r="EX209" i="14608"/>
  <c r="EY209" i="14608"/>
  <c r="EZ209" i="14608"/>
  <c r="FA209" i="14608"/>
  <c r="FB209" i="14608"/>
  <c r="FC209" i="14608"/>
  <c r="FD209" i="14608"/>
  <c r="FE209" i="14608"/>
  <c r="FF209" i="14608"/>
  <c r="FG209" i="14608"/>
  <c r="FH209" i="14608"/>
  <c r="FI209" i="14608"/>
  <c r="FJ209" i="14608"/>
  <c r="FK209" i="14608"/>
  <c r="FL209" i="14608"/>
  <c r="FM209" i="14608"/>
  <c r="FN209" i="14608"/>
  <c r="FO209" i="14608"/>
  <c r="FP209" i="14608"/>
  <c r="FQ209" i="14608"/>
  <c r="FR209" i="14608"/>
  <c r="FS209" i="14608"/>
  <c r="FT209" i="14608"/>
  <c r="FU209" i="14608"/>
  <c r="FV209" i="14608"/>
  <c r="FW209" i="14608"/>
  <c r="FX209" i="14608"/>
  <c r="FY209" i="14608"/>
  <c r="FZ209" i="14608"/>
  <c r="GA209" i="14608"/>
  <c r="GB209" i="14608"/>
  <c r="GC209" i="14608"/>
  <c r="GD209" i="14608"/>
  <c r="GE209" i="14608"/>
  <c r="GF209" i="14608"/>
  <c r="GG209" i="14608"/>
  <c r="GH209" i="14608"/>
  <c r="GI209" i="14608"/>
  <c r="GJ209" i="14608"/>
  <c r="GK209" i="14608"/>
  <c r="GL209" i="14608"/>
  <c r="GM209" i="14608"/>
  <c r="GN209" i="14608"/>
  <c r="GO209" i="14608"/>
  <c r="GP209" i="14608"/>
  <c r="GQ209" i="14608"/>
  <c r="GR209" i="14608"/>
  <c r="GS209" i="14608"/>
  <c r="GT209" i="14608"/>
  <c r="GU209" i="14608"/>
  <c r="GV209" i="14608"/>
  <c r="GW209" i="14608"/>
  <c r="GX209" i="14608"/>
  <c r="GY209" i="14608"/>
  <c r="GZ209" i="14608"/>
  <c r="HA209" i="14608"/>
  <c r="HB209" i="14608"/>
  <c r="HC209" i="14608"/>
  <c r="HD209" i="14608"/>
  <c r="HE209" i="14608"/>
  <c r="HF209" i="14608"/>
  <c r="HG209" i="14608"/>
  <c r="HH209" i="14608"/>
  <c r="HI209" i="14608"/>
  <c r="HJ209" i="14608"/>
  <c r="HK209" i="14608"/>
  <c r="HL209" i="14608"/>
  <c r="HM209" i="14608"/>
  <c r="HN209" i="14608"/>
  <c r="HO209" i="14608"/>
  <c r="HP209" i="14608"/>
  <c r="HQ209" i="14608"/>
  <c r="HR209" i="14608"/>
  <c r="HS209" i="14608"/>
  <c r="HT209" i="14608"/>
  <c r="HU209" i="14608"/>
  <c r="HV209" i="14608"/>
  <c r="HW209" i="14608"/>
  <c r="HX209" i="14608"/>
  <c r="HY209" i="14608"/>
  <c r="HZ209" i="14608"/>
  <c r="IA209" i="14608"/>
  <c r="IB209" i="14608"/>
  <c r="IC209" i="14608"/>
  <c r="ID209" i="14608"/>
  <c r="IE209" i="14608"/>
  <c r="IF209" i="14608"/>
  <c r="IG209" i="14608"/>
  <c r="IH209" i="14608"/>
  <c r="II209" i="14608"/>
  <c r="IJ209" i="14608"/>
  <c r="IK209" i="14608"/>
  <c r="IL209" i="14608"/>
  <c r="IM209" i="14608"/>
  <c r="IN209" i="14608"/>
  <c r="IO209" i="14608"/>
  <c r="IP209" i="14608"/>
  <c r="IQ209" i="14608"/>
  <c r="IR209" i="14608"/>
  <c r="IS209" i="14608"/>
  <c r="IT209" i="14608"/>
  <c r="IU209" i="14608"/>
  <c r="IV209" i="14608"/>
  <c r="A208" i="14608"/>
  <c r="B208" i="14608"/>
  <c r="C208" i="14608"/>
  <c r="D208" i="14608"/>
  <c r="E208" i="14608"/>
  <c r="F208" i="14608"/>
  <c r="G208" i="14608"/>
  <c r="H208" i="14608"/>
  <c r="I208" i="14608"/>
  <c r="J208" i="14608"/>
  <c r="K208" i="14608"/>
  <c r="L208" i="14608"/>
  <c r="M208" i="14608"/>
  <c r="N208" i="14608"/>
  <c r="O208" i="14608"/>
  <c r="P208" i="14608"/>
  <c r="Q208" i="14608"/>
  <c r="R208" i="14608"/>
  <c r="S208" i="14608"/>
  <c r="T208" i="14608"/>
  <c r="U208" i="14608"/>
  <c r="V208" i="14608"/>
  <c r="W208" i="14608"/>
  <c r="X208" i="14608"/>
  <c r="Y208" i="14608"/>
  <c r="Z208" i="14608"/>
  <c r="AA208" i="14608"/>
  <c r="AB208" i="14608"/>
  <c r="AC208" i="14608"/>
  <c r="AD208" i="14608"/>
  <c r="AE208" i="14608"/>
  <c r="AF208" i="14608"/>
  <c r="AG208" i="14608"/>
  <c r="AH208" i="14608"/>
  <c r="AI208" i="14608"/>
  <c r="AJ208" i="14608"/>
  <c r="AK208" i="14608"/>
  <c r="AL208" i="14608"/>
  <c r="AM208" i="14608"/>
  <c r="AN208" i="14608"/>
  <c r="AO208" i="14608"/>
  <c r="AP208" i="14608"/>
  <c r="AQ208" i="14608"/>
  <c r="AR208" i="14608"/>
  <c r="AS208" i="14608"/>
  <c r="AT208" i="14608"/>
  <c r="AU208" i="14608"/>
  <c r="AV208" i="14608"/>
  <c r="AW208" i="14608"/>
  <c r="AX208" i="14608"/>
  <c r="AY208" i="14608"/>
  <c r="AZ208" i="14608"/>
  <c r="BA208" i="14608"/>
  <c r="BB208" i="14608"/>
  <c r="BC208" i="14608"/>
  <c r="BD208" i="14608"/>
  <c r="BE208" i="14608"/>
  <c r="BF208" i="14608"/>
  <c r="BG208" i="14608"/>
  <c r="BH208" i="14608"/>
  <c r="BI208" i="14608"/>
  <c r="BJ208" i="14608"/>
  <c r="BK208" i="14608"/>
  <c r="BL208" i="14608"/>
  <c r="BM208" i="14608"/>
  <c r="BN208" i="14608"/>
  <c r="BO208" i="14608"/>
  <c r="BP208" i="14608"/>
  <c r="BQ208" i="14608"/>
  <c r="BR208" i="14608"/>
  <c r="BS208" i="14608"/>
  <c r="BT208" i="14608"/>
  <c r="BU208" i="14608"/>
  <c r="BV208" i="14608"/>
  <c r="BW208" i="14608"/>
  <c r="BX208" i="14608"/>
  <c r="BY208" i="14608"/>
  <c r="BZ208" i="14608"/>
  <c r="CA208" i="14608"/>
  <c r="CB208" i="14608"/>
  <c r="CC208" i="14608"/>
  <c r="CD208" i="14608"/>
  <c r="CE208" i="14608"/>
  <c r="CF208" i="14608"/>
  <c r="CG208" i="14608"/>
  <c r="CH208" i="14608"/>
  <c r="CI208" i="14608"/>
  <c r="CJ208" i="14608"/>
  <c r="CK208" i="14608"/>
  <c r="CL208" i="14608"/>
  <c r="CM208" i="14608"/>
  <c r="CN208" i="14608"/>
  <c r="CO208" i="14608"/>
  <c r="CP208" i="14608"/>
  <c r="CQ208" i="14608"/>
  <c r="CR208" i="14608"/>
  <c r="CS208" i="14608"/>
  <c r="CT208" i="14608"/>
  <c r="CU208" i="14608"/>
  <c r="CV208" i="14608"/>
  <c r="CW208" i="14608"/>
  <c r="CX208" i="14608"/>
  <c r="CY208" i="14608"/>
  <c r="CZ208" i="14608"/>
  <c r="DA208" i="14608"/>
  <c r="DB208" i="14608"/>
  <c r="DC208" i="14608"/>
  <c r="DD208" i="14608"/>
  <c r="DE208" i="14608"/>
  <c r="DF208" i="14608"/>
  <c r="DG208" i="14608"/>
  <c r="DH208" i="14608"/>
  <c r="DI208" i="14608"/>
  <c r="DJ208" i="14608"/>
  <c r="DK208" i="14608"/>
  <c r="DL208" i="14608"/>
  <c r="DM208" i="14608"/>
  <c r="DN208" i="14608"/>
  <c r="DO208" i="14608"/>
  <c r="DP208" i="14608"/>
  <c r="DQ208" i="14608"/>
  <c r="DR208" i="14608"/>
  <c r="DS208" i="14608"/>
  <c r="DT208" i="14608"/>
  <c r="DU208" i="14608"/>
  <c r="DV208" i="14608"/>
  <c r="DW208" i="14608"/>
  <c r="DX208" i="14608"/>
  <c r="DY208" i="14608"/>
  <c r="DZ208" i="14608"/>
  <c r="EA208" i="14608"/>
  <c r="EB208" i="14608"/>
  <c r="EC208" i="14608"/>
  <c r="ED208" i="14608"/>
  <c r="EE208" i="14608"/>
  <c r="EF208" i="14608"/>
  <c r="EG208" i="14608"/>
  <c r="EH208" i="14608"/>
  <c r="EI208" i="14608"/>
  <c r="EJ208" i="14608"/>
  <c r="EK208" i="14608"/>
  <c r="EL208" i="14608"/>
  <c r="EM208" i="14608"/>
  <c r="EN208" i="14608"/>
  <c r="EO208" i="14608"/>
  <c r="EP208" i="14608"/>
  <c r="EQ208" i="14608"/>
  <c r="ER208" i="14608"/>
  <c r="ES208" i="14608"/>
  <c r="ET208" i="14608"/>
  <c r="EU208" i="14608"/>
  <c r="EV208" i="14608"/>
  <c r="EW208" i="14608"/>
  <c r="EX208" i="14608"/>
  <c r="EY208" i="14608"/>
  <c r="EZ208" i="14608"/>
  <c r="FA208" i="14608"/>
  <c r="FB208" i="14608"/>
  <c r="FC208" i="14608"/>
  <c r="FD208" i="14608"/>
  <c r="FE208" i="14608"/>
  <c r="FF208" i="14608"/>
  <c r="FG208" i="14608"/>
  <c r="FH208" i="14608"/>
  <c r="FI208" i="14608"/>
  <c r="FJ208" i="14608"/>
  <c r="FK208" i="14608"/>
  <c r="FL208" i="14608"/>
  <c r="FM208" i="14608"/>
  <c r="FN208" i="14608"/>
  <c r="FO208" i="14608"/>
  <c r="FP208" i="14608"/>
  <c r="FQ208" i="14608"/>
  <c r="FR208" i="14608"/>
  <c r="FS208" i="14608"/>
  <c r="FT208" i="14608"/>
  <c r="FU208" i="14608"/>
  <c r="FV208" i="14608"/>
  <c r="FW208" i="14608"/>
  <c r="FX208" i="14608"/>
  <c r="FY208" i="14608"/>
  <c r="FZ208" i="14608"/>
  <c r="GA208" i="14608"/>
  <c r="GB208" i="14608"/>
  <c r="GC208" i="14608"/>
  <c r="GD208" i="14608"/>
  <c r="GE208" i="14608"/>
  <c r="GF208" i="14608"/>
  <c r="GG208" i="14608"/>
  <c r="GH208" i="14608"/>
  <c r="GI208" i="14608"/>
  <c r="GJ208" i="14608"/>
  <c r="GK208" i="14608"/>
  <c r="GL208" i="14608"/>
  <c r="GM208" i="14608"/>
  <c r="GN208" i="14608"/>
  <c r="GO208" i="14608"/>
  <c r="GP208" i="14608"/>
  <c r="GQ208" i="14608"/>
  <c r="GR208" i="14608"/>
  <c r="GS208" i="14608"/>
  <c r="GT208" i="14608"/>
  <c r="GU208" i="14608"/>
  <c r="GV208" i="14608"/>
  <c r="GW208" i="14608"/>
  <c r="GX208" i="14608"/>
  <c r="GY208" i="14608"/>
  <c r="GZ208" i="14608"/>
  <c r="HA208" i="14608"/>
  <c r="HB208" i="14608"/>
  <c r="HC208" i="14608"/>
  <c r="HD208" i="14608"/>
  <c r="HE208" i="14608"/>
  <c r="HF208" i="14608"/>
  <c r="HG208" i="14608"/>
  <c r="HH208" i="14608"/>
  <c r="HI208" i="14608"/>
  <c r="HJ208" i="14608"/>
  <c r="HK208" i="14608"/>
  <c r="HL208" i="14608"/>
  <c r="HM208" i="14608"/>
  <c r="HN208" i="14608"/>
  <c r="HO208" i="14608"/>
  <c r="HP208" i="14608"/>
  <c r="HQ208" i="14608"/>
  <c r="HR208" i="14608"/>
  <c r="HS208" i="14608"/>
  <c r="HT208" i="14608"/>
  <c r="HU208" i="14608"/>
  <c r="HV208" i="14608"/>
  <c r="HW208" i="14608"/>
  <c r="HX208" i="14608"/>
  <c r="HY208" i="14608"/>
  <c r="HZ208" i="14608"/>
  <c r="IA208" i="14608"/>
  <c r="IB208" i="14608"/>
  <c r="IC208" i="14608"/>
  <c r="ID208" i="14608"/>
  <c r="IE208" i="14608"/>
  <c r="IF208" i="14608"/>
  <c r="IG208" i="14608"/>
  <c r="IH208" i="14608"/>
  <c r="II208" i="14608"/>
  <c r="IJ208" i="14608"/>
  <c r="IK208" i="14608"/>
  <c r="IL208" i="14608"/>
  <c r="IM208" i="14608"/>
  <c r="IN208" i="14608"/>
  <c r="IO208" i="14608"/>
  <c r="IP208" i="14608"/>
  <c r="IQ208" i="14608"/>
  <c r="IR208" i="14608"/>
  <c r="IS208" i="14608"/>
  <c r="IT208" i="14608"/>
  <c r="IU208" i="14608"/>
  <c r="IV208" i="14608"/>
  <c r="A207" i="14608"/>
  <c r="B207" i="14608"/>
  <c r="C207" i="14608"/>
  <c r="D207" i="14608"/>
  <c r="E207" i="14608"/>
  <c r="F207" i="14608"/>
  <c r="G207" i="14608"/>
  <c r="H207" i="14608"/>
  <c r="I207" i="14608"/>
  <c r="J207" i="14608"/>
  <c r="K207" i="14608"/>
  <c r="L207" i="14608"/>
  <c r="M207" i="14608"/>
  <c r="N207" i="14608"/>
  <c r="O207" i="14608"/>
  <c r="P207" i="14608"/>
  <c r="Q207" i="14608"/>
  <c r="R207" i="14608"/>
  <c r="S207" i="14608"/>
  <c r="T207" i="14608"/>
  <c r="U207" i="14608"/>
  <c r="V207" i="14608"/>
  <c r="W207" i="14608"/>
  <c r="X207" i="14608"/>
  <c r="Y207" i="14608"/>
  <c r="Z207" i="14608"/>
  <c r="AA207" i="14608"/>
  <c r="AB207" i="14608"/>
  <c r="AC207" i="14608"/>
  <c r="AD207" i="14608"/>
  <c r="AE207" i="14608"/>
  <c r="AF207" i="14608"/>
  <c r="AG207" i="14608"/>
  <c r="AH207" i="14608"/>
  <c r="AI207" i="14608"/>
  <c r="AJ207" i="14608"/>
  <c r="AK207" i="14608"/>
  <c r="AL207" i="14608"/>
  <c r="AM207" i="14608"/>
  <c r="AN207" i="14608"/>
  <c r="AO207" i="14608"/>
  <c r="AP207" i="14608"/>
  <c r="AQ207" i="14608"/>
  <c r="AR207" i="14608"/>
  <c r="AS207" i="14608"/>
  <c r="AT207" i="14608"/>
  <c r="AU207" i="14608"/>
  <c r="AV207" i="14608"/>
  <c r="AW207" i="14608"/>
  <c r="AX207" i="14608"/>
  <c r="AY207" i="14608"/>
  <c r="AZ207" i="14608"/>
  <c r="BA207" i="14608"/>
  <c r="BB207" i="14608"/>
  <c r="BC207" i="14608"/>
  <c r="BD207" i="14608"/>
  <c r="BE207" i="14608"/>
  <c r="BF207" i="14608"/>
  <c r="BG207" i="14608"/>
  <c r="BH207" i="14608"/>
  <c r="BI207" i="14608"/>
  <c r="BJ207" i="14608"/>
  <c r="BK207" i="14608"/>
  <c r="BL207" i="14608"/>
  <c r="BM207" i="14608"/>
  <c r="BN207" i="14608"/>
  <c r="BO207" i="14608"/>
  <c r="BP207" i="14608"/>
  <c r="BQ207" i="14608"/>
  <c r="BR207" i="14608"/>
  <c r="BS207" i="14608"/>
  <c r="BT207" i="14608"/>
  <c r="BU207" i="14608"/>
  <c r="BV207" i="14608"/>
  <c r="BW207" i="14608"/>
  <c r="BX207" i="14608"/>
  <c r="BY207" i="14608"/>
  <c r="BZ207" i="14608"/>
  <c r="CA207" i="14608"/>
  <c r="CB207" i="14608"/>
  <c r="CC207" i="14608"/>
  <c r="CD207" i="14608"/>
  <c r="CE207" i="14608"/>
  <c r="CF207" i="14608"/>
  <c r="CG207" i="14608"/>
  <c r="CH207" i="14608"/>
  <c r="CI207" i="14608"/>
  <c r="CJ207" i="14608"/>
  <c r="CK207" i="14608"/>
  <c r="CL207" i="14608"/>
  <c r="CM207" i="14608"/>
  <c r="CN207" i="14608"/>
  <c r="CO207" i="14608"/>
  <c r="CP207" i="14608"/>
  <c r="CQ207" i="14608"/>
  <c r="CR207" i="14608"/>
  <c r="CS207" i="14608"/>
  <c r="CT207" i="14608"/>
  <c r="CU207" i="14608"/>
  <c r="CV207" i="14608"/>
  <c r="CW207" i="14608"/>
  <c r="CX207" i="14608"/>
  <c r="CY207" i="14608"/>
  <c r="CZ207" i="14608"/>
  <c r="DA207" i="14608"/>
  <c r="DB207" i="14608"/>
  <c r="DC207" i="14608"/>
  <c r="DD207" i="14608"/>
  <c r="DE207" i="14608"/>
  <c r="DF207" i="14608"/>
  <c r="DG207" i="14608"/>
  <c r="DH207" i="14608"/>
  <c r="DI207" i="14608"/>
  <c r="DJ207" i="14608"/>
  <c r="DK207" i="14608"/>
  <c r="DL207" i="14608"/>
  <c r="DM207" i="14608"/>
  <c r="DN207" i="14608"/>
  <c r="DO207" i="14608"/>
  <c r="DP207" i="14608"/>
  <c r="DQ207" i="14608"/>
  <c r="DR207" i="14608"/>
  <c r="DS207" i="14608"/>
  <c r="DT207" i="14608"/>
  <c r="DU207" i="14608"/>
  <c r="DV207" i="14608"/>
  <c r="DW207" i="14608"/>
  <c r="DX207" i="14608"/>
  <c r="DY207" i="14608"/>
  <c r="DZ207" i="14608"/>
  <c r="EA207" i="14608"/>
  <c r="EB207" i="14608"/>
  <c r="EC207" i="14608"/>
  <c r="ED207" i="14608"/>
  <c r="EE207" i="14608"/>
  <c r="EF207" i="14608"/>
  <c r="EG207" i="14608"/>
  <c r="EH207" i="14608"/>
  <c r="EI207" i="14608"/>
  <c r="EJ207" i="14608"/>
  <c r="EK207" i="14608"/>
  <c r="EL207" i="14608"/>
  <c r="EM207" i="14608"/>
  <c r="EN207" i="14608"/>
  <c r="EO207" i="14608"/>
  <c r="EP207" i="14608"/>
  <c r="EQ207" i="14608"/>
  <c r="ER207" i="14608"/>
  <c r="ES207" i="14608"/>
  <c r="ET207" i="14608"/>
  <c r="EU207" i="14608"/>
  <c r="EV207" i="14608"/>
  <c r="EW207" i="14608"/>
  <c r="EX207" i="14608"/>
  <c r="EY207" i="14608"/>
  <c r="EZ207" i="14608"/>
  <c r="FA207" i="14608"/>
  <c r="FB207" i="14608"/>
  <c r="FC207" i="14608"/>
  <c r="FD207" i="14608"/>
  <c r="FE207" i="14608"/>
  <c r="FF207" i="14608"/>
  <c r="FG207" i="14608"/>
  <c r="FH207" i="14608"/>
  <c r="FI207" i="14608"/>
  <c r="FJ207" i="14608"/>
  <c r="FK207" i="14608"/>
  <c r="FL207" i="14608"/>
  <c r="FM207" i="14608"/>
  <c r="FN207" i="14608"/>
  <c r="FO207" i="14608"/>
  <c r="FP207" i="14608"/>
  <c r="FQ207" i="14608"/>
  <c r="FR207" i="14608"/>
  <c r="FS207" i="14608"/>
  <c r="FT207" i="14608"/>
  <c r="FU207" i="14608"/>
  <c r="FV207" i="14608"/>
  <c r="FW207" i="14608"/>
  <c r="FX207" i="14608"/>
  <c r="FY207" i="14608"/>
  <c r="FZ207" i="14608"/>
  <c r="GA207" i="14608"/>
  <c r="GB207" i="14608"/>
  <c r="GC207" i="14608"/>
  <c r="GD207" i="14608"/>
  <c r="GE207" i="14608"/>
  <c r="GF207" i="14608"/>
  <c r="GG207" i="14608"/>
  <c r="GH207" i="14608"/>
  <c r="GI207" i="14608"/>
  <c r="GJ207" i="14608"/>
  <c r="GK207" i="14608"/>
  <c r="GL207" i="14608"/>
  <c r="GM207" i="14608"/>
  <c r="GN207" i="14608"/>
  <c r="GO207" i="14608"/>
  <c r="GP207" i="14608"/>
  <c r="GQ207" i="14608"/>
  <c r="GR207" i="14608"/>
  <c r="GS207" i="14608"/>
  <c r="GT207" i="14608"/>
  <c r="GU207" i="14608"/>
  <c r="GV207" i="14608"/>
  <c r="GW207" i="14608"/>
  <c r="GX207" i="14608"/>
  <c r="GY207" i="14608"/>
  <c r="GZ207" i="14608"/>
  <c r="HA207" i="14608"/>
  <c r="HB207" i="14608"/>
  <c r="HC207" i="14608"/>
  <c r="HD207" i="14608"/>
  <c r="HE207" i="14608"/>
  <c r="HF207" i="14608"/>
  <c r="HG207" i="14608"/>
  <c r="HH207" i="14608"/>
  <c r="HI207" i="14608"/>
  <c r="HJ207" i="14608"/>
  <c r="HK207" i="14608"/>
  <c r="HL207" i="14608"/>
  <c r="HM207" i="14608"/>
  <c r="HN207" i="14608"/>
  <c r="HO207" i="14608"/>
  <c r="HP207" i="14608"/>
  <c r="HQ207" i="14608"/>
  <c r="HR207" i="14608"/>
  <c r="HS207" i="14608"/>
  <c r="HT207" i="14608"/>
  <c r="HU207" i="14608"/>
  <c r="HV207" i="14608"/>
  <c r="HW207" i="14608"/>
  <c r="HX207" i="14608"/>
  <c r="HY207" i="14608"/>
  <c r="HZ207" i="14608"/>
  <c r="IA207" i="14608"/>
  <c r="IB207" i="14608"/>
  <c r="IC207" i="14608"/>
  <c r="ID207" i="14608"/>
  <c r="IE207" i="14608"/>
  <c r="IF207" i="14608"/>
  <c r="IG207" i="14608"/>
  <c r="IH207" i="14608"/>
  <c r="II207" i="14608"/>
  <c r="IJ207" i="14608"/>
  <c r="IK207" i="14608"/>
  <c r="IL207" i="14608"/>
  <c r="IM207" i="14608"/>
  <c r="IN207" i="14608"/>
  <c r="IO207" i="14608"/>
  <c r="IP207" i="14608"/>
  <c r="IQ207" i="14608"/>
  <c r="IR207" i="14608"/>
  <c r="IS207" i="14608"/>
  <c r="IT207" i="14608"/>
  <c r="IU207" i="14608"/>
  <c r="IV207" i="14608"/>
  <c r="A206" i="14608"/>
  <c r="B206" i="14608"/>
  <c r="C206" i="14608"/>
  <c r="D206" i="14608"/>
  <c r="E206" i="14608"/>
  <c r="F206" i="14608"/>
  <c r="G206" i="14608"/>
  <c r="H206" i="14608"/>
  <c r="I206" i="14608"/>
  <c r="J206" i="14608"/>
  <c r="K206" i="14608"/>
  <c r="L206" i="14608"/>
  <c r="M206" i="14608"/>
  <c r="N206" i="14608"/>
  <c r="O206" i="14608"/>
  <c r="P206" i="14608"/>
  <c r="Q206" i="14608"/>
  <c r="R206" i="14608"/>
  <c r="S206" i="14608"/>
  <c r="T206" i="14608"/>
  <c r="U206" i="14608"/>
  <c r="V206" i="14608"/>
  <c r="W206" i="14608"/>
  <c r="X206" i="14608"/>
  <c r="Y206" i="14608"/>
  <c r="Z206" i="14608"/>
  <c r="AA206" i="14608"/>
  <c r="AB206" i="14608"/>
  <c r="AC206" i="14608"/>
  <c r="AD206" i="14608"/>
  <c r="AE206" i="14608"/>
  <c r="AF206" i="14608"/>
  <c r="AG206" i="14608"/>
  <c r="AH206" i="14608"/>
  <c r="AI206" i="14608"/>
  <c r="AJ206" i="14608"/>
  <c r="AK206" i="14608"/>
  <c r="AL206" i="14608"/>
  <c r="AM206" i="14608"/>
  <c r="AN206" i="14608"/>
  <c r="AO206" i="14608"/>
  <c r="AP206" i="14608"/>
  <c r="AQ206" i="14608"/>
  <c r="AR206" i="14608"/>
  <c r="AS206" i="14608"/>
  <c r="AT206" i="14608"/>
  <c r="AU206" i="14608"/>
  <c r="AV206" i="14608"/>
  <c r="AW206" i="14608"/>
  <c r="AX206" i="14608"/>
  <c r="AY206" i="14608"/>
  <c r="AZ206" i="14608"/>
  <c r="BA206" i="14608"/>
  <c r="BB206" i="14608"/>
  <c r="BC206" i="14608"/>
  <c r="BD206" i="14608"/>
  <c r="BE206" i="14608"/>
  <c r="BF206" i="14608"/>
  <c r="BG206" i="14608"/>
  <c r="BH206" i="14608"/>
  <c r="BI206" i="14608"/>
  <c r="BJ206" i="14608"/>
  <c r="BK206" i="14608"/>
  <c r="BL206" i="14608"/>
  <c r="BM206" i="14608"/>
  <c r="BN206" i="14608"/>
  <c r="BO206" i="14608"/>
  <c r="BP206" i="14608"/>
  <c r="BQ206" i="14608"/>
  <c r="BR206" i="14608"/>
  <c r="BS206" i="14608"/>
  <c r="BT206" i="14608"/>
  <c r="BU206" i="14608"/>
  <c r="BV206" i="14608"/>
  <c r="BW206" i="14608"/>
  <c r="BX206" i="14608"/>
  <c r="BY206" i="14608"/>
  <c r="BZ206" i="14608"/>
  <c r="CA206" i="14608"/>
  <c r="CB206" i="14608"/>
  <c r="CC206" i="14608"/>
  <c r="CD206" i="14608"/>
  <c r="CE206" i="14608"/>
  <c r="CF206" i="14608"/>
  <c r="CG206" i="14608"/>
  <c r="CH206" i="14608"/>
  <c r="CI206" i="14608"/>
  <c r="CJ206" i="14608"/>
  <c r="CK206" i="14608"/>
  <c r="CL206" i="14608"/>
  <c r="CM206" i="14608"/>
  <c r="CN206" i="14608"/>
  <c r="CO206" i="14608"/>
  <c r="CP206" i="14608"/>
  <c r="CQ206" i="14608"/>
  <c r="CR206" i="14608"/>
  <c r="CS206" i="14608"/>
  <c r="CT206" i="14608"/>
  <c r="CU206" i="14608"/>
  <c r="CV206" i="14608"/>
  <c r="CW206" i="14608"/>
  <c r="CX206" i="14608"/>
  <c r="CY206" i="14608"/>
  <c r="CZ206" i="14608"/>
  <c r="DA206" i="14608"/>
  <c r="DB206" i="14608"/>
  <c r="DC206" i="14608"/>
  <c r="DD206" i="14608"/>
  <c r="DE206" i="14608"/>
  <c r="DF206" i="14608"/>
  <c r="DG206" i="14608"/>
  <c r="DH206" i="14608"/>
  <c r="DI206" i="14608"/>
  <c r="DJ206" i="14608"/>
  <c r="DK206" i="14608"/>
  <c r="DL206" i="14608"/>
  <c r="DM206" i="14608"/>
  <c r="DN206" i="14608"/>
  <c r="DO206" i="14608"/>
  <c r="DP206" i="14608"/>
  <c r="DQ206" i="14608"/>
  <c r="DR206" i="14608"/>
  <c r="DS206" i="14608"/>
  <c r="DT206" i="14608"/>
  <c r="DU206" i="14608"/>
  <c r="DV206" i="14608"/>
  <c r="DW206" i="14608"/>
  <c r="DX206" i="14608"/>
  <c r="DY206" i="14608"/>
  <c r="DZ206" i="14608"/>
  <c r="EA206" i="14608"/>
  <c r="EB206" i="14608"/>
  <c r="EC206" i="14608"/>
  <c r="ED206" i="14608"/>
  <c r="EE206" i="14608"/>
  <c r="EF206" i="14608"/>
  <c r="EG206" i="14608"/>
  <c r="EH206" i="14608"/>
  <c r="EI206" i="14608"/>
  <c r="EJ206" i="14608"/>
  <c r="EK206" i="14608"/>
  <c r="EL206" i="14608"/>
  <c r="EM206" i="14608"/>
  <c r="EN206" i="14608"/>
  <c r="EO206" i="14608"/>
  <c r="EP206" i="14608"/>
  <c r="EQ206" i="14608"/>
  <c r="ER206" i="14608"/>
  <c r="ES206" i="14608"/>
  <c r="ET206" i="14608"/>
  <c r="EU206" i="14608"/>
  <c r="EV206" i="14608"/>
  <c r="EW206" i="14608"/>
  <c r="EX206" i="14608"/>
  <c r="EY206" i="14608"/>
  <c r="EZ206" i="14608"/>
  <c r="FA206" i="14608"/>
  <c r="FB206" i="14608"/>
  <c r="FC206" i="14608"/>
  <c r="FD206" i="14608"/>
  <c r="FE206" i="14608"/>
  <c r="FF206" i="14608"/>
  <c r="FG206" i="14608"/>
  <c r="FH206" i="14608"/>
  <c r="FI206" i="14608"/>
  <c r="FJ206" i="14608"/>
  <c r="FK206" i="14608"/>
  <c r="FL206" i="14608"/>
  <c r="FM206" i="14608"/>
  <c r="FN206" i="14608"/>
  <c r="FO206" i="14608"/>
  <c r="FP206" i="14608"/>
  <c r="FQ206" i="14608"/>
  <c r="FR206" i="14608"/>
  <c r="FS206" i="14608"/>
  <c r="FT206" i="14608"/>
  <c r="FU206" i="14608"/>
  <c r="FV206" i="14608"/>
  <c r="FW206" i="14608"/>
  <c r="FX206" i="14608"/>
  <c r="FY206" i="14608"/>
  <c r="FZ206" i="14608"/>
  <c r="GA206" i="14608"/>
  <c r="GB206" i="14608"/>
  <c r="GC206" i="14608"/>
  <c r="GD206" i="14608"/>
  <c r="GE206" i="14608"/>
  <c r="GF206" i="14608"/>
  <c r="GG206" i="14608"/>
  <c r="GH206" i="14608"/>
  <c r="GI206" i="14608"/>
  <c r="GJ206" i="14608"/>
  <c r="GK206" i="14608"/>
  <c r="GL206" i="14608"/>
  <c r="GM206" i="14608"/>
  <c r="GN206" i="14608"/>
  <c r="GO206" i="14608"/>
  <c r="GP206" i="14608"/>
  <c r="GQ206" i="14608"/>
  <c r="GR206" i="14608"/>
  <c r="GS206" i="14608"/>
  <c r="GT206" i="14608"/>
  <c r="GU206" i="14608"/>
  <c r="GV206" i="14608"/>
  <c r="GW206" i="14608"/>
  <c r="GX206" i="14608"/>
  <c r="GY206" i="14608"/>
  <c r="GZ206" i="14608"/>
  <c r="HA206" i="14608"/>
  <c r="HB206" i="14608"/>
  <c r="HC206" i="14608"/>
  <c r="HD206" i="14608"/>
  <c r="HE206" i="14608"/>
  <c r="HF206" i="14608"/>
  <c r="HG206" i="14608"/>
  <c r="HH206" i="14608"/>
  <c r="HI206" i="14608"/>
  <c r="HJ206" i="14608"/>
  <c r="HK206" i="14608"/>
  <c r="HL206" i="14608"/>
  <c r="HM206" i="14608"/>
  <c r="HN206" i="14608"/>
  <c r="HO206" i="14608"/>
  <c r="HP206" i="14608"/>
  <c r="HQ206" i="14608"/>
  <c r="HR206" i="14608"/>
  <c r="HS206" i="14608"/>
  <c r="HT206" i="14608"/>
  <c r="HU206" i="14608"/>
  <c r="HV206" i="14608"/>
  <c r="HW206" i="14608"/>
  <c r="HX206" i="14608"/>
  <c r="HY206" i="14608"/>
  <c r="HZ206" i="14608"/>
  <c r="IA206" i="14608"/>
  <c r="IB206" i="14608"/>
  <c r="IC206" i="14608"/>
  <c r="ID206" i="14608"/>
  <c r="IE206" i="14608"/>
  <c r="IF206" i="14608"/>
  <c r="IG206" i="14608"/>
  <c r="IH206" i="14608"/>
  <c r="II206" i="14608"/>
  <c r="IJ206" i="14608"/>
  <c r="IK206" i="14608"/>
  <c r="IL206" i="14608"/>
  <c r="IM206" i="14608"/>
  <c r="IN206" i="14608"/>
  <c r="IO206" i="14608"/>
  <c r="IP206" i="14608"/>
  <c r="IQ206" i="14608"/>
  <c r="IR206" i="14608"/>
  <c r="IS206" i="14608"/>
  <c r="IT206" i="14608"/>
  <c r="IU206" i="14608"/>
  <c r="IV206" i="14608"/>
  <c r="A205" i="14608"/>
  <c r="B205" i="14608"/>
  <c r="C205" i="14608"/>
  <c r="D205" i="14608"/>
  <c r="E205" i="14608"/>
  <c r="F205" i="14608"/>
  <c r="G205" i="14608"/>
  <c r="H205" i="14608"/>
  <c r="I205" i="14608"/>
  <c r="J205" i="14608"/>
  <c r="K205" i="14608"/>
  <c r="L205" i="14608"/>
  <c r="M205" i="14608"/>
  <c r="N205" i="14608"/>
  <c r="O205" i="14608"/>
  <c r="P205" i="14608"/>
  <c r="Q205" i="14608"/>
  <c r="R205" i="14608"/>
  <c r="S205" i="14608"/>
  <c r="T205" i="14608"/>
  <c r="U205" i="14608"/>
  <c r="V205" i="14608"/>
  <c r="W205" i="14608"/>
  <c r="X205" i="14608"/>
  <c r="Y205" i="14608"/>
  <c r="Z205" i="14608"/>
  <c r="AA205" i="14608"/>
  <c r="AB205" i="14608"/>
  <c r="AC205" i="14608"/>
  <c r="AD205" i="14608"/>
  <c r="AE205" i="14608"/>
  <c r="AF205" i="14608"/>
  <c r="AG205" i="14608"/>
  <c r="AH205" i="14608"/>
  <c r="AI205" i="14608"/>
  <c r="AJ205" i="14608"/>
  <c r="AK205" i="14608"/>
  <c r="AL205" i="14608"/>
  <c r="AM205" i="14608"/>
  <c r="AN205" i="14608"/>
  <c r="AO205" i="14608"/>
  <c r="AP205" i="14608"/>
  <c r="AQ205" i="14608"/>
  <c r="AR205" i="14608"/>
  <c r="AS205" i="14608"/>
  <c r="AT205" i="14608"/>
  <c r="AU205" i="14608"/>
  <c r="AV205" i="14608"/>
  <c r="AW205" i="14608"/>
  <c r="AX205" i="14608"/>
  <c r="AY205" i="14608"/>
  <c r="AZ205" i="14608"/>
  <c r="BA205" i="14608"/>
  <c r="BB205" i="14608"/>
  <c r="BC205" i="14608"/>
  <c r="BD205" i="14608"/>
  <c r="BE205" i="14608"/>
  <c r="BF205" i="14608"/>
  <c r="BG205" i="14608"/>
  <c r="BH205" i="14608"/>
  <c r="BI205" i="14608"/>
  <c r="BJ205" i="14608"/>
  <c r="BK205" i="14608"/>
  <c r="BL205" i="14608"/>
  <c r="BM205" i="14608"/>
  <c r="BN205" i="14608"/>
  <c r="BO205" i="14608"/>
  <c r="BP205" i="14608"/>
  <c r="BQ205" i="14608"/>
  <c r="BR205" i="14608"/>
  <c r="BS205" i="14608"/>
  <c r="BT205" i="14608"/>
  <c r="BU205" i="14608"/>
  <c r="BV205" i="14608"/>
  <c r="BW205" i="14608"/>
  <c r="BX205" i="14608"/>
  <c r="BY205" i="14608"/>
  <c r="BZ205" i="14608"/>
  <c r="CA205" i="14608"/>
  <c r="CB205" i="14608"/>
  <c r="CC205" i="14608"/>
  <c r="CD205" i="14608"/>
  <c r="CE205" i="14608"/>
  <c r="CF205" i="14608"/>
  <c r="CG205" i="14608"/>
  <c r="CH205" i="14608"/>
  <c r="CI205" i="14608"/>
  <c r="CJ205" i="14608"/>
  <c r="CK205" i="14608"/>
  <c r="CL205" i="14608"/>
  <c r="CM205" i="14608"/>
  <c r="CN205" i="14608"/>
  <c r="CO205" i="14608"/>
  <c r="CP205" i="14608"/>
  <c r="CQ205" i="14608"/>
  <c r="CR205" i="14608"/>
  <c r="CS205" i="14608"/>
  <c r="CT205" i="14608"/>
  <c r="CU205" i="14608"/>
  <c r="CV205" i="14608"/>
  <c r="CW205" i="14608"/>
  <c r="CX205" i="14608"/>
  <c r="CY205" i="14608"/>
  <c r="CZ205" i="14608"/>
  <c r="DA205" i="14608"/>
  <c r="DB205" i="14608"/>
  <c r="DC205" i="14608"/>
  <c r="DD205" i="14608"/>
  <c r="DE205" i="14608"/>
  <c r="DF205" i="14608"/>
  <c r="DG205" i="14608"/>
  <c r="DH205" i="14608"/>
  <c r="DI205" i="14608"/>
  <c r="DJ205" i="14608"/>
  <c r="DK205" i="14608"/>
  <c r="DL205" i="14608"/>
  <c r="DM205" i="14608"/>
  <c r="DN205" i="14608"/>
  <c r="DO205" i="14608"/>
  <c r="DP205" i="14608"/>
  <c r="DQ205" i="14608"/>
  <c r="DR205" i="14608"/>
  <c r="DS205" i="14608"/>
  <c r="DT205" i="14608"/>
  <c r="DU205" i="14608"/>
  <c r="DV205" i="14608"/>
  <c r="DW205" i="14608"/>
  <c r="DX205" i="14608"/>
  <c r="DY205" i="14608"/>
  <c r="DZ205" i="14608"/>
  <c r="EA205" i="14608"/>
  <c r="EB205" i="14608"/>
  <c r="EC205" i="14608"/>
  <c r="ED205" i="14608"/>
  <c r="EE205" i="14608"/>
  <c r="EF205" i="14608"/>
  <c r="EG205" i="14608"/>
  <c r="EH205" i="14608"/>
  <c r="EI205" i="14608"/>
  <c r="EJ205" i="14608"/>
  <c r="EK205" i="14608"/>
  <c r="EL205" i="14608"/>
  <c r="EM205" i="14608"/>
  <c r="EN205" i="14608"/>
  <c r="EO205" i="14608"/>
  <c r="EP205" i="14608"/>
  <c r="EQ205" i="14608"/>
  <c r="ER205" i="14608"/>
  <c r="ES205" i="14608"/>
  <c r="ET205" i="14608"/>
  <c r="EU205" i="14608"/>
  <c r="EV205" i="14608"/>
  <c r="EW205" i="14608"/>
  <c r="EX205" i="14608"/>
  <c r="EY205" i="14608"/>
  <c r="EZ205" i="14608"/>
  <c r="FA205" i="14608"/>
  <c r="FB205" i="14608"/>
  <c r="FC205" i="14608"/>
  <c r="FD205" i="14608"/>
  <c r="FE205" i="14608"/>
  <c r="FF205" i="14608"/>
  <c r="FG205" i="14608"/>
  <c r="FH205" i="14608"/>
  <c r="FI205" i="14608"/>
  <c r="FJ205" i="14608"/>
  <c r="FK205" i="14608"/>
  <c r="FL205" i="14608"/>
  <c r="FM205" i="14608"/>
  <c r="FN205" i="14608"/>
  <c r="FO205" i="14608"/>
  <c r="FP205" i="14608"/>
  <c r="FQ205" i="14608"/>
  <c r="FR205" i="14608"/>
  <c r="FS205" i="14608"/>
  <c r="FT205" i="14608"/>
  <c r="FU205" i="14608"/>
  <c r="FV205" i="14608"/>
  <c r="FW205" i="14608"/>
  <c r="FX205" i="14608"/>
  <c r="FY205" i="14608"/>
  <c r="FZ205" i="14608"/>
  <c r="GA205" i="14608"/>
  <c r="GB205" i="14608"/>
  <c r="GC205" i="14608"/>
  <c r="GD205" i="14608"/>
  <c r="GE205" i="14608"/>
  <c r="GF205" i="14608"/>
  <c r="GG205" i="14608"/>
  <c r="GH205" i="14608"/>
  <c r="GI205" i="14608"/>
  <c r="GJ205" i="14608"/>
  <c r="GK205" i="14608"/>
  <c r="GL205" i="14608"/>
  <c r="GM205" i="14608"/>
  <c r="GN205" i="14608"/>
  <c r="GO205" i="14608"/>
  <c r="GP205" i="14608"/>
  <c r="GQ205" i="14608"/>
  <c r="GR205" i="14608"/>
  <c r="GS205" i="14608"/>
  <c r="GT205" i="14608"/>
  <c r="GU205" i="14608"/>
  <c r="GV205" i="14608"/>
  <c r="GW205" i="14608"/>
  <c r="GX205" i="14608"/>
  <c r="GY205" i="14608"/>
  <c r="GZ205" i="14608"/>
  <c r="HA205" i="14608"/>
  <c r="HB205" i="14608"/>
  <c r="HC205" i="14608"/>
  <c r="HD205" i="14608"/>
  <c r="HE205" i="14608"/>
  <c r="HF205" i="14608"/>
  <c r="HG205" i="14608"/>
  <c r="HH205" i="14608"/>
  <c r="HI205" i="14608"/>
  <c r="HJ205" i="14608"/>
  <c r="HK205" i="14608"/>
  <c r="HL205" i="14608"/>
  <c r="HM205" i="14608"/>
  <c r="HN205" i="14608"/>
  <c r="HO205" i="14608"/>
  <c r="HP205" i="14608"/>
  <c r="HQ205" i="14608"/>
  <c r="HR205" i="14608"/>
  <c r="HS205" i="14608"/>
  <c r="HT205" i="14608"/>
  <c r="HU205" i="14608"/>
  <c r="HV205" i="14608"/>
  <c r="HW205" i="14608"/>
  <c r="HX205" i="14608"/>
  <c r="HY205" i="14608"/>
  <c r="HZ205" i="14608"/>
  <c r="IA205" i="14608"/>
  <c r="IB205" i="14608"/>
  <c r="IC205" i="14608"/>
  <c r="ID205" i="14608"/>
  <c r="IE205" i="14608"/>
  <c r="IF205" i="14608"/>
  <c r="IG205" i="14608"/>
  <c r="IH205" i="14608"/>
  <c r="II205" i="14608"/>
  <c r="IJ205" i="14608"/>
  <c r="IK205" i="14608"/>
  <c r="IL205" i="14608"/>
  <c r="IM205" i="14608"/>
  <c r="IN205" i="14608"/>
  <c r="IO205" i="14608"/>
  <c r="IP205" i="14608"/>
  <c r="IQ205" i="14608"/>
  <c r="IR205" i="14608"/>
  <c r="IS205" i="14608"/>
  <c r="IT205" i="14608"/>
  <c r="IU205" i="14608"/>
  <c r="IV205" i="14608"/>
  <c r="A204" i="14608"/>
  <c r="B204" i="14608"/>
  <c r="C204" i="14608"/>
  <c r="D204" i="14608"/>
  <c r="E204" i="14608"/>
  <c r="F204" i="14608"/>
  <c r="G204" i="14608"/>
  <c r="H204" i="14608"/>
  <c r="I204" i="14608"/>
  <c r="J204" i="14608"/>
  <c r="K204" i="14608"/>
  <c r="L204" i="14608"/>
  <c r="M204" i="14608"/>
  <c r="N204" i="14608"/>
  <c r="O204" i="14608"/>
  <c r="P204" i="14608"/>
  <c r="Q204" i="14608"/>
  <c r="R204" i="14608"/>
  <c r="S204" i="14608"/>
  <c r="T204" i="14608"/>
  <c r="U204" i="14608"/>
  <c r="V204" i="14608"/>
  <c r="W204" i="14608"/>
  <c r="X204" i="14608"/>
  <c r="Y204" i="14608"/>
  <c r="Z204" i="14608"/>
  <c r="AA204" i="14608"/>
  <c r="AB204" i="14608"/>
  <c r="AC204" i="14608"/>
  <c r="AD204" i="14608"/>
  <c r="AE204" i="14608"/>
  <c r="AF204" i="14608"/>
  <c r="AG204" i="14608"/>
  <c r="AH204" i="14608"/>
  <c r="AI204" i="14608"/>
  <c r="AJ204" i="14608"/>
  <c r="AK204" i="14608"/>
  <c r="AL204" i="14608"/>
  <c r="AM204" i="14608"/>
  <c r="AN204" i="14608"/>
  <c r="AO204" i="14608"/>
  <c r="AP204" i="14608"/>
  <c r="AQ204" i="14608"/>
  <c r="AR204" i="14608"/>
  <c r="AS204" i="14608"/>
  <c r="AT204" i="14608"/>
  <c r="AU204" i="14608"/>
  <c r="AV204" i="14608"/>
  <c r="AW204" i="14608"/>
  <c r="AX204" i="14608"/>
  <c r="AY204" i="14608"/>
  <c r="AZ204" i="14608"/>
  <c r="BA204" i="14608"/>
  <c r="BB204" i="14608"/>
  <c r="BC204" i="14608"/>
  <c r="BD204" i="14608"/>
  <c r="BE204" i="14608"/>
  <c r="BF204" i="14608"/>
  <c r="BG204" i="14608"/>
  <c r="BH204" i="14608"/>
  <c r="BI204" i="14608"/>
  <c r="BJ204" i="14608"/>
  <c r="BK204" i="14608"/>
  <c r="BL204" i="14608"/>
  <c r="BM204" i="14608"/>
  <c r="BN204" i="14608"/>
  <c r="BO204" i="14608"/>
  <c r="BP204" i="14608"/>
  <c r="BQ204" i="14608"/>
  <c r="BR204" i="14608"/>
  <c r="BS204" i="14608"/>
  <c r="BT204" i="14608"/>
  <c r="BU204" i="14608"/>
  <c r="BV204" i="14608"/>
  <c r="BW204" i="14608"/>
  <c r="BX204" i="14608"/>
  <c r="BY204" i="14608"/>
  <c r="BZ204" i="14608"/>
  <c r="CA204" i="14608"/>
  <c r="CB204" i="14608"/>
  <c r="CC204" i="14608"/>
  <c r="CD204" i="14608"/>
  <c r="CE204" i="14608"/>
  <c r="CF204" i="14608"/>
  <c r="CG204" i="14608"/>
  <c r="CH204" i="14608"/>
  <c r="CI204" i="14608"/>
  <c r="CJ204" i="14608"/>
  <c r="CK204" i="14608"/>
  <c r="CL204" i="14608"/>
  <c r="CM204" i="14608"/>
  <c r="CN204" i="14608"/>
  <c r="CO204" i="14608"/>
  <c r="CP204" i="14608"/>
  <c r="CQ204" i="14608"/>
  <c r="CR204" i="14608"/>
  <c r="CS204" i="14608"/>
  <c r="CT204" i="14608"/>
  <c r="CU204" i="14608"/>
  <c r="CV204" i="14608"/>
  <c r="CW204" i="14608"/>
  <c r="CX204" i="14608"/>
  <c r="CY204" i="14608"/>
  <c r="CZ204" i="14608"/>
  <c r="DA204" i="14608"/>
  <c r="DB204" i="14608"/>
  <c r="DC204" i="14608"/>
  <c r="DD204" i="14608"/>
  <c r="DE204" i="14608"/>
  <c r="DF204" i="14608"/>
  <c r="DG204" i="14608"/>
  <c r="DH204" i="14608"/>
  <c r="DI204" i="14608"/>
  <c r="DJ204" i="14608"/>
  <c r="DK204" i="14608"/>
  <c r="DL204" i="14608"/>
  <c r="DM204" i="14608"/>
  <c r="DN204" i="14608"/>
  <c r="DO204" i="14608"/>
  <c r="DP204" i="14608"/>
  <c r="DQ204" i="14608"/>
  <c r="DR204" i="14608"/>
  <c r="DS204" i="14608"/>
  <c r="DT204" i="14608"/>
  <c r="DU204" i="14608"/>
  <c r="DV204" i="14608"/>
  <c r="DW204" i="14608"/>
  <c r="DX204" i="14608"/>
  <c r="DY204" i="14608"/>
  <c r="DZ204" i="14608"/>
  <c r="EA204" i="14608"/>
  <c r="EB204" i="14608"/>
  <c r="EC204" i="14608"/>
  <c r="ED204" i="14608"/>
  <c r="EE204" i="14608"/>
  <c r="EF204" i="14608"/>
  <c r="EG204" i="14608"/>
  <c r="EH204" i="14608"/>
  <c r="EI204" i="14608"/>
  <c r="EJ204" i="14608"/>
  <c r="EK204" i="14608"/>
  <c r="EL204" i="14608"/>
  <c r="EM204" i="14608"/>
  <c r="EN204" i="14608"/>
  <c r="EO204" i="14608"/>
  <c r="EP204" i="14608"/>
  <c r="EQ204" i="14608"/>
  <c r="ER204" i="14608"/>
  <c r="ES204" i="14608"/>
  <c r="ET204" i="14608"/>
  <c r="EU204" i="14608"/>
  <c r="EV204" i="14608"/>
  <c r="EW204" i="14608"/>
  <c r="EX204" i="14608"/>
  <c r="EY204" i="14608"/>
  <c r="EZ204" i="14608"/>
  <c r="FA204" i="14608"/>
  <c r="FB204" i="14608"/>
  <c r="FC204" i="14608"/>
  <c r="FD204" i="14608"/>
  <c r="FE204" i="14608"/>
  <c r="FF204" i="14608"/>
  <c r="FG204" i="14608"/>
  <c r="FH204" i="14608"/>
  <c r="FI204" i="14608"/>
  <c r="FJ204" i="14608"/>
  <c r="FK204" i="14608"/>
  <c r="FL204" i="14608"/>
  <c r="FM204" i="14608"/>
  <c r="FN204" i="14608"/>
  <c r="FO204" i="14608"/>
  <c r="FP204" i="14608"/>
  <c r="FQ204" i="14608"/>
  <c r="FR204" i="14608"/>
  <c r="FS204" i="14608"/>
  <c r="FT204" i="14608"/>
  <c r="FU204" i="14608"/>
  <c r="FV204" i="14608"/>
  <c r="FW204" i="14608"/>
  <c r="FX204" i="14608"/>
  <c r="FY204" i="14608"/>
  <c r="FZ204" i="14608"/>
  <c r="GA204" i="14608"/>
  <c r="GB204" i="14608"/>
  <c r="GC204" i="14608"/>
  <c r="GD204" i="14608"/>
  <c r="GE204" i="14608"/>
  <c r="GF204" i="14608"/>
  <c r="GG204" i="14608"/>
  <c r="GH204" i="14608"/>
  <c r="GI204" i="14608"/>
  <c r="GJ204" i="14608"/>
  <c r="GK204" i="14608"/>
  <c r="GL204" i="14608"/>
  <c r="GM204" i="14608"/>
  <c r="GN204" i="14608"/>
  <c r="GO204" i="14608"/>
  <c r="GP204" i="14608"/>
  <c r="GQ204" i="14608"/>
  <c r="GR204" i="14608"/>
  <c r="GS204" i="14608"/>
  <c r="GT204" i="14608"/>
  <c r="GU204" i="14608"/>
  <c r="GV204" i="14608"/>
  <c r="GW204" i="14608"/>
  <c r="GX204" i="14608"/>
  <c r="GY204" i="14608"/>
  <c r="GZ204" i="14608"/>
  <c r="HA204" i="14608"/>
  <c r="HB204" i="14608"/>
  <c r="HC204" i="14608"/>
  <c r="HD204" i="14608"/>
  <c r="HE204" i="14608"/>
  <c r="HF204" i="14608"/>
  <c r="HG204" i="14608"/>
  <c r="HH204" i="14608"/>
  <c r="HI204" i="14608"/>
  <c r="HJ204" i="14608"/>
  <c r="HK204" i="14608"/>
  <c r="HL204" i="14608"/>
  <c r="HM204" i="14608"/>
  <c r="HN204" i="14608"/>
  <c r="HO204" i="14608"/>
  <c r="HP204" i="14608"/>
  <c r="HQ204" i="14608"/>
  <c r="HR204" i="14608"/>
  <c r="HS204" i="14608"/>
  <c r="HT204" i="14608"/>
  <c r="HU204" i="14608"/>
  <c r="HV204" i="14608"/>
  <c r="HW204" i="14608"/>
  <c r="HX204" i="14608"/>
  <c r="HY204" i="14608"/>
  <c r="HZ204" i="14608"/>
  <c r="IA204" i="14608"/>
  <c r="IB204" i="14608"/>
  <c r="IC204" i="14608"/>
  <c r="ID204" i="14608"/>
  <c r="IE204" i="14608"/>
  <c r="IF204" i="14608"/>
  <c r="IG204" i="14608"/>
  <c r="IH204" i="14608"/>
  <c r="II204" i="14608"/>
  <c r="IJ204" i="14608"/>
  <c r="IK204" i="14608"/>
  <c r="IL204" i="14608"/>
  <c r="IM204" i="14608"/>
  <c r="IN204" i="14608"/>
  <c r="IO204" i="14608"/>
  <c r="IP204" i="14608"/>
  <c r="IQ204" i="14608"/>
  <c r="IR204" i="14608"/>
  <c r="IS204" i="14608"/>
  <c r="IT204" i="14608"/>
  <c r="IU204" i="14608"/>
  <c r="IV204" i="14608"/>
  <c r="A203" i="14608"/>
  <c r="B203" i="14608"/>
  <c r="C203" i="14608"/>
  <c r="D203" i="14608"/>
  <c r="E203" i="14608"/>
  <c r="F203" i="14608"/>
  <c r="G203" i="14608"/>
  <c r="H203" i="14608"/>
  <c r="I203" i="14608"/>
  <c r="J203" i="14608"/>
  <c r="K203" i="14608"/>
  <c r="L203" i="14608"/>
  <c r="M203" i="14608"/>
  <c r="N203" i="14608"/>
  <c r="O203" i="14608"/>
  <c r="P203" i="14608"/>
  <c r="Q203" i="14608"/>
  <c r="R203" i="14608"/>
  <c r="S203" i="14608"/>
  <c r="T203" i="14608"/>
  <c r="U203" i="14608"/>
  <c r="V203" i="14608"/>
  <c r="W203" i="14608"/>
  <c r="X203" i="14608"/>
  <c r="Y203" i="14608"/>
  <c r="Z203" i="14608"/>
  <c r="AA203" i="14608"/>
  <c r="AB203" i="14608"/>
  <c r="AC203" i="14608"/>
  <c r="AD203" i="14608"/>
  <c r="AE203" i="14608"/>
  <c r="AF203" i="14608"/>
  <c r="AG203" i="14608"/>
  <c r="AH203" i="14608"/>
  <c r="AI203" i="14608"/>
  <c r="AJ203" i="14608"/>
  <c r="AK203" i="14608"/>
  <c r="AL203" i="14608"/>
  <c r="AM203" i="14608"/>
  <c r="AN203" i="14608"/>
  <c r="AO203" i="14608"/>
  <c r="AP203" i="14608"/>
  <c r="AQ203" i="14608"/>
  <c r="AR203" i="14608"/>
  <c r="AS203" i="14608"/>
  <c r="AT203" i="14608"/>
  <c r="AU203" i="14608"/>
  <c r="AV203" i="14608"/>
  <c r="AW203" i="14608"/>
  <c r="AX203" i="14608"/>
  <c r="AY203" i="14608"/>
  <c r="AZ203" i="14608"/>
  <c r="BA203" i="14608"/>
  <c r="BB203" i="14608"/>
  <c r="BC203" i="14608"/>
  <c r="BD203" i="14608"/>
  <c r="BE203" i="14608"/>
  <c r="BF203" i="14608"/>
  <c r="BG203" i="14608"/>
  <c r="BH203" i="14608"/>
  <c r="BI203" i="14608"/>
  <c r="BJ203" i="14608"/>
  <c r="BK203" i="14608"/>
  <c r="BL203" i="14608"/>
  <c r="BM203" i="14608"/>
  <c r="BN203" i="14608"/>
  <c r="BO203" i="14608"/>
  <c r="BP203" i="14608"/>
  <c r="BQ203" i="14608"/>
  <c r="BR203" i="14608"/>
  <c r="BS203" i="14608"/>
  <c r="BT203" i="14608"/>
  <c r="BU203" i="14608"/>
  <c r="BV203" i="14608"/>
  <c r="BW203" i="14608"/>
  <c r="BX203" i="14608"/>
  <c r="BY203" i="14608"/>
  <c r="BZ203" i="14608"/>
  <c r="CA203" i="14608"/>
  <c r="CB203" i="14608"/>
  <c r="CC203" i="14608"/>
  <c r="CD203" i="14608"/>
  <c r="CE203" i="14608"/>
  <c r="CF203" i="14608"/>
  <c r="CG203" i="14608"/>
  <c r="CH203" i="14608"/>
  <c r="CI203" i="14608"/>
  <c r="CJ203" i="14608"/>
  <c r="CK203" i="14608"/>
  <c r="CL203" i="14608"/>
  <c r="CM203" i="14608"/>
  <c r="CN203" i="14608"/>
  <c r="CO203" i="14608"/>
  <c r="CP203" i="14608"/>
  <c r="CQ203" i="14608"/>
  <c r="CR203" i="14608"/>
  <c r="CS203" i="14608"/>
  <c r="CT203" i="14608"/>
  <c r="CU203" i="14608"/>
  <c r="CV203" i="14608"/>
  <c r="CW203" i="14608"/>
  <c r="CX203" i="14608"/>
  <c r="CY203" i="14608"/>
  <c r="CZ203" i="14608"/>
  <c r="DA203" i="14608"/>
  <c r="DB203" i="14608"/>
  <c r="DC203" i="14608"/>
  <c r="DD203" i="14608"/>
  <c r="DE203" i="14608"/>
  <c r="DF203" i="14608"/>
  <c r="DG203" i="14608"/>
  <c r="DH203" i="14608"/>
  <c r="DI203" i="14608"/>
  <c r="DJ203" i="14608"/>
  <c r="DK203" i="14608"/>
  <c r="DL203" i="14608"/>
  <c r="DM203" i="14608"/>
  <c r="DN203" i="14608"/>
  <c r="DO203" i="14608"/>
  <c r="DP203" i="14608"/>
  <c r="DQ203" i="14608"/>
  <c r="DR203" i="14608"/>
  <c r="DS203" i="14608"/>
  <c r="DT203" i="14608"/>
  <c r="DU203" i="14608"/>
  <c r="DV203" i="14608"/>
  <c r="DW203" i="14608"/>
  <c r="DX203" i="14608"/>
  <c r="DY203" i="14608"/>
  <c r="DZ203" i="14608"/>
  <c r="EA203" i="14608"/>
  <c r="EB203" i="14608"/>
  <c r="EC203" i="14608"/>
  <c r="ED203" i="14608"/>
  <c r="EE203" i="14608"/>
  <c r="EF203" i="14608"/>
  <c r="EG203" i="14608"/>
  <c r="EH203" i="14608"/>
  <c r="EI203" i="14608"/>
  <c r="EJ203" i="14608"/>
  <c r="EK203" i="14608"/>
  <c r="EL203" i="14608"/>
  <c r="EM203" i="14608"/>
  <c r="EN203" i="14608"/>
  <c r="EO203" i="14608"/>
  <c r="EP203" i="14608"/>
  <c r="EQ203" i="14608"/>
  <c r="ER203" i="14608"/>
  <c r="ES203" i="14608"/>
  <c r="ET203" i="14608"/>
  <c r="EU203" i="14608"/>
  <c r="EV203" i="14608"/>
  <c r="EW203" i="14608"/>
  <c r="EX203" i="14608"/>
  <c r="EY203" i="14608"/>
  <c r="EZ203" i="14608"/>
  <c r="FA203" i="14608"/>
  <c r="FB203" i="14608"/>
  <c r="FC203" i="14608"/>
  <c r="FD203" i="14608"/>
  <c r="FE203" i="14608"/>
  <c r="FF203" i="14608"/>
  <c r="FG203" i="14608"/>
  <c r="FH203" i="14608"/>
  <c r="FI203" i="14608"/>
  <c r="FJ203" i="14608"/>
  <c r="FK203" i="14608"/>
  <c r="FL203" i="14608"/>
  <c r="FM203" i="14608"/>
  <c r="FN203" i="14608"/>
  <c r="FO203" i="14608"/>
  <c r="FP203" i="14608"/>
  <c r="FQ203" i="14608"/>
  <c r="FR203" i="14608"/>
  <c r="FS203" i="14608"/>
  <c r="FT203" i="14608"/>
  <c r="FU203" i="14608"/>
  <c r="FV203" i="14608"/>
  <c r="FW203" i="14608"/>
  <c r="FX203" i="14608"/>
  <c r="FY203" i="14608"/>
  <c r="FZ203" i="14608"/>
  <c r="GA203" i="14608"/>
  <c r="GB203" i="14608"/>
  <c r="GC203" i="14608"/>
  <c r="GD203" i="14608"/>
  <c r="GE203" i="14608"/>
  <c r="GF203" i="14608"/>
  <c r="GG203" i="14608"/>
  <c r="GH203" i="14608"/>
  <c r="GI203" i="14608"/>
  <c r="GJ203" i="14608"/>
  <c r="GK203" i="14608"/>
  <c r="GL203" i="14608"/>
  <c r="GM203" i="14608"/>
  <c r="GN203" i="14608"/>
  <c r="GO203" i="14608"/>
  <c r="GP203" i="14608"/>
  <c r="GQ203" i="14608"/>
  <c r="GR203" i="14608"/>
  <c r="GS203" i="14608"/>
  <c r="GT203" i="14608"/>
  <c r="GU203" i="14608"/>
  <c r="GV203" i="14608"/>
  <c r="GW203" i="14608"/>
  <c r="GX203" i="14608"/>
  <c r="GY203" i="14608"/>
  <c r="GZ203" i="14608"/>
  <c r="HA203" i="14608"/>
  <c r="HB203" i="14608"/>
  <c r="HC203" i="14608"/>
  <c r="HD203" i="14608"/>
  <c r="HE203" i="14608"/>
  <c r="HF203" i="14608"/>
  <c r="HG203" i="14608"/>
  <c r="HH203" i="14608"/>
  <c r="HI203" i="14608"/>
  <c r="HJ203" i="14608"/>
  <c r="HK203" i="14608"/>
  <c r="HL203" i="14608"/>
  <c r="HM203" i="14608"/>
  <c r="HN203" i="14608"/>
  <c r="HO203" i="14608"/>
  <c r="HP203" i="14608"/>
  <c r="HQ203" i="14608"/>
  <c r="HR203" i="14608"/>
  <c r="HS203" i="14608"/>
  <c r="HT203" i="14608"/>
  <c r="HU203" i="14608"/>
  <c r="HV203" i="14608"/>
  <c r="HW203" i="14608"/>
  <c r="HX203" i="14608"/>
  <c r="HY203" i="14608"/>
  <c r="HZ203" i="14608"/>
  <c r="IA203" i="14608"/>
  <c r="IB203" i="14608"/>
  <c r="IC203" i="14608"/>
  <c r="ID203" i="14608"/>
  <c r="IE203" i="14608"/>
  <c r="IF203" i="14608"/>
  <c r="IG203" i="14608"/>
  <c r="IH203" i="14608"/>
  <c r="II203" i="14608"/>
  <c r="IJ203" i="14608"/>
  <c r="IK203" i="14608"/>
  <c r="IL203" i="14608"/>
  <c r="IM203" i="14608"/>
  <c r="IN203" i="14608"/>
  <c r="IO203" i="14608"/>
  <c r="IP203" i="14608"/>
  <c r="IQ203" i="14608"/>
  <c r="IR203" i="14608"/>
  <c r="IS203" i="14608"/>
  <c r="IT203" i="14608"/>
  <c r="IU203" i="14608"/>
  <c r="IV203" i="14608"/>
  <c r="A202" i="14608"/>
  <c r="B202" i="14608"/>
  <c r="C202" i="14608"/>
  <c r="D202" i="14608"/>
  <c r="E202" i="14608"/>
  <c r="F202" i="14608"/>
  <c r="G202" i="14608"/>
  <c r="H202" i="14608"/>
  <c r="I202" i="14608"/>
  <c r="J202" i="14608"/>
  <c r="K202" i="14608"/>
  <c r="L202" i="14608"/>
  <c r="M202" i="14608"/>
  <c r="N202" i="14608"/>
  <c r="O202" i="14608"/>
  <c r="P202" i="14608"/>
  <c r="Q202" i="14608"/>
  <c r="R202" i="14608"/>
  <c r="S202" i="14608"/>
  <c r="T202" i="14608"/>
  <c r="U202" i="14608"/>
  <c r="V202" i="14608"/>
  <c r="W202" i="14608"/>
  <c r="X202" i="14608"/>
  <c r="Y202" i="14608"/>
  <c r="Z202" i="14608"/>
  <c r="AA202" i="14608"/>
  <c r="AB202" i="14608"/>
  <c r="AC202" i="14608"/>
  <c r="AD202" i="14608"/>
  <c r="AE202" i="14608"/>
  <c r="AF202" i="14608"/>
  <c r="AG202" i="14608"/>
  <c r="AH202" i="14608"/>
  <c r="AI202" i="14608"/>
  <c r="AJ202" i="14608"/>
  <c r="AK202" i="14608"/>
  <c r="AL202" i="14608"/>
  <c r="AM202" i="14608"/>
  <c r="AN202" i="14608"/>
  <c r="AO202" i="14608"/>
  <c r="AP202" i="14608"/>
  <c r="AQ202" i="14608"/>
  <c r="AR202" i="14608"/>
  <c r="AS202" i="14608"/>
  <c r="AT202" i="14608"/>
  <c r="AU202" i="14608"/>
  <c r="AV202" i="14608"/>
  <c r="AW202" i="14608"/>
  <c r="AX202" i="14608"/>
  <c r="AY202" i="14608"/>
  <c r="AZ202" i="14608"/>
  <c r="BA202" i="14608"/>
  <c r="BB202" i="14608"/>
  <c r="BC202" i="14608"/>
  <c r="BD202" i="14608"/>
  <c r="BE202" i="14608"/>
  <c r="BF202" i="14608"/>
  <c r="BG202" i="14608"/>
  <c r="BH202" i="14608"/>
  <c r="BI202" i="14608"/>
  <c r="BJ202" i="14608"/>
  <c r="BK202" i="14608"/>
  <c r="BL202" i="14608"/>
  <c r="BM202" i="14608"/>
  <c r="BN202" i="14608"/>
  <c r="BO202" i="14608"/>
  <c r="BP202" i="14608"/>
  <c r="BQ202" i="14608"/>
  <c r="BR202" i="14608"/>
  <c r="BS202" i="14608"/>
  <c r="BT202" i="14608"/>
  <c r="BU202" i="14608"/>
  <c r="BV202" i="14608"/>
  <c r="BW202" i="14608"/>
  <c r="BX202" i="14608"/>
  <c r="BY202" i="14608"/>
  <c r="BZ202" i="14608"/>
  <c r="CA202" i="14608"/>
  <c r="CB202" i="14608"/>
  <c r="CC202" i="14608"/>
  <c r="CD202" i="14608"/>
  <c r="CE202" i="14608"/>
  <c r="CF202" i="14608"/>
  <c r="CG202" i="14608"/>
  <c r="CH202" i="14608"/>
  <c r="CI202" i="14608"/>
  <c r="CJ202" i="14608"/>
  <c r="CK202" i="14608"/>
  <c r="CL202" i="14608"/>
  <c r="CM202" i="14608"/>
  <c r="CN202" i="14608"/>
  <c r="CO202" i="14608"/>
  <c r="CP202" i="14608"/>
  <c r="CQ202" i="14608"/>
  <c r="CR202" i="14608"/>
  <c r="CS202" i="14608"/>
  <c r="CT202" i="14608"/>
  <c r="CU202" i="14608"/>
  <c r="CV202" i="14608"/>
  <c r="CW202" i="14608"/>
  <c r="CX202" i="14608"/>
  <c r="CY202" i="14608"/>
  <c r="CZ202" i="14608"/>
  <c r="DA202" i="14608"/>
  <c r="DB202" i="14608"/>
  <c r="DC202" i="14608"/>
  <c r="DD202" i="14608"/>
  <c r="DE202" i="14608"/>
  <c r="DF202" i="14608"/>
  <c r="DG202" i="14608"/>
  <c r="DH202" i="14608"/>
  <c r="DI202" i="14608"/>
  <c r="DJ202" i="14608"/>
  <c r="DK202" i="14608"/>
  <c r="DL202" i="14608"/>
  <c r="DM202" i="14608"/>
  <c r="DN202" i="14608"/>
  <c r="DO202" i="14608"/>
  <c r="DP202" i="14608"/>
  <c r="DQ202" i="14608"/>
  <c r="DR202" i="14608"/>
  <c r="DS202" i="14608"/>
  <c r="DT202" i="14608"/>
  <c r="DU202" i="14608"/>
  <c r="DV202" i="14608"/>
  <c r="DW202" i="14608"/>
  <c r="DX202" i="14608"/>
  <c r="DY202" i="14608"/>
  <c r="DZ202" i="14608"/>
  <c r="EA202" i="14608"/>
  <c r="EB202" i="14608"/>
  <c r="EC202" i="14608"/>
  <c r="ED202" i="14608"/>
  <c r="EE202" i="14608"/>
  <c r="EF202" i="14608"/>
  <c r="EG202" i="14608"/>
  <c r="EH202" i="14608"/>
  <c r="EI202" i="14608"/>
  <c r="EJ202" i="14608"/>
  <c r="EK202" i="14608"/>
  <c r="EL202" i="14608"/>
  <c r="EM202" i="14608"/>
  <c r="EN202" i="14608"/>
  <c r="EO202" i="14608"/>
  <c r="EP202" i="14608"/>
  <c r="EQ202" i="14608"/>
  <c r="ER202" i="14608"/>
  <c r="ES202" i="14608"/>
  <c r="ET202" i="14608"/>
  <c r="EU202" i="14608"/>
  <c r="EV202" i="14608"/>
  <c r="EW202" i="14608"/>
  <c r="EX202" i="14608"/>
  <c r="EY202" i="14608"/>
  <c r="EZ202" i="14608"/>
  <c r="FA202" i="14608"/>
  <c r="FB202" i="14608"/>
  <c r="FC202" i="14608"/>
  <c r="FD202" i="14608"/>
  <c r="FE202" i="14608"/>
  <c r="FF202" i="14608"/>
  <c r="FG202" i="14608"/>
  <c r="FH202" i="14608"/>
  <c r="FI202" i="14608"/>
  <c r="FJ202" i="14608"/>
  <c r="FK202" i="14608"/>
  <c r="FL202" i="14608"/>
  <c r="FM202" i="14608"/>
  <c r="FN202" i="14608"/>
  <c r="FO202" i="14608"/>
  <c r="FP202" i="14608"/>
  <c r="FQ202" i="14608"/>
  <c r="FR202" i="14608"/>
  <c r="FS202" i="14608"/>
  <c r="FT202" i="14608"/>
  <c r="FU202" i="14608"/>
  <c r="FV202" i="14608"/>
  <c r="FW202" i="14608"/>
  <c r="FX202" i="14608"/>
  <c r="FY202" i="14608"/>
  <c r="FZ202" i="14608"/>
  <c r="GA202" i="14608"/>
  <c r="GB202" i="14608"/>
  <c r="GC202" i="14608"/>
  <c r="GD202" i="14608"/>
  <c r="GE202" i="14608"/>
  <c r="GF202" i="14608"/>
  <c r="GG202" i="14608"/>
  <c r="GH202" i="14608"/>
  <c r="GI202" i="14608"/>
  <c r="GJ202" i="14608"/>
  <c r="GK202" i="14608"/>
  <c r="GL202" i="14608"/>
  <c r="GM202" i="14608"/>
  <c r="GN202" i="14608"/>
  <c r="GO202" i="14608"/>
  <c r="GP202" i="14608"/>
  <c r="GQ202" i="14608"/>
  <c r="GR202" i="14608"/>
  <c r="GS202" i="14608"/>
  <c r="GT202" i="14608"/>
  <c r="GU202" i="14608"/>
  <c r="GV202" i="14608"/>
  <c r="GW202" i="14608"/>
  <c r="GX202" i="14608"/>
  <c r="GY202" i="14608"/>
  <c r="GZ202" i="14608"/>
  <c r="HA202" i="14608"/>
  <c r="HB202" i="14608"/>
  <c r="HC202" i="14608"/>
  <c r="HD202" i="14608"/>
  <c r="HE202" i="14608"/>
  <c r="HF202" i="14608"/>
  <c r="HG202" i="14608"/>
  <c r="HH202" i="14608"/>
  <c r="HI202" i="14608"/>
  <c r="HJ202" i="14608"/>
  <c r="HK202" i="14608"/>
  <c r="HL202" i="14608"/>
  <c r="HM202" i="14608"/>
  <c r="HN202" i="14608"/>
  <c r="HO202" i="14608"/>
  <c r="HP202" i="14608"/>
  <c r="HQ202" i="14608"/>
  <c r="HR202" i="14608"/>
  <c r="HS202" i="14608"/>
  <c r="HT202" i="14608"/>
  <c r="HU202" i="14608"/>
  <c r="HV202" i="14608"/>
  <c r="HW202" i="14608"/>
  <c r="HX202" i="14608"/>
  <c r="HY202" i="14608"/>
  <c r="HZ202" i="14608"/>
  <c r="IA202" i="14608"/>
  <c r="IB202" i="14608"/>
  <c r="IC202" i="14608"/>
  <c r="ID202" i="14608"/>
  <c r="IE202" i="14608"/>
  <c r="IF202" i="14608"/>
  <c r="IG202" i="14608"/>
  <c r="IH202" i="14608"/>
  <c r="II202" i="14608"/>
  <c r="IJ202" i="14608"/>
  <c r="IK202" i="14608"/>
  <c r="IL202" i="14608"/>
  <c r="IM202" i="14608"/>
  <c r="IN202" i="14608"/>
  <c r="IO202" i="14608"/>
  <c r="IP202" i="14608"/>
  <c r="IQ202" i="14608"/>
  <c r="IR202" i="14608"/>
  <c r="IS202" i="14608"/>
  <c r="IT202" i="14608"/>
  <c r="IU202" i="14608"/>
  <c r="IV202" i="14608"/>
  <c r="A201" i="14608"/>
  <c r="B201" i="14608"/>
  <c r="C201" i="14608"/>
  <c r="D201" i="14608"/>
  <c r="E201" i="14608"/>
  <c r="F201" i="14608"/>
  <c r="G201" i="14608"/>
  <c r="H201" i="14608"/>
  <c r="I201" i="14608"/>
  <c r="J201" i="14608"/>
  <c r="K201" i="14608"/>
  <c r="L201" i="14608"/>
  <c r="M201" i="14608"/>
  <c r="N201" i="14608"/>
  <c r="O201" i="14608"/>
  <c r="P201" i="14608"/>
  <c r="Q201" i="14608"/>
  <c r="R201" i="14608"/>
  <c r="S201" i="14608"/>
  <c r="T201" i="14608"/>
  <c r="U201" i="14608"/>
  <c r="V201" i="14608"/>
  <c r="W201" i="14608"/>
  <c r="X201" i="14608"/>
  <c r="Y201" i="14608"/>
  <c r="Z201" i="14608"/>
  <c r="AA201" i="14608"/>
  <c r="AB201" i="14608"/>
  <c r="AC201" i="14608"/>
  <c r="AD201" i="14608"/>
  <c r="AE201" i="14608"/>
  <c r="AF201" i="14608"/>
  <c r="AG201" i="14608"/>
  <c r="AH201" i="14608"/>
  <c r="AI201" i="14608"/>
  <c r="AJ201" i="14608"/>
  <c r="AK201" i="14608"/>
  <c r="AL201" i="14608"/>
  <c r="AM201" i="14608"/>
  <c r="AN201" i="14608"/>
  <c r="AO201" i="14608"/>
  <c r="AP201" i="14608"/>
  <c r="AQ201" i="14608"/>
  <c r="AR201" i="14608"/>
  <c r="AS201" i="14608"/>
  <c r="AT201" i="14608"/>
  <c r="AU201" i="14608"/>
  <c r="AV201" i="14608"/>
  <c r="AW201" i="14608"/>
  <c r="AX201" i="14608"/>
  <c r="AY201" i="14608"/>
  <c r="AZ201" i="14608"/>
  <c r="BA201" i="14608"/>
  <c r="BB201" i="14608"/>
  <c r="BC201" i="14608"/>
  <c r="BD201" i="14608"/>
  <c r="BE201" i="14608"/>
  <c r="BF201" i="14608"/>
  <c r="BG201" i="14608"/>
  <c r="BH201" i="14608"/>
  <c r="BI201" i="14608"/>
  <c r="BJ201" i="14608"/>
  <c r="BK201" i="14608"/>
  <c r="BL201" i="14608"/>
  <c r="BM201" i="14608"/>
  <c r="BN201" i="14608"/>
  <c r="BO201" i="14608"/>
  <c r="BP201" i="14608"/>
  <c r="BQ201" i="14608"/>
  <c r="BR201" i="14608"/>
  <c r="BS201" i="14608"/>
  <c r="BT201" i="14608"/>
  <c r="BU201" i="14608"/>
  <c r="BV201" i="14608"/>
  <c r="BW201" i="14608"/>
  <c r="BX201" i="14608"/>
  <c r="BY201" i="14608"/>
  <c r="BZ201" i="14608"/>
  <c r="CA201" i="14608"/>
  <c r="CB201" i="14608"/>
  <c r="CC201" i="14608"/>
  <c r="CD201" i="14608"/>
  <c r="CE201" i="14608"/>
  <c r="CF201" i="14608"/>
  <c r="CG201" i="14608"/>
  <c r="CH201" i="14608"/>
  <c r="CI201" i="14608"/>
  <c r="CJ201" i="14608"/>
  <c r="CK201" i="14608"/>
  <c r="CL201" i="14608"/>
  <c r="CM201" i="14608"/>
  <c r="CN201" i="14608"/>
  <c r="CO201" i="14608"/>
  <c r="CP201" i="14608"/>
  <c r="CQ201" i="14608"/>
  <c r="CR201" i="14608"/>
  <c r="CS201" i="14608"/>
  <c r="CT201" i="14608"/>
  <c r="CU201" i="14608"/>
  <c r="CV201" i="14608"/>
  <c r="CW201" i="14608"/>
  <c r="CX201" i="14608"/>
  <c r="CY201" i="14608"/>
  <c r="CZ201" i="14608"/>
  <c r="DA201" i="14608"/>
  <c r="DB201" i="14608"/>
  <c r="DC201" i="14608"/>
  <c r="DD201" i="14608"/>
  <c r="DE201" i="14608"/>
  <c r="DF201" i="14608"/>
  <c r="DG201" i="14608"/>
  <c r="DH201" i="14608"/>
  <c r="DI201" i="14608"/>
  <c r="DJ201" i="14608"/>
  <c r="DK201" i="14608"/>
  <c r="DL201" i="14608"/>
  <c r="DM201" i="14608"/>
  <c r="DN201" i="14608"/>
  <c r="DO201" i="14608"/>
  <c r="DP201" i="14608"/>
  <c r="DQ201" i="14608"/>
  <c r="DR201" i="14608"/>
  <c r="DS201" i="14608"/>
  <c r="DT201" i="14608"/>
  <c r="DU201" i="14608"/>
  <c r="DV201" i="14608"/>
  <c r="DW201" i="14608"/>
  <c r="DX201" i="14608"/>
  <c r="DY201" i="14608"/>
  <c r="DZ201" i="14608"/>
  <c r="EA201" i="14608"/>
  <c r="EB201" i="14608"/>
  <c r="EC201" i="14608"/>
  <c r="ED201" i="14608"/>
  <c r="EE201" i="14608"/>
  <c r="EF201" i="14608"/>
  <c r="EG201" i="14608"/>
  <c r="EH201" i="14608"/>
  <c r="EI201" i="14608"/>
  <c r="EJ201" i="14608"/>
  <c r="EK201" i="14608"/>
  <c r="EL201" i="14608"/>
  <c r="EM201" i="14608"/>
  <c r="EN201" i="14608"/>
  <c r="EO201" i="14608"/>
  <c r="EP201" i="14608"/>
  <c r="EQ201" i="14608"/>
  <c r="ER201" i="14608"/>
  <c r="ES201" i="14608"/>
  <c r="ET201" i="14608"/>
  <c r="EU201" i="14608"/>
  <c r="EV201" i="14608"/>
  <c r="EW201" i="14608"/>
  <c r="EX201" i="14608"/>
  <c r="EY201" i="14608"/>
  <c r="EZ201" i="14608"/>
  <c r="FA201" i="14608"/>
  <c r="FB201" i="14608"/>
  <c r="FC201" i="14608"/>
  <c r="FD201" i="14608"/>
  <c r="FE201" i="14608"/>
  <c r="FF201" i="14608"/>
  <c r="FG201" i="14608"/>
  <c r="FH201" i="14608"/>
  <c r="FI201" i="14608"/>
  <c r="FJ201" i="14608"/>
  <c r="FK201" i="14608"/>
  <c r="FL201" i="14608"/>
  <c r="FM201" i="14608"/>
  <c r="FN201" i="14608"/>
  <c r="FO201" i="14608"/>
  <c r="FP201" i="14608"/>
  <c r="FQ201" i="14608"/>
  <c r="FR201" i="14608"/>
  <c r="FS201" i="14608"/>
  <c r="FT201" i="14608"/>
  <c r="FU201" i="14608"/>
  <c r="FV201" i="14608"/>
  <c r="FW201" i="14608"/>
  <c r="FX201" i="14608"/>
  <c r="FY201" i="14608"/>
  <c r="FZ201" i="14608"/>
  <c r="GA201" i="14608"/>
  <c r="GB201" i="14608"/>
  <c r="GC201" i="14608"/>
  <c r="GD201" i="14608"/>
  <c r="GE201" i="14608"/>
  <c r="GF201" i="14608"/>
  <c r="GG201" i="14608"/>
  <c r="GH201" i="14608"/>
  <c r="GI201" i="14608"/>
  <c r="GJ201" i="14608"/>
  <c r="GK201" i="14608"/>
  <c r="GL201" i="14608"/>
  <c r="GM201" i="14608"/>
  <c r="GN201" i="14608"/>
  <c r="GO201" i="14608"/>
  <c r="GP201" i="14608"/>
  <c r="GQ201" i="14608"/>
  <c r="GR201" i="14608"/>
  <c r="GS201" i="14608"/>
  <c r="GT201" i="14608"/>
  <c r="GU201" i="14608"/>
  <c r="GV201" i="14608"/>
  <c r="GW201" i="14608"/>
  <c r="GX201" i="14608"/>
  <c r="GY201" i="14608"/>
  <c r="GZ201" i="14608"/>
  <c r="HA201" i="14608"/>
  <c r="HB201" i="14608"/>
  <c r="HC201" i="14608"/>
  <c r="HD201" i="14608"/>
  <c r="HE201" i="14608"/>
  <c r="HF201" i="14608"/>
  <c r="HG201" i="14608"/>
  <c r="HH201" i="14608"/>
  <c r="HI201" i="14608"/>
  <c r="HJ201" i="14608"/>
  <c r="HK201" i="14608"/>
  <c r="HL201" i="14608"/>
  <c r="HM201" i="14608"/>
  <c r="HN201" i="14608"/>
  <c r="HO201" i="14608"/>
  <c r="HP201" i="14608"/>
  <c r="HQ201" i="14608"/>
  <c r="HR201" i="14608"/>
  <c r="HS201" i="14608"/>
  <c r="HT201" i="14608"/>
  <c r="HU201" i="14608"/>
  <c r="HV201" i="14608"/>
  <c r="HW201" i="14608"/>
  <c r="HX201" i="14608"/>
  <c r="HY201" i="14608"/>
  <c r="HZ201" i="14608"/>
  <c r="IA201" i="14608"/>
  <c r="IB201" i="14608"/>
  <c r="IC201" i="14608"/>
  <c r="ID201" i="14608"/>
  <c r="IE201" i="14608"/>
  <c r="IF201" i="14608"/>
  <c r="IG201" i="14608"/>
  <c r="IH201" i="14608"/>
  <c r="II201" i="14608"/>
  <c r="IJ201" i="14608"/>
  <c r="IK201" i="14608"/>
  <c r="IL201" i="14608"/>
  <c r="IM201" i="14608"/>
  <c r="IN201" i="14608"/>
  <c r="IO201" i="14608"/>
  <c r="IP201" i="14608"/>
  <c r="IQ201" i="14608"/>
  <c r="IR201" i="14608"/>
  <c r="IS201" i="14608"/>
  <c r="IT201" i="14608"/>
  <c r="IU201" i="14608"/>
  <c r="IV201" i="14608"/>
  <c r="A200" i="14608"/>
  <c r="B200" i="14608"/>
  <c r="C200" i="14608"/>
  <c r="D200" i="14608"/>
  <c r="E200" i="14608"/>
  <c r="F200" i="14608"/>
  <c r="G200" i="14608"/>
  <c r="H200" i="14608"/>
  <c r="I200" i="14608"/>
  <c r="J200" i="14608"/>
  <c r="K200" i="14608"/>
  <c r="L200" i="14608"/>
  <c r="M200" i="14608"/>
  <c r="N200" i="14608"/>
  <c r="O200" i="14608"/>
  <c r="P200" i="14608"/>
  <c r="Q200" i="14608"/>
  <c r="R200" i="14608"/>
  <c r="S200" i="14608"/>
  <c r="T200" i="14608"/>
  <c r="U200" i="14608"/>
  <c r="V200" i="14608"/>
  <c r="W200" i="14608"/>
  <c r="X200" i="14608"/>
  <c r="Y200" i="14608"/>
  <c r="Z200" i="14608"/>
  <c r="AA200" i="14608"/>
  <c r="AB200" i="14608"/>
  <c r="AC200" i="14608"/>
  <c r="AD200" i="14608"/>
  <c r="AE200" i="14608"/>
  <c r="AF200" i="14608"/>
  <c r="AG200" i="14608"/>
  <c r="AH200" i="14608"/>
  <c r="AI200" i="14608"/>
  <c r="AJ200" i="14608"/>
  <c r="AK200" i="14608"/>
  <c r="AL200" i="14608"/>
  <c r="AM200" i="14608"/>
  <c r="AN200" i="14608"/>
  <c r="AO200" i="14608"/>
  <c r="AP200" i="14608"/>
  <c r="AQ200" i="14608"/>
  <c r="AR200" i="14608"/>
  <c r="AS200" i="14608"/>
  <c r="AT200" i="14608"/>
  <c r="AU200" i="14608"/>
  <c r="AV200" i="14608"/>
  <c r="AW200" i="14608"/>
  <c r="AX200" i="14608"/>
  <c r="AY200" i="14608"/>
  <c r="AZ200" i="14608"/>
  <c r="BA200" i="14608"/>
  <c r="BB200" i="14608"/>
  <c r="BC200" i="14608"/>
  <c r="BD200" i="14608"/>
  <c r="BE200" i="14608"/>
  <c r="BF200" i="14608"/>
  <c r="BG200" i="14608"/>
  <c r="BH200" i="14608"/>
  <c r="BI200" i="14608"/>
  <c r="BJ200" i="14608"/>
  <c r="BK200" i="14608"/>
  <c r="BL200" i="14608"/>
  <c r="BM200" i="14608"/>
  <c r="BN200" i="14608"/>
  <c r="BO200" i="14608"/>
  <c r="BP200" i="14608"/>
  <c r="BQ200" i="14608"/>
  <c r="BR200" i="14608"/>
  <c r="BS200" i="14608"/>
  <c r="BT200" i="14608"/>
  <c r="BU200" i="14608"/>
  <c r="BV200" i="14608"/>
  <c r="BW200" i="14608"/>
  <c r="BX200" i="14608"/>
  <c r="BY200" i="14608"/>
  <c r="BZ200" i="14608"/>
  <c r="CA200" i="14608"/>
  <c r="CB200" i="14608"/>
  <c r="CC200" i="14608"/>
  <c r="CD200" i="14608"/>
  <c r="CE200" i="14608"/>
  <c r="CF200" i="14608"/>
  <c r="CG200" i="14608"/>
  <c r="CH200" i="14608"/>
  <c r="CI200" i="14608"/>
  <c r="CJ200" i="14608"/>
  <c r="CK200" i="14608"/>
  <c r="CL200" i="14608"/>
  <c r="CM200" i="14608"/>
  <c r="CN200" i="14608"/>
  <c r="CO200" i="14608"/>
  <c r="CP200" i="14608"/>
  <c r="CQ200" i="14608"/>
  <c r="CR200" i="14608"/>
  <c r="CS200" i="14608"/>
  <c r="CT200" i="14608"/>
  <c r="CU200" i="14608"/>
  <c r="CV200" i="14608"/>
  <c r="CW200" i="14608"/>
  <c r="CX200" i="14608"/>
  <c r="CY200" i="14608"/>
  <c r="CZ200" i="14608"/>
  <c r="DA200" i="14608"/>
  <c r="DB200" i="14608"/>
  <c r="DC200" i="14608"/>
  <c r="DD200" i="14608"/>
  <c r="DE200" i="14608"/>
  <c r="DF200" i="14608"/>
  <c r="DG200" i="14608"/>
  <c r="DH200" i="14608"/>
  <c r="DI200" i="14608"/>
  <c r="DJ200" i="14608"/>
  <c r="DK200" i="14608"/>
  <c r="DL200" i="14608"/>
  <c r="DM200" i="14608"/>
  <c r="DN200" i="14608"/>
  <c r="DO200" i="14608"/>
  <c r="DP200" i="14608"/>
  <c r="DQ200" i="14608"/>
  <c r="DR200" i="14608"/>
  <c r="DS200" i="14608"/>
  <c r="DT200" i="14608"/>
  <c r="DU200" i="14608"/>
  <c r="DV200" i="14608"/>
  <c r="DW200" i="14608"/>
  <c r="DX200" i="14608"/>
  <c r="DY200" i="14608"/>
  <c r="DZ200" i="14608"/>
  <c r="EA200" i="14608"/>
  <c r="EB200" i="14608"/>
  <c r="EC200" i="14608"/>
  <c r="ED200" i="14608"/>
  <c r="EE200" i="14608"/>
  <c r="EF200" i="14608"/>
  <c r="EG200" i="14608"/>
  <c r="EH200" i="14608"/>
  <c r="EI200" i="14608"/>
  <c r="EJ200" i="14608"/>
  <c r="EK200" i="14608"/>
  <c r="EL200" i="14608"/>
  <c r="EM200" i="14608"/>
  <c r="EN200" i="14608"/>
  <c r="EO200" i="14608"/>
  <c r="EP200" i="14608"/>
  <c r="EQ200" i="14608"/>
  <c r="ER200" i="14608"/>
  <c r="ES200" i="14608"/>
  <c r="ET200" i="14608"/>
  <c r="EU200" i="14608"/>
  <c r="EV200" i="14608"/>
  <c r="EW200" i="14608"/>
  <c r="EX200" i="14608"/>
  <c r="EY200" i="14608"/>
  <c r="EZ200" i="14608"/>
  <c r="FA200" i="14608"/>
  <c r="FB200" i="14608"/>
  <c r="FC200" i="14608"/>
  <c r="FD200" i="14608"/>
  <c r="FE200" i="14608"/>
  <c r="FF200" i="14608"/>
  <c r="FG200" i="14608"/>
  <c r="FH200" i="14608"/>
  <c r="FI200" i="14608"/>
  <c r="FJ200" i="14608"/>
  <c r="FK200" i="14608"/>
  <c r="FL200" i="14608"/>
  <c r="FM200" i="14608"/>
  <c r="FN200" i="14608"/>
  <c r="FO200" i="14608"/>
  <c r="FP200" i="14608"/>
  <c r="FQ200" i="14608"/>
  <c r="FR200" i="14608"/>
  <c r="FS200" i="14608"/>
  <c r="FT200" i="14608"/>
  <c r="FU200" i="14608"/>
  <c r="FV200" i="14608"/>
  <c r="FW200" i="14608"/>
  <c r="FX200" i="14608"/>
  <c r="FY200" i="14608"/>
  <c r="FZ200" i="14608"/>
  <c r="GA200" i="14608"/>
  <c r="GB200" i="14608"/>
  <c r="GC200" i="14608"/>
  <c r="GD200" i="14608"/>
  <c r="GE200" i="14608"/>
  <c r="GF200" i="14608"/>
  <c r="GG200" i="14608"/>
  <c r="GH200" i="14608"/>
  <c r="GI200" i="14608"/>
  <c r="GJ200" i="14608"/>
  <c r="GK200" i="14608"/>
  <c r="GL200" i="14608"/>
  <c r="GM200" i="14608"/>
  <c r="GN200" i="14608"/>
  <c r="GO200" i="14608"/>
  <c r="GP200" i="14608"/>
  <c r="GQ200" i="14608"/>
  <c r="GR200" i="14608"/>
  <c r="GS200" i="14608"/>
  <c r="GT200" i="14608"/>
  <c r="GU200" i="14608"/>
  <c r="GV200" i="14608"/>
  <c r="GW200" i="14608"/>
  <c r="GX200" i="14608"/>
  <c r="GY200" i="14608"/>
  <c r="GZ200" i="14608"/>
  <c r="HA200" i="14608"/>
  <c r="HB200" i="14608"/>
  <c r="HC200" i="14608"/>
  <c r="HD200" i="14608"/>
  <c r="HE200" i="14608"/>
  <c r="HF200" i="14608"/>
  <c r="HG200" i="14608"/>
  <c r="HH200" i="14608"/>
  <c r="HI200" i="14608"/>
  <c r="HJ200" i="14608"/>
  <c r="HK200" i="14608"/>
  <c r="HL200" i="14608"/>
  <c r="HM200" i="14608"/>
  <c r="HN200" i="14608"/>
  <c r="HO200" i="14608"/>
  <c r="HP200" i="14608"/>
  <c r="HQ200" i="14608"/>
  <c r="HR200" i="14608"/>
  <c r="HS200" i="14608"/>
  <c r="HT200" i="14608"/>
  <c r="HU200" i="14608"/>
  <c r="HV200" i="14608"/>
  <c r="HW200" i="14608"/>
  <c r="HX200" i="14608"/>
  <c r="HY200" i="14608"/>
  <c r="HZ200" i="14608"/>
  <c r="IA200" i="14608"/>
  <c r="IB200" i="14608"/>
  <c r="IC200" i="14608"/>
  <c r="ID200" i="14608"/>
  <c r="IE200" i="14608"/>
  <c r="IF200" i="14608"/>
  <c r="IG200" i="14608"/>
  <c r="IH200" i="14608"/>
  <c r="II200" i="14608"/>
  <c r="IJ200" i="14608"/>
  <c r="IK200" i="14608"/>
  <c r="IL200" i="14608"/>
  <c r="IM200" i="14608"/>
  <c r="IN200" i="14608"/>
  <c r="IO200" i="14608"/>
  <c r="IP200" i="14608"/>
  <c r="IQ200" i="14608"/>
  <c r="IR200" i="14608"/>
  <c r="IS200" i="14608"/>
  <c r="IT200" i="14608"/>
  <c r="IU200" i="14608"/>
  <c r="IV200" i="14608"/>
  <c r="A199" i="14608"/>
  <c r="B199" i="14608"/>
  <c r="C199" i="14608"/>
  <c r="D199" i="14608"/>
  <c r="E199" i="14608"/>
  <c r="F199" i="14608"/>
  <c r="G199" i="14608"/>
  <c r="H199" i="14608"/>
  <c r="I199" i="14608"/>
  <c r="J199" i="14608"/>
  <c r="K199" i="14608"/>
  <c r="L199" i="14608"/>
  <c r="M199" i="14608"/>
  <c r="N199" i="14608"/>
  <c r="O199" i="14608"/>
  <c r="P199" i="14608"/>
  <c r="Q199" i="14608"/>
  <c r="R199" i="14608"/>
  <c r="S199" i="14608"/>
  <c r="T199" i="14608"/>
  <c r="U199" i="14608"/>
  <c r="V199" i="14608"/>
  <c r="W199" i="14608"/>
  <c r="X199" i="14608"/>
  <c r="Y199" i="14608"/>
  <c r="Z199" i="14608"/>
  <c r="AA199" i="14608"/>
  <c r="AB199" i="14608"/>
  <c r="AC199" i="14608"/>
  <c r="AD199" i="14608"/>
  <c r="AE199" i="14608"/>
  <c r="AF199" i="14608"/>
  <c r="AG199" i="14608"/>
  <c r="AH199" i="14608"/>
  <c r="AI199" i="14608"/>
  <c r="AJ199" i="14608"/>
  <c r="AK199" i="14608"/>
  <c r="AL199" i="14608"/>
  <c r="AM199" i="14608"/>
  <c r="AN199" i="14608"/>
  <c r="AO199" i="14608"/>
  <c r="AP199" i="14608"/>
  <c r="AQ199" i="14608"/>
  <c r="AR199" i="14608"/>
  <c r="AS199" i="14608"/>
  <c r="AT199" i="14608"/>
  <c r="AU199" i="14608"/>
  <c r="AV199" i="14608"/>
  <c r="AW199" i="14608"/>
  <c r="AX199" i="14608"/>
  <c r="AY199" i="14608"/>
  <c r="AZ199" i="14608"/>
  <c r="BA199" i="14608"/>
  <c r="BB199" i="14608"/>
  <c r="BC199" i="14608"/>
  <c r="BD199" i="14608"/>
  <c r="BE199" i="14608"/>
  <c r="BF199" i="14608"/>
  <c r="BG199" i="14608"/>
  <c r="BH199" i="14608"/>
  <c r="BI199" i="14608"/>
  <c r="BJ199" i="14608"/>
  <c r="BK199" i="14608"/>
  <c r="BL199" i="14608"/>
  <c r="BM199" i="14608"/>
  <c r="BN199" i="14608"/>
  <c r="BO199" i="14608"/>
  <c r="BP199" i="14608"/>
  <c r="BQ199" i="14608"/>
  <c r="BR199" i="14608"/>
  <c r="BS199" i="14608"/>
  <c r="BT199" i="14608"/>
  <c r="BU199" i="14608"/>
  <c r="BV199" i="14608"/>
  <c r="BW199" i="14608"/>
  <c r="BX199" i="14608"/>
  <c r="BY199" i="14608"/>
  <c r="BZ199" i="14608"/>
  <c r="CA199" i="14608"/>
  <c r="CB199" i="14608"/>
  <c r="CC199" i="14608"/>
  <c r="CD199" i="14608"/>
  <c r="CE199" i="14608"/>
  <c r="CF199" i="14608"/>
  <c r="CG199" i="14608"/>
  <c r="CH199" i="14608"/>
  <c r="CI199" i="14608"/>
  <c r="CJ199" i="14608"/>
  <c r="CK199" i="14608"/>
  <c r="CL199" i="14608"/>
  <c r="CM199" i="14608"/>
  <c r="CN199" i="14608"/>
  <c r="CO199" i="14608"/>
  <c r="CP199" i="14608"/>
  <c r="CQ199" i="14608"/>
  <c r="CR199" i="14608"/>
  <c r="CS199" i="14608"/>
  <c r="CT199" i="14608"/>
  <c r="CU199" i="14608"/>
  <c r="CV199" i="14608"/>
  <c r="CW199" i="14608"/>
  <c r="CX199" i="14608"/>
  <c r="CY199" i="14608"/>
  <c r="CZ199" i="14608"/>
  <c r="DA199" i="14608"/>
  <c r="DB199" i="14608"/>
  <c r="DC199" i="14608"/>
  <c r="DD199" i="14608"/>
  <c r="DE199" i="14608"/>
  <c r="DF199" i="14608"/>
  <c r="DG199" i="14608"/>
  <c r="DH199" i="14608"/>
  <c r="DI199" i="14608"/>
  <c r="DJ199" i="14608"/>
  <c r="DK199" i="14608"/>
  <c r="DL199" i="14608"/>
  <c r="DM199" i="14608"/>
  <c r="DN199" i="14608"/>
  <c r="DO199" i="14608"/>
  <c r="DP199" i="14608"/>
  <c r="DQ199" i="14608"/>
  <c r="DR199" i="14608"/>
  <c r="DS199" i="14608"/>
  <c r="DT199" i="14608"/>
  <c r="DU199" i="14608"/>
  <c r="DV199" i="14608"/>
  <c r="DW199" i="14608"/>
  <c r="DX199" i="14608"/>
  <c r="DY199" i="14608"/>
  <c r="DZ199" i="14608"/>
  <c r="EA199" i="14608"/>
  <c r="EB199" i="14608"/>
  <c r="EC199" i="14608"/>
  <c r="ED199" i="14608"/>
  <c r="EE199" i="14608"/>
  <c r="EF199" i="14608"/>
  <c r="EG199" i="14608"/>
  <c r="EH199" i="14608"/>
  <c r="EI199" i="14608"/>
  <c r="EJ199" i="14608"/>
  <c r="EK199" i="14608"/>
  <c r="EL199" i="14608"/>
  <c r="EM199" i="14608"/>
  <c r="EN199" i="14608"/>
  <c r="EO199" i="14608"/>
  <c r="EP199" i="14608"/>
  <c r="EQ199" i="14608"/>
  <c r="ER199" i="14608"/>
  <c r="ES199" i="14608"/>
  <c r="ET199" i="14608"/>
  <c r="EU199" i="14608"/>
  <c r="EV199" i="14608"/>
  <c r="EW199" i="14608"/>
  <c r="EX199" i="14608"/>
  <c r="EY199" i="14608"/>
  <c r="EZ199" i="14608"/>
  <c r="FA199" i="14608"/>
  <c r="FB199" i="14608"/>
  <c r="FC199" i="14608"/>
  <c r="FD199" i="14608"/>
  <c r="FE199" i="14608"/>
  <c r="FF199" i="14608"/>
  <c r="FG199" i="14608"/>
  <c r="FH199" i="14608"/>
  <c r="FI199" i="14608"/>
  <c r="FJ199" i="14608"/>
  <c r="FK199" i="14608"/>
  <c r="FL199" i="14608"/>
  <c r="FM199" i="14608"/>
  <c r="FN199" i="14608"/>
  <c r="FO199" i="14608"/>
  <c r="FP199" i="14608"/>
  <c r="FQ199" i="14608"/>
  <c r="FR199" i="14608"/>
  <c r="FS199" i="14608"/>
  <c r="FT199" i="14608"/>
  <c r="FU199" i="14608"/>
  <c r="FV199" i="14608"/>
  <c r="FW199" i="14608"/>
  <c r="FX199" i="14608"/>
  <c r="FY199" i="14608"/>
  <c r="FZ199" i="14608"/>
  <c r="GA199" i="14608"/>
  <c r="GB199" i="14608"/>
  <c r="GC199" i="14608"/>
  <c r="GD199" i="14608"/>
  <c r="GE199" i="14608"/>
  <c r="GF199" i="14608"/>
  <c r="GG199" i="14608"/>
  <c r="GH199" i="14608"/>
  <c r="GI199" i="14608"/>
  <c r="GJ199" i="14608"/>
  <c r="GK199" i="14608"/>
  <c r="GL199" i="14608"/>
  <c r="GM199" i="14608"/>
  <c r="GN199" i="14608"/>
  <c r="GO199" i="14608"/>
  <c r="GP199" i="14608"/>
  <c r="GQ199" i="14608"/>
  <c r="GR199" i="14608"/>
  <c r="GS199" i="14608"/>
  <c r="GT199" i="14608"/>
  <c r="GU199" i="14608"/>
  <c r="GV199" i="14608"/>
  <c r="GW199" i="14608"/>
  <c r="GX199" i="14608"/>
  <c r="GY199" i="14608"/>
  <c r="GZ199" i="14608"/>
  <c r="HA199" i="14608"/>
  <c r="HB199" i="14608"/>
  <c r="HC199" i="14608"/>
  <c r="HD199" i="14608"/>
  <c r="HE199" i="14608"/>
  <c r="HF199" i="14608"/>
  <c r="HG199" i="14608"/>
  <c r="HH199" i="14608"/>
  <c r="HI199" i="14608"/>
  <c r="HJ199" i="14608"/>
  <c r="HK199" i="14608"/>
  <c r="HL199" i="14608"/>
  <c r="HM199" i="14608"/>
  <c r="HN199" i="14608"/>
  <c r="HO199" i="14608"/>
  <c r="HP199" i="14608"/>
  <c r="HQ199" i="14608"/>
  <c r="HR199" i="14608"/>
  <c r="HS199" i="14608"/>
  <c r="HT199" i="14608"/>
  <c r="HU199" i="14608"/>
  <c r="HV199" i="14608"/>
  <c r="HW199" i="14608"/>
  <c r="HX199" i="14608"/>
  <c r="HY199" i="14608"/>
  <c r="HZ199" i="14608"/>
  <c r="IA199" i="14608"/>
  <c r="IB199" i="14608"/>
  <c r="IC199" i="14608"/>
  <c r="ID199" i="14608"/>
  <c r="IE199" i="14608"/>
  <c r="IF199" i="14608"/>
  <c r="IG199" i="14608"/>
  <c r="IH199" i="14608"/>
  <c r="II199" i="14608"/>
  <c r="IJ199" i="14608"/>
  <c r="IK199" i="14608"/>
  <c r="IL199" i="14608"/>
  <c r="IM199" i="14608"/>
  <c r="IN199" i="14608"/>
  <c r="IO199" i="14608"/>
  <c r="IP199" i="14608"/>
  <c r="IQ199" i="14608"/>
  <c r="IR199" i="14608"/>
  <c r="IS199" i="14608"/>
  <c r="IT199" i="14608"/>
  <c r="IU199" i="14608"/>
  <c r="IV199" i="14608"/>
  <c r="A198" i="14608"/>
  <c r="B198" i="14608"/>
  <c r="C198" i="14608"/>
  <c r="D198" i="14608"/>
  <c r="E198" i="14608"/>
  <c r="F198" i="14608"/>
  <c r="G198" i="14608"/>
  <c r="H198" i="14608"/>
  <c r="I198" i="14608"/>
  <c r="J198" i="14608"/>
  <c r="K198" i="14608"/>
  <c r="L198" i="14608"/>
  <c r="M198" i="14608"/>
  <c r="N198" i="14608"/>
  <c r="O198" i="14608"/>
  <c r="P198" i="14608"/>
  <c r="Q198" i="14608"/>
  <c r="R198" i="14608"/>
  <c r="S198" i="14608"/>
  <c r="T198" i="14608"/>
  <c r="U198" i="14608"/>
  <c r="V198" i="14608"/>
  <c r="W198" i="14608"/>
  <c r="X198" i="14608"/>
  <c r="Y198" i="14608"/>
  <c r="Z198" i="14608"/>
  <c r="AA198" i="14608"/>
  <c r="AB198" i="14608"/>
  <c r="AC198" i="14608"/>
  <c r="AD198" i="14608"/>
  <c r="AE198" i="14608"/>
  <c r="AF198" i="14608"/>
  <c r="AG198" i="14608"/>
  <c r="AH198" i="14608"/>
  <c r="AI198" i="14608"/>
  <c r="AJ198" i="14608"/>
  <c r="AK198" i="14608"/>
  <c r="AL198" i="14608"/>
  <c r="AM198" i="14608"/>
  <c r="AN198" i="14608"/>
  <c r="AO198" i="14608"/>
  <c r="AP198" i="14608"/>
  <c r="AQ198" i="14608"/>
  <c r="AR198" i="14608"/>
  <c r="AS198" i="14608"/>
  <c r="AT198" i="14608"/>
  <c r="AU198" i="14608"/>
  <c r="AV198" i="14608"/>
  <c r="AW198" i="14608"/>
  <c r="AX198" i="14608"/>
  <c r="AY198" i="14608"/>
  <c r="AZ198" i="14608"/>
  <c r="BA198" i="14608"/>
  <c r="BB198" i="14608"/>
  <c r="BC198" i="14608"/>
  <c r="BD198" i="14608"/>
  <c r="BE198" i="14608"/>
  <c r="BF198" i="14608"/>
  <c r="BG198" i="14608"/>
  <c r="BH198" i="14608"/>
  <c r="BI198" i="14608"/>
  <c r="BJ198" i="14608"/>
  <c r="BK198" i="14608"/>
  <c r="BL198" i="14608"/>
  <c r="BM198" i="14608"/>
  <c r="BN198" i="14608"/>
  <c r="BO198" i="14608"/>
  <c r="BP198" i="14608"/>
  <c r="BQ198" i="14608"/>
  <c r="BR198" i="14608"/>
  <c r="BS198" i="14608"/>
  <c r="BT198" i="14608"/>
  <c r="BU198" i="14608"/>
  <c r="BV198" i="14608"/>
  <c r="BW198" i="14608"/>
  <c r="BX198" i="14608"/>
  <c r="BY198" i="14608"/>
  <c r="BZ198" i="14608"/>
  <c r="CA198" i="14608"/>
  <c r="CB198" i="14608"/>
  <c r="CC198" i="14608"/>
  <c r="CD198" i="14608"/>
  <c r="CE198" i="14608"/>
  <c r="CF198" i="14608"/>
  <c r="CG198" i="14608"/>
  <c r="CH198" i="14608"/>
  <c r="CI198" i="14608"/>
  <c r="CJ198" i="14608"/>
  <c r="CK198" i="14608"/>
  <c r="CL198" i="14608"/>
  <c r="CM198" i="14608"/>
  <c r="CN198" i="14608"/>
  <c r="CO198" i="14608"/>
  <c r="CP198" i="14608"/>
  <c r="CQ198" i="14608"/>
  <c r="CR198" i="14608"/>
  <c r="CS198" i="14608"/>
  <c r="CT198" i="14608"/>
  <c r="CU198" i="14608"/>
  <c r="CV198" i="14608"/>
  <c r="CW198" i="14608"/>
  <c r="CX198" i="14608"/>
  <c r="CY198" i="14608"/>
  <c r="CZ198" i="14608"/>
  <c r="DA198" i="14608"/>
  <c r="DB198" i="14608"/>
  <c r="DC198" i="14608"/>
  <c r="DD198" i="14608"/>
  <c r="DE198" i="14608"/>
  <c r="DF198" i="14608"/>
  <c r="DG198" i="14608"/>
  <c r="DH198" i="14608"/>
  <c r="DI198" i="14608"/>
  <c r="DJ198" i="14608"/>
  <c r="DK198" i="14608"/>
  <c r="DL198" i="14608"/>
  <c r="DM198" i="14608"/>
  <c r="DN198" i="14608"/>
  <c r="DO198" i="14608"/>
  <c r="DP198" i="14608"/>
  <c r="DQ198" i="14608"/>
  <c r="DR198" i="14608"/>
  <c r="DS198" i="14608"/>
  <c r="DT198" i="14608"/>
  <c r="DU198" i="14608"/>
  <c r="DV198" i="14608"/>
  <c r="DW198" i="14608"/>
  <c r="DX198" i="14608"/>
  <c r="DY198" i="14608"/>
  <c r="DZ198" i="14608"/>
  <c r="EA198" i="14608"/>
  <c r="EB198" i="14608"/>
  <c r="EC198" i="14608"/>
  <c r="ED198" i="14608"/>
  <c r="EE198" i="14608"/>
  <c r="EF198" i="14608"/>
  <c r="EG198" i="14608"/>
  <c r="EH198" i="14608"/>
  <c r="EI198" i="14608"/>
  <c r="EJ198" i="14608"/>
  <c r="EK198" i="14608"/>
  <c r="EL198" i="14608"/>
  <c r="EM198" i="14608"/>
  <c r="EN198" i="14608"/>
  <c r="EO198" i="14608"/>
  <c r="EP198" i="14608"/>
  <c r="EQ198" i="14608"/>
  <c r="ER198" i="14608"/>
  <c r="ES198" i="14608"/>
  <c r="ET198" i="14608"/>
  <c r="EU198" i="14608"/>
  <c r="EV198" i="14608"/>
  <c r="EW198" i="14608"/>
  <c r="EX198" i="14608"/>
  <c r="EY198" i="14608"/>
  <c r="EZ198" i="14608"/>
  <c r="FA198" i="14608"/>
  <c r="FB198" i="14608"/>
  <c r="FC198" i="14608"/>
  <c r="FD198" i="14608"/>
  <c r="FE198" i="14608"/>
  <c r="FF198" i="14608"/>
  <c r="FG198" i="14608"/>
  <c r="FH198" i="14608"/>
  <c r="FI198" i="14608"/>
  <c r="FJ198" i="14608"/>
  <c r="FK198" i="14608"/>
  <c r="FL198" i="14608"/>
  <c r="FM198" i="14608"/>
  <c r="FN198" i="14608"/>
  <c r="FO198" i="14608"/>
  <c r="FP198" i="14608"/>
  <c r="FQ198" i="14608"/>
  <c r="FR198" i="14608"/>
  <c r="FS198" i="14608"/>
  <c r="FT198" i="14608"/>
  <c r="FU198" i="14608"/>
  <c r="FV198" i="14608"/>
  <c r="FW198" i="14608"/>
  <c r="FX198" i="14608"/>
  <c r="FY198" i="14608"/>
  <c r="FZ198" i="14608"/>
  <c r="GA198" i="14608"/>
  <c r="GB198" i="14608"/>
  <c r="GC198" i="14608"/>
  <c r="GD198" i="14608"/>
  <c r="GE198" i="14608"/>
  <c r="GF198" i="14608"/>
  <c r="GG198" i="14608"/>
  <c r="GH198" i="14608"/>
  <c r="GI198" i="14608"/>
  <c r="GJ198" i="14608"/>
  <c r="GK198" i="14608"/>
  <c r="GL198" i="14608"/>
  <c r="GM198" i="14608"/>
  <c r="GN198" i="14608"/>
  <c r="GO198" i="14608"/>
  <c r="GP198" i="14608"/>
  <c r="GQ198" i="14608"/>
  <c r="GR198" i="14608"/>
  <c r="GS198" i="14608"/>
  <c r="GT198" i="14608"/>
  <c r="GU198" i="14608"/>
  <c r="GV198" i="14608"/>
  <c r="GW198" i="14608"/>
  <c r="GX198" i="14608"/>
  <c r="GY198" i="14608"/>
  <c r="GZ198" i="14608"/>
  <c r="HA198" i="14608"/>
  <c r="HB198" i="14608"/>
  <c r="HC198" i="14608"/>
  <c r="HD198" i="14608"/>
  <c r="HE198" i="14608"/>
  <c r="HF198" i="14608"/>
  <c r="HG198" i="14608"/>
  <c r="HH198" i="14608"/>
  <c r="HI198" i="14608"/>
  <c r="HJ198" i="14608"/>
  <c r="HK198" i="14608"/>
  <c r="HL198" i="14608"/>
  <c r="HM198" i="14608"/>
  <c r="HN198" i="14608"/>
  <c r="HO198" i="14608"/>
  <c r="HP198" i="14608"/>
  <c r="HQ198" i="14608"/>
  <c r="HR198" i="14608"/>
  <c r="HS198" i="14608"/>
  <c r="HT198" i="14608"/>
  <c r="HU198" i="14608"/>
  <c r="HV198" i="14608"/>
  <c r="HW198" i="14608"/>
  <c r="HX198" i="14608"/>
  <c r="HY198" i="14608"/>
  <c r="HZ198" i="14608"/>
  <c r="IA198" i="14608"/>
  <c r="IB198" i="14608"/>
  <c r="IC198" i="14608"/>
  <c r="ID198" i="14608"/>
  <c r="IE198" i="14608"/>
  <c r="IF198" i="14608"/>
  <c r="IG198" i="14608"/>
  <c r="IH198" i="14608"/>
  <c r="II198" i="14608"/>
  <c r="IJ198" i="14608"/>
  <c r="IK198" i="14608"/>
  <c r="IL198" i="14608"/>
  <c r="IM198" i="14608"/>
  <c r="IN198" i="14608"/>
  <c r="IO198" i="14608"/>
  <c r="IP198" i="14608"/>
  <c r="IQ198" i="14608"/>
  <c r="IR198" i="14608"/>
  <c r="IS198" i="14608"/>
  <c r="IT198" i="14608"/>
  <c r="IU198" i="14608"/>
  <c r="IV198" i="14608"/>
  <c r="A197" i="14608"/>
  <c r="B197" i="14608"/>
  <c r="C197" i="14608"/>
  <c r="D197" i="14608"/>
  <c r="E197" i="14608"/>
  <c r="F197" i="14608"/>
  <c r="G197" i="14608"/>
  <c r="H197" i="14608"/>
  <c r="I197" i="14608"/>
  <c r="J197" i="14608"/>
  <c r="K197" i="14608"/>
  <c r="L197" i="14608"/>
  <c r="M197" i="14608"/>
  <c r="N197" i="14608"/>
  <c r="O197" i="14608"/>
  <c r="P197" i="14608"/>
  <c r="Q197" i="14608"/>
  <c r="R197" i="14608"/>
  <c r="S197" i="14608"/>
  <c r="T197" i="14608"/>
  <c r="U197" i="14608"/>
  <c r="V197" i="14608"/>
  <c r="W197" i="14608"/>
  <c r="X197" i="14608"/>
  <c r="Y197" i="14608"/>
  <c r="Z197" i="14608"/>
  <c r="AA197" i="14608"/>
  <c r="AB197" i="14608"/>
  <c r="AC197" i="14608"/>
  <c r="AD197" i="14608"/>
  <c r="AE197" i="14608"/>
  <c r="AF197" i="14608"/>
  <c r="AG197" i="14608"/>
  <c r="AH197" i="14608"/>
  <c r="AI197" i="14608"/>
  <c r="AJ197" i="14608"/>
  <c r="AK197" i="14608"/>
  <c r="AL197" i="14608"/>
  <c r="AM197" i="14608"/>
  <c r="AN197" i="14608"/>
  <c r="AO197" i="14608"/>
  <c r="AP197" i="14608"/>
  <c r="AQ197" i="14608"/>
  <c r="AR197" i="14608"/>
  <c r="AS197" i="14608"/>
  <c r="AT197" i="14608"/>
  <c r="AU197" i="14608"/>
  <c r="AV197" i="14608"/>
  <c r="AW197" i="14608"/>
  <c r="AX197" i="14608"/>
  <c r="AY197" i="14608"/>
  <c r="AZ197" i="14608"/>
  <c r="BA197" i="14608"/>
  <c r="BB197" i="14608"/>
  <c r="BC197" i="14608"/>
  <c r="BD197" i="14608"/>
  <c r="BE197" i="14608"/>
  <c r="BF197" i="14608"/>
  <c r="BG197" i="14608"/>
  <c r="BH197" i="14608"/>
  <c r="BI197" i="14608"/>
  <c r="BJ197" i="14608"/>
  <c r="BK197" i="14608"/>
  <c r="BL197" i="14608"/>
  <c r="BM197" i="14608"/>
  <c r="BN197" i="14608"/>
  <c r="BO197" i="14608"/>
  <c r="BP197" i="14608"/>
  <c r="BQ197" i="14608"/>
  <c r="BR197" i="14608"/>
  <c r="BS197" i="14608"/>
  <c r="BT197" i="14608"/>
  <c r="BU197" i="14608"/>
  <c r="BV197" i="14608"/>
  <c r="BW197" i="14608"/>
  <c r="BX197" i="14608"/>
  <c r="BY197" i="14608"/>
  <c r="BZ197" i="14608"/>
  <c r="CA197" i="14608"/>
  <c r="CB197" i="14608"/>
  <c r="CC197" i="14608"/>
  <c r="CD197" i="14608"/>
  <c r="CE197" i="14608"/>
  <c r="CF197" i="14608"/>
  <c r="CG197" i="14608"/>
  <c r="CH197" i="14608"/>
  <c r="CI197" i="14608"/>
  <c r="CJ197" i="14608"/>
  <c r="CK197" i="14608"/>
  <c r="CL197" i="14608"/>
  <c r="CM197" i="14608"/>
  <c r="CN197" i="14608"/>
  <c r="CO197" i="14608"/>
  <c r="CP197" i="14608"/>
  <c r="CQ197" i="14608"/>
  <c r="CR197" i="14608"/>
  <c r="CS197" i="14608"/>
  <c r="CT197" i="14608"/>
  <c r="CU197" i="14608"/>
  <c r="CV197" i="14608"/>
  <c r="CW197" i="14608"/>
  <c r="CX197" i="14608"/>
  <c r="CY197" i="14608"/>
  <c r="CZ197" i="14608"/>
  <c r="DA197" i="14608"/>
  <c r="DB197" i="14608"/>
  <c r="DC197" i="14608"/>
  <c r="DD197" i="14608"/>
  <c r="DE197" i="14608"/>
  <c r="DF197" i="14608"/>
  <c r="DG197" i="14608"/>
  <c r="DH197" i="14608"/>
  <c r="DI197" i="14608"/>
  <c r="DJ197" i="14608"/>
  <c r="DK197" i="14608"/>
  <c r="DL197" i="14608"/>
  <c r="DM197" i="14608"/>
  <c r="DN197" i="14608"/>
  <c r="DO197" i="14608"/>
  <c r="DP197" i="14608"/>
  <c r="DQ197" i="14608"/>
  <c r="DR197" i="14608"/>
  <c r="DS197" i="14608"/>
  <c r="DT197" i="14608"/>
  <c r="DU197" i="14608"/>
  <c r="DV197" i="14608"/>
  <c r="DW197" i="14608"/>
  <c r="DX197" i="14608"/>
  <c r="DY197" i="14608"/>
  <c r="DZ197" i="14608"/>
  <c r="EA197" i="14608"/>
  <c r="EB197" i="14608"/>
  <c r="EC197" i="14608"/>
  <c r="ED197" i="14608"/>
  <c r="EE197" i="14608"/>
  <c r="EF197" i="14608"/>
  <c r="EG197" i="14608"/>
  <c r="EH197" i="14608"/>
  <c r="EI197" i="14608"/>
  <c r="EJ197" i="14608"/>
  <c r="EK197" i="14608"/>
  <c r="EL197" i="14608"/>
  <c r="EM197" i="14608"/>
  <c r="EN197" i="14608"/>
  <c r="EO197" i="14608"/>
  <c r="EP197" i="14608"/>
  <c r="EQ197" i="14608"/>
  <c r="ER197" i="14608"/>
  <c r="ES197" i="14608"/>
  <c r="ET197" i="14608"/>
  <c r="EU197" i="14608"/>
  <c r="EV197" i="14608"/>
  <c r="EW197" i="14608"/>
  <c r="EX197" i="14608"/>
  <c r="EY197" i="14608"/>
  <c r="EZ197" i="14608"/>
  <c r="FA197" i="14608"/>
  <c r="FB197" i="14608"/>
  <c r="FC197" i="14608"/>
  <c r="FD197" i="14608"/>
  <c r="FE197" i="14608"/>
  <c r="FF197" i="14608"/>
  <c r="FG197" i="14608"/>
  <c r="FH197" i="14608"/>
  <c r="FI197" i="14608"/>
  <c r="FJ197" i="14608"/>
  <c r="FK197" i="14608"/>
  <c r="FL197" i="14608"/>
  <c r="FM197" i="14608"/>
  <c r="FN197" i="14608"/>
  <c r="FO197" i="14608"/>
  <c r="FP197" i="14608"/>
  <c r="FQ197" i="14608"/>
  <c r="FR197" i="14608"/>
  <c r="FS197" i="14608"/>
  <c r="FT197" i="14608"/>
  <c r="FU197" i="14608"/>
  <c r="FV197" i="14608"/>
  <c r="FW197" i="14608"/>
  <c r="FX197" i="14608"/>
  <c r="FY197" i="14608"/>
  <c r="FZ197" i="14608"/>
  <c r="GA197" i="14608"/>
  <c r="GB197" i="14608"/>
  <c r="GC197" i="14608"/>
  <c r="GD197" i="14608"/>
  <c r="GE197" i="14608"/>
  <c r="GF197" i="14608"/>
  <c r="GG197" i="14608"/>
  <c r="GH197" i="14608"/>
  <c r="GI197" i="14608"/>
  <c r="GJ197" i="14608"/>
  <c r="GK197" i="14608"/>
  <c r="GL197" i="14608"/>
  <c r="GM197" i="14608"/>
  <c r="GN197" i="14608"/>
  <c r="GO197" i="14608"/>
  <c r="GP197" i="14608"/>
  <c r="GQ197" i="14608"/>
  <c r="GR197" i="14608"/>
  <c r="GS197" i="14608"/>
  <c r="GT197" i="14608"/>
  <c r="GU197" i="14608"/>
  <c r="GV197" i="14608"/>
  <c r="GW197" i="14608"/>
  <c r="GX197" i="14608"/>
  <c r="GY197" i="14608"/>
  <c r="GZ197" i="14608"/>
  <c r="HA197" i="14608"/>
  <c r="HB197" i="14608"/>
  <c r="HC197" i="14608"/>
  <c r="HD197" i="14608"/>
  <c r="HE197" i="14608"/>
  <c r="HF197" i="14608"/>
  <c r="HG197" i="14608"/>
  <c r="HH197" i="14608"/>
  <c r="HI197" i="14608"/>
  <c r="HJ197" i="14608"/>
  <c r="HK197" i="14608"/>
  <c r="HL197" i="14608"/>
  <c r="HM197" i="14608"/>
  <c r="HN197" i="14608"/>
  <c r="HO197" i="14608"/>
  <c r="HP197" i="14608"/>
  <c r="HQ197" i="14608"/>
  <c r="HR197" i="14608"/>
  <c r="HS197" i="14608"/>
  <c r="HT197" i="14608"/>
  <c r="HU197" i="14608"/>
  <c r="HV197" i="14608"/>
  <c r="HW197" i="14608"/>
  <c r="HX197" i="14608"/>
  <c r="HY197" i="14608"/>
  <c r="HZ197" i="14608"/>
  <c r="IA197" i="14608"/>
  <c r="IB197" i="14608"/>
  <c r="IC197" i="14608"/>
  <c r="ID197" i="14608"/>
  <c r="IE197" i="14608"/>
  <c r="IF197" i="14608"/>
  <c r="IG197" i="14608"/>
  <c r="IH197" i="14608"/>
  <c r="II197" i="14608"/>
  <c r="IJ197" i="14608"/>
  <c r="IK197" i="14608"/>
  <c r="IL197" i="14608"/>
  <c r="IM197" i="14608"/>
  <c r="IN197" i="14608"/>
  <c r="IO197" i="14608"/>
  <c r="IP197" i="14608"/>
  <c r="IQ197" i="14608"/>
  <c r="IR197" i="14608"/>
  <c r="IS197" i="14608"/>
  <c r="IT197" i="14608"/>
  <c r="IU197" i="14608"/>
  <c r="IV197" i="14608"/>
  <c r="A196" i="14608"/>
  <c r="B196" i="14608"/>
  <c r="C196" i="14608"/>
  <c r="D196" i="14608"/>
  <c r="E196" i="14608"/>
  <c r="F196" i="14608"/>
  <c r="G196" i="14608"/>
  <c r="H196" i="14608"/>
  <c r="I196" i="14608"/>
  <c r="J196" i="14608"/>
  <c r="K196" i="14608"/>
  <c r="L196" i="14608"/>
  <c r="M196" i="14608"/>
  <c r="N196" i="14608"/>
  <c r="O196" i="14608"/>
  <c r="P196" i="14608"/>
  <c r="Q196" i="14608"/>
  <c r="R196" i="14608"/>
  <c r="S196" i="14608"/>
  <c r="T196" i="14608"/>
  <c r="U196" i="14608"/>
  <c r="V196" i="14608"/>
  <c r="W196" i="14608"/>
  <c r="X196" i="14608"/>
  <c r="Y196" i="14608"/>
  <c r="Z196" i="14608"/>
  <c r="AA196" i="14608"/>
  <c r="AB196" i="14608"/>
  <c r="AC196" i="14608"/>
  <c r="AD196" i="14608"/>
  <c r="AE196" i="14608"/>
  <c r="AF196" i="14608"/>
  <c r="AG196" i="14608"/>
  <c r="AH196" i="14608"/>
  <c r="AI196" i="14608"/>
  <c r="AJ196" i="14608"/>
  <c r="AK196" i="14608"/>
  <c r="AL196" i="14608"/>
  <c r="AM196" i="14608"/>
  <c r="AN196" i="14608"/>
  <c r="AO196" i="14608"/>
  <c r="AP196" i="14608"/>
  <c r="AQ196" i="14608"/>
  <c r="AR196" i="14608"/>
  <c r="AS196" i="14608"/>
  <c r="AT196" i="14608"/>
  <c r="AU196" i="14608"/>
  <c r="AV196" i="14608"/>
  <c r="AW196" i="14608"/>
  <c r="AX196" i="14608"/>
  <c r="AY196" i="14608"/>
  <c r="AZ196" i="14608"/>
  <c r="BA196" i="14608"/>
  <c r="BB196" i="14608"/>
  <c r="BC196" i="14608"/>
  <c r="BD196" i="14608"/>
  <c r="BE196" i="14608"/>
  <c r="BF196" i="14608"/>
  <c r="BG196" i="14608"/>
  <c r="BH196" i="14608"/>
  <c r="BI196" i="14608"/>
  <c r="BJ196" i="14608"/>
  <c r="BK196" i="14608"/>
  <c r="BL196" i="14608"/>
  <c r="BM196" i="14608"/>
  <c r="BN196" i="14608"/>
  <c r="BO196" i="14608"/>
  <c r="BP196" i="14608"/>
  <c r="BQ196" i="14608"/>
  <c r="BR196" i="14608"/>
  <c r="BS196" i="14608"/>
  <c r="BT196" i="14608"/>
  <c r="BU196" i="14608"/>
  <c r="BV196" i="14608"/>
  <c r="BW196" i="14608"/>
  <c r="BX196" i="14608"/>
  <c r="BY196" i="14608"/>
  <c r="BZ196" i="14608"/>
  <c r="CA196" i="14608"/>
  <c r="CB196" i="14608"/>
  <c r="CC196" i="14608"/>
  <c r="CD196" i="14608"/>
  <c r="CE196" i="14608"/>
  <c r="CF196" i="14608"/>
  <c r="CG196" i="14608"/>
  <c r="CH196" i="14608"/>
  <c r="CI196" i="14608"/>
  <c r="CJ196" i="14608"/>
  <c r="CK196" i="14608"/>
  <c r="CL196" i="14608"/>
  <c r="CM196" i="14608"/>
  <c r="CN196" i="14608"/>
  <c r="CO196" i="14608"/>
  <c r="CP196" i="14608"/>
  <c r="CQ196" i="14608"/>
  <c r="CR196" i="14608"/>
  <c r="CS196" i="14608"/>
  <c r="CT196" i="14608"/>
  <c r="CU196" i="14608"/>
  <c r="CV196" i="14608"/>
  <c r="CW196" i="14608"/>
  <c r="CX196" i="14608"/>
  <c r="CY196" i="14608"/>
  <c r="CZ196" i="14608"/>
  <c r="DA196" i="14608"/>
  <c r="DB196" i="14608"/>
  <c r="DC196" i="14608"/>
  <c r="DD196" i="14608"/>
  <c r="DE196" i="14608"/>
  <c r="DF196" i="14608"/>
  <c r="DG196" i="14608"/>
  <c r="DH196" i="14608"/>
  <c r="DI196" i="14608"/>
  <c r="DJ196" i="14608"/>
  <c r="DK196" i="14608"/>
  <c r="DL196" i="14608"/>
  <c r="DM196" i="14608"/>
  <c r="DN196" i="14608"/>
  <c r="DO196" i="14608"/>
  <c r="DP196" i="14608"/>
  <c r="DQ196" i="14608"/>
  <c r="DR196" i="14608"/>
  <c r="DS196" i="14608"/>
  <c r="DT196" i="14608"/>
  <c r="DU196" i="14608"/>
  <c r="DV196" i="14608"/>
  <c r="DW196" i="14608"/>
  <c r="DX196" i="14608"/>
  <c r="DY196" i="14608"/>
  <c r="DZ196" i="14608"/>
  <c r="EA196" i="14608"/>
  <c r="EB196" i="14608"/>
  <c r="EC196" i="14608"/>
  <c r="ED196" i="14608"/>
  <c r="EE196" i="14608"/>
  <c r="EF196" i="14608"/>
  <c r="EG196" i="14608"/>
  <c r="EH196" i="14608"/>
  <c r="EI196" i="14608"/>
  <c r="EJ196" i="14608"/>
  <c r="EK196" i="14608"/>
  <c r="EL196" i="14608"/>
  <c r="EM196" i="14608"/>
  <c r="EN196" i="14608"/>
  <c r="EO196" i="14608"/>
  <c r="EP196" i="14608"/>
  <c r="EQ196" i="14608"/>
  <c r="ER196" i="14608"/>
  <c r="ES196" i="14608"/>
  <c r="ET196" i="14608"/>
  <c r="EU196" i="14608"/>
  <c r="EV196" i="14608"/>
  <c r="EW196" i="14608"/>
  <c r="EX196" i="14608"/>
  <c r="EY196" i="14608"/>
  <c r="EZ196" i="14608"/>
  <c r="FA196" i="14608"/>
  <c r="FB196" i="14608"/>
  <c r="FC196" i="14608"/>
  <c r="FD196" i="14608"/>
  <c r="FE196" i="14608"/>
  <c r="FF196" i="14608"/>
  <c r="FG196" i="14608"/>
  <c r="FH196" i="14608"/>
  <c r="FI196" i="14608"/>
  <c r="FJ196" i="14608"/>
  <c r="FK196" i="14608"/>
  <c r="FL196" i="14608"/>
  <c r="FM196" i="14608"/>
  <c r="FN196" i="14608"/>
  <c r="FO196" i="14608"/>
  <c r="FP196" i="14608"/>
  <c r="FQ196" i="14608"/>
  <c r="FR196" i="14608"/>
  <c r="FS196" i="14608"/>
  <c r="FT196" i="14608"/>
  <c r="FU196" i="14608"/>
  <c r="FV196" i="14608"/>
  <c r="FW196" i="14608"/>
  <c r="FX196" i="14608"/>
  <c r="FY196" i="14608"/>
  <c r="FZ196" i="14608"/>
  <c r="GA196" i="14608"/>
  <c r="GB196" i="14608"/>
  <c r="GC196" i="14608"/>
  <c r="GD196" i="14608"/>
  <c r="GE196" i="14608"/>
  <c r="GF196" i="14608"/>
  <c r="GG196" i="14608"/>
  <c r="GH196" i="14608"/>
  <c r="GI196" i="14608"/>
  <c r="GJ196" i="14608"/>
  <c r="GK196" i="14608"/>
  <c r="GL196" i="14608"/>
  <c r="GM196" i="14608"/>
  <c r="GN196" i="14608"/>
  <c r="GO196" i="14608"/>
  <c r="GP196" i="14608"/>
  <c r="GQ196" i="14608"/>
  <c r="GR196" i="14608"/>
  <c r="GS196" i="14608"/>
  <c r="GT196" i="14608"/>
  <c r="GU196" i="14608"/>
  <c r="GV196" i="14608"/>
  <c r="GW196" i="14608"/>
  <c r="GX196" i="14608"/>
  <c r="GY196" i="14608"/>
  <c r="GZ196" i="14608"/>
  <c r="HA196" i="14608"/>
  <c r="HB196" i="14608"/>
  <c r="HC196" i="14608"/>
  <c r="HD196" i="14608"/>
  <c r="HE196" i="14608"/>
  <c r="HF196" i="14608"/>
  <c r="HG196" i="14608"/>
  <c r="HH196" i="14608"/>
  <c r="HI196" i="14608"/>
  <c r="HJ196" i="14608"/>
  <c r="HK196" i="14608"/>
  <c r="HL196" i="14608"/>
  <c r="HM196" i="14608"/>
  <c r="HN196" i="14608"/>
  <c r="HO196" i="14608"/>
  <c r="HP196" i="14608"/>
  <c r="HQ196" i="14608"/>
  <c r="HR196" i="14608"/>
  <c r="HS196" i="14608"/>
  <c r="HT196" i="14608"/>
  <c r="HU196" i="14608"/>
  <c r="HV196" i="14608"/>
  <c r="HW196" i="14608"/>
  <c r="HX196" i="14608"/>
  <c r="HY196" i="14608"/>
  <c r="HZ196" i="14608"/>
  <c r="IA196" i="14608"/>
  <c r="IB196" i="14608"/>
  <c r="IC196" i="14608"/>
  <c r="ID196" i="14608"/>
  <c r="IE196" i="14608"/>
  <c r="IF196" i="14608"/>
  <c r="IG196" i="14608"/>
  <c r="IH196" i="14608"/>
  <c r="II196" i="14608"/>
  <c r="IJ196" i="14608"/>
  <c r="IK196" i="14608"/>
  <c r="IL196" i="14608"/>
  <c r="IM196" i="14608"/>
  <c r="IN196" i="14608"/>
  <c r="IO196" i="14608"/>
  <c r="IP196" i="14608"/>
  <c r="IQ196" i="14608"/>
  <c r="IR196" i="14608"/>
  <c r="IS196" i="14608"/>
  <c r="IT196" i="14608"/>
  <c r="IU196" i="14608"/>
  <c r="IV196" i="14608"/>
  <c r="A195" i="14608"/>
  <c r="B195" i="14608"/>
  <c r="C195" i="14608"/>
  <c r="D195" i="14608"/>
  <c r="E195" i="14608"/>
  <c r="F195" i="14608"/>
  <c r="G195" i="14608"/>
  <c r="H195" i="14608"/>
  <c r="I195" i="14608"/>
  <c r="J195" i="14608"/>
  <c r="K195" i="14608"/>
  <c r="L195" i="14608"/>
  <c r="M195" i="14608"/>
  <c r="N195" i="14608"/>
  <c r="O195" i="14608"/>
  <c r="P195" i="14608"/>
  <c r="Q195" i="14608"/>
  <c r="R195" i="14608"/>
  <c r="S195" i="14608"/>
  <c r="T195" i="14608"/>
  <c r="U195" i="14608"/>
  <c r="V195" i="14608"/>
  <c r="W195" i="14608"/>
  <c r="X195" i="14608"/>
  <c r="Y195" i="14608"/>
  <c r="Z195" i="14608"/>
  <c r="AA195" i="14608"/>
  <c r="AB195" i="14608"/>
  <c r="AC195" i="14608"/>
  <c r="AD195" i="14608"/>
  <c r="AE195" i="14608"/>
  <c r="AF195" i="14608"/>
  <c r="AG195" i="14608"/>
  <c r="AH195" i="14608"/>
  <c r="AI195" i="14608"/>
  <c r="AJ195" i="14608"/>
  <c r="AK195" i="14608"/>
  <c r="AL195" i="14608"/>
  <c r="AM195" i="14608"/>
  <c r="AN195" i="14608"/>
  <c r="AO195" i="14608"/>
  <c r="AP195" i="14608"/>
  <c r="AQ195" i="14608"/>
  <c r="AR195" i="14608"/>
  <c r="AS195" i="14608"/>
  <c r="AT195" i="14608"/>
  <c r="AU195" i="14608"/>
  <c r="AV195" i="14608"/>
  <c r="AW195" i="14608"/>
  <c r="AX195" i="14608"/>
  <c r="AY195" i="14608"/>
  <c r="AZ195" i="14608"/>
  <c r="BA195" i="14608"/>
  <c r="BB195" i="14608"/>
  <c r="BC195" i="14608"/>
  <c r="BD195" i="14608"/>
  <c r="BE195" i="14608"/>
  <c r="BF195" i="14608"/>
  <c r="BG195" i="14608"/>
  <c r="BH195" i="14608"/>
  <c r="BI195" i="14608"/>
  <c r="BJ195" i="14608"/>
  <c r="BK195" i="14608"/>
  <c r="BL195" i="14608"/>
  <c r="BM195" i="14608"/>
  <c r="BN195" i="14608"/>
  <c r="BO195" i="14608"/>
  <c r="BP195" i="14608"/>
  <c r="BQ195" i="14608"/>
  <c r="BR195" i="14608"/>
  <c r="BS195" i="14608"/>
  <c r="BT195" i="14608"/>
  <c r="BU195" i="14608"/>
  <c r="BV195" i="14608"/>
  <c r="BW195" i="14608"/>
  <c r="BX195" i="14608"/>
  <c r="BY195" i="14608"/>
  <c r="BZ195" i="14608"/>
  <c r="CA195" i="14608"/>
  <c r="CB195" i="14608"/>
  <c r="CC195" i="14608"/>
  <c r="CD195" i="14608"/>
  <c r="CE195" i="14608"/>
  <c r="CF195" i="14608"/>
  <c r="CG195" i="14608"/>
  <c r="CH195" i="14608"/>
  <c r="CI195" i="14608"/>
  <c r="CJ195" i="14608"/>
  <c r="CK195" i="14608"/>
  <c r="CL195" i="14608"/>
  <c r="CM195" i="14608"/>
  <c r="CN195" i="14608"/>
  <c r="CO195" i="14608"/>
  <c r="CP195" i="14608"/>
  <c r="CQ195" i="14608"/>
  <c r="CR195" i="14608"/>
  <c r="CS195" i="14608"/>
  <c r="CT195" i="14608"/>
  <c r="CU195" i="14608"/>
  <c r="CV195" i="14608"/>
  <c r="CW195" i="14608"/>
  <c r="CX195" i="14608"/>
  <c r="CY195" i="14608"/>
  <c r="CZ195" i="14608"/>
  <c r="DA195" i="14608"/>
  <c r="DB195" i="14608"/>
  <c r="DC195" i="14608"/>
  <c r="DD195" i="14608"/>
  <c r="DE195" i="14608"/>
  <c r="DF195" i="14608"/>
  <c r="DG195" i="14608"/>
  <c r="DH195" i="14608"/>
  <c r="DI195" i="14608"/>
  <c r="DJ195" i="14608"/>
  <c r="DK195" i="14608"/>
  <c r="DL195" i="14608"/>
  <c r="DM195" i="14608"/>
  <c r="DN195" i="14608"/>
  <c r="DO195" i="14608"/>
  <c r="DP195" i="14608"/>
  <c r="DQ195" i="14608"/>
  <c r="DR195" i="14608"/>
  <c r="DS195" i="14608"/>
  <c r="DT195" i="14608"/>
  <c r="DU195" i="14608"/>
  <c r="DV195" i="14608"/>
  <c r="DW195" i="14608"/>
  <c r="DX195" i="14608"/>
  <c r="DY195" i="14608"/>
  <c r="DZ195" i="14608"/>
  <c r="EA195" i="14608"/>
  <c r="EB195" i="14608"/>
  <c r="EC195" i="14608"/>
  <c r="ED195" i="14608"/>
  <c r="EE195" i="14608"/>
  <c r="EF195" i="14608"/>
  <c r="EG195" i="14608"/>
  <c r="EH195" i="14608"/>
  <c r="EI195" i="14608"/>
  <c r="EJ195" i="14608"/>
  <c r="EK195" i="14608"/>
  <c r="EL195" i="14608"/>
  <c r="EM195" i="14608"/>
  <c r="EN195" i="14608"/>
  <c r="EO195" i="14608"/>
  <c r="EP195" i="14608"/>
  <c r="EQ195" i="14608"/>
  <c r="ER195" i="14608"/>
  <c r="ES195" i="14608"/>
  <c r="ET195" i="14608"/>
  <c r="EU195" i="14608"/>
  <c r="EV195" i="14608"/>
  <c r="EW195" i="14608"/>
  <c r="EX195" i="14608"/>
  <c r="EY195" i="14608"/>
  <c r="EZ195" i="14608"/>
  <c r="FA195" i="14608"/>
  <c r="FB195" i="14608"/>
  <c r="FC195" i="14608"/>
  <c r="FD195" i="14608"/>
  <c r="FE195" i="14608"/>
  <c r="FF195" i="14608"/>
  <c r="FG195" i="14608"/>
  <c r="FH195" i="14608"/>
  <c r="FI195" i="14608"/>
  <c r="FJ195" i="14608"/>
  <c r="FK195" i="14608"/>
  <c r="FL195" i="14608"/>
  <c r="FM195" i="14608"/>
  <c r="FN195" i="14608"/>
  <c r="FO195" i="14608"/>
  <c r="FP195" i="14608"/>
  <c r="FQ195" i="14608"/>
  <c r="FR195" i="14608"/>
  <c r="FS195" i="14608"/>
  <c r="FT195" i="14608"/>
  <c r="FU195" i="14608"/>
  <c r="FV195" i="14608"/>
  <c r="FW195" i="14608"/>
  <c r="FX195" i="14608"/>
  <c r="FY195" i="14608"/>
  <c r="FZ195" i="14608"/>
  <c r="GA195" i="14608"/>
  <c r="GB195" i="14608"/>
  <c r="GC195" i="14608"/>
  <c r="GD195" i="14608"/>
  <c r="GE195" i="14608"/>
  <c r="GF195" i="14608"/>
  <c r="GG195" i="14608"/>
  <c r="GH195" i="14608"/>
  <c r="GI195" i="14608"/>
  <c r="GJ195" i="14608"/>
  <c r="GK195" i="14608"/>
  <c r="GL195" i="14608"/>
  <c r="GM195" i="14608"/>
  <c r="GN195" i="14608"/>
  <c r="GO195" i="14608"/>
  <c r="GP195" i="14608"/>
  <c r="GQ195" i="14608"/>
  <c r="GR195" i="14608"/>
  <c r="GS195" i="14608"/>
  <c r="GT195" i="14608"/>
  <c r="GU195" i="14608"/>
  <c r="GV195" i="14608"/>
  <c r="GW195" i="14608"/>
  <c r="GX195" i="14608"/>
  <c r="GY195" i="14608"/>
  <c r="GZ195" i="14608"/>
  <c r="HA195" i="14608"/>
  <c r="HB195" i="14608"/>
  <c r="HC195" i="14608"/>
  <c r="HD195" i="14608"/>
  <c r="HE195" i="14608"/>
  <c r="HF195" i="14608"/>
  <c r="HG195" i="14608"/>
  <c r="HH195" i="14608"/>
  <c r="HI195" i="14608"/>
  <c r="HJ195" i="14608"/>
  <c r="HK195" i="14608"/>
  <c r="HL195" i="14608"/>
  <c r="HM195" i="14608"/>
  <c r="HN195" i="14608"/>
  <c r="HO195" i="14608"/>
  <c r="HP195" i="14608"/>
  <c r="HQ195" i="14608"/>
  <c r="HR195" i="14608"/>
  <c r="HS195" i="14608"/>
  <c r="HT195" i="14608"/>
  <c r="HU195" i="14608"/>
  <c r="HV195" i="14608"/>
  <c r="HW195" i="14608"/>
  <c r="HX195" i="14608"/>
  <c r="HY195" i="14608"/>
  <c r="HZ195" i="14608"/>
  <c r="IA195" i="14608"/>
  <c r="IB195" i="14608"/>
  <c r="IC195" i="14608"/>
  <c r="ID195" i="14608"/>
  <c r="IE195" i="14608"/>
  <c r="IF195" i="14608"/>
  <c r="IG195" i="14608"/>
  <c r="IH195" i="14608"/>
  <c r="II195" i="14608"/>
  <c r="IJ195" i="14608"/>
  <c r="IK195" i="14608"/>
  <c r="IL195" i="14608"/>
  <c r="IM195" i="14608"/>
  <c r="IN195" i="14608"/>
  <c r="IO195" i="14608"/>
  <c r="IP195" i="14608"/>
  <c r="IQ195" i="14608"/>
  <c r="IR195" i="14608"/>
  <c r="IS195" i="14608"/>
  <c r="IT195" i="14608"/>
  <c r="IU195" i="14608"/>
  <c r="IV195" i="14608"/>
  <c r="A194" i="14608"/>
  <c r="B194" i="14608"/>
  <c r="C194" i="14608"/>
  <c r="D194" i="14608"/>
  <c r="E194" i="14608"/>
  <c r="F194" i="14608"/>
  <c r="G194" i="14608"/>
  <c r="H194" i="14608"/>
  <c r="I194" i="14608"/>
  <c r="J194" i="14608"/>
  <c r="K194" i="14608"/>
  <c r="L194" i="14608"/>
  <c r="M194" i="14608"/>
  <c r="N194" i="14608"/>
  <c r="O194" i="14608"/>
  <c r="P194" i="14608"/>
  <c r="Q194" i="14608"/>
  <c r="R194" i="14608"/>
  <c r="S194" i="14608"/>
  <c r="T194" i="14608"/>
  <c r="U194" i="14608"/>
  <c r="V194" i="14608"/>
  <c r="W194" i="14608"/>
  <c r="X194" i="14608"/>
  <c r="Y194" i="14608"/>
  <c r="Z194" i="14608"/>
  <c r="AA194" i="14608"/>
  <c r="AB194" i="14608"/>
  <c r="AC194" i="14608"/>
  <c r="AD194" i="14608"/>
  <c r="AE194" i="14608"/>
  <c r="AF194" i="14608"/>
  <c r="AG194" i="14608"/>
  <c r="AH194" i="14608"/>
  <c r="AI194" i="14608"/>
  <c r="AJ194" i="14608"/>
  <c r="AK194" i="14608"/>
  <c r="AL194" i="14608"/>
  <c r="AM194" i="14608"/>
  <c r="AN194" i="14608"/>
  <c r="AO194" i="14608"/>
  <c r="AP194" i="14608"/>
  <c r="AQ194" i="14608"/>
  <c r="AR194" i="14608"/>
  <c r="AS194" i="14608"/>
  <c r="AT194" i="14608"/>
  <c r="AU194" i="14608"/>
  <c r="AV194" i="14608"/>
  <c r="AW194" i="14608"/>
  <c r="AX194" i="14608"/>
  <c r="AY194" i="14608"/>
  <c r="AZ194" i="14608"/>
  <c r="BA194" i="14608"/>
  <c r="BB194" i="14608"/>
  <c r="BC194" i="14608"/>
  <c r="BD194" i="14608"/>
  <c r="BE194" i="14608"/>
  <c r="BF194" i="14608"/>
  <c r="BG194" i="14608"/>
  <c r="BH194" i="14608"/>
  <c r="BI194" i="14608"/>
  <c r="BJ194" i="14608"/>
  <c r="BK194" i="14608"/>
  <c r="BL194" i="14608"/>
  <c r="BM194" i="14608"/>
  <c r="BN194" i="14608"/>
  <c r="BO194" i="14608"/>
  <c r="BP194" i="14608"/>
  <c r="BQ194" i="14608"/>
  <c r="BR194" i="14608"/>
  <c r="BS194" i="14608"/>
  <c r="BT194" i="14608"/>
  <c r="BU194" i="14608"/>
  <c r="BV194" i="14608"/>
  <c r="BW194" i="14608"/>
  <c r="BX194" i="14608"/>
  <c r="BY194" i="14608"/>
  <c r="BZ194" i="14608"/>
  <c r="CA194" i="14608"/>
  <c r="CB194" i="14608"/>
  <c r="CC194" i="14608"/>
  <c r="CD194" i="14608"/>
  <c r="CE194" i="14608"/>
  <c r="CF194" i="14608"/>
  <c r="CG194" i="14608"/>
  <c r="CH194" i="14608"/>
  <c r="CI194" i="14608"/>
  <c r="CJ194" i="14608"/>
  <c r="CK194" i="14608"/>
  <c r="CL194" i="14608"/>
  <c r="CM194" i="14608"/>
  <c r="CN194" i="14608"/>
  <c r="CO194" i="14608"/>
  <c r="CP194" i="14608"/>
  <c r="CQ194" i="14608"/>
  <c r="CR194" i="14608"/>
  <c r="CS194" i="14608"/>
  <c r="CT194" i="14608"/>
  <c r="CU194" i="14608"/>
  <c r="CV194" i="14608"/>
  <c r="CW194" i="14608"/>
  <c r="CX194" i="14608"/>
  <c r="CY194" i="14608"/>
  <c r="CZ194" i="14608"/>
  <c r="DA194" i="14608"/>
  <c r="DB194" i="14608"/>
  <c r="DC194" i="14608"/>
  <c r="DD194" i="14608"/>
  <c r="DE194" i="14608"/>
  <c r="DF194" i="14608"/>
  <c r="DG194" i="14608"/>
  <c r="DH194" i="14608"/>
  <c r="DI194" i="14608"/>
  <c r="DJ194" i="14608"/>
  <c r="DK194" i="14608"/>
  <c r="DL194" i="14608"/>
  <c r="DM194" i="14608"/>
  <c r="DN194" i="14608"/>
  <c r="DO194" i="14608"/>
  <c r="DP194" i="14608"/>
  <c r="DQ194" i="14608"/>
  <c r="DR194" i="14608"/>
  <c r="DS194" i="14608"/>
  <c r="DT194" i="14608"/>
  <c r="DU194" i="14608"/>
  <c r="DV194" i="14608"/>
  <c r="DW194" i="14608"/>
  <c r="DX194" i="14608"/>
  <c r="DY194" i="14608"/>
  <c r="DZ194" i="14608"/>
  <c r="EA194" i="14608"/>
  <c r="EB194" i="14608"/>
  <c r="EC194" i="14608"/>
  <c r="ED194" i="14608"/>
  <c r="EE194" i="14608"/>
  <c r="EF194" i="14608"/>
  <c r="EG194" i="14608"/>
  <c r="EH194" i="14608"/>
  <c r="EI194" i="14608"/>
  <c r="EJ194" i="14608"/>
  <c r="EK194" i="14608"/>
  <c r="EL194" i="14608"/>
  <c r="EM194" i="14608"/>
  <c r="EN194" i="14608"/>
  <c r="EO194" i="14608"/>
  <c r="EP194" i="14608"/>
  <c r="EQ194" i="14608"/>
  <c r="ER194" i="14608"/>
  <c r="ES194" i="14608"/>
  <c r="ET194" i="14608"/>
  <c r="EU194" i="14608"/>
  <c r="EV194" i="14608"/>
  <c r="EW194" i="14608"/>
  <c r="EX194" i="14608"/>
  <c r="EY194" i="14608"/>
  <c r="EZ194" i="14608"/>
  <c r="FA194" i="14608"/>
  <c r="FB194" i="14608"/>
  <c r="FC194" i="14608"/>
  <c r="FD194" i="14608"/>
  <c r="FE194" i="14608"/>
  <c r="FF194" i="14608"/>
  <c r="FG194" i="14608"/>
  <c r="FH194" i="14608"/>
  <c r="FI194" i="14608"/>
  <c r="FJ194" i="14608"/>
  <c r="FK194" i="14608"/>
  <c r="FL194" i="14608"/>
  <c r="FM194" i="14608"/>
  <c r="FN194" i="14608"/>
  <c r="FO194" i="14608"/>
  <c r="FP194" i="14608"/>
  <c r="FQ194" i="14608"/>
  <c r="FR194" i="14608"/>
  <c r="FS194" i="14608"/>
  <c r="FT194" i="14608"/>
  <c r="FU194" i="14608"/>
  <c r="FV194" i="14608"/>
  <c r="FW194" i="14608"/>
  <c r="FX194" i="14608"/>
  <c r="FY194" i="14608"/>
  <c r="FZ194" i="14608"/>
  <c r="GA194" i="14608"/>
  <c r="GB194" i="14608"/>
  <c r="GC194" i="14608"/>
  <c r="GD194" i="14608"/>
  <c r="GE194" i="14608"/>
  <c r="GF194" i="14608"/>
  <c r="GG194" i="14608"/>
  <c r="GH194" i="14608"/>
  <c r="GI194" i="14608"/>
  <c r="GJ194" i="14608"/>
  <c r="GK194" i="14608"/>
  <c r="GL194" i="14608"/>
  <c r="GM194" i="14608"/>
  <c r="GN194" i="14608"/>
  <c r="GO194" i="14608"/>
  <c r="GP194" i="14608"/>
  <c r="GQ194" i="14608"/>
  <c r="GR194" i="14608"/>
  <c r="GS194" i="14608"/>
  <c r="GT194" i="14608"/>
  <c r="GU194" i="14608"/>
  <c r="GV194" i="14608"/>
  <c r="GW194" i="14608"/>
  <c r="GX194" i="14608"/>
  <c r="GY194" i="14608"/>
  <c r="GZ194" i="14608"/>
  <c r="HA194" i="14608"/>
  <c r="HB194" i="14608"/>
  <c r="HC194" i="14608"/>
  <c r="HD194" i="14608"/>
  <c r="HE194" i="14608"/>
  <c r="HF194" i="14608"/>
  <c r="HG194" i="14608"/>
  <c r="HH194" i="14608"/>
  <c r="HI194" i="14608"/>
  <c r="HJ194" i="14608"/>
  <c r="HK194" i="14608"/>
  <c r="HL194" i="14608"/>
  <c r="HM194" i="14608"/>
  <c r="HN194" i="14608"/>
  <c r="HO194" i="14608"/>
  <c r="HP194" i="14608"/>
  <c r="HQ194" i="14608"/>
  <c r="HR194" i="14608"/>
  <c r="HS194" i="14608"/>
  <c r="HT194" i="14608"/>
  <c r="HU194" i="14608"/>
  <c r="HV194" i="14608"/>
  <c r="HW194" i="14608"/>
  <c r="HX194" i="14608"/>
  <c r="HY194" i="14608"/>
  <c r="HZ194" i="14608"/>
  <c r="IA194" i="14608"/>
  <c r="IB194" i="14608"/>
  <c r="IC194" i="14608"/>
  <c r="ID194" i="14608"/>
  <c r="IE194" i="14608"/>
  <c r="IF194" i="14608"/>
  <c r="IG194" i="14608"/>
  <c r="IH194" i="14608"/>
  <c r="II194" i="14608"/>
  <c r="IJ194" i="14608"/>
  <c r="IK194" i="14608"/>
  <c r="IL194" i="14608"/>
  <c r="IM194" i="14608"/>
  <c r="IN194" i="14608"/>
  <c r="IO194" i="14608"/>
  <c r="IP194" i="14608"/>
  <c r="IQ194" i="14608"/>
  <c r="IR194" i="14608"/>
  <c r="IS194" i="14608"/>
  <c r="IT194" i="14608"/>
  <c r="IU194" i="14608"/>
  <c r="IV194" i="14608"/>
  <c r="A193" i="14608"/>
  <c r="B193" i="14608"/>
  <c r="C193" i="14608"/>
  <c r="D193" i="14608"/>
  <c r="E193" i="14608"/>
  <c r="F193" i="14608"/>
  <c r="G193" i="14608"/>
  <c r="H193" i="14608"/>
  <c r="I193" i="14608"/>
  <c r="J193" i="14608"/>
  <c r="K193" i="14608"/>
  <c r="L193" i="14608"/>
  <c r="M193" i="14608"/>
  <c r="N193" i="14608"/>
  <c r="O193" i="14608"/>
  <c r="P193" i="14608"/>
  <c r="Q193" i="14608"/>
  <c r="R193" i="14608"/>
  <c r="S193" i="14608"/>
  <c r="T193" i="14608"/>
  <c r="U193" i="14608"/>
  <c r="V193" i="14608"/>
  <c r="W193" i="14608"/>
  <c r="X193" i="14608"/>
  <c r="Y193" i="14608"/>
  <c r="Z193" i="14608"/>
  <c r="AA193" i="14608"/>
  <c r="AB193" i="14608"/>
  <c r="AC193" i="14608"/>
  <c r="AD193" i="14608"/>
  <c r="AE193" i="14608"/>
  <c r="AF193" i="14608"/>
  <c r="AG193" i="14608"/>
  <c r="AH193" i="14608"/>
  <c r="AI193" i="14608"/>
  <c r="AJ193" i="14608"/>
  <c r="AK193" i="14608"/>
  <c r="AL193" i="14608"/>
  <c r="AM193" i="14608"/>
  <c r="AN193" i="14608"/>
  <c r="AO193" i="14608"/>
  <c r="AP193" i="14608"/>
  <c r="AQ193" i="14608"/>
  <c r="AR193" i="14608"/>
  <c r="AS193" i="14608"/>
  <c r="AT193" i="14608"/>
  <c r="AU193" i="14608"/>
  <c r="AV193" i="14608"/>
  <c r="AW193" i="14608"/>
  <c r="AX193" i="14608"/>
  <c r="AY193" i="14608"/>
  <c r="AZ193" i="14608"/>
  <c r="BA193" i="14608"/>
  <c r="BB193" i="14608"/>
  <c r="BC193" i="14608"/>
  <c r="BD193" i="14608"/>
  <c r="BE193" i="14608"/>
  <c r="BF193" i="14608"/>
  <c r="BG193" i="14608"/>
  <c r="BH193" i="14608"/>
  <c r="BI193" i="14608"/>
  <c r="BJ193" i="14608"/>
  <c r="BK193" i="14608"/>
  <c r="BL193" i="14608"/>
  <c r="BM193" i="14608"/>
  <c r="BN193" i="14608"/>
  <c r="BO193" i="14608"/>
  <c r="BP193" i="14608"/>
  <c r="BQ193" i="14608"/>
  <c r="BR193" i="14608"/>
  <c r="BS193" i="14608"/>
  <c r="BT193" i="14608"/>
  <c r="BU193" i="14608"/>
  <c r="BV193" i="14608"/>
  <c r="BW193" i="14608"/>
  <c r="BX193" i="14608"/>
  <c r="BY193" i="14608"/>
  <c r="BZ193" i="14608"/>
  <c r="CA193" i="14608"/>
  <c r="CB193" i="14608"/>
  <c r="CC193" i="14608"/>
  <c r="CD193" i="14608"/>
  <c r="CE193" i="14608"/>
  <c r="CF193" i="14608"/>
  <c r="CG193" i="14608"/>
  <c r="CH193" i="14608"/>
  <c r="CI193" i="14608"/>
  <c r="CJ193" i="14608"/>
  <c r="CK193" i="14608"/>
  <c r="CL193" i="14608"/>
  <c r="CM193" i="14608"/>
  <c r="CN193" i="14608"/>
  <c r="CO193" i="14608"/>
  <c r="CP193" i="14608"/>
  <c r="CQ193" i="14608"/>
  <c r="CR193" i="14608"/>
  <c r="CS193" i="14608"/>
  <c r="CT193" i="14608"/>
  <c r="CU193" i="14608"/>
  <c r="CV193" i="14608"/>
  <c r="CW193" i="14608"/>
  <c r="CX193" i="14608"/>
  <c r="CY193" i="14608"/>
  <c r="CZ193" i="14608"/>
  <c r="DA193" i="14608"/>
  <c r="DB193" i="14608"/>
  <c r="DC193" i="14608"/>
  <c r="DD193" i="14608"/>
  <c r="DE193" i="14608"/>
  <c r="DF193" i="14608"/>
  <c r="DG193" i="14608"/>
  <c r="DH193" i="14608"/>
  <c r="DI193" i="14608"/>
  <c r="DJ193" i="14608"/>
  <c r="DK193" i="14608"/>
  <c r="DL193" i="14608"/>
  <c r="DM193" i="14608"/>
  <c r="DN193" i="14608"/>
  <c r="DO193" i="14608"/>
  <c r="DP193" i="14608"/>
  <c r="DQ193" i="14608"/>
  <c r="DR193" i="14608"/>
  <c r="DS193" i="14608"/>
  <c r="DT193" i="14608"/>
  <c r="DU193" i="14608"/>
  <c r="DV193" i="14608"/>
  <c r="DW193" i="14608"/>
  <c r="DX193" i="14608"/>
  <c r="DY193" i="14608"/>
  <c r="DZ193" i="14608"/>
  <c r="EA193" i="14608"/>
  <c r="EB193" i="14608"/>
  <c r="EC193" i="14608"/>
  <c r="ED193" i="14608"/>
  <c r="EE193" i="14608"/>
  <c r="EF193" i="14608"/>
  <c r="EG193" i="14608"/>
  <c r="EH193" i="14608"/>
  <c r="EI193" i="14608"/>
  <c r="EJ193" i="14608"/>
  <c r="EK193" i="14608"/>
  <c r="EL193" i="14608"/>
  <c r="EM193" i="14608"/>
  <c r="EN193" i="14608"/>
  <c r="EO193" i="14608"/>
  <c r="EP193" i="14608"/>
  <c r="EQ193" i="14608"/>
  <c r="ER193" i="14608"/>
  <c r="ES193" i="14608"/>
  <c r="ET193" i="14608"/>
  <c r="EU193" i="14608"/>
  <c r="EV193" i="14608"/>
  <c r="EW193" i="14608"/>
  <c r="EX193" i="14608"/>
  <c r="EY193" i="14608"/>
  <c r="EZ193" i="14608"/>
  <c r="FA193" i="14608"/>
  <c r="FB193" i="14608"/>
  <c r="FC193" i="14608"/>
  <c r="FD193" i="14608"/>
  <c r="FE193" i="14608"/>
  <c r="FF193" i="14608"/>
  <c r="FG193" i="14608"/>
  <c r="FH193" i="14608"/>
  <c r="FI193" i="14608"/>
  <c r="FJ193" i="14608"/>
  <c r="FK193" i="14608"/>
  <c r="FL193" i="14608"/>
  <c r="FM193" i="14608"/>
  <c r="FN193" i="14608"/>
  <c r="FO193" i="14608"/>
  <c r="FP193" i="14608"/>
  <c r="FQ193" i="14608"/>
  <c r="FR193" i="14608"/>
  <c r="FS193" i="14608"/>
  <c r="FT193" i="14608"/>
  <c r="FU193" i="14608"/>
  <c r="FV193" i="14608"/>
  <c r="FW193" i="14608"/>
  <c r="FX193" i="14608"/>
  <c r="FY193" i="14608"/>
  <c r="FZ193" i="14608"/>
  <c r="GA193" i="14608"/>
  <c r="GB193" i="14608"/>
  <c r="GC193" i="14608"/>
  <c r="GD193" i="14608"/>
  <c r="GE193" i="14608"/>
  <c r="GF193" i="14608"/>
  <c r="GG193" i="14608"/>
  <c r="GH193" i="14608"/>
  <c r="GI193" i="14608"/>
  <c r="GJ193" i="14608"/>
  <c r="GK193" i="14608"/>
  <c r="GL193" i="14608"/>
  <c r="GM193" i="14608"/>
  <c r="GN193" i="14608"/>
  <c r="GO193" i="14608"/>
  <c r="GP193" i="14608"/>
  <c r="GQ193" i="14608"/>
  <c r="GR193" i="14608"/>
  <c r="GS193" i="14608"/>
  <c r="GT193" i="14608"/>
  <c r="GU193" i="14608"/>
  <c r="GV193" i="14608"/>
  <c r="GW193" i="14608"/>
  <c r="GX193" i="14608"/>
  <c r="GY193" i="14608"/>
  <c r="GZ193" i="14608"/>
  <c r="HA193" i="14608"/>
  <c r="HB193" i="14608"/>
  <c r="HC193" i="14608"/>
  <c r="HD193" i="14608"/>
  <c r="HE193" i="14608"/>
  <c r="HF193" i="14608"/>
  <c r="HG193" i="14608"/>
  <c r="HH193" i="14608"/>
  <c r="HI193" i="14608"/>
  <c r="HJ193" i="14608"/>
  <c r="HK193" i="14608"/>
  <c r="HL193" i="14608"/>
  <c r="HM193" i="14608"/>
  <c r="HN193" i="14608"/>
  <c r="HO193" i="14608"/>
  <c r="HP193" i="14608"/>
  <c r="HQ193" i="14608"/>
  <c r="HR193" i="14608"/>
  <c r="HS193" i="14608"/>
  <c r="HT193" i="14608"/>
  <c r="HU193" i="14608"/>
  <c r="HV193" i="14608"/>
  <c r="HW193" i="14608"/>
  <c r="HX193" i="14608"/>
  <c r="HY193" i="14608"/>
  <c r="HZ193" i="14608"/>
  <c r="IA193" i="14608"/>
  <c r="IB193" i="14608"/>
  <c r="IC193" i="14608"/>
  <c r="ID193" i="14608"/>
  <c r="IE193" i="14608"/>
  <c r="IF193" i="14608"/>
  <c r="IG193" i="14608"/>
  <c r="IH193" i="14608"/>
  <c r="II193" i="14608"/>
  <c r="IJ193" i="14608"/>
  <c r="IK193" i="14608"/>
  <c r="IL193" i="14608"/>
  <c r="IM193" i="14608"/>
  <c r="IN193" i="14608"/>
  <c r="IO193" i="14608"/>
  <c r="IP193" i="14608"/>
  <c r="IQ193" i="14608"/>
  <c r="IR193" i="14608"/>
  <c r="IS193" i="14608"/>
  <c r="IT193" i="14608"/>
  <c r="IU193" i="14608"/>
  <c r="IV193" i="14608"/>
  <c r="A192" i="14608"/>
  <c r="B192" i="14608"/>
  <c r="C192" i="14608"/>
  <c r="D192" i="14608"/>
  <c r="E192" i="14608"/>
  <c r="F192" i="14608"/>
  <c r="G192" i="14608"/>
  <c r="H192" i="14608"/>
  <c r="I192" i="14608"/>
  <c r="J192" i="14608"/>
  <c r="K192" i="14608"/>
  <c r="L192" i="14608"/>
  <c r="M192" i="14608"/>
  <c r="N192" i="14608"/>
  <c r="O192" i="14608"/>
  <c r="P192" i="14608"/>
  <c r="Q192" i="14608"/>
  <c r="R192" i="14608"/>
  <c r="S192" i="14608"/>
  <c r="T192" i="14608"/>
  <c r="U192" i="14608"/>
  <c r="V192" i="14608"/>
  <c r="W192" i="14608"/>
  <c r="X192" i="14608"/>
  <c r="Y192" i="14608"/>
  <c r="Z192" i="14608"/>
  <c r="AA192" i="14608"/>
  <c r="AB192" i="14608"/>
  <c r="AC192" i="14608"/>
  <c r="AD192" i="14608"/>
  <c r="AE192" i="14608"/>
  <c r="AF192" i="14608"/>
  <c r="AG192" i="14608"/>
  <c r="AH192" i="14608"/>
  <c r="AI192" i="14608"/>
  <c r="AJ192" i="14608"/>
  <c r="AK192" i="14608"/>
  <c r="AL192" i="14608"/>
  <c r="AM192" i="14608"/>
  <c r="AN192" i="14608"/>
  <c r="AO192" i="14608"/>
  <c r="AP192" i="14608"/>
  <c r="AQ192" i="14608"/>
  <c r="AR192" i="14608"/>
  <c r="AS192" i="14608"/>
  <c r="AT192" i="14608"/>
  <c r="AU192" i="14608"/>
  <c r="AV192" i="14608"/>
  <c r="AW192" i="14608"/>
  <c r="AX192" i="14608"/>
  <c r="AY192" i="14608"/>
  <c r="AZ192" i="14608"/>
  <c r="BA192" i="14608"/>
  <c r="BB192" i="14608"/>
  <c r="BC192" i="14608"/>
  <c r="BD192" i="14608"/>
  <c r="BE192" i="14608"/>
  <c r="BF192" i="14608"/>
  <c r="BG192" i="14608"/>
  <c r="BH192" i="14608"/>
  <c r="BI192" i="14608"/>
  <c r="BJ192" i="14608"/>
  <c r="BK192" i="14608"/>
  <c r="BL192" i="14608"/>
  <c r="BM192" i="14608"/>
  <c r="BN192" i="14608"/>
  <c r="BO192" i="14608"/>
  <c r="BP192" i="14608"/>
  <c r="BQ192" i="14608"/>
  <c r="BR192" i="14608"/>
  <c r="BS192" i="14608"/>
  <c r="BT192" i="14608"/>
  <c r="BU192" i="14608"/>
  <c r="BV192" i="14608"/>
  <c r="BW192" i="14608"/>
  <c r="BX192" i="14608"/>
  <c r="BY192" i="14608"/>
  <c r="BZ192" i="14608"/>
  <c r="CA192" i="14608"/>
  <c r="CB192" i="14608"/>
  <c r="CC192" i="14608"/>
  <c r="CD192" i="14608"/>
  <c r="CE192" i="14608"/>
  <c r="CF192" i="14608"/>
  <c r="CG192" i="14608"/>
  <c r="CH192" i="14608"/>
  <c r="CI192" i="14608"/>
  <c r="CJ192" i="14608"/>
  <c r="CK192" i="14608"/>
  <c r="CL192" i="14608"/>
  <c r="CM192" i="14608"/>
  <c r="CN192" i="14608"/>
  <c r="CO192" i="14608"/>
  <c r="CP192" i="14608"/>
  <c r="CQ192" i="14608"/>
  <c r="CR192" i="14608"/>
  <c r="CS192" i="14608"/>
  <c r="CT192" i="14608"/>
  <c r="CU192" i="14608"/>
  <c r="CV192" i="14608"/>
  <c r="CW192" i="14608"/>
  <c r="CX192" i="14608"/>
  <c r="CY192" i="14608"/>
  <c r="CZ192" i="14608"/>
  <c r="DA192" i="14608"/>
  <c r="DB192" i="14608"/>
  <c r="DC192" i="14608"/>
  <c r="DD192" i="14608"/>
  <c r="DE192" i="14608"/>
  <c r="DF192" i="14608"/>
  <c r="DG192" i="14608"/>
  <c r="DH192" i="14608"/>
  <c r="DI192" i="14608"/>
  <c r="DJ192" i="14608"/>
  <c r="DK192" i="14608"/>
  <c r="DL192" i="14608"/>
  <c r="DM192" i="14608"/>
  <c r="DN192" i="14608"/>
  <c r="DO192" i="14608"/>
  <c r="DP192" i="14608"/>
  <c r="DQ192" i="14608"/>
  <c r="DR192" i="14608"/>
  <c r="DS192" i="14608"/>
  <c r="DT192" i="14608"/>
  <c r="DU192" i="14608"/>
  <c r="DV192" i="14608"/>
  <c r="DW192" i="14608"/>
  <c r="DX192" i="14608"/>
  <c r="DY192" i="14608"/>
  <c r="DZ192" i="14608"/>
  <c r="EA192" i="14608"/>
  <c r="EB192" i="14608"/>
  <c r="EC192" i="14608"/>
  <c r="ED192" i="14608"/>
  <c r="EE192" i="14608"/>
  <c r="EF192" i="14608"/>
  <c r="EG192" i="14608"/>
  <c r="EH192" i="14608"/>
  <c r="EI192" i="14608"/>
  <c r="EJ192" i="14608"/>
  <c r="EK192" i="14608"/>
  <c r="EL192" i="14608"/>
  <c r="EM192" i="14608"/>
  <c r="EN192" i="14608"/>
  <c r="EO192" i="14608"/>
  <c r="EP192" i="14608"/>
  <c r="EQ192" i="14608"/>
  <c r="ER192" i="14608"/>
  <c r="ES192" i="14608"/>
  <c r="ET192" i="14608"/>
  <c r="EU192" i="14608"/>
  <c r="EV192" i="14608"/>
  <c r="EW192" i="14608"/>
  <c r="EX192" i="14608"/>
  <c r="EY192" i="14608"/>
  <c r="EZ192" i="14608"/>
  <c r="FA192" i="14608"/>
  <c r="FB192" i="14608"/>
  <c r="FC192" i="14608"/>
  <c r="FD192" i="14608"/>
  <c r="FE192" i="14608"/>
  <c r="FF192" i="14608"/>
  <c r="FG192" i="14608"/>
  <c r="FH192" i="14608"/>
  <c r="FI192" i="14608"/>
  <c r="FJ192" i="14608"/>
  <c r="FK192" i="14608"/>
  <c r="FL192" i="14608"/>
  <c r="FM192" i="14608"/>
  <c r="FN192" i="14608"/>
  <c r="FO192" i="14608"/>
  <c r="FP192" i="14608"/>
  <c r="FQ192" i="14608"/>
  <c r="FR192" i="14608"/>
  <c r="FS192" i="14608"/>
  <c r="FT192" i="14608"/>
  <c r="FU192" i="14608"/>
  <c r="FV192" i="14608"/>
  <c r="FW192" i="14608"/>
  <c r="FX192" i="14608"/>
  <c r="FY192" i="14608"/>
  <c r="FZ192" i="14608"/>
  <c r="GA192" i="14608"/>
  <c r="GB192" i="14608"/>
  <c r="GC192" i="14608"/>
  <c r="GD192" i="14608"/>
  <c r="GE192" i="14608"/>
  <c r="GF192" i="14608"/>
  <c r="GG192" i="14608"/>
  <c r="GH192" i="14608"/>
  <c r="GI192" i="14608"/>
  <c r="GJ192" i="14608"/>
  <c r="GK192" i="14608"/>
  <c r="GL192" i="14608"/>
  <c r="GM192" i="14608"/>
  <c r="GN192" i="14608"/>
  <c r="GO192" i="14608"/>
  <c r="GP192" i="14608"/>
  <c r="GQ192" i="14608"/>
  <c r="GR192" i="14608"/>
  <c r="GS192" i="14608"/>
  <c r="GT192" i="14608"/>
  <c r="GU192" i="14608"/>
  <c r="GV192" i="14608"/>
  <c r="GW192" i="14608"/>
  <c r="GX192" i="14608"/>
  <c r="GY192" i="14608"/>
  <c r="GZ192" i="14608"/>
  <c r="HA192" i="14608"/>
  <c r="HB192" i="14608"/>
  <c r="HC192" i="14608"/>
  <c r="HD192" i="14608"/>
  <c r="HE192" i="14608"/>
  <c r="HF192" i="14608"/>
  <c r="HG192" i="14608"/>
  <c r="HH192" i="14608"/>
  <c r="HI192" i="14608"/>
  <c r="HJ192" i="14608"/>
  <c r="HK192" i="14608"/>
  <c r="HL192" i="14608"/>
  <c r="HM192" i="14608"/>
  <c r="HN192" i="14608"/>
  <c r="HO192" i="14608"/>
  <c r="HP192" i="14608"/>
  <c r="HQ192" i="14608"/>
  <c r="HR192" i="14608"/>
  <c r="HS192" i="14608"/>
  <c r="HT192" i="14608"/>
  <c r="HU192" i="14608"/>
  <c r="HV192" i="14608"/>
  <c r="HW192" i="14608"/>
  <c r="HX192" i="14608"/>
  <c r="HY192" i="14608"/>
  <c r="HZ192" i="14608"/>
  <c r="IA192" i="14608"/>
  <c r="IB192" i="14608"/>
  <c r="IC192" i="14608"/>
  <c r="ID192" i="14608"/>
  <c r="IE192" i="14608"/>
  <c r="IF192" i="14608"/>
  <c r="IG192" i="14608"/>
  <c r="IH192" i="14608"/>
  <c r="II192" i="14608"/>
  <c r="IJ192" i="14608"/>
  <c r="IK192" i="14608"/>
  <c r="IL192" i="14608"/>
  <c r="IM192" i="14608"/>
  <c r="IN192" i="14608"/>
  <c r="IO192" i="14608"/>
  <c r="IP192" i="14608"/>
  <c r="IQ192" i="14608"/>
  <c r="IR192" i="14608"/>
  <c r="IS192" i="14608"/>
  <c r="IT192" i="14608"/>
  <c r="IU192" i="14608"/>
  <c r="IV192" i="14608"/>
  <c r="A191" i="14608"/>
  <c r="B191" i="14608"/>
  <c r="C191" i="14608"/>
  <c r="D191" i="14608"/>
  <c r="E191" i="14608"/>
  <c r="F191" i="14608"/>
  <c r="G191" i="14608"/>
  <c r="H191" i="14608"/>
  <c r="I191" i="14608"/>
  <c r="J191" i="14608"/>
  <c r="K191" i="14608"/>
  <c r="L191" i="14608"/>
  <c r="M191" i="14608"/>
  <c r="N191" i="14608"/>
  <c r="O191" i="14608"/>
  <c r="P191" i="14608"/>
  <c r="Q191" i="14608"/>
  <c r="R191" i="14608"/>
  <c r="S191" i="14608"/>
  <c r="T191" i="14608"/>
  <c r="U191" i="14608"/>
  <c r="V191" i="14608"/>
  <c r="W191" i="14608"/>
  <c r="X191" i="14608"/>
  <c r="Y191" i="14608"/>
  <c r="Z191" i="14608"/>
  <c r="AA191" i="14608"/>
  <c r="AB191" i="14608"/>
  <c r="AC191" i="14608"/>
  <c r="AD191" i="14608"/>
  <c r="AE191" i="14608"/>
  <c r="AF191" i="14608"/>
  <c r="AG191" i="14608"/>
  <c r="AH191" i="14608"/>
  <c r="AI191" i="14608"/>
  <c r="AJ191" i="14608"/>
  <c r="AK191" i="14608"/>
  <c r="AL191" i="14608"/>
  <c r="AM191" i="14608"/>
  <c r="AN191" i="14608"/>
  <c r="AO191" i="14608"/>
  <c r="AP191" i="14608"/>
  <c r="AQ191" i="14608"/>
  <c r="AR191" i="14608"/>
  <c r="AS191" i="14608"/>
  <c r="AT191" i="14608"/>
  <c r="AU191" i="14608"/>
  <c r="AV191" i="14608"/>
  <c r="AW191" i="14608"/>
  <c r="AX191" i="14608"/>
  <c r="AY191" i="14608"/>
  <c r="AZ191" i="14608"/>
  <c r="BA191" i="14608"/>
  <c r="BB191" i="14608"/>
  <c r="BC191" i="14608"/>
  <c r="BD191" i="14608"/>
  <c r="BE191" i="14608"/>
  <c r="BF191" i="14608"/>
  <c r="BG191" i="14608"/>
  <c r="BH191" i="14608"/>
  <c r="BI191" i="14608"/>
  <c r="BJ191" i="14608"/>
  <c r="BK191" i="14608"/>
  <c r="BL191" i="14608"/>
  <c r="BM191" i="14608"/>
  <c r="BN191" i="14608"/>
  <c r="BO191" i="14608"/>
  <c r="BP191" i="14608"/>
  <c r="BQ191" i="14608"/>
  <c r="BR191" i="14608"/>
  <c r="BS191" i="14608"/>
  <c r="BT191" i="14608"/>
  <c r="BU191" i="14608"/>
  <c r="BV191" i="14608"/>
  <c r="BW191" i="14608"/>
  <c r="BX191" i="14608"/>
  <c r="BY191" i="14608"/>
  <c r="BZ191" i="14608"/>
  <c r="CA191" i="14608"/>
  <c r="CB191" i="14608"/>
  <c r="CC191" i="14608"/>
  <c r="CD191" i="14608"/>
  <c r="CE191" i="14608"/>
  <c r="CF191" i="14608"/>
  <c r="CG191" i="14608"/>
  <c r="CH191" i="14608"/>
  <c r="CI191" i="14608"/>
  <c r="CJ191" i="14608"/>
  <c r="CK191" i="14608"/>
  <c r="CL191" i="14608"/>
  <c r="CM191" i="14608"/>
  <c r="CN191" i="14608"/>
  <c r="CO191" i="14608"/>
  <c r="CP191" i="14608"/>
  <c r="CQ191" i="14608"/>
  <c r="CR191" i="14608"/>
  <c r="CS191" i="14608"/>
  <c r="CT191" i="14608"/>
  <c r="CU191" i="14608"/>
  <c r="CV191" i="14608"/>
  <c r="CW191" i="14608"/>
  <c r="CX191" i="14608"/>
  <c r="CY191" i="14608"/>
  <c r="CZ191" i="14608"/>
  <c r="DA191" i="14608"/>
  <c r="DB191" i="14608"/>
  <c r="DC191" i="14608"/>
  <c r="DD191" i="14608"/>
  <c r="DE191" i="14608"/>
  <c r="DF191" i="14608"/>
  <c r="DG191" i="14608"/>
  <c r="DH191" i="14608"/>
  <c r="DI191" i="14608"/>
  <c r="DJ191" i="14608"/>
  <c r="DK191" i="14608"/>
  <c r="DL191" i="14608"/>
  <c r="DM191" i="14608"/>
  <c r="DN191" i="14608"/>
  <c r="DO191" i="14608"/>
  <c r="DP191" i="14608"/>
  <c r="DQ191" i="14608"/>
  <c r="DR191" i="14608"/>
  <c r="DS191" i="14608"/>
  <c r="DT191" i="14608"/>
  <c r="DU191" i="14608"/>
  <c r="DV191" i="14608"/>
  <c r="DW191" i="14608"/>
  <c r="DX191" i="14608"/>
  <c r="DY191" i="14608"/>
  <c r="DZ191" i="14608"/>
  <c r="EA191" i="14608"/>
  <c r="EB191" i="14608"/>
  <c r="EC191" i="14608"/>
  <c r="ED191" i="14608"/>
  <c r="EE191" i="14608"/>
  <c r="EF191" i="14608"/>
  <c r="EG191" i="14608"/>
  <c r="EH191" i="14608"/>
  <c r="EI191" i="14608"/>
  <c r="EJ191" i="14608"/>
  <c r="EK191" i="14608"/>
  <c r="EL191" i="14608"/>
  <c r="EM191" i="14608"/>
  <c r="EN191" i="14608"/>
  <c r="EO191" i="14608"/>
  <c r="EP191" i="14608"/>
  <c r="EQ191" i="14608"/>
  <c r="ER191" i="14608"/>
  <c r="ES191" i="14608"/>
  <c r="ET191" i="14608"/>
  <c r="EU191" i="14608"/>
  <c r="EV191" i="14608"/>
  <c r="EW191" i="14608"/>
  <c r="EX191" i="14608"/>
  <c r="EY191" i="14608"/>
  <c r="EZ191" i="14608"/>
  <c r="FA191" i="14608"/>
  <c r="FB191" i="14608"/>
  <c r="FC191" i="14608"/>
  <c r="FD191" i="14608"/>
  <c r="FE191" i="14608"/>
  <c r="FF191" i="14608"/>
  <c r="FG191" i="14608"/>
  <c r="FH191" i="14608"/>
  <c r="FI191" i="14608"/>
  <c r="FJ191" i="14608"/>
  <c r="FK191" i="14608"/>
  <c r="FL191" i="14608"/>
  <c r="FM191" i="14608"/>
  <c r="FN191" i="14608"/>
  <c r="FO191" i="14608"/>
  <c r="FP191" i="14608"/>
  <c r="FQ191" i="14608"/>
  <c r="FR191" i="14608"/>
  <c r="FS191" i="14608"/>
  <c r="FT191" i="14608"/>
  <c r="FU191" i="14608"/>
  <c r="FV191" i="14608"/>
  <c r="FW191" i="14608"/>
  <c r="FX191" i="14608"/>
  <c r="FY191" i="14608"/>
  <c r="FZ191" i="14608"/>
  <c r="GA191" i="14608"/>
  <c r="GB191" i="14608"/>
  <c r="GC191" i="14608"/>
  <c r="GD191" i="14608"/>
  <c r="GE191" i="14608"/>
  <c r="GF191" i="14608"/>
  <c r="GG191" i="14608"/>
  <c r="GH191" i="14608"/>
  <c r="GI191" i="14608"/>
  <c r="GJ191" i="14608"/>
  <c r="GK191" i="14608"/>
  <c r="GL191" i="14608"/>
  <c r="GM191" i="14608"/>
  <c r="GN191" i="14608"/>
  <c r="GO191" i="14608"/>
  <c r="GP191" i="14608"/>
  <c r="GQ191" i="14608"/>
  <c r="GR191" i="14608"/>
  <c r="GS191" i="14608"/>
  <c r="GT191" i="14608"/>
  <c r="GU191" i="14608"/>
  <c r="GV191" i="14608"/>
  <c r="GW191" i="14608"/>
  <c r="GX191" i="14608"/>
  <c r="GY191" i="14608"/>
  <c r="GZ191" i="14608"/>
  <c r="HA191" i="14608"/>
  <c r="HB191" i="14608"/>
  <c r="HC191" i="14608"/>
  <c r="HD191" i="14608"/>
  <c r="HE191" i="14608"/>
  <c r="HF191" i="14608"/>
  <c r="HG191" i="14608"/>
  <c r="HH191" i="14608"/>
  <c r="HI191" i="14608"/>
  <c r="HJ191" i="14608"/>
  <c r="HK191" i="14608"/>
  <c r="HL191" i="14608"/>
  <c r="HM191" i="14608"/>
  <c r="HN191" i="14608"/>
  <c r="HO191" i="14608"/>
  <c r="HP191" i="14608"/>
  <c r="HQ191" i="14608"/>
  <c r="HR191" i="14608"/>
  <c r="HS191" i="14608"/>
  <c r="HT191" i="14608"/>
  <c r="HU191" i="14608"/>
  <c r="HV191" i="14608"/>
  <c r="HW191" i="14608"/>
  <c r="HX191" i="14608"/>
  <c r="HY191" i="14608"/>
  <c r="HZ191" i="14608"/>
  <c r="IA191" i="14608"/>
  <c r="IB191" i="14608"/>
  <c r="IC191" i="14608"/>
  <c r="ID191" i="14608"/>
  <c r="IE191" i="14608"/>
  <c r="IF191" i="14608"/>
  <c r="IG191" i="14608"/>
  <c r="IH191" i="14608"/>
  <c r="II191" i="14608"/>
  <c r="IJ191" i="14608"/>
  <c r="IK191" i="14608"/>
  <c r="IL191" i="14608"/>
  <c r="IM191" i="14608"/>
  <c r="IN191" i="14608"/>
  <c r="IO191" i="14608"/>
  <c r="IP191" i="14608"/>
  <c r="IQ191" i="14608"/>
  <c r="IR191" i="14608"/>
  <c r="IS191" i="14608"/>
  <c r="IT191" i="14608"/>
  <c r="IU191" i="14608"/>
  <c r="IV191" i="14608"/>
  <c r="A190" i="14608"/>
  <c r="B190" i="14608"/>
  <c r="C190" i="14608"/>
  <c r="D190" i="14608"/>
  <c r="E190" i="14608"/>
  <c r="F190" i="14608"/>
  <c r="G190" i="14608"/>
  <c r="H190" i="14608"/>
  <c r="I190" i="14608"/>
  <c r="J190" i="14608"/>
  <c r="K190" i="14608"/>
  <c r="L190" i="14608"/>
  <c r="M190" i="14608"/>
  <c r="N190" i="14608"/>
  <c r="O190" i="14608"/>
  <c r="P190" i="14608"/>
  <c r="Q190" i="14608"/>
  <c r="R190" i="14608"/>
  <c r="S190" i="14608"/>
  <c r="T190" i="14608"/>
  <c r="U190" i="14608"/>
  <c r="V190" i="14608"/>
  <c r="W190" i="14608"/>
  <c r="X190" i="14608"/>
  <c r="Y190" i="14608"/>
  <c r="Z190" i="14608"/>
  <c r="AA190" i="14608"/>
  <c r="AB190" i="14608"/>
  <c r="AC190" i="14608"/>
  <c r="AD190" i="14608"/>
  <c r="AE190" i="14608"/>
  <c r="AF190" i="14608"/>
  <c r="AG190" i="14608"/>
  <c r="AH190" i="14608"/>
  <c r="AI190" i="14608"/>
  <c r="AJ190" i="14608"/>
  <c r="AK190" i="14608"/>
  <c r="AL190" i="14608"/>
  <c r="AM190" i="14608"/>
  <c r="AN190" i="14608"/>
  <c r="AO190" i="14608"/>
  <c r="AP190" i="14608"/>
  <c r="AQ190" i="14608"/>
  <c r="AR190" i="14608"/>
  <c r="AS190" i="14608"/>
  <c r="AT190" i="14608"/>
  <c r="AU190" i="14608"/>
  <c r="AV190" i="14608"/>
  <c r="AW190" i="14608"/>
  <c r="AX190" i="14608"/>
  <c r="AY190" i="14608"/>
  <c r="AZ190" i="14608"/>
  <c r="BA190" i="14608"/>
  <c r="BB190" i="14608"/>
  <c r="BC190" i="14608"/>
  <c r="BD190" i="14608"/>
  <c r="BE190" i="14608"/>
  <c r="BF190" i="14608"/>
  <c r="BG190" i="14608"/>
  <c r="BH190" i="14608"/>
  <c r="BI190" i="14608"/>
  <c r="BJ190" i="14608"/>
  <c r="BK190" i="14608"/>
  <c r="BL190" i="14608"/>
  <c r="BM190" i="14608"/>
  <c r="BN190" i="14608"/>
  <c r="BO190" i="14608"/>
  <c r="BP190" i="14608"/>
  <c r="BQ190" i="14608"/>
  <c r="BR190" i="14608"/>
  <c r="BS190" i="14608"/>
  <c r="BT190" i="14608"/>
  <c r="BU190" i="14608"/>
  <c r="BV190" i="14608"/>
  <c r="BW190" i="14608"/>
  <c r="BX190" i="14608"/>
  <c r="BY190" i="14608"/>
  <c r="BZ190" i="14608"/>
  <c r="CA190" i="14608"/>
  <c r="CB190" i="14608"/>
  <c r="CC190" i="14608"/>
  <c r="CD190" i="14608"/>
  <c r="CE190" i="14608"/>
  <c r="CF190" i="14608"/>
  <c r="CG190" i="14608"/>
  <c r="CH190" i="14608"/>
  <c r="CI190" i="14608"/>
  <c r="CJ190" i="14608"/>
  <c r="CK190" i="14608"/>
  <c r="CL190" i="14608"/>
  <c r="CM190" i="14608"/>
  <c r="CN190" i="14608"/>
  <c r="CO190" i="14608"/>
  <c r="CP190" i="14608"/>
  <c r="CQ190" i="14608"/>
  <c r="CR190" i="14608"/>
  <c r="CS190" i="14608"/>
  <c r="CT190" i="14608"/>
  <c r="CU190" i="14608"/>
  <c r="CV190" i="14608"/>
  <c r="CW190" i="14608"/>
  <c r="CX190" i="14608"/>
  <c r="CY190" i="14608"/>
  <c r="CZ190" i="14608"/>
  <c r="DA190" i="14608"/>
  <c r="DB190" i="14608"/>
  <c r="DC190" i="14608"/>
  <c r="DD190" i="14608"/>
  <c r="DE190" i="14608"/>
  <c r="DF190" i="14608"/>
  <c r="DG190" i="14608"/>
  <c r="DH190" i="14608"/>
  <c r="DI190" i="14608"/>
  <c r="DJ190" i="14608"/>
  <c r="DK190" i="14608"/>
  <c r="DL190" i="14608"/>
  <c r="DM190" i="14608"/>
  <c r="DN190" i="14608"/>
  <c r="DO190" i="14608"/>
  <c r="DP190" i="14608"/>
  <c r="DQ190" i="14608"/>
  <c r="DR190" i="14608"/>
  <c r="DS190" i="14608"/>
  <c r="DT190" i="14608"/>
  <c r="DU190" i="14608"/>
  <c r="DV190" i="14608"/>
  <c r="DW190" i="14608"/>
  <c r="DX190" i="14608"/>
  <c r="DY190" i="14608"/>
  <c r="DZ190" i="14608"/>
  <c r="EA190" i="14608"/>
  <c r="EB190" i="14608"/>
  <c r="EC190" i="14608"/>
  <c r="ED190" i="14608"/>
  <c r="EE190" i="14608"/>
  <c r="EF190" i="14608"/>
  <c r="EG190" i="14608"/>
  <c r="EH190" i="14608"/>
  <c r="EI190" i="14608"/>
  <c r="EJ190" i="14608"/>
  <c r="EK190" i="14608"/>
  <c r="EL190" i="14608"/>
  <c r="EM190" i="14608"/>
  <c r="EN190" i="14608"/>
  <c r="EO190" i="14608"/>
  <c r="EP190" i="14608"/>
  <c r="EQ190" i="14608"/>
  <c r="ER190" i="14608"/>
  <c r="ES190" i="14608"/>
  <c r="ET190" i="14608"/>
  <c r="EU190" i="14608"/>
  <c r="EV190" i="14608"/>
  <c r="EW190" i="14608"/>
  <c r="EX190" i="14608"/>
  <c r="EY190" i="14608"/>
  <c r="EZ190" i="14608"/>
  <c r="FA190" i="14608"/>
  <c r="FB190" i="14608"/>
  <c r="FC190" i="14608"/>
  <c r="FD190" i="14608"/>
  <c r="FE190" i="14608"/>
  <c r="FF190" i="14608"/>
  <c r="FG190" i="14608"/>
  <c r="FH190" i="14608"/>
  <c r="FI190" i="14608"/>
  <c r="FJ190" i="14608"/>
  <c r="FK190" i="14608"/>
  <c r="FL190" i="14608"/>
  <c r="FM190" i="14608"/>
  <c r="FN190" i="14608"/>
  <c r="FO190" i="14608"/>
  <c r="FP190" i="14608"/>
  <c r="FQ190" i="14608"/>
  <c r="FR190" i="14608"/>
  <c r="FS190" i="14608"/>
  <c r="FT190" i="14608"/>
  <c r="FU190" i="14608"/>
  <c r="FV190" i="14608"/>
  <c r="FW190" i="14608"/>
  <c r="FX190" i="14608"/>
  <c r="FY190" i="14608"/>
  <c r="FZ190" i="14608"/>
  <c r="GA190" i="14608"/>
  <c r="GB190" i="14608"/>
  <c r="GC190" i="14608"/>
  <c r="GD190" i="14608"/>
  <c r="GE190" i="14608"/>
  <c r="GF190" i="14608"/>
  <c r="GG190" i="14608"/>
  <c r="GH190" i="14608"/>
  <c r="GI190" i="14608"/>
  <c r="GJ190" i="14608"/>
  <c r="GK190" i="14608"/>
  <c r="GL190" i="14608"/>
  <c r="GM190" i="14608"/>
  <c r="GN190" i="14608"/>
  <c r="GO190" i="14608"/>
  <c r="GP190" i="14608"/>
  <c r="GQ190" i="14608"/>
  <c r="GR190" i="14608"/>
  <c r="GS190" i="14608"/>
  <c r="GT190" i="14608"/>
  <c r="GU190" i="14608"/>
  <c r="GV190" i="14608"/>
  <c r="GW190" i="14608"/>
  <c r="GX190" i="14608"/>
  <c r="GY190" i="14608"/>
  <c r="GZ190" i="14608"/>
  <c r="HA190" i="14608"/>
  <c r="HB190" i="14608"/>
  <c r="HC190" i="14608"/>
  <c r="HD190" i="14608"/>
  <c r="HE190" i="14608"/>
  <c r="HF190" i="14608"/>
  <c r="HG190" i="14608"/>
  <c r="HH190" i="14608"/>
  <c r="HI190" i="14608"/>
  <c r="HJ190" i="14608"/>
  <c r="HK190" i="14608"/>
  <c r="HL190" i="14608"/>
  <c r="HM190" i="14608"/>
  <c r="HN190" i="14608"/>
  <c r="HO190" i="14608"/>
  <c r="HP190" i="14608"/>
  <c r="HQ190" i="14608"/>
  <c r="HR190" i="14608"/>
  <c r="HS190" i="14608"/>
  <c r="HT190" i="14608"/>
  <c r="HU190" i="14608"/>
  <c r="HV190" i="14608"/>
  <c r="HW190" i="14608"/>
  <c r="HX190" i="14608"/>
  <c r="HY190" i="14608"/>
  <c r="HZ190" i="14608"/>
  <c r="IA190" i="14608"/>
  <c r="IB190" i="14608"/>
  <c r="IC190" i="14608"/>
  <c r="ID190" i="14608"/>
  <c r="IE190" i="14608"/>
  <c r="IF190" i="14608"/>
  <c r="IG190" i="14608"/>
  <c r="IH190" i="14608"/>
  <c r="II190" i="14608"/>
  <c r="IJ190" i="14608"/>
  <c r="IK190" i="14608"/>
  <c r="IL190" i="14608"/>
  <c r="IM190" i="14608"/>
  <c r="IN190" i="14608"/>
  <c r="IO190" i="14608"/>
  <c r="IP190" i="14608"/>
  <c r="IQ190" i="14608"/>
  <c r="IR190" i="14608"/>
  <c r="IS190" i="14608"/>
  <c r="IT190" i="14608"/>
  <c r="IU190" i="14608"/>
  <c r="IV190" i="14608"/>
  <c r="A189" i="14608"/>
  <c r="B189" i="14608"/>
  <c r="C189" i="14608"/>
  <c r="D189" i="14608"/>
  <c r="E189" i="14608"/>
  <c r="F189" i="14608"/>
  <c r="G189" i="14608"/>
  <c r="H189" i="14608"/>
  <c r="I189" i="14608"/>
  <c r="J189" i="14608"/>
  <c r="K189" i="14608"/>
  <c r="L189" i="14608"/>
  <c r="M189" i="14608"/>
  <c r="N189" i="14608"/>
  <c r="O189" i="14608"/>
  <c r="P189" i="14608"/>
  <c r="Q189" i="14608"/>
  <c r="R189" i="14608"/>
  <c r="S189" i="14608"/>
  <c r="T189" i="14608"/>
  <c r="U189" i="14608"/>
  <c r="V189" i="14608"/>
  <c r="W189" i="14608"/>
  <c r="X189" i="14608"/>
  <c r="Y189" i="14608"/>
  <c r="Z189" i="14608"/>
  <c r="AA189" i="14608"/>
  <c r="AB189" i="14608"/>
  <c r="AC189" i="14608"/>
  <c r="AD189" i="14608"/>
  <c r="AE189" i="14608"/>
  <c r="AF189" i="14608"/>
  <c r="AG189" i="14608"/>
  <c r="AH189" i="14608"/>
  <c r="AI189" i="14608"/>
  <c r="AJ189" i="14608"/>
  <c r="AK189" i="14608"/>
  <c r="AL189" i="14608"/>
  <c r="AM189" i="14608"/>
  <c r="AN189" i="14608"/>
  <c r="AO189" i="14608"/>
  <c r="AP189" i="14608"/>
  <c r="AQ189" i="14608"/>
  <c r="AR189" i="14608"/>
  <c r="AS189" i="14608"/>
  <c r="AT189" i="14608"/>
  <c r="AU189" i="14608"/>
  <c r="AV189" i="14608"/>
  <c r="AW189" i="14608"/>
  <c r="AX189" i="14608"/>
  <c r="AY189" i="14608"/>
  <c r="AZ189" i="14608"/>
  <c r="BA189" i="14608"/>
  <c r="BB189" i="14608"/>
  <c r="BC189" i="14608"/>
  <c r="BD189" i="14608"/>
  <c r="BE189" i="14608"/>
  <c r="BF189" i="14608"/>
  <c r="BG189" i="14608"/>
  <c r="BH189" i="14608"/>
  <c r="BI189" i="14608"/>
  <c r="BJ189" i="14608"/>
  <c r="BK189" i="14608"/>
  <c r="BL189" i="14608"/>
  <c r="BM189" i="14608"/>
  <c r="BN189" i="14608"/>
  <c r="BO189" i="14608"/>
  <c r="BP189" i="14608"/>
  <c r="BQ189" i="14608"/>
  <c r="BR189" i="14608"/>
  <c r="BS189" i="14608"/>
  <c r="BT189" i="14608"/>
  <c r="BU189" i="14608"/>
  <c r="BV189" i="14608"/>
  <c r="BW189" i="14608"/>
  <c r="BX189" i="14608"/>
  <c r="BY189" i="14608"/>
  <c r="BZ189" i="14608"/>
  <c r="CA189" i="14608"/>
  <c r="CB189" i="14608"/>
  <c r="CC189" i="14608"/>
  <c r="CD189" i="14608"/>
  <c r="CE189" i="14608"/>
  <c r="CF189" i="14608"/>
  <c r="CG189" i="14608"/>
  <c r="CH189" i="14608"/>
  <c r="CI189" i="14608"/>
  <c r="CJ189" i="14608"/>
  <c r="CK189" i="14608"/>
  <c r="CL189" i="14608"/>
  <c r="CM189" i="14608"/>
  <c r="CN189" i="14608"/>
  <c r="CO189" i="14608"/>
  <c r="CP189" i="14608"/>
  <c r="CQ189" i="14608"/>
  <c r="CR189" i="14608"/>
  <c r="CS189" i="14608"/>
  <c r="CT189" i="14608"/>
  <c r="CU189" i="14608"/>
  <c r="CV189" i="14608"/>
  <c r="CW189" i="14608"/>
  <c r="CX189" i="14608"/>
  <c r="CY189" i="14608"/>
  <c r="CZ189" i="14608"/>
  <c r="DA189" i="14608"/>
  <c r="DB189" i="14608"/>
  <c r="DC189" i="14608"/>
  <c r="DD189" i="14608"/>
  <c r="DE189" i="14608"/>
  <c r="DF189" i="14608"/>
  <c r="DG189" i="14608"/>
  <c r="DH189" i="14608"/>
  <c r="DI189" i="14608"/>
  <c r="DJ189" i="14608"/>
  <c r="DK189" i="14608"/>
  <c r="DL189" i="14608"/>
  <c r="DM189" i="14608"/>
  <c r="DN189" i="14608"/>
  <c r="DO189" i="14608"/>
  <c r="DP189" i="14608"/>
  <c r="DQ189" i="14608"/>
  <c r="DR189" i="14608"/>
  <c r="DS189" i="14608"/>
  <c r="DT189" i="14608"/>
  <c r="DU189" i="14608"/>
  <c r="DV189" i="14608"/>
  <c r="DW189" i="14608"/>
  <c r="DX189" i="14608"/>
  <c r="DY189" i="14608"/>
  <c r="DZ189" i="14608"/>
  <c r="EA189" i="14608"/>
  <c r="EB189" i="14608"/>
  <c r="EC189" i="14608"/>
  <c r="ED189" i="14608"/>
  <c r="EE189" i="14608"/>
  <c r="EF189" i="14608"/>
  <c r="EG189" i="14608"/>
  <c r="EH189" i="14608"/>
  <c r="EI189" i="14608"/>
  <c r="EJ189" i="14608"/>
  <c r="EK189" i="14608"/>
  <c r="EL189" i="14608"/>
  <c r="EM189" i="14608"/>
  <c r="EN189" i="14608"/>
  <c r="EO189" i="14608"/>
  <c r="EP189" i="14608"/>
  <c r="EQ189" i="14608"/>
  <c r="ER189" i="14608"/>
  <c r="ES189" i="14608"/>
  <c r="ET189" i="14608"/>
  <c r="EU189" i="14608"/>
  <c r="EV189" i="14608"/>
  <c r="EW189" i="14608"/>
  <c r="EX189" i="14608"/>
  <c r="EY189" i="14608"/>
  <c r="EZ189" i="14608"/>
  <c r="FA189" i="14608"/>
  <c r="FB189" i="14608"/>
  <c r="FC189" i="14608"/>
  <c r="FD189" i="14608"/>
  <c r="FE189" i="14608"/>
  <c r="FF189" i="14608"/>
  <c r="FG189" i="14608"/>
  <c r="FH189" i="14608"/>
  <c r="FI189" i="14608"/>
  <c r="FJ189" i="14608"/>
  <c r="FK189" i="14608"/>
  <c r="FL189" i="14608"/>
  <c r="FM189" i="14608"/>
  <c r="FN189" i="14608"/>
  <c r="FO189" i="14608"/>
  <c r="FP189" i="14608"/>
  <c r="FQ189" i="14608"/>
  <c r="FR189" i="14608"/>
  <c r="FS189" i="14608"/>
  <c r="FT189" i="14608"/>
  <c r="FU189" i="14608"/>
  <c r="FV189" i="14608"/>
  <c r="FW189" i="14608"/>
  <c r="FX189" i="14608"/>
  <c r="FY189" i="14608"/>
  <c r="FZ189" i="14608"/>
  <c r="GA189" i="14608"/>
  <c r="GB189" i="14608"/>
  <c r="GC189" i="14608"/>
  <c r="GD189" i="14608"/>
  <c r="GE189" i="14608"/>
  <c r="GF189" i="14608"/>
  <c r="GG189" i="14608"/>
  <c r="GH189" i="14608"/>
  <c r="GI189" i="14608"/>
  <c r="GJ189" i="14608"/>
  <c r="GK189" i="14608"/>
  <c r="GL189" i="14608"/>
  <c r="GM189" i="14608"/>
  <c r="GN189" i="14608"/>
  <c r="GO189" i="14608"/>
  <c r="GP189" i="14608"/>
  <c r="GQ189" i="14608"/>
  <c r="GR189" i="14608"/>
  <c r="GS189" i="14608"/>
  <c r="GT189" i="14608"/>
  <c r="GU189" i="14608"/>
  <c r="GV189" i="14608"/>
  <c r="GW189" i="14608"/>
  <c r="GX189" i="14608"/>
  <c r="GY189" i="14608"/>
  <c r="GZ189" i="14608"/>
  <c r="HA189" i="14608"/>
  <c r="HB189" i="14608"/>
  <c r="HC189" i="14608"/>
  <c r="HD189" i="14608"/>
  <c r="HE189" i="14608"/>
  <c r="HF189" i="14608"/>
  <c r="HG189" i="14608"/>
  <c r="HH189" i="14608"/>
  <c r="HI189" i="14608"/>
  <c r="HJ189" i="14608"/>
  <c r="HK189" i="14608"/>
  <c r="HL189" i="14608"/>
  <c r="HM189" i="14608"/>
  <c r="HN189" i="14608"/>
  <c r="HO189" i="14608"/>
  <c r="HP189" i="14608"/>
  <c r="HQ189" i="14608"/>
  <c r="HR189" i="14608"/>
  <c r="HS189" i="14608"/>
  <c r="HT189" i="14608"/>
  <c r="HU189" i="14608"/>
  <c r="HV189" i="14608"/>
  <c r="HW189" i="14608"/>
  <c r="HX189" i="14608"/>
  <c r="HY189" i="14608"/>
  <c r="HZ189" i="14608"/>
  <c r="IA189" i="14608"/>
  <c r="IB189" i="14608"/>
  <c r="IC189" i="14608"/>
  <c r="ID189" i="14608"/>
  <c r="IE189" i="14608"/>
  <c r="IF189" i="14608"/>
  <c r="IG189" i="14608"/>
  <c r="IH189" i="14608"/>
  <c r="II189" i="14608"/>
  <c r="IJ189" i="14608"/>
  <c r="IK189" i="14608"/>
  <c r="IL189" i="14608"/>
  <c r="IM189" i="14608"/>
  <c r="IN189" i="14608"/>
  <c r="IO189" i="14608"/>
  <c r="IP189" i="14608"/>
  <c r="IQ189" i="14608"/>
  <c r="IR189" i="14608"/>
  <c r="IS189" i="14608"/>
  <c r="IT189" i="14608"/>
  <c r="IU189" i="14608"/>
  <c r="IV189" i="14608"/>
  <c r="A188" i="14608"/>
  <c r="B188" i="14608"/>
  <c r="C188" i="14608"/>
  <c r="D188" i="14608"/>
  <c r="E188" i="14608"/>
  <c r="F188" i="14608"/>
  <c r="G188" i="14608"/>
  <c r="H188" i="14608"/>
  <c r="I188" i="14608"/>
  <c r="J188" i="14608"/>
  <c r="K188" i="14608"/>
  <c r="L188" i="14608"/>
  <c r="M188" i="14608"/>
  <c r="N188" i="14608"/>
  <c r="O188" i="14608"/>
  <c r="P188" i="14608"/>
  <c r="Q188" i="14608"/>
  <c r="R188" i="14608"/>
  <c r="S188" i="14608"/>
  <c r="T188" i="14608"/>
  <c r="U188" i="14608"/>
  <c r="V188" i="14608"/>
  <c r="W188" i="14608"/>
  <c r="X188" i="14608"/>
  <c r="Y188" i="14608"/>
  <c r="Z188" i="14608"/>
  <c r="AA188" i="14608"/>
  <c r="AB188" i="14608"/>
  <c r="AC188" i="14608"/>
  <c r="AD188" i="14608"/>
  <c r="AE188" i="14608"/>
  <c r="AF188" i="14608"/>
  <c r="AG188" i="14608"/>
  <c r="AH188" i="14608"/>
  <c r="AI188" i="14608"/>
  <c r="AJ188" i="14608"/>
  <c r="AK188" i="14608"/>
  <c r="AL188" i="14608"/>
  <c r="AM188" i="14608"/>
  <c r="AN188" i="14608"/>
  <c r="AO188" i="14608"/>
  <c r="AP188" i="14608"/>
  <c r="AQ188" i="14608"/>
  <c r="AR188" i="14608"/>
  <c r="AS188" i="14608"/>
  <c r="AT188" i="14608"/>
  <c r="AU188" i="14608"/>
  <c r="AV188" i="14608"/>
  <c r="AW188" i="14608"/>
  <c r="AX188" i="14608"/>
  <c r="AY188" i="14608"/>
  <c r="AZ188" i="14608"/>
  <c r="BA188" i="14608"/>
  <c r="BB188" i="14608"/>
  <c r="BC188" i="14608"/>
  <c r="BD188" i="14608"/>
  <c r="BE188" i="14608"/>
  <c r="BF188" i="14608"/>
  <c r="BG188" i="14608"/>
  <c r="BH188" i="14608"/>
  <c r="BI188" i="14608"/>
  <c r="BJ188" i="14608"/>
  <c r="BK188" i="14608"/>
  <c r="BL188" i="14608"/>
  <c r="BM188" i="14608"/>
  <c r="BN188" i="14608"/>
  <c r="BO188" i="14608"/>
  <c r="BP188" i="14608"/>
  <c r="BQ188" i="14608"/>
  <c r="BR188" i="14608"/>
  <c r="BS188" i="14608"/>
  <c r="BT188" i="14608"/>
  <c r="BU188" i="14608"/>
  <c r="BV188" i="14608"/>
  <c r="BW188" i="14608"/>
  <c r="BX188" i="14608"/>
  <c r="BY188" i="14608"/>
  <c r="BZ188" i="14608"/>
  <c r="CA188" i="14608"/>
  <c r="CB188" i="14608"/>
  <c r="CC188" i="14608"/>
  <c r="CD188" i="14608"/>
  <c r="CE188" i="14608"/>
  <c r="CF188" i="14608"/>
  <c r="CG188" i="14608"/>
  <c r="CH188" i="14608"/>
  <c r="CI188" i="14608"/>
  <c r="CJ188" i="14608"/>
  <c r="CK188" i="14608"/>
  <c r="CL188" i="14608"/>
  <c r="CM188" i="14608"/>
  <c r="CN188" i="14608"/>
  <c r="CO188" i="14608"/>
  <c r="CP188" i="14608"/>
  <c r="CQ188" i="14608"/>
  <c r="CR188" i="14608"/>
  <c r="CS188" i="14608"/>
  <c r="CT188" i="14608"/>
  <c r="CU188" i="14608"/>
  <c r="CV188" i="14608"/>
  <c r="CW188" i="14608"/>
  <c r="CX188" i="14608"/>
  <c r="CY188" i="14608"/>
  <c r="CZ188" i="14608"/>
  <c r="DA188" i="14608"/>
  <c r="DB188" i="14608"/>
  <c r="DC188" i="14608"/>
  <c r="DD188" i="14608"/>
  <c r="DE188" i="14608"/>
  <c r="DF188" i="14608"/>
  <c r="DG188" i="14608"/>
  <c r="DH188" i="14608"/>
  <c r="DI188" i="14608"/>
  <c r="DJ188" i="14608"/>
  <c r="DK188" i="14608"/>
  <c r="DL188" i="14608"/>
  <c r="DM188" i="14608"/>
  <c r="DN188" i="14608"/>
  <c r="DO188" i="14608"/>
  <c r="DP188" i="14608"/>
  <c r="DQ188" i="14608"/>
  <c r="DR188" i="14608"/>
  <c r="DS188" i="14608"/>
  <c r="DT188" i="14608"/>
  <c r="DU188" i="14608"/>
  <c r="DV188" i="14608"/>
  <c r="DW188" i="14608"/>
  <c r="DX188" i="14608"/>
  <c r="DY188" i="14608"/>
  <c r="DZ188" i="14608"/>
  <c r="EA188" i="14608"/>
  <c r="EB188" i="14608"/>
  <c r="EC188" i="14608"/>
  <c r="ED188" i="14608"/>
  <c r="EE188" i="14608"/>
  <c r="EF188" i="14608"/>
  <c r="EG188" i="14608"/>
  <c r="EH188" i="14608"/>
  <c r="EI188" i="14608"/>
  <c r="EJ188" i="14608"/>
  <c r="EK188" i="14608"/>
  <c r="EL188" i="14608"/>
  <c r="EM188" i="14608"/>
  <c r="EN188" i="14608"/>
  <c r="EO188" i="14608"/>
  <c r="EP188" i="14608"/>
  <c r="EQ188" i="14608"/>
  <c r="ER188" i="14608"/>
  <c r="ES188" i="14608"/>
  <c r="ET188" i="14608"/>
  <c r="EU188" i="14608"/>
  <c r="EV188" i="14608"/>
  <c r="EW188" i="14608"/>
  <c r="EX188" i="14608"/>
  <c r="EY188" i="14608"/>
  <c r="EZ188" i="14608"/>
  <c r="FA188" i="14608"/>
  <c r="FB188" i="14608"/>
  <c r="FC188" i="14608"/>
  <c r="FD188" i="14608"/>
  <c r="FE188" i="14608"/>
  <c r="FF188" i="14608"/>
  <c r="FG188" i="14608"/>
  <c r="FH188" i="14608"/>
  <c r="FI188" i="14608"/>
  <c r="FJ188" i="14608"/>
  <c r="FK188" i="14608"/>
  <c r="FL188" i="14608"/>
  <c r="FM188" i="14608"/>
  <c r="FN188" i="14608"/>
  <c r="FO188" i="14608"/>
  <c r="FP188" i="14608"/>
  <c r="FQ188" i="14608"/>
  <c r="FR188" i="14608"/>
  <c r="FS188" i="14608"/>
  <c r="FT188" i="14608"/>
  <c r="FU188" i="14608"/>
  <c r="FV188" i="14608"/>
  <c r="FW188" i="14608"/>
  <c r="FX188" i="14608"/>
  <c r="FY188" i="14608"/>
  <c r="FZ188" i="14608"/>
  <c r="GA188" i="14608"/>
  <c r="GB188" i="14608"/>
  <c r="GC188" i="14608"/>
  <c r="GD188" i="14608"/>
  <c r="GE188" i="14608"/>
  <c r="GF188" i="14608"/>
  <c r="GG188" i="14608"/>
  <c r="GH188" i="14608"/>
  <c r="GI188" i="14608"/>
  <c r="GJ188" i="14608"/>
  <c r="GK188" i="14608"/>
  <c r="GL188" i="14608"/>
  <c r="GM188" i="14608"/>
  <c r="GN188" i="14608"/>
  <c r="GO188" i="14608"/>
  <c r="GP188" i="14608"/>
  <c r="GQ188" i="14608"/>
  <c r="GR188" i="14608"/>
  <c r="GS188" i="14608"/>
  <c r="GT188" i="14608"/>
  <c r="GU188" i="14608"/>
  <c r="GV188" i="14608"/>
  <c r="GW188" i="14608"/>
  <c r="GX188" i="14608"/>
  <c r="GY188" i="14608"/>
  <c r="GZ188" i="14608"/>
  <c r="HA188" i="14608"/>
  <c r="HB188" i="14608"/>
  <c r="HC188" i="14608"/>
  <c r="HD188" i="14608"/>
  <c r="HE188" i="14608"/>
  <c r="HF188" i="14608"/>
  <c r="HG188" i="14608"/>
  <c r="HH188" i="14608"/>
  <c r="HI188" i="14608"/>
  <c r="HJ188" i="14608"/>
  <c r="HK188" i="14608"/>
  <c r="HL188" i="14608"/>
  <c r="HM188" i="14608"/>
  <c r="HN188" i="14608"/>
  <c r="HO188" i="14608"/>
  <c r="HP188" i="14608"/>
  <c r="HQ188" i="14608"/>
  <c r="HR188" i="14608"/>
  <c r="HS188" i="14608"/>
  <c r="HT188" i="14608"/>
  <c r="HU188" i="14608"/>
  <c r="HV188" i="14608"/>
  <c r="HW188" i="14608"/>
  <c r="HX188" i="14608"/>
  <c r="HY188" i="14608"/>
  <c r="HZ188" i="14608"/>
  <c r="IA188" i="14608"/>
  <c r="IB188" i="14608"/>
  <c r="IC188" i="14608"/>
  <c r="ID188" i="14608"/>
  <c r="IE188" i="14608"/>
  <c r="IF188" i="14608"/>
  <c r="IG188" i="14608"/>
  <c r="IH188" i="14608"/>
  <c r="II188" i="14608"/>
  <c r="IJ188" i="14608"/>
  <c r="IK188" i="14608"/>
  <c r="IL188" i="14608"/>
  <c r="IM188" i="14608"/>
  <c r="IN188" i="14608"/>
  <c r="IO188" i="14608"/>
  <c r="IP188" i="14608"/>
  <c r="IQ188" i="14608"/>
  <c r="IR188" i="14608"/>
  <c r="IS188" i="14608"/>
  <c r="IT188" i="14608"/>
  <c r="IU188" i="14608"/>
  <c r="IV188" i="14608"/>
  <c r="A187" i="14608"/>
  <c r="B187" i="14608"/>
  <c r="C187" i="14608"/>
  <c r="D187" i="14608"/>
  <c r="E187" i="14608"/>
  <c r="F187" i="14608"/>
  <c r="G187" i="14608"/>
  <c r="H187" i="14608"/>
  <c r="I187" i="14608"/>
  <c r="J187" i="14608"/>
  <c r="K187" i="14608"/>
  <c r="L187" i="14608"/>
  <c r="M187" i="14608"/>
  <c r="N187" i="14608"/>
  <c r="O187" i="14608"/>
  <c r="P187" i="14608"/>
  <c r="Q187" i="14608"/>
  <c r="R187" i="14608"/>
  <c r="S187" i="14608"/>
  <c r="T187" i="14608"/>
  <c r="U187" i="14608"/>
  <c r="V187" i="14608"/>
  <c r="W187" i="14608"/>
  <c r="X187" i="14608"/>
  <c r="Y187" i="14608"/>
  <c r="Z187" i="14608"/>
  <c r="AA187" i="14608"/>
  <c r="AB187" i="14608"/>
  <c r="AC187" i="14608"/>
  <c r="AD187" i="14608"/>
  <c r="AE187" i="14608"/>
  <c r="AF187" i="14608"/>
  <c r="AG187" i="14608"/>
  <c r="AH187" i="14608"/>
  <c r="AI187" i="14608"/>
  <c r="AJ187" i="14608"/>
  <c r="AK187" i="14608"/>
  <c r="AL187" i="14608"/>
  <c r="AM187" i="14608"/>
  <c r="AN187" i="14608"/>
  <c r="AO187" i="14608"/>
  <c r="AP187" i="14608"/>
  <c r="AQ187" i="14608"/>
  <c r="AR187" i="14608"/>
  <c r="AS187" i="14608"/>
  <c r="AT187" i="14608"/>
  <c r="AU187" i="14608"/>
  <c r="AV187" i="14608"/>
  <c r="AW187" i="14608"/>
  <c r="AX187" i="14608"/>
  <c r="AY187" i="14608"/>
  <c r="AZ187" i="14608"/>
  <c r="BA187" i="14608"/>
  <c r="BB187" i="14608"/>
  <c r="BC187" i="14608"/>
  <c r="BD187" i="14608"/>
  <c r="BE187" i="14608"/>
  <c r="BF187" i="14608"/>
  <c r="BG187" i="14608"/>
  <c r="BH187" i="14608"/>
  <c r="BI187" i="14608"/>
  <c r="BJ187" i="14608"/>
  <c r="BK187" i="14608"/>
  <c r="BL187" i="14608"/>
  <c r="BM187" i="14608"/>
  <c r="BN187" i="14608"/>
  <c r="BO187" i="14608"/>
  <c r="BP187" i="14608"/>
  <c r="BQ187" i="14608"/>
  <c r="BR187" i="14608"/>
  <c r="BS187" i="14608"/>
  <c r="BT187" i="14608"/>
  <c r="BU187" i="14608"/>
  <c r="BV187" i="14608"/>
  <c r="BW187" i="14608"/>
  <c r="BX187" i="14608"/>
  <c r="BY187" i="14608"/>
  <c r="BZ187" i="14608"/>
  <c r="CA187" i="14608"/>
  <c r="CB187" i="14608"/>
  <c r="CC187" i="14608"/>
  <c r="CD187" i="14608"/>
  <c r="CE187" i="14608"/>
  <c r="CF187" i="14608"/>
  <c r="CG187" i="14608"/>
  <c r="CH187" i="14608"/>
  <c r="CI187" i="14608"/>
  <c r="CJ187" i="14608"/>
  <c r="CK187" i="14608"/>
  <c r="CL187" i="14608"/>
  <c r="CM187" i="14608"/>
  <c r="CN187" i="14608"/>
  <c r="CO187" i="14608"/>
  <c r="CP187" i="14608"/>
  <c r="CQ187" i="14608"/>
  <c r="CR187" i="14608"/>
  <c r="CS187" i="14608"/>
  <c r="CT187" i="14608"/>
  <c r="CU187" i="14608"/>
  <c r="CV187" i="14608"/>
  <c r="CW187" i="14608"/>
  <c r="CX187" i="14608"/>
  <c r="CY187" i="14608"/>
  <c r="CZ187" i="14608"/>
  <c r="DA187" i="14608"/>
  <c r="DB187" i="14608"/>
  <c r="DC187" i="14608"/>
  <c r="DD187" i="14608"/>
  <c r="DE187" i="14608"/>
  <c r="DF187" i="14608"/>
  <c r="DG187" i="14608"/>
  <c r="DH187" i="14608"/>
  <c r="DI187" i="14608"/>
  <c r="DJ187" i="14608"/>
  <c r="DK187" i="14608"/>
  <c r="DL187" i="14608"/>
  <c r="DM187" i="14608"/>
  <c r="DN187" i="14608"/>
  <c r="DO187" i="14608"/>
  <c r="DP187" i="14608"/>
  <c r="DQ187" i="14608"/>
  <c r="DR187" i="14608"/>
  <c r="DS187" i="14608"/>
  <c r="DT187" i="14608"/>
  <c r="DU187" i="14608"/>
  <c r="DV187" i="14608"/>
  <c r="DW187" i="14608"/>
  <c r="DX187" i="14608"/>
  <c r="DY187" i="14608"/>
  <c r="DZ187" i="14608"/>
  <c r="EA187" i="14608"/>
  <c r="EB187" i="14608"/>
  <c r="EC187" i="14608"/>
  <c r="ED187" i="14608"/>
  <c r="EE187" i="14608"/>
  <c r="EF187" i="14608"/>
  <c r="EG187" i="14608"/>
  <c r="EH187" i="14608"/>
  <c r="EI187" i="14608"/>
  <c r="EJ187" i="14608"/>
  <c r="EK187" i="14608"/>
  <c r="EL187" i="14608"/>
  <c r="EM187" i="14608"/>
  <c r="EN187" i="14608"/>
  <c r="EO187" i="14608"/>
  <c r="EP187" i="14608"/>
  <c r="EQ187" i="14608"/>
  <c r="ER187" i="14608"/>
  <c r="ES187" i="14608"/>
  <c r="ET187" i="14608"/>
  <c r="EU187" i="14608"/>
  <c r="EV187" i="14608"/>
  <c r="EW187" i="14608"/>
  <c r="EX187" i="14608"/>
  <c r="EY187" i="14608"/>
  <c r="EZ187" i="14608"/>
  <c r="FA187" i="14608"/>
  <c r="FB187" i="14608"/>
  <c r="FC187" i="14608"/>
  <c r="FD187" i="14608"/>
  <c r="FE187" i="14608"/>
  <c r="FF187" i="14608"/>
  <c r="FG187" i="14608"/>
  <c r="FH187" i="14608"/>
  <c r="FI187" i="14608"/>
  <c r="FJ187" i="14608"/>
  <c r="FK187" i="14608"/>
  <c r="FL187" i="14608"/>
  <c r="FM187" i="14608"/>
  <c r="FN187" i="14608"/>
  <c r="FO187" i="14608"/>
  <c r="FP187" i="14608"/>
  <c r="FQ187" i="14608"/>
  <c r="FR187" i="14608"/>
  <c r="FS187" i="14608"/>
  <c r="FT187" i="14608"/>
  <c r="FU187" i="14608"/>
  <c r="FV187" i="14608"/>
  <c r="FW187" i="14608"/>
  <c r="FX187" i="14608"/>
  <c r="FY187" i="14608"/>
  <c r="FZ187" i="14608"/>
  <c r="GA187" i="14608"/>
  <c r="GB187" i="14608"/>
  <c r="GC187" i="14608"/>
  <c r="GD187" i="14608"/>
  <c r="GE187" i="14608"/>
  <c r="GF187" i="14608"/>
  <c r="GG187" i="14608"/>
  <c r="GH187" i="14608"/>
  <c r="GI187" i="14608"/>
  <c r="GJ187" i="14608"/>
  <c r="GK187" i="14608"/>
  <c r="GL187" i="14608"/>
  <c r="GM187" i="14608"/>
  <c r="GN187" i="14608"/>
  <c r="GO187" i="14608"/>
  <c r="GP187" i="14608"/>
  <c r="GQ187" i="14608"/>
  <c r="GR187" i="14608"/>
  <c r="GS187" i="14608"/>
  <c r="GT187" i="14608"/>
  <c r="GU187" i="14608"/>
  <c r="GV187" i="14608"/>
  <c r="GW187" i="14608"/>
  <c r="GX187" i="14608"/>
  <c r="GY187" i="14608"/>
  <c r="GZ187" i="14608"/>
  <c r="HA187" i="14608"/>
  <c r="HB187" i="14608"/>
  <c r="HC187" i="14608"/>
  <c r="HD187" i="14608"/>
  <c r="HE187" i="14608"/>
  <c r="HF187" i="14608"/>
  <c r="HG187" i="14608"/>
  <c r="HH187" i="14608"/>
  <c r="HI187" i="14608"/>
  <c r="HJ187" i="14608"/>
  <c r="HK187" i="14608"/>
  <c r="HL187" i="14608"/>
  <c r="HM187" i="14608"/>
  <c r="HN187" i="14608"/>
  <c r="HO187" i="14608"/>
  <c r="HP187" i="14608"/>
  <c r="HQ187" i="14608"/>
  <c r="HR187" i="14608"/>
  <c r="HS187" i="14608"/>
  <c r="HT187" i="14608"/>
  <c r="HU187" i="14608"/>
  <c r="HV187" i="14608"/>
  <c r="HW187" i="14608"/>
  <c r="HX187" i="14608"/>
  <c r="HY187" i="14608"/>
  <c r="HZ187" i="14608"/>
  <c r="IA187" i="14608"/>
  <c r="IB187" i="14608"/>
  <c r="IC187" i="14608"/>
  <c r="ID187" i="14608"/>
  <c r="IE187" i="14608"/>
  <c r="IF187" i="14608"/>
  <c r="IG187" i="14608"/>
  <c r="IH187" i="14608"/>
  <c r="II187" i="14608"/>
  <c r="IJ187" i="14608"/>
  <c r="IK187" i="14608"/>
  <c r="IL187" i="14608"/>
  <c r="IM187" i="14608"/>
  <c r="IN187" i="14608"/>
  <c r="IO187" i="14608"/>
  <c r="IP187" i="14608"/>
  <c r="IQ187" i="14608"/>
  <c r="IR187" i="14608"/>
  <c r="IS187" i="14608"/>
  <c r="IT187" i="14608"/>
  <c r="IU187" i="14608"/>
  <c r="IV187" i="14608"/>
  <c r="A186" i="14608"/>
  <c r="B186" i="14608"/>
  <c r="C186" i="14608"/>
  <c r="D186" i="14608"/>
  <c r="E186" i="14608"/>
  <c r="F186" i="14608"/>
  <c r="G186" i="14608"/>
  <c r="H186" i="14608"/>
  <c r="I186" i="14608"/>
  <c r="J186" i="14608"/>
  <c r="K186" i="14608"/>
  <c r="L186" i="14608"/>
  <c r="M186" i="14608"/>
  <c r="N186" i="14608"/>
  <c r="O186" i="14608"/>
  <c r="P186" i="14608"/>
  <c r="Q186" i="14608"/>
  <c r="R186" i="14608"/>
  <c r="S186" i="14608"/>
  <c r="T186" i="14608"/>
  <c r="U186" i="14608"/>
  <c r="V186" i="14608"/>
  <c r="W186" i="14608"/>
  <c r="X186" i="14608"/>
  <c r="Y186" i="14608"/>
  <c r="Z186" i="14608"/>
  <c r="AA186" i="14608"/>
  <c r="AB186" i="14608"/>
  <c r="AC186" i="14608"/>
  <c r="AD186" i="14608"/>
  <c r="AE186" i="14608"/>
  <c r="AF186" i="14608"/>
  <c r="AG186" i="14608"/>
  <c r="AH186" i="14608"/>
  <c r="AI186" i="14608"/>
  <c r="AJ186" i="14608"/>
  <c r="AK186" i="14608"/>
  <c r="AL186" i="14608"/>
  <c r="AM186" i="14608"/>
  <c r="AN186" i="14608"/>
  <c r="AO186" i="14608"/>
  <c r="AP186" i="14608"/>
  <c r="AQ186" i="14608"/>
  <c r="AR186" i="14608"/>
  <c r="AS186" i="14608"/>
  <c r="AT186" i="14608"/>
  <c r="AU186" i="14608"/>
  <c r="AV186" i="14608"/>
  <c r="AW186" i="14608"/>
  <c r="AX186" i="14608"/>
  <c r="AY186" i="14608"/>
  <c r="AZ186" i="14608"/>
  <c r="BA186" i="14608"/>
  <c r="BB186" i="14608"/>
  <c r="BC186" i="14608"/>
  <c r="BD186" i="14608"/>
  <c r="BE186" i="14608"/>
  <c r="BF186" i="14608"/>
  <c r="BG186" i="14608"/>
  <c r="BH186" i="14608"/>
  <c r="BI186" i="14608"/>
  <c r="BJ186" i="14608"/>
  <c r="BK186" i="14608"/>
  <c r="BL186" i="14608"/>
  <c r="BM186" i="14608"/>
  <c r="BN186" i="14608"/>
  <c r="BO186" i="14608"/>
  <c r="BP186" i="14608"/>
  <c r="BQ186" i="14608"/>
  <c r="BR186" i="14608"/>
  <c r="BS186" i="14608"/>
  <c r="BT186" i="14608"/>
  <c r="BU186" i="14608"/>
  <c r="BV186" i="14608"/>
  <c r="BW186" i="14608"/>
  <c r="BX186" i="14608"/>
  <c r="BY186" i="14608"/>
  <c r="BZ186" i="14608"/>
  <c r="CA186" i="14608"/>
  <c r="CB186" i="14608"/>
  <c r="CC186" i="14608"/>
  <c r="CD186" i="14608"/>
  <c r="CE186" i="14608"/>
  <c r="CF186" i="14608"/>
  <c r="CG186" i="14608"/>
  <c r="CH186" i="14608"/>
  <c r="CI186" i="14608"/>
  <c r="CJ186" i="14608"/>
  <c r="CK186" i="14608"/>
  <c r="CL186" i="14608"/>
  <c r="CM186" i="14608"/>
  <c r="CN186" i="14608"/>
  <c r="CO186" i="14608"/>
  <c r="CP186" i="14608"/>
  <c r="CQ186" i="14608"/>
  <c r="CR186" i="14608"/>
  <c r="CS186" i="14608"/>
  <c r="CT186" i="14608"/>
  <c r="CU186" i="14608"/>
  <c r="CV186" i="14608"/>
  <c r="CW186" i="14608"/>
  <c r="CX186" i="14608"/>
  <c r="CY186" i="14608"/>
  <c r="CZ186" i="14608"/>
  <c r="DA186" i="14608"/>
  <c r="DB186" i="14608"/>
  <c r="DC186" i="14608"/>
  <c r="DD186" i="14608"/>
  <c r="DE186" i="14608"/>
  <c r="DF186" i="14608"/>
  <c r="DG186" i="14608"/>
  <c r="DH186" i="14608"/>
  <c r="DI186" i="14608"/>
  <c r="DJ186" i="14608"/>
  <c r="DK186" i="14608"/>
  <c r="DL186" i="14608"/>
  <c r="DM186" i="14608"/>
  <c r="DN186" i="14608"/>
  <c r="DO186" i="14608"/>
  <c r="DP186" i="14608"/>
  <c r="DQ186" i="14608"/>
  <c r="DR186" i="14608"/>
  <c r="DS186" i="14608"/>
  <c r="DT186" i="14608"/>
  <c r="DU186" i="14608"/>
  <c r="DV186" i="14608"/>
  <c r="DW186" i="14608"/>
  <c r="DX186" i="14608"/>
  <c r="DY186" i="14608"/>
  <c r="DZ186" i="14608"/>
  <c r="EA186" i="14608"/>
  <c r="EB186" i="14608"/>
  <c r="EC186" i="14608"/>
  <c r="ED186" i="14608"/>
  <c r="EE186" i="14608"/>
  <c r="EF186" i="14608"/>
  <c r="EG186" i="14608"/>
  <c r="EH186" i="14608"/>
  <c r="EI186" i="14608"/>
  <c r="EJ186" i="14608"/>
  <c r="EK186" i="14608"/>
  <c r="EL186" i="14608"/>
  <c r="EM186" i="14608"/>
  <c r="EN186" i="14608"/>
  <c r="EO186" i="14608"/>
  <c r="EP186" i="14608"/>
  <c r="EQ186" i="14608"/>
  <c r="ER186" i="14608"/>
  <c r="ES186" i="14608"/>
  <c r="ET186" i="14608"/>
  <c r="EU186" i="14608"/>
  <c r="EV186" i="14608"/>
  <c r="EW186" i="14608"/>
  <c r="EX186" i="14608"/>
  <c r="EY186" i="14608"/>
  <c r="EZ186" i="14608"/>
  <c r="FA186" i="14608"/>
  <c r="FB186" i="14608"/>
  <c r="FC186" i="14608"/>
  <c r="FD186" i="14608"/>
  <c r="FE186" i="14608"/>
  <c r="FF186" i="14608"/>
  <c r="FG186" i="14608"/>
  <c r="FH186" i="14608"/>
  <c r="FI186" i="14608"/>
  <c r="FJ186" i="14608"/>
  <c r="FK186" i="14608"/>
  <c r="FL186" i="14608"/>
  <c r="FM186" i="14608"/>
  <c r="FN186" i="14608"/>
  <c r="FO186" i="14608"/>
  <c r="FP186" i="14608"/>
  <c r="FQ186" i="14608"/>
  <c r="FR186" i="14608"/>
  <c r="FS186" i="14608"/>
  <c r="FT186" i="14608"/>
  <c r="FU186" i="14608"/>
  <c r="FV186" i="14608"/>
  <c r="FW186" i="14608"/>
  <c r="FX186" i="14608"/>
  <c r="FY186" i="14608"/>
  <c r="FZ186" i="14608"/>
  <c r="GA186" i="14608"/>
  <c r="GB186" i="14608"/>
  <c r="GC186" i="14608"/>
  <c r="GD186" i="14608"/>
  <c r="GE186" i="14608"/>
  <c r="GF186" i="14608"/>
  <c r="GG186" i="14608"/>
  <c r="GH186" i="14608"/>
  <c r="GI186" i="14608"/>
  <c r="GJ186" i="14608"/>
  <c r="GK186" i="14608"/>
  <c r="GL186" i="14608"/>
  <c r="GM186" i="14608"/>
  <c r="GN186" i="14608"/>
  <c r="GO186" i="14608"/>
  <c r="GP186" i="14608"/>
  <c r="GQ186" i="14608"/>
  <c r="GR186" i="14608"/>
  <c r="GS186" i="14608"/>
  <c r="GT186" i="14608"/>
  <c r="GU186" i="14608"/>
  <c r="GV186" i="14608"/>
  <c r="GW186" i="14608"/>
  <c r="GX186" i="14608"/>
  <c r="GY186" i="14608"/>
  <c r="GZ186" i="14608"/>
  <c r="HA186" i="14608"/>
  <c r="HB186" i="14608"/>
  <c r="HC186" i="14608"/>
  <c r="HD186" i="14608"/>
  <c r="HE186" i="14608"/>
  <c r="HF186" i="14608"/>
  <c r="HG186" i="14608"/>
  <c r="HH186" i="14608"/>
  <c r="HI186" i="14608"/>
  <c r="HJ186" i="14608"/>
  <c r="HK186" i="14608"/>
  <c r="HL186" i="14608"/>
  <c r="HM186" i="14608"/>
  <c r="HN186" i="14608"/>
  <c r="HO186" i="14608"/>
  <c r="HP186" i="14608"/>
  <c r="HQ186" i="14608"/>
  <c r="HR186" i="14608"/>
  <c r="HS186" i="14608"/>
  <c r="HT186" i="14608"/>
  <c r="HU186" i="14608"/>
  <c r="HV186" i="14608"/>
  <c r="HW186" i="14608"/>
  <c r="HX186" i="14608"/>
  <c r="HY186" i="14608"/>
  <c r="HZ186" i="14608"/>
  <c r="IA186" i="14608"/>
  <c r="IB186" i="14608"/>
  <c r="IC186" i="14608"/>
  <c r="ID186" i="14608"/>
  <c r="IE186" i="14608"/>
  <c r="IF186" i="14608"/>
  <c r="IG186" i="14608"/>
  <c r="IH186" i="14608"/>
  <c r="II186" i="14608"/>
  <c r="IJ186" i="14608"/>
  <c r="IK186" i="14608"/>
  <c r="IL186" i="14608"/>
  <c r="IM186" i="14608"/>
  <c r="IN186" i="14608"/>
  <c r="IO186" i="14608"/>
  <c r="IP186" i="14608"/>
  <c r="IQ186" i="14608"/>
  <c r="IR186" i="14608"/>
  <c r="IS186" i="14608"/>
  <c r="IT186" i="14608"/>
  <c r="IU186" i="14608"/>
  <c r="IV186" i="14608"/>
  <c r="A185" i="14608"/>
  <c r="B185" i="14608"/>
  <c r="C185" i="14608"/>
  <c r="D185" i="14608"/>
  <c r="E185" i="14608"/>
  <c r="F185" i="14608"/>
  <c r="G185" i="14608"/>
  <c r="H185" i="14608"/>
  <c r="I185" i="14608"/>
  <c r="J185" i="14608"/>
  <c r="K185" i="14608"/>
  <c r="L185" i="14608"/>
  <c r="M185" i="14608"/>
  <c r="N185" i="14608"/>
  <c r="O185" i="14608"/>
  <c r="P185" i="14608"/>
  <c r="Q185" i="14608"/>
  <c r="R185" i="14608"/>
  <c r="S185" i="14608"/>
  <c r="T185" i="14608"/>
  <c r="U185" i="14608"/>
  <c r="V185" i="14608"/>
  <c r="W185" i="14608"/>
  <c r="X185" i="14608"/>
  <c r="Y185" i="14608"/>
  <c r="Z185" i="14608"/>
  <c r="AA185" i="14608"/>
  <c r="AB185" i="14608"/>
  <c r="AC185" i="14608"/>
  <c r="AD185" i="14608"/>
  <c r="AE185" i="14608"/>
  <c r="AF185" i="14608"/>
  <c r="AG185" i="14608"/>
  <c r="AH185" i="14608"/>
  <c r="AI185" i="14608"/>
  <c r="AJ185" i="14608"/>
  <c r="AK185" i="14608"/>
  <c r="AL185" i="14608"/>
  <c r="AM185" i="14608"/>
  <c r="AN185" i="14608"/>
  <c r="AO185" i="14608"/>
  <c r="AP185" i="14608"/>
  <c r="AQ185" i="14608"/>
  <c r="AR185" i="14608"/>
  <c r="AS185" i="14608"/>
  <c r="AT185" i="14608"/>
  <c r="AU185" i="14608"/>
  <c r="AV185" i="14608"/>
  <c r="AW185" i="14608"/>
  <c r="AX185" i="14608"/>
  <c r="AY185" i="14608"/>
  <c r="AZ185" i="14608"/>
  <c r="BA185" i="14608"/>
  <c r="BB185" i="14608"/>
  <c r="BC185" i="14608"/>
  <c r="BD185" i="14608"/>
  <c r="BE185" i="14608"/>
  <c r="BF185" i="14608"/>
  <c r="BG185" i="14608"/>
  <c r="BH185" i="14608"/>
  <c r="BI185" i="14608"/>
  <c r="BJ185" i="14608"/>
  <c r="BK185" i="14608"/>
  <c r="BL185" i="14608"/>
  <c r="BM185" i="14608"/>
  <c r="BN185" i="14608"/>
  <c r="BO185" i="14608"/>
  <c r="BP185" i="14608"/>
  <c r="BQ185" i="14608"/>
  <c r="BR185" i="14608"/>
  <c r="BS185" i="14608"/>
  <c r="BT185" i="14608"/>
  <c r="BU185" i="14608"/>
  <c r="BV185" i="14608"/>
  <c r="BW185" i="14608"/>
  <c r="BX185" i="14608"/>
  <c r="BY185" i="14608"/>
  <c r="BZ185" i="14608"/>
  <c r="CA185" i="14608"/>
  <c r="CB185" i="14608"/>
  <c r="CC185" i="14608"/>
  <c r="CD185" i="14608"/>
  <c r="CE185" i="14608"/>
  <c r="CF185" i="14608"/>
  <c r="CG185" i="14608"/>
  <c r="CH185" i="14608"/>
  <c r="CI185" i="14608"/>
  <c r="CJ185" i="14608"/>
  <c r="CK185" i="14608"/>
  <c r="CL185" i="14608"/>
  <c r="CM185" i="14608"/>
  <c r="CN185" i="14608"/>
  <c r="CO185" i="14608"/>
  <c r="CP185" i="14608"/>
  <c r="CQ185" i="14608"/>
  <c r="CR185" i="14608"/>
  <c r="CS185" i="14608"/>
  <c r="CT185" i="14608"/>
  <c r="CU185" i="14608"/>
  <c r="CV185" i="14608"/>
  <c r="CW185" i="14608"/>
  <c r="CX185" i="14608"/>
  <c r="CY185" i="14608"/>
  <c r="CZ185" i="14608"/>
  <c r="DA185" i="14608"/>
  <c r="DB185" i="14608"/>
  <c r="DC185" i="14608"/>
  <c r="DD185" i="14608"/>
  <c r="DE185" i="14608"/>
  <c r="DF185" i="14608"/>
  <c r="DG185" i="14608"/>
  <c r="DH185" i="14608"/>
  <c r="DI185" i="14608"/>
  <c r="DJ185" i="14608"/>
  <c r="DK185" i="14608"/>
  <c r="DL185" i="14608"/>
  <c r="DM185" i="14608"/>
  <c r="DN185" i="14608"/>
  <c r="DO185" i="14608"/>
  <c r="DP185" i="14608"/>
  <c r="DQ185" i="14608"/>
  <c r="DR185" i="14608"/>
  <c r="DS185" i="14608"/>
  <c r="DT185" i="14608"/>
  <c r="DU185" i="14608"/>
  <c r="DV185" i="14608"/>
  <c r="DW185" i="14608"/>
  <c r="DX185" i="14608"/>
  <c r="DY185" i="14608"/>
  <c r="DZ185" i="14608"/>
  <c r="EA185" i="14608"/>
  <c r="EB185" i="14608"/>
  <c r="EC185" i="14608"/>
  <c r="ED185" i="14608"/>
  <c r="EE185" i="14608"/>
  <c r="EF185" i="14608"/>
  <c r="EG185" i="14608"/>
  <c r="EH185" i="14608"/>
  <c r="EI185" i="14608"/>
  <c r="EJ185" i="14608"/>
  <c r="EK185" i="14608"/>
  <c r="EL185" i="14608"/>
  <c r="EM185" i="14608"/>
  <c r="EN185" i="14608"/>
  <c r="EO185" i="14608"/>
  <c r="EP185" i="14608"/>
  <c r="EQ185" i="14608"/>
  <c r="ER185" i="14608"/>
  <c r="ES185" i="14608"/>
  <c r="ET185" i="14608"/>
  <c r="EU185" i="14608"/>
  <c r="EV185" i="14608"/>
  <c r="EW185" i="14608"/>
  <c r="EX185" i="14608"/>
  <c r="EY185" i="14608"/>
  <c r="EZ185" i="14608"/>
  <c r="FA185" i="14608"/>
  <c r="FB185" i="14608"/>
  <c r="FC185" i="14608"/>
  <c r="FD185" i="14608"/>
  <c r="FE185" i="14608"/>
  <c r="FF185" i="14608"/>
  <c r="FG185" i="14608"/>
  <c r="FH185" i="14608"/>
  <c r="FI185" i="14608"/>
  <c r="FJ185" i="14608"/>
  <c r="FK185" i="14608"/>
  <c r="FL185" i="14608"/>
  <c r="FM185" i="14608"/>
  <c r="FN185" i="14608"/>
  <c r="FO185" i="14608"/>
  <c r="FP185" i="14608"/>
  <c r="FQ185" i="14608"/>
  <c r="FR185" i="14608"/>
  <c r="FS185" i="14608"/>
  <c r="FT185" i="14608"/>
  <c r="FU185" i="14608"/>
  <c r="FV185" i="14608"/>
  <c r="FW185" i="14608"/>
  <c r="FX185" i="14608"/>
  <c r="FY185" i="14608"/>
  <c r="FZ185" i="14608"/>
  <c r="GA185" i="14608"/>
  <c r="GB185" i="14608"/>
  <c r="GC185" i="14608"/>
  <c r="GD185" i="14608"/>
  <c r="GE185" i="14608"/>
  <c r="GF185" i="14608"/>
  <c r="GG185" i="14608"/>
  <c r="GH185" i="14608"/>
  <c r="GI185" i="14608"/>
  <c r="GJ185" i="14608"/>
  <c r="GK185" i="14608"/>
  <c r="GL185" i="14608"/>
  <c r="GM185" i="14608"/>
  <c r="GN185" i="14608"/>
  <c r="GO185" i="14608"/>
  <c r="GP185" i="14608"/>
  <c r="GQ185" i="14608"/>
  <c r="GR185" i="14608"/>
  <c r="GS185" i="14608"/>
  <c r="GT185" i="14608"/>
  <c r="GU185" i="14608"/>
  <c r="GV185" i="14608"/>
  <c r="GW185" i="14608"/>
  <c r="GX185" i="14608"/>
  <c r="GY185" i="14608"/>
  <c r="GZ185" i="14608"/>
  <c r="HA185" i="14608"/>
  <c r="HB185" i="14608"/>
  <c r="HC185" i="14608"/>
  <c r="HD185" i="14608"/>
  <c r="HE185" i="14608"/>
  <c r="HF185" i="14608"/>
  <c r="HG185" i="14608"/>
  <c r="HH185" i="14608"/>
  <c r="HI185" i="14608"/>
  <c r="HJ185" i="14608"/>
  <c r="HK185" i="14608"/>
  <c r="HL185" i="14608"/>
  <c r="HM185" i="14608"/>
  <c r="HN185" i="14608"/>
  <c r="HO185" i="14608"/>
  <c r="HP185" i="14608"/>
  <c r="HQ185" i="14608"/>
  <c r="HR185" i="14608"/>
  <c r="HS185" i="14608"/>
  <c r="HT185" i="14608"/>
  <c r="HU185" i="14608"/>
  <c r="HV185" i="14608"/>
  <c r="HW185" i="14608"/>
  <c r="HX185" i="14608"/>
  <c r="HY185" i="14608"/>
  <c r="HZ185" i="14608"/>
  <c r="IA185" i="14608"/>
  <c r="IB185" i="14608"/>
  <c r="IC185" i="14608"/>
  <c r="ID185" i="14608"/>
  <c r="IE185" i="14608"/>
  <c r="IF185" i="14608"/>
  <c r="IG185" i="14608"/>
  <c r="IH185" i="14608"/>
  <c r="II185" i="14608"/>
  <c r="IJ185" i="14608"/>
  <c r="IK185" i="14608"/>
  <c r="IL185" i="14608"/>
  <c r="IM185" i="14608"/>
  <c r="IN185" i="14608"/>
  <c r="IO185" i="14608"/>
  <c r="IP185" i="14608"/>
  <c r="IQ185" i="14608"/>
  <c r="IR185" i="14608"/>
  <c r="IS185" i="14608"/>
  <c r="IT185" i="14608"/>
  <c r="IU185" i="14608"/>
  <c r="IV185" i="14608"/>
  <c r="A184" i="14608"/>
  <c r="B184" i="14608"/>
  <c r="C184" i="14608"/>
  <c r="D184" i="14608"/>
  <c r="E184" i="14608"/>
  <c r="F184" i="14608"/>
  <c r="G184" i="14608"/>
  <c r="H184" i="14608"/>
  <c r="I184" i="14608"/>
  <c r="J184" i="14608"/>
  <c r="K184" i="14608"/>
  <c r="L184" i="14608"/>
  <c r="M184" i="14608"/>
  <c r="N184" i="14608"/>
  <c r="O184" i="14608"/>
  <c r="P184" i="14608"/>
  <c r="Q184" i="14608"/>
  <c r="R184" i="14608"/>
  <c r="S184" i="14608"/>
  <c r="T184" i="14608"/>
  <c r="U184" i="14608"/>
  <c r="V184" i="14608"/>
  <c r="W184" i="14608"/>
  <c r="X184" i="14608"/>
  <c r="Y184" i="14608"/>
  <c r="Z184" i="14608"/>
  <c r="AA184" i="14608"/>
  <c r="AB184" i="14608"/>
  <c r="AC184" i="14608"/>
  <c r="AD184" i="14608"/>
  <c r="AE184" i="14608"/>
  <c r="AF184" i="14608"/>
  <c r="AG184" i="14608"/>
  <c r="AH184" i="14608"/>
  <c r="AI184" i="14608"/>
  <c r="AJ184" i="14608"/>
  <c r="AK184" i="14608"/>
  <c r="AL184" i="14608"/>
  <c r="AM184" i="14608"/>
  <c r="AN184" i="14608"/>
  <c r="AO184" i="14608"/>
  <c r="AP184" i="14608"/>
  <c r="AQ184" i="14608"/>
  <c r="AR184" i="14608"/>
  <c r="AS184" i="14608"/>
  <c r="AT184" i="14608"/>
  <c r="AU184" i="14608"/>
  <c r="AV184" i="14608"/>
  <c r="AW184" i="14608"/>
  <c r="AX184" i="14608"/>
  <c r="AY184" i="14608"/>
  <c r="AZ184" i="14608"/>
  <c r="BA184" i="14608"/>
  <c r="BB184" i="14608"/>
  <c r="BC184" i="14608"/>
  <c r="BD184" i="14608"/>
  <c r="BE184" i="14608"/>
  <c r="BF184" i="14608"/>
  <c r="BG184" i="14608"/>
  <c r="BH184" i="14608"/>
  <c r="BI184" i="14608"/>
  <c r="BJ184" i="14608"/>
  <c r="BK184" i="14608"/>
  <c r="BL184" i="14608"/>
  <c r="BM184" i="14608"/>
  <c r="BN184" i="14608"/>
  <c r="BO184" i="14608"/>
  <c r="BP184" i="14608"/>
  <c r="BQ184" i="14608"/>
  <c r="BR184" i="14608"/>
  <c r="BS184" i="14608"/>
  <c r="BT184" i="14608"/>
  <c r="BU184" i="14608"/>
  <c r="BV184" i="14608"/>
  <c r="BW184" i="14608"/>
  <c r="BX184" i="14608"/>
  <c r="BY184" i="14608"/>
  <c r="BZ184" i="14608"/>
  <c r="CA184" i="14608"/>
  <c r="CB184" i="14608"/>
  <c r="CC184" i="14608"/>
  <c r="CD184" i="14608"/>
  <c r="CE184" i="14608"/>
  <c r="CF184" i="14608"/>
  <c r="CG184" i="14608"/>
  <c r="CH184" i="14608"/>
  <c r="CI184" i="14608"/>
  <c r="CJ184" i="14608"/>
  <c r="CK184" i="14608"/>
  <c r="CL184" i="14608"/>
  <c r="CM184" i="14608"/>
  <c r="CN184" i="14608"/>
  <c r="CO184" i="14608"/>
  <c r="CP184" i="14608"/>
  <c r="CQ184" i="14608"/>
  <c r="CR184" i="14608"/>
  <c r="CS184" i="14608"/>
  <c r="CT184" i="14608"/>
  <c r="CU184" i="14608"/>
  <c r="CV184" i="14608"/>
  <c r="CW184" i="14608"/>
  <c r="CX184" i="14608"/>
  <c r="CY184" i="14608"/>
  <c r="CZ184" i="14608"/>
  <c r="DA184" i="14608"/>
  <c r="DB184" i="14608"/>
  <c r="DC184" i="14608"/>
  <c r="DD184" i="14608"/>
  <c r="DE184" i="14608"/>
  <c r="DF184" i="14608"/>
  <c r="DG184" i="14608"/>
  <c r="DH184" i="14608"/>
  <c r="DI184" i="14608"/>
  <c r="DJ184" i="14608"/>
  <c r="DK184" i="14608"/>
  <c r="DL184" i="14608"/>
  <c r="DM184" i="14608"/>
  <c r="DN184" i="14608"/>
  <c r="DO184" i="14608"/>
  <c r="DP184" i="14608"/>
  <c r="DQ184" i="14608"/>
  <c r="DR184" i="14608"/>
  <c r="DS184" i="14608"/>
  <c r="DT184" i="14608"/>
  <c r="DU184" i="14608"/>
  <c r="DV184" i="14608"/>
  <c r="DW184" i="14608"/>
  <c r="DX184" i="14608"/>
  <c r="DY184" i="14608"/>
  <c r="DZ184" i="14608"/>
  <c r="EA184" i="14608"/>
  <c r="EB184" i="14608"/>
  <c r="EC184" i="14608"/>
  <c r="ED184" i="14608"/>
  <c r="EE184" i="14608"/>
  <c r="EF184" i="14608"/>
  <c r="EG184" i="14608"/>
  <c r="EH184" i="14608"/>
  <c r="EI184" i="14608"/>
  <c r="EJ184" i="14608"/>
  <c r="EK184" i="14608"/>
  <c r="EL184" i="14608"/>
  <c r="EM184" i="14608"/>
  <c r="EN184" i="14608"/>
  <c r="EO184" i="14608"/>
  <c r="EP184" i="14608"/>
  <c r="EQ184" i="14608"/>
  <c r="ER184" i="14608"/>
  <c r="ES184" i="14608"/>
  <c r="ET184" i="14608"/>
  <c r="EU184" i="14608"/>
  <c r="EV184" i="14608"/>
  <c r="EW184" i="14608"/>
  <c r="EX184" i="14608"/>
  <c r="EY184" i="14608"/>
  <c r="EZ184" i="14608"/>
  <c r="FA184" i="14608"/>
  <c r="FB184" i="14608"/>
  <c r="FC184" i="14608"/>
  <c r="FD184" i="14608"/>
  <c r="FE184" i="14608"/>
  <c r="FF184" i="14608"/>
  <c r="FG184" i="14608"/>
  <c r="FH184" i="14608"/>
  <c r="FI184" i="14608"/>
  <c r="FJ184" i="14608"/>
  <c r="FK184" i="14608"/>
  <c r="FL184" i="14608"/>
  <c r="FM184" i="14608"/>
  <c r="FN184" i="14608"/>
  <c r="FO184" i="14608"/>
  <c r="FP184" i="14608"/>
  <c r="FQ184" i="14608"/>
  <c r="FR184" i="14608"/>
  <c r="FS184" i="14608"/>
  <c r="FT184" i="14608"/>
  <c r="FU184" i="14608"/>
  <c r="FV184" i="14608"/>
  <c r="FW184" i="14608"/>
  <c r="FX184" i="14608"/>
  <c r="FY184" i="14608"/>
  <c r="FZ184" i="14608"/>
  <c r="GA184" i="14608"/>
  <c r="GB184" i="14608"/>
  <c r="GC184" i="14608"/>
  <c r="GD184" i="14608"/>
  <c r="GE184" i="14608"/>
  <c r="GF184" i="14608"/>
  <c r="GG184" i="14608"/>
  <c r="GH184" i="14608"/>
  <c r="GI184" i="14608"/>
  <c r="GJ184" i="14608"/>
  <c r="GK184" i="14608"/>
  <c r="GL184" i="14608"/>
  <c r="GM184" i="14608"/>
  <c r="GN184" i="14608"/>
  <c r="GO184" i="14608"/>
  <c r="GP184" i="14608"/>
  <c r="GQ184" i="14608"/>
  <c r="GR184" i="14608"/>
  <c r="GS184" i="14608"/>
  <c r="GT184" i="14608"/>
  <c r="GU184" i="14608"/>
  <c r="GV184" i="14608"/>
  <c r="GW184" i="14608"/>
  <c r="GX184" i="14608"/>
  <c r="GY184" i="14608"/>
  <c r="GZ184" i="14608"/>
  <c r="HA184" i="14608"/>
  <c r="HB184" i="14608"/>
  <c r="HC184" i="14608"/>
  <c r="HD184" i="14608"/>
  <c r="HE184" i="14608"/>
  <c r="HF184" i="14608"/>
  <c r="HG184" i="14608"/>
  <c r="HH184" i="14608"/>
  <c r="HI184" i="14608"/>
  <c r="HJ184" i="14608"/>
  <c r="HK184" i="14608"/>
  <c r="HL184" i="14608"/>
  <c r="HM184" i="14608"/>
  <c r="HN184" i="14608"/>
  <c r="HO184" i="14608"/>
  <c r="HP184" i="14608"/>
  <c r="HQ184" i="14608"/>
  <c r="HR184" i="14608"/>
  <c r="HS184" i="14608"/>
  <c r="HT184" i="14608"/>
  <c r="HU184" i="14608"/>
  <c r="HV184" i="14608"/>
  <c r="HW184" i="14608"/>
  <c r="HX184" i="14608"/>
  <c r="HY184" i="14608"/>
  <c r="HZ184" i="14608"/>
  <c r="IA184" i="14608"/>
  <c r="IB184" i="14608"/>
  <c r="IC184" i="14608"/>
  <c r="ID184" i="14608"/>
  <c r="IE184" i="14608"/>
  <c r="IF184" i="14608"/>
  <c r="IG184" i="14608"/>
  <c r="IH184" i="14608"/>
  <c r="II184" i="14608"/>
  <c r="IJ184" i="14608"/>
  <c r="IK184" i="14608"/>
  <c r="IL184" i="14608"/>
  <c r="IM184" i="14608"/>
  <c r="IN184" i="14608"/>
  <c r="IO184" i="14608"/>
  <c r="IP184" i="14608"/>
  <c r="IQ184" i="14608"/>
  <c r="IR184" i="14608"/>
  <c r="IS184" i="14608"/>
  <c r="IT184" i="14608"/>
  <c r="IU184" i="14608"/>
  <c r="IV184" i="14608"/>
  <c r="A183" i="14608"/>
  <c r="B183" i="14608"/>
  <c r="C183" i="14608"/>
  <c r="D183" i="14608"/>
  <c r="E183" i="14608"/>
  <c r="F183" i="14608"/>
  <c r="G183" i="14608"/>
  <c r="H183" i="14608"/>
  <c r="I183" i="14608"/>
  <c r="J183" i="14608"/>
  <c r="K183" i="14608"/>
  <c r="L183" i="14608"/>
  <c r="M183" i="14608"/>
  <c r="N183" i="14608"/>
  <c r="O183" i="14608"/>
  <c r="P183" i="14608"/>
  <c r="Q183" i="14608"/>
  <c r="R183" i="14608"/>
  <c r="S183" i="14608"/>
  <c r="T183" i="14608"/>
  <c r="U183" i="14608"/>
  <c r="V183" i="14608"/>
  <c r="W183" i="14608"/>
  <c r="X183" i="14608"/>
  <c r="Y183" i="14608"/>
  <c r="Z183" i="14608"/>
  <c r="AA183" i="14608"/>
  <c r="AB183" i="14608"/>
  <c r="AC183" i="14608"/>
  <c r="AD183" i="14608"/>
  <c r="AE183" i="14608"/>
  <c r="AF183" i="14608"/>
  <c r="AG183" i="14608"/>
  <c r="AH183" i="14608"/>
  <c r="AI183" i="14608"/>
  <c r="AJ183" i="14608"/>
  <c r="AK183" i="14608"/>
  <c r="AL183" i="14608"/>
  <c r="AM183" i="14608"/>
  <c r="AN183" i="14608"/>
  <c r="AO183" i="14608"/>
  <c r="AP183" i="14608"/>
  <c r="AQ183" i="14608"/>
  <c r="AR183" i="14608"/>
  <c r="AS183" i="14608"/>
  <c r="AT183" i="14608"/>
  <c r="AU183" i="14608"/>
  <c r="AV183" i="14608"/>
  <c r="AW183" i="14608"/>
  <c r="AX183" i="14608"/>
  <c r="AY183" i="14608"/>
  <c r="AZ183" i="14608"/>
  <c r="BA183" i="14608"/>
  <c r="BB183" i="14608"/>
  <c r="BC183" i="14608"/>
  <c r="BD183" i="14608"/>
  <c r="BE183" i="14608"/>
  <c r="BF183" i="14608"/>
  <c r="BG183" i="14608"/>
  <c r="BH183" i="14608"/>
  <c r="BI183" i="14608"/>
  <c r="BJ183" i="14608"/>
  <c r="BK183" i="14608"/>
  <c r="BL183" i="14608"/>
  <c r="BM183" i="14608"/>
  <c r="BN183" i="14608"/>
  <c r="BO183" i="14608"/>
  <c r="BP183" i="14608"/>
  <c r="BQ183" i="14608"/>
  <c r="BR183" i="14608"/>
  <c r="BS183" i="14608"/>
  <c r="BT183" i="14608"/>
  <c r="BU183" i="14608"/>
  <c r="BV183" i="14608"/>
  <c r="BW183" i="14608"/>
  <c r="BX183" i="14608"/>
  <c r="BY183" i="14608"/>
  <c r="BZ183" i="14608"/>
  <c r="CA183" i="14608"/>
  <c r="CB183" i="14608"/>
  <c r="CC183" i="14608"/>
  <c r="CD183" i="14608"/>
  <c r="CE183" i="14608"/>
  <c r="CF183" i="14608"/>
  <c r="CG183" i="14608"/>
  <c r="CH183" i="14608"/>
  <c r="CI183" i="14608"/>
  <c r="CJ183" i="14608"/>
  <c r="CK183" i="14608"/>
  <c r="CL183" i="14608"/>
  <c r="CM183" i="14608"/>
  <c r="CN183" i="14608"/>
  <c r="CO183" i="14608"/>
  <c r="CP183" i="14608"/>
  <c r="CQ183" i="14608"/>
  <c r="CR183" i="14608"/>
  <c r="CS183" i="14608"/>
  <c r="CT183" i="14608"/>
  <c r="CU183" i="14608"/>
  <c r="CV183" i="14608"/>
  <c r="CW183" i="14608"/>
  <c r="CX183" i="14608"/>
  <c r="CY183" i="14608"/>
  <c r="CZ183" i="14608"/>
  <c r="DA183" i="14608"/>
  <c r="DB183" i="14608"/>
  <c r="DC183" i="14608"/>
  <c r="DD183" i="14608"/>
  <c r="DE183" i="14608"/>
  <c r="DF183" i="14608"/>
  <c r="DG183" i="14608"/>
  <c r="DH183" i="14608"/>
  <c r="DI183" i="14608"/>
  <c r="DJ183" i="14608"/>
  <c r="DK183" i="14608"/>
  <c r="DL183" i="14608"/>
  <c r="DM183" i="14608"/>
  <c r="DN183" i="14608"/>
  <c r="DO183" i="14608"/>
  <c r="DP183" i="14608"/>
  <c r="DQ183" i="14608"/>
  <c r="DR183" i="14608"/>
  <c r="DS183" i="14608"/>
  <c r="DT183" i="14608"/>
  <c r="DU183" i="14608"/>
  <c r="DV183" i="14608"/>
  <c r="DW183" i="14608"/>
  <c r="DX183" i="14608"/>
  <c r="DY183" i="14608"/>
  <c r="DZ183" i="14608"/>
  <c r="EA183" i="14608"/>
  <c r="EB183" i="14608"/>
  <c r="EC183" i="14608"/>
  <c r="ED183" i="14608"/>
  <c r="EE183" i="14608"/>
  <c r="EF183" i="14608"/>
  <c r="EG183" i="14608"/>
  <c r="EH183" i="14608"/>
  <c r="EI183" i="14608"/>
  <c r="EJ183" i="14608"/>
  <c r="EK183" i="14608"/>
  <c r="EL183" i="14608"/>
  <c r="EM183" i="14608"/>
  <c r="EN183" i="14608"/>
  <c r="EO183" i="14608"/>
  <c r="EP183" i="14608"/>
  <c r="EQ183" i="14608"/>
  <c r="ER183" i="14608"/>
  <c r="ES183" i="14608"/>
  <c r="ET183" i="14608"/>
  <c r="EU183" i="14608"/>
  <c r="EV183" i="14608"/>
  <c r="EW183" i="14608"/>
  <c r="EX183" i="14608"/>
  <c r="EY183" i="14608"/>
  <c r="EZ183" i="14608"/>
  <c r="FA183" i="14608"/>
  <c r="FB183" i="14608"/>
  <c r="FC183" i="14608"/>
  <c r="FD183" i="14608"/>
  <c r="FE183" i="14608"/>
  <c r="FF183" i="14608"/>
  <c r="FG183" i="14608"/>
  <c r="FH183" i="14608"/>
  <c r="FI183" i="14608"/>
  <c r="FJ183" i="14608"/>
  <c r="FK183" i="14608"/>
  <c r="FL183" i="14608"/>
  <c r="FM183" i="14608"/>
  <c r="FN183" i="14608"/>
  <c r="FO183" i="14608"/>
  <c r="FP183" i="14608"/>
  <c r="FQ183" i="14608"/>
  <c r="FR183" i="14608"/>
  <c r="FS183" i="14608"/>
  <c r="FT183" i="14608"/>
  <c r="FU183" i="14608"/>
  <c r="FV183" i="14608"/>
  <c r="FW183" i="14608"/>
  <c r="FX183" i="14608"/>
  <c r="FY183" i="14608"/>
  <c r="FZ183" i="14608"/>
  <c r="GA183" i="14608"/>
  <c r="GB183" i="14608"/>
  <c r="GC183" i="14608"/>
  <c r="GD183" i="14608"/>
  <c r="GE183" i="14608"/>
  <c r="GF183" i="14608"/>
  <c r="GG183" i="14608"/>
  <c r="GH183" i="14608"/>
  <c r="GI183" i="14608"/>
  <c r="GJ183" i="14608"/>
  <c r="GK183" i="14608"/>
  <c r="GL183" i="14608"/>
  <c r="GM183" i="14608"/>
  <c r="GN183" i="14608"/>
  <c r="GO183" i="14608"/>
  <c r="GP183" i="14608"/>
  <c r="GQ183" i="14608"/>
  <c r="GR183" i="14608"/>
  <c r="GS183" i="14608"/>
  <c r="GT183" i="14608"/>
  <c r="GU183" i="14608"/>
  <c r="GV183" i="14608"/>
  <c r="GW183" i="14608"/>
  <c r="GX183" i="14608"/>
  <c r="GY183" i="14608"/>
  <c r="GZ183" i="14608"/>
  <c r="HA183" i="14608"/>
  <c r="HB183" i="14608"/>
  <c r="HC183" i="14608"/>
  <c r="HD183" i="14608"/>
  <c r="HE183" i="14608"/>
  <c r="HF183" i="14608"/>
  <c r="HG183" i="14608"/>
  <c r="HH183" i="14608"/>
  <c r="HI183" i="14608"/>
  <c r="HJ183" i="14608"/>
  <c r="HK183" i="14608"/>
  <c r="HL183" i="14608"/>
  <c r="HM183" i="14608"/>
  <c r="HN183" i="14608"/>
  <c r="HO183" i="14608"/>
  <c r="HP183" i="14608"/>
  <c r="HQ183" i="14608"/>
  <c r="HR183" i="14608"/>
  <c r="HS183" i="14608"/>
  <c r="HT183" i="14608"/>
  <c r="HU183" i="14608"/>
  <c r="HV183" i="14608"/>
  <c r="HW183" i="14608"/>
  <c r="HX183" i="14608"/>
  <c r="HY183" i="14608"/>
  <c r="HZ183" i="14608"/>
  <c r="IA183" i="14608"/>
  <c r="IB183" i="14608"/>
  <c r="IC183" i="14608"/>
  <c r="ID183" i="14608"/>
  <c r="IE183" i="14608"/>
  <c r="IF183" i="14608"/>
  <c r="IG183" i="14608"/>
  <c r="IH183" i="14608"/>
  <c r="II183" i="14608"/>
  <c r="IJ183" i="14608"/>
  <c r="IK183" i="14608"/>
  <c r="IL183" i="14608"/>
  <c r="IM183" i="14608"/>
  <c r="IN183" i="14608"/>
  <c r="IO183" i="14608"/>
  <c r="IP183" i="14608"/>
  <c r="IQ183" i="14608"/>
  <c r="IR183" i="14608"/>
  <c r="IS183" i="14608"/>
  <c r="IT183" i="14608"/>
  <c r="IU183" i="14608"/>
  <c r="IV183" i="14608"/>
  <c r="A182" i="14608"/>
  <c r="B182" i="14608"/>
  <c r="C182" i="14608"/>
  <c r="D182" i="14608"/>
  <c r="E182" i="14608"/>
  <c r="F182" i="14608"/>
  <c r="G182" i="14608"/>
  <c r="H182" i="14608"/>
  <c r="I182" i="14608"/>
  <c r="J182" i="14608"/>
  <c r="K182" i="14608"/>
  <c r="L182" i="14608"/>
  <c r="M182" i="14608"/>
  <c r="N182" i="14608"/>
  <c r="O182" i="14608"/>
  <c r="P182" i="14608"/>
  <c r="Q182" i="14608"/>
  <c r="R182" i="14608"/>
  <c r="S182" i="14608"/>
  <c r="T182" i="14608"/>
  <c r="U182" i="14608"/>
  <c r="V182" i="14608"/>
  <c r="W182" i="14608"/>
  <c r="X182" i="14608"/>
  <c r="Y182" i="14608"/>
  <c r="Z182" i="14608"/>
  <c r="AA182" i="14608"/>
  <c r="AB182" i="14608"/>
  <c r="AC182" i="14608"/>
  <c r="AD182" i="14608"/>
  <c r="AE182" i="14608"/>
  <c r="AF182" i="14608"/>
  <c r="AG182" i="14608"/>
  <c r="AH182" i="14608"/>
  <c r="AI182" i="14608"/>
  <c r="AJ182" i="14608"/>
  <c r="AK182" i="14608"/>
  <c r="AL182" i="14608"/>
  <c r="AM182" i="14608"/>
  <c r="AN182" i="14608"/>
  <c r="AO182" i="14608"/>
  <c r="AP182" i="14608"/>
  <c r="AQ182" i="14608"/>
  <c r="AR182" i="14608"/>
  <c r="AS182" i="14608"/>
  <c r="AT182" i="14608"/>
  <c r="AU182" i="14608"/>
  <c r="AV182" i="14608"/>
  <c r="AW182" i="14608"/>
  <c r="AX182" i="14608"/>
  <c r="AY182" i="14608"/>
  <c r="AZ182" i="14608"/>
  <c r="BA182" i="14608"/>
  <c r="BB182" i="14608"/>
  <c r="BC182" i="14608"/>
  <c r="BD182" i="14608"/>
  <c r="BE182" i="14608"/>
  <c r="BF182" i="14608"/>
  <c r="BG182" i="14608"/>
  <c r="BH182" i="14608"/>
  <c r="BI182" i="14608"/>
  <c r="BJ182" i="14608"/>
  <c r="BK182" i="14608"/>
  <c r="BL182" i="14608"/>
  <c r="BM182" i="14608"/>
  <c r="BN182" i="14608"/>
  <c r="BO182" i="14608"/>
  <c r="BP182" i="14608"/>
  <c r="BQ182" i="14608"/>
  <c r="BR182" i="14608"/>
  <c r="BS182" i="14608"/>
  <c r="BT182" i="14608"/>
  <c r="BU182" i="14608"/>
  <c r="BV182" i="14608"/>
  <c r="BW182" i="14608"/>
  <c r="BX182" i="14608"/>
  <c r="BY182" i="14608"/>
  <c r="BZ182" i="14608"/>
  <c r="CA182" i="14608"/>
  <c r="CB182" i="14608"/>
  <c r="CC182" i="14608"/>
  <c r="CD182" i="14608"/>
  <c r="CE182" i="14608"/>
  <c r="CF182" i="14608"/>
  <c r="CG182" i="14608"/>
  <c r="CH182" i="14608"/>
  <c r="CI182" i="14608"/>
  <c r="CJ182" i="14608"/>
  <c r="CK182" i="14608"/>
  <c r="CL182" i="14608"/>
  <c r="CM182" i="14608"/>
  <c r="CN182" i="14608"/>
  <c r="CO182" i="14608"/>
  <c r="CP182" i="14608"/>
  <c r="CQ182" i="14608"/>
  <c r="CR182" i="14608"/>
  <c r="CS182" i="14608"/>
  <c r="CT182" i="14608"/>
  <c r="CU182" i="14608"/>
  <c r="CV182" i="14608"/>
  <c r="CW182" i="14608"/>
  <c r="CX182" i="14608"/>
  <c r="CY182" i="14608"/>
  <c r="CZ182" i="14608"/>
  <c r="DA182" i="14608"/>
  <c r="DB182" i="14608"/>
  <c r="DC182" i="14608"/>
  <c r="DD182" i="14608"/>
  <c r="DE182" i="14608"/>
  <c r="DF182" i="14608"/>
  <c r="DG182" i="14608"/>
  <c r="DH182" i="14608"/>
  <c r="DI182" i="14608"/>
  <c r="DJ182" i="14608"/>
  <c r="DK182" i="14608"/>
  <c r="DL182" i="14608"/>
  <c r="DM182" i="14608"/>
  <c r="DN182" i="14608"/>
  <c r="DO182" i="14608"/>
  <c r="DP182" i="14608"/>
  <c r="DQ182" i="14608"/>
  <c r="DR182" i="14608"/>
  <c r="DS182" i="14608"/>
  <c r="DT182" i="14608"/>
  <c r="DU182" i="14608"/>
  <c r="DV182" i="14608"/>
  <c r="DW182" i="14608"/>
  <c r="DX182" i="14608"/>
  <c r="DY182" i="14608"/>
  <c r="DZ182" i="14608"/>
  <c r="EA182" i="14608"/>
  <c r="EB182" i="14608"/>
  <c r="EC182" i="14608"/>
  <c r="ED182" i="14608"/>
  <c r="EE182" i="14608"/>
  <c r="EF182" i="14608"/>
  <c r="EG182" i="14608"/>
  <c r="EH182" i="14608"/>
  <c r="EI182" i="14608"/>
  <c r="EJ182" i="14608"/>
  <c r="EK182" i="14608"/>
  <c r="EL182" i="14608"/>
  <c r="EM182" i="14608"/>
  <c r="EN182" i="14608"/>
  <c r="EO182" i="14608"/>
  <c r="EP182" i="14608"/>
  <c r="EQ182" i="14608"/>
  <c r="ER182" i="14608"/>
  <c r="ES182" i="14608"/>
  <c r="ET182" i="14608"/>
  <c r="EU182" i="14608"/>
  <c r="EV182" i="14608"/>
  <c r="EW182" i="14608"/>
  <c r="EX182" i="14608"/>
  <c r="EY182" i="14608"/>
  <c r="EZ182" i="14608"/>
  <c r="FA182" i="14608"/>
  <c r="FB182" i="14608"/>
  <c r="FC182" i="14608"/>
  <c r="FD182" i="14608"/>
  <c r="FE182" i="14608"/>
  <c r="FF182" i="14608"/>
  <c r="FG182" i="14608"/>
  <c r="FH182" i="14608"/>
  <c r="FI182" i="14608"/>
  <c r="FJ182" i="14608"/>
  <c r="FK182" i="14608"/>
  <c r="FL182" i="14608"/>
  <c r="FM182" i="14608"/>
  <c r="FN182" i="14608"/>
  <c r="FO182" i="14608"/>
  <c r="FP182" i="14608"/>
  <c r="FQ182" i="14608"/>
  <c r="FR182" i="14608"/>
  <c r="FS182" i="14608"/>
  <c r="FT182" i="14608"/>
  <c r="FU182" i="14608"/>
  <c r="FV182" i="14608"/>
  <c r="FW182" i="14608"/>
  <c r="FX182" i="14608"/>
  <c r="FY182" i="14608"/>
  <c r="FZ182" i="14608"/>
  <c r="GA182" i="14608"/>
  <c r="GB182" i="14608"/>
  <c r="GC182" i="14608"/>
  <c r="GD182" i="14608"/>
  <c r="GE182" i="14608"/>
  <c r="GF182" i="14608"/>
  <c r="GG182" i="14608"/>
  <c r="GH182" i="14608"/>
  <c r="GI182" i="14608"/>
  <c r="GJ182" i="14608"/>
  <c r="GK182" i="14608"/>
  <c r="GL182" i="14608"/>
  <c r="GM182" i="14608"/>
  <c r="GN182" i="14608"/>
  <c r="GO182" i="14608"/>
  <c r="GP182" i="14608"/>
  <c r="GQ182" i="14608"/>
  <c r="GR182" i="14608"/>
  <c r="GS182" i="14608"/>
  <c r="GT182" i="14608"/>
  <c r="GU182" i="14608"/>
  <c r="GV182" i="14608"/>
  <c r="GW182" i="14608"/>
  <c r="GX182" i="14608"/>
  <c r="GY182" i="14608"/>
  <c r="GZ182" i="14608"/>
  <c r="HA182" i="14608"/>
  <c r="HB182" i="14608"/>
  <c r="HC182" i="14608"/>
  <c r="HD182" i="14608"/>
  <c r="HE182" i="14608"/>
  <c r="HF182" i="14608"/>
  <c r="HG182" i="14608"/>
  <c r="HH182" i="14608"/>
  <c r="HI182" i="14608"/>
  <c r="HJ182" i="14608"/>
  <c r="HK182" i="14608"/>
  <c r="HL182" i="14608"/>
  <c r="HM182" i="14608"/>
  <c r="HN182" i="14608"/>
  <c r="HO182" i="14608"/>
  <c r="HP182" i="14608"/>
  <c r="HQ182" i="14608"/>
  <c r="HR182" i="14608"/>
  <c r="HS182" i="14608"/>
  <c r="HT182" i="14608"/>
  <c r="HU182" i="14608"/>
  <c r="HV182" i="14608"/>
  <c r="HW182" i="14608"/>
  <c r="HX182" i="14608"/>
  <c r="HY182" i="14608"/>
  <c r="HZ182" i="14608"/>
  <c r="IA182" i="14608"/>
  <c r="IB182" i="14608"/>
  <c r="IC182" i="14608"/>
  <c r="ID182" i="14608"/>
  <c r="IE182" i="14608"/>
  <c r="IF182" i="14608"/>
  <c r="IG182" i="14608"/>
  <c r="IH182" i="14608"/>
  <c r="II182" i="14608"/>
  <c r="IJ182" i="14608"/>
  <c r="IK182" i="14608"/>
  <c r="IL182" i="14608"/>
  <c r="IM182" i="14608"/>
  <c r="IN182" i="14608"/>
  <c r="IO182" i="14608"/>
  <c r="IP182" i="14608"/>
  <c r="IQ182" i="14608"/>
  <c r="IR182" i="14608"/>
  <c r="IS182" i="14608"/>
  <c r="IT182" i="14608"/>
  <c r="IU182" i="14608"/>
  <c r="IV182" i="14608"/>
  <c r="A181" i="14608"/>
  <c r="B181" i="14608"/>
  <c r="C181" i="14608"/>
  <c r="D181" i="14608"/>
  <c r="E181" i="14608"/>
  <c r="F181" i="14608"/>
  <c r="G181" i="14608"/>
  <c r="H181" i="14608"/>
  <c r="I181" i="14608"/>
  <c r="J181" i="14608"/>
  <c r="K181" i="14608"/>
  <c r="L181" i="14608"/>
  <c r="M181" i="14608"/>
  <c r="N181" i="14608"/>
  <c r="O181" i="14608"/>
  <c r="P181" i="14608"/>
  <c r="Q181" i="14608"/>
  <c r="R181" i="14608"/>
  <c r="S181" i="14608"/>
  <c r="T181" i="14608"/>
  <c r="U181" i="14608"/>
  <c r="V181" i="14608"/>
  <c r="W181" i="14608"/>
  <c r="X181" i="14608"/>
  <c r="Y181" i="14608"/>
  <c r="Z181" i="14608"/>
  <c r="AA181" i="14608"/>
  <c r="AB181" i="14608"/>
  <c r="AC181" i="14608"/>
  <c r="AD181" i="14608"/>
  <c r="AE181" i="14608"/>
  <c r="AF181" i="14608"/>
  <c r="AG181" i="14608"/>
  <c r="AH181" i="14608"/>
  <c r="AI181" i="14608"/>
  <c r="AJ181" i="14608"/>
  <c r="AK181" i="14608"/>
  <c r="AL181" i="14608"/>
  <c r="AM181" i="14608"/>
  <c r="AN181" i="14608"/>
  <c r="AO181" i="14608"/>
  <c r="AP181" i="14608"/>
  <c r="AQ181" i="14608"/>
  <c r="AR181" i="14608"/>
  <c r="AS181" i="14608"/>
  <c r="AT181" i="14608"/>
  <c r="AU181" i="14608"/>
  <c r="AV181" i="14608"/>
  <c r="AW181" i="14608"/>
  <c r="AX181" i="14608"/>
  <c r="AY181" i="14608"/>
  <c r="AZ181" i="14608"/>
  <c r="BA181" i="14608"/>
  <c r="BB181" i="14608"/>
  <c r="BC181" i="14608"/>
  <c r="BD181" i="14608"/>
  <c r="BE181" i="14608"/>
  <c r="BF181" i="14608"/>
  <c r="BG181" i="14608"/>
  <c r="BH181" i="14608"/>
  <c r="BI181" i="14608"/>
  <c r="BJ181" i="14608"/>
  <c r="BK181" i="14608"/>
  <c r="BL181" i="14608"/>
  <c r="BM181" i="14608"/>
  <c r="BN181" i="14608"/>
  <c r="BO181" i="14608"/>
  <c r="BP181" i="14608"/>
  <c r="BQ181" i="14608"/>
  <c r="BR181" i="14608"/>
  <c r="BS181" i="14608"/>
  <c r="BT181" i="14608"/>
  <c r="BU181" i="14608"/>
  <c r="BV181" i="14608"/>
  <c r="BW181" i="14608"/>
  <c r="BX181" i="14608"/>
  <c r="BY181" i="14608"/>
  <c r="BZ181" i="14608"/>
  <c r="CA181" i="14608"/>
  <c r="CB181" i="14608"/>
  <c r="CC181" i="14608"/>
  <c r="CD181" i="14608"/>
  <c r="CE181" i="14608"/>
  <c r="CF181" i="14608"/>
  <c r="CG181" i="14608"/>
  <c r="CH181" i="14608"/>
  <c r="CI181" i="14608"/>
  <c r="CJ181" i="14608"/>
  <c r="CK181" i="14608"/>
  <c r="CL181" i="14608"/>
  <c r="CM181" i="14608"/>
  <c r="CN181" i="14608"/>
  <c r="CO181" i="14608"/>
  <c r="CP181" i="14608"/>
  <c r="CQ181" i="14608"/>
  <c r="CR181" i="14608"/>
  <c r="CS181" i="14608"/>
  <c r="CT181" i="14608"/>
  <c r="CU181" i="14608"/>
  <c r="CV181" i="14608"/>
  <c r="CW181" i="14608"/>
  <c r="CX181" i="14608"/>
  <c r="CY181" i="14608"/>
  <c r="CZ181" i="14608"/>
  <c r="DA181" i="14608"/>
  <c r="DB181" i="14608"/>
  <c r="DC181" i="14608"/>
  <c r="DD181" i="14608"/>
  <c r="DE181" i="14608"/>
  <c r="DF181" i="14608"/>
  <c r="DG181" i="14608"/>
  <c r="DH181" i="14608"/>
  <c r="DI181" i="14608"/>
  <c r="DJ181" i="14608"/>
  <c r="DK181" i="14608"/>
  <c r="DL181" i="14608"/>
  <c r="DM181" i="14608"/>
  <c r="DN181" i="14608"/>
  <c r="DO181" i="14608"/>
  <c r="DP181" i="14608"/>
  <c r="DQ181" i="14608"/>
  <c r="DR181" i="14608"/>
  <c r="DS181" i="14608"/>
  <c r="DT181" i="14608"/>
  <c r="DU181" i="14608"/>
  <c r="DV181" i="14608"/>
  <c r="DW181" i="14608"/>
  <c r="DX181" i="14608"/>
  <c r="DY181" i="14608"/>
  <c r="DZ181" i="14608"/>
  <c r="EA181" i="14608"/>
  <c r="EB181" i="14608"/>
  <c r="EC181" i="14608"/>
  <c r="ED181" i="14608"/>
  <c r="EE181" i="14608"/>
  <c r="EF181" i="14608"/>
  <c r="EG181" i="14608"/>
  <c r="EH181" i="14608"/>
  <c r="EI181" i="14608"/>
  <c r="EJ181" i="14608"/>
  <c r="EK181" i="14608"/>
  <c r="EL181" i="14608"/>
  <c r="EM181" i="14608"/>
  <c r="EN181" i="14608"/>
  <c r="EO181" i="14608"/>
  <c r="EP181" i="14608"/>
  <c r="EQ181" i="14608"/>
  <c r="ER181" i="14608"/>
  <c r="ES181" i="14608"/>
  <c r="ET181" i="14608"/>
  <c r="EU181" i="14608"/>
  <c r="EV181" i="14608"/>
  <c r="EW181" i="14608"/>
  <c r="EX181" i="14608"/>
  <c r="EY181" i="14608"/>
  <c r="EZ181" i="14608"/>
  <c r="FA181" i="14608"/>
  <c r="FB181" i="14608"/>
  <c r="FC181" i="14608"/>
  <c r="FD181" i="14608"/>
  <c r="FE181" i="14608"/>
  <c r="FF181" i="14608"/>
  <c r="FG181" i="14608"/>
  <c r="FH181" i="14608"/>
  <c r="FI181" i="14608"/>
  <c r="FJ181" i="14608"/>
  <c r="FK181" i="14608"/>
  <c r="FL181" i="14608"/>
  <c r="FM181" i="14608"/>
  <c r="FN181" i="14608"/>
  <c r="FO181" i="14608"/>
  <c r="FP181" i="14608"/>
  <c r="FQ181" i="14608"/>
  <c r="FR181" i="14608"/>
  <c r="FS181" i="14608"/>
  <c r="FT181" i="14608"/>
  <c r="FU181" i="14608"/>
  <c r="FV181" i="14608"/>
  <c r="FW181" i="14608"/>
  <c r="FX181" i="14608"/>
  <c r="FY181" i="14608"/>
  <c r="FZ181" i="14608"/>
  <c r="GA181" i="14608"/>
  <c r="GB181" i="14608"/>
  <c r="GC181" i="14608"/>
  <c r="GD181" i="14608"/>
  <c r="GE181" i="14608"/>
  <c r="GF181" i="14608"/>
  <c r="GG181" i="14608"/>
  <c r="GH181" i="14608"/>
  <c r="GI181" i="14608"/>
  <c r="GJ181" i="14608"/>
  <c r="GK181" i="14608"/>
  <c r="GL181" i="14608"/>
  <c r="GM181" i="14608"/>
  <c r="GN181" i="14608"/>
  <c r="GO181" i="14608"/>
  <c r="GP181" i="14608"/>
  <c r="GQ181" i="14608"/>
  <c r="GR181" i="14608"/>
  <c r="GS181" i="14608"/>
  <c r="GT181" i="14608"/>
  <c r="GU181" i="14608"/>
  <c r="GV181" i="14608"/>
  <c r="GW181" i="14608"/>
  <c r="GX181" i="14608"/>
  <c r="GY181" i="14608"/>
  <c r="GZ181" i="14608"/>
  <c r="HA181" i="14608"/>
  <c r="HB181" i="14608"/>
  <c r="HC181" i="14608"/>
  <c r="HD181" i="14608"/>
  <c r="HE181" i="14608"/>
  <c r="HF181" i="14608"/>
  <c r="HG181" i="14608"/>
  <c r="HH181" i="14608"/>
  <c r="HI181" i="14608"/>
  <c r="HJ181" i="14608"/>
  <c r="HK181" i="14608"/>
  <c r="HL181" i="14608"/>
  <c r="HM181" i="14608"/>
  <c r="HN181" i="14608"/>
  <c r="HO181" i="14608"/>
  <c r="HP181" i="14608"/>
  <c r="HQ181" i="14608"/>
  <c r="HR181" i="14608"/>
  <c r="HS181" i="14608"/>
  <c r="HT181" i="14608"/>
  <c r="HU181" i="14608"/>
  <c r="HV181" i="14608"/>
  <c r="HW181" i="14608"/>
  <c r="HX181" i="14608"/>
  <c r="HY181" i="14608"/>
  <c r="HZ181" i="14608"/>
  <c r="IA181" i="14608"/>
  <c r="IB181" i="14608"/>
  <c r="IC181" i="14608"/>
  <c r="ID181" i="14608"/>
  <c r="IE181" i="14608"/>
  <c r="IF181" i="14608"/>
  <c r="IG181" i="14608"/>
  <c r="IH181" i="14608"/>
  <c r="II181" i="14608"/>
  <c r="IJ181" i="14608"/>
  <c r="IK181" i="14608"/>
  <c r="IL181" i="14608"/>
  <c r="IM181" i="14608"/>
  <c r="IN181" i="14608"/>
  <c r="IO181" i="14608"/>
  <c r="IP181" i="14608"/>
  <c r="IQ181" i="14608"/>
  <c r="IR181" i="14608"/>
  <c r="IS181" i="14608"/>
  <c r="IT181" i="14608"/>
  <c r="IU181" i="14608"/>
  <c r="IV181" i="14608"/>
  <c r="A180" i="14608"/>
  <c r="B180" i="14608"/>
  <c r="C180" i="14608"/>
  <c r="D180" i="14608"/>
  <c r="E180" i="14608"/>
  <c r="F180" i="14608"/>
  <c r="G180" i="14608"/>
  <c r="H180" i="14608"/>
  <c r="I180" i="14608"/>
  <c r="J180" i="14608"/>
  <c r="K180" i="14608"/>
  <c r="L180" i="14608"/>
  <c r="M180" i="14608"/>
  <c r="N180" i="14608"/>
  <c r="O180" i="14608"/>
  <c r="P180" i="14608"/>
  <c r="Q180" i="14608"/>
  <c r="R180" i="14608"/>
  <c r="S180" i="14608"/>
  <c r="T180" i="14608"/>
  <c r="U180" i="14608"/>
  <c r="V180" i="14608"/>
  <c r="W180" i="14608"/>
  <c r="X180" i="14608"/>
  <c r="Y180" i="14608"/>
  <c r="Z180" i="14608"/>
  <c r="AA180" i="14608"/>
  <c r="AB180" i="14608"/>
  <c r="AC180" i="14608"/>
  <c r="AD180" i="14608"/>
  <c r="AE180" i="14608"/>
  <c r="AF180" i="14608"/>
  <c r="AG180" i="14608"/>
  <c r="AH180" i="14608"/>
  <c r="AI180" i="14608"/>
  <c r="AJ180" i="14608"/>
  <c r="AK180" i="14608"/>
  <c r="AL180" i="14608"/>
  <c r="AM180" i="14608"/>
  <c r="AN180" i="14608"/>
  <c r="AO180" i="14608"/>
  <c r="AP180" i="14608"/>
  <c r="AQ180" i="14608"/>
  <c r="AR180" i="14608"/>
  <c r="AS180" i="14608"/>
  <c r="AT180" i="14608"/>
  <c r="AU180" i="14608"/>
  <c r="AV180" i="14608"/>
  <c r="AW180" i="14608"/>
  <c r="AX180" i="14608"/>
  <c r="AY180" i="14608"/>
  <c r="AZ180" i="14608"/>
  <c r="BA180" i="14608"/>
  <c r="BB180" i="14608"/>
  <c r="BC180" i="14608"/>
  <c r="BD180" i="14608"/>
  <c r="BE180" i="14608"/>
  <c r="BF180" i="14608"/>
  <c r="BG180" i="14608"/>
  <c r="BH180" i="14608"/>
  <c r="BI180" i="14608"/>
  <c r="BJ180" i="14608"/>
  <c r="BK180" i="14608"/>
  <c r="BL180" i="14608"/>
  <c r="BM180" i="14608"/>
  <c r="BN180" i="14608"/>
  <c r="BO180" i="14608"/>
  <c r="BP180" i="14608"/>
  <c r="BQ180" i="14608"/>
  <c r="BR180" i="14608"/>
  <c r="BS180" i="14608"/>
  <c r="BT180" i="14608"/>
  <c r="BU180" i="14608"/>
  <c r="BV180" i="14608"/>
  <c r="BW180" i="14608"/>
  <c r="BX180" i="14608"/>
  <c r="BY180" i="14608"/>
  <c r="BZ180" i="14608"/>
  <c r="CA180" i="14608"/>
  <c r="CB180" i="14608"/>
  <c r="CC180" i="14608"/>
  <c r="CD180" i="14608"/>
  <c r="CE180" i="14608"/>
  <c r="CF180" i="14608"/>
  <c r="CG180" i="14608"/>
  <c r="CH180" i="14608"/>
  <c r="CI180" i="14608"/>
  <c r="CJ180" i="14608"/>
  <c r="CK180" i="14608"/>
  <c r="CL180" i="14608"/>
  <c r="CM180" i="14608"/>
  <c r="CN180" i="14608"/>
  <c r="CO180" i="14608"/>
  <c r="CP180" i="14608"/>
  <c r="CQ180" i="14608"/>
  <c r="CR180" i="14608"/>
  <c r="CS180" i="14608"/>
  <c r="CT180" i="14608"/>
  <c r="CU180" i="14608"/>
  <c r="CV180" i="14608"/>
  <c r="CW180" i="14608"/>
  <c r="CX180" i="14608"/>
  <c r="CY180" i="14608"/>
  <c r="CZ180" i="14608"/>
  <c r="DA180" i="14608"/>
  <c r="DB180" i="14608"/>
  <c r="DC180" i="14608"/>
  <c r="DD180" i="14608"/>
  <c r="DE180" i="14608"/>
  <c r="DF180" i="14608"/>
  <c r="DG180" i="14608"/>
  <c r="DH180" i="14608"/>
  <c r="DI180" i="14608"/>
  <c r="DJ180" i="14608"/>
  <c r="DK180" i="14608"/>
  <c r="DL180" i="14608"/>
  <c r="DM180" i="14608"/>
  <c r="DN180" i="14608"/>
  <c r="DO180" i="14608"/>
  <c r="DP180" i="14608"/>
  <c r="DQ180" i="14608"/>
  <c r="DR180" i="14608"/>
  <c r="DS180" i="14608"/>
  <c r="DT180" i="14608"/>
  <c r="DU180" i="14608"/>
  <c r="DV180" i="14608"/>
  <c r="DW180" i="14608"/>
  <c r="DX180" i="14608"/>
  <c r="DY180" i="14608"/>
  <c r="DZ180" i="14608"/>
  <c r="EA180" i="14608"/>
  <c r="EB180" i="14608"/>
  <c r="EC180" i="14608"/>
  <c r="ED180" i="14608"/>
  <c r="EE180" i="14608"/>
  <c r="EF180" i="14608"/>
  <c r="EG180" i="14608"/>
  <c r="EH180" i="14608"/>
  <c r="EI180" i="14608"/>
  <c r="EJ180" i="14608"/>
  <c r="EK180" i="14608"/>
  <c r="EL180" i="14608"/>
  <c r="EM180" i="14608"/>
  <c r="EN180" i="14608"/>
  <c r="EO180" i="14608"/>
  <c r="EP180" i="14608"/>
  <c r="EQ180" i="14608"/>
  <c r="ER180" i="14608"/>
  <c r="ES180" i="14608"/>
  <c r="ET180" i="14608"/>
  <c r="EU180" i="14608"/>
  <c r="EV180" i="14608"/>
  <c r="EW180" i="14608"/>
  <c r="EX180" i="14608"/>
  <c r="EY180" i="14608"/>
  <c r="EZ180" i="14608"/>
  <c r="FA180" i="14608"/>
  <c r="FB180" i="14608"/>
  <c r="FC180" i="14608"/>
  <c r="FD180" i="14608"/>
  <c r="FE180" i="14608"/>
  <c r="FF180" i="14608"/>
  <c r="FG180" i="14608"/>
  <c r="FH180" i="14608"/>
  <c r="FI180" i="14608"/>
  <c r="FJ180" i="14608"/>
  <c r="FK180" i="14608"/>
  <c r="FL180" i="14608"/>
  <c r="FM180" i="14608"/>
  <c r="FN180" i="14608"/>
  <c r="FO180" i="14608"/>
  <c r="FP180" i="14608"/>
  <c r="FQ180" i="14608"/>
  <c r="FR180" i="14608"/>
  <c r="FS180" i="14608"/>
  <c r="FT180" i="14608"/>
  <c r="FU180" i="14608"/>
  <c r="FV180" i="14608"/>
  <c r="FW180" i="14608"/>
  <c r="FX180" i="14608"/>
  <c r="FY180" i="14608"/>
  <c r="FZ180" i="14608"/>
  <c r="GA180" i="14608"/>
  <c r="GB180" i="14608"/>
  <c r="GC180" i="14608"/>
  <c r="GD180" i="14608"/>
  <c r="GE180" i="14608"/>
  <c r="GF180" i="14608"/>
  <c r="GG180" i="14608"/>
  <c r="GH180" i="14608"/>
  <c r="GI180" i="14608"/>
  <c r="GJ180" i="14608"/>
  <c r="GK180" i="14608"/>
  <c r="GL180" i="14608"/>
  <c r="GM180" i="14608"/>
  <c r="GN180" i="14608"/>
  <c r="GO180" i="14608"/>
  <c r="GP180" i="14608"/>
  <c r="GQ180" i="14608"/>
  <c r="GR180" i="14608"/>
  <c r="GS180" i="14608"/>
  <c r="GT180" i="14608"/>
  <c r="GU180" i="14608"/>
  <c r="GV180" i="14608"/>
  <c r="GW180" i="14608"/>
  <c r="GX180" i="14608"/>
  <c r="GY180" i="14608"/>
  <c r="GZ180" i="14608"/>
  <c r="HA180" i="14608"/>
  <c r="HB180" i="14608"/>
  <c r="HC180" i="14608"/>
  <c r="HD180" i="14608"/>
  <c r="HE180" i="14608"/>
  <c r="HF180" i="14608"/>
  <c r="HG180" i="14608"/>
  <c r="HH180" i="14608"/>
  <c r="HI180" i="14608"/>
  <c r="HJ180" i="14608"/>
  <c r="HK180" i="14608"/>
  <c r="HL180" i="14608"/>
  <c r="HM180" i="14608"/>
  <c r="HN180" i="14608"/>
  <c r="HO180" i="14608"/>
  <c r="HP180" i="14608"/>
  <c r="HQ180" i="14608"/>
  <c r="HR180" i="14608"/>
  <c r="HS180" i="14608"/>
  <c r="HT180" i="14608"/>
  <c r="HU180" i="14608"/>
  <c r="HV180" i="14608"/>
  <c r="HW180" i="14608"/>
  <c r="HX180" i="14608"/>
  <c r="HY180" i="14608"/>
  <c r="HZ180" i="14608"/>
  <c r="IA180" i="14608"/>
  <c r="IB180" i="14608"/>
  <c r="IC180" i="14608"/>
  <c r="ID180" i="14608"/>
  <c r="IE180" i="14608"/>
  <c r="IF180" i="14608"/>
  <c r="IG180" i="14608"/>
  <c r="IH180" i="14608"/>
  <c r="II180" i="14608"/>
  <c r="IJ180" i="14608"/>
  <c r="IK180" i="14608"/>
  <c r="IL180" i="14608"/>
  <c r="IM180" i="14608"/>
  <c r="IN180" i="14608"/>
  <c r="IO180" i="14608"/>
  <c r="IP180" i="14608"/>
  <c r="IQ180" i="14608"/>
  <c r="IR180" i="14608"/>
  <c r="IS180" i="14608"/>
  <c r="IT180" i="14608"/>
  <c r="IU180" i="14608"/>
  <c r="IV180" i="14608"/>
  <c r="A179" i="14608"/>
  <c r="B179" i="14608"/>
  <c r="C179" i="14608"/>
  <c r="D179" i="14608"/>
  <c r="E179" i="14608"/>
  <c r="F179" i="14608"/>
  <c r="G179" i="14608"/>
  <c r="H179" i="14608"/>
  <c r="I179" i="14608"/>
  <c r="J179" i="14608"/>
  <c r="K179" i="14608"/>
  <c r="L179" i="14608"/>
  <c r="M179" i="14608"/>
  <c r="N179" i="14608"/>
  <c r="O179" i="14608"/>
  <c r="P179" i="14608"/>
  <c r="Q179" i="14608"/>
  <c r="R179" i="14608"/>
  <c r="S179" i="14608"/>
  <c r="T179" i="14608"/>
  <c r="U179" i="14608"/>
  <c r="V179" i="14608"/>
  <c r="W179" i="14608"/>
  <c r="X179" i="14608"/>
  <c r="Y179" i="14608"/>
  <c r="Z179" i="14608"/>
  <c r="AA179" i="14608"/>
  <c r="AB179" i="14608"/>
  <c r="AC179" i="14608"/>
  <c r="AD179" i="14608"/>
  <c r="AE179" i="14608"/>
  <c r="AF179" i="14608"/>
  <c r="AG179" i="14608"/>
  <c r="AH179" i="14608"/>
  <c r="AI179" i="14608"/>
  <c r="AJ179" i="14608"/>
  <c r="AK179" i="14608"/>
  <c r="AL179" i="14608"/>
  <c r="AM179" i="14608"/>
  <c r="AN179" i="14608"/>
  <c r="AO179" i="14608"/>
  <c r="AP179" i="14608"/>
  <c r="AQ179" i="14608"/>
  <c r="AR179" i="14608"/>
  <c r="AS179" i="14608"/>
  <c r="AT179" i="14608"/>
  <c r="AU179" i="14608"/>
  <c r="AV179" i="14608"/>
  <c r="AW179" i="14608"/>
  <c r="AX179" i="14608"/>
  <c r="AY179" i="14608"/>
  <c r="AZ179" i="14608"/>
  <c r="BA179" i="14608"/>
  <c r="BB179" i="14608"/>
  <c r="BC179" i="14608"/>
  <c r="BD179" i="14608"/>
  <c r="BE179" i="14608"/>
  <c r="BF179" i="14608"/>
  <c r="BG179" i="14608"/>
  <c r="BH179" i="14608"/>
  <c r="BI179" i="14608"/>
  <c r="BJ179" i="14608"/>
  <c r="BK179" i="14608"/>
  <c r="BL179" i="14608"/>
  <c r="BM179" i="14608"/>
  <c r="BN179" i="14608"/>
  <c r="BO179" i="14608"/>
  <c r="BP179" i="14608"/>
  <c r="BQ179" i="14608"/>
  <c r="BR179" i="14608"/>
  <c r="BS179" i="14608"/>
  <c r="BT179" i="14608"/>
  <c r="BU179" i="14608"/>
  <c r="BV179" i="14608"/>
  <c r="BW179" i="14608"/>
  <c r="BX179" i="14608"/>
  <c r="BY179" i="14608"/>
  <c r="BZ179" i="14608"/>
  <c r="CA179" i="14608"/>
  <c r="CB179" i="14608"/>
  <c r="CC179" i="14608"/>
  <c r="CD179" i="14608"/>
  <c r="CE179" i="14608"/>
  <c r="CF179" i="14608"/>
  <c r="CG179" i="14608"/>
  <c r="CH179" i="14608"/>
  <c r="CI179" i="14608"/>
  <c r="CJ179" i="14608"/>
  <c r="CK179" i="14608"/>
  <c r="CL179" i="14608"/>
  <c r="CM179" i="14608"/>
  <c r="CN179" i="14608"/>
  <c r="CO179" i="14608"/>
  <c r="CP179" i="14608"/>
  <c r="CQ179" i="14608"/>
  <c r="CR179" i="14608"/>
  <c r="CS179" i="14608"/>
  <c r="CT179" i="14608"/>
  <c r="CU179" i="14608"/>
  <c r="CV179" i="14608"/>
  <c r="CW179" i="14608"/>
  <c r="CX179" i="14608"/>
  <c r="CY179" i="14608"/>
  <c r="CZ179" i="14608"/>
  <c r="DA179" i="14608"/>
  <c r="DB179" i="14608"/>
  <c r="DC179" i="14608"/>
  <c r="DD179" i="14608"/>
  <c r="DE179" i="14608"/>
  <c r="DF179" i="14608"/>
  <c r="DG179" i="14608"/>
  <c r="DH179" i="14608"/>
  <c r="DI179" i="14608"/>
  <c r="DJ179" i="14608"/>
  <c r="DK179" i="14608"/>
  <c r="DL179" i="14608"/>
  <c r="DM179" i="14608"/>
  <c r="DN179" i="14608"/>
  <c r="DO179" i="14608"/>
  <c r="DP179" i="14608"/>
  <c r="DQ179" i="14608"/>
  <c r="DR179" i="14608"/>
  <c r="DS179" i="14608"/>
  <c r="DT179" i="14608"/>
  <c r="DU179" i="14608"/>
  <c r="DV179" i="14608"/>
  <c r="DW179" i="14608"/>
  <c r="DX179" i="14608"/>
  <c r="DY179" i="14608"/>
  <c r="DZ179" i="14608"/>
  <c r="EA179" i="14608"/>
  <c r="EB179" i="14608"/>
  <c r="EC179" i="14608"/>
  <c r="ED179" i="14608"/>
  <c r="EE179" i="14608"/>
  <c r="EF179" i="14608"/>
  <c r="EG179" i="14608"/>
  <c r="EH179" i="14608"/>
  <c r="EI179" i="14608"/>
  <c r="EJ179" i="14608"/>
  <c r="EK179" i="14608"/>
  <c r="EL179" i="14608"/>
  <c r="EM179" i="14608"/>
  <c r="EN179" i="14608"/>
  <c r="EO179" i="14608"/>
  <c r="EP179" i="14608"/>
  <c r="EQ179" i="14608"/>
  <c r="ER179" i="14608"/>
  <c r="ES179" i="14608"/>
  <c r="ET179" i="14608"/>
  <c r="EU179" i="14608"/>
  <c r="EV179" i="14608"/>
  <c r="EW179" i="14608"/>
  <c r="EX179" i="14608"/>
  <c r="EY179" i="14608"/>
  <c r="EZ179" i="14608"/>
  <c r="FA179" i="14608"/>
  <c r="FB179" i="14608"/>
  <c r="FC179" i="14608"/>
  <c r="FD179" i="14608"/>
  <c r="FE179" i="14608"/>
  <c r="FF179" i="14608"/>
  <c r="FG179" i="14608"/>
  <c r="FH179" i="14608"/>
  <c r="FI179" i="14608"/>
  <c r="FJ179" i="14608"/>
  <c r="FK179" i="14608"/>
  <c r="FL179" i="14608"/>
  <c r="FM179" i="14608"/>
  <c r="FN179" i="14608"/>
  <c r="FO179" i="14608"/>
  <c r="FP179" i="14608"/>
  <c r="FQ179" i="14608"/>
  <c r="FR179" i="14608"/>
  <c r="FS179" i="14608"/>
  <c r="FT179" i="14608"/>
  <c r="FU179" i="14608"/>
  <c r="FV179" i="14608"/>
  <c r="FW179" i="14608"/>
  <c r="FX179" i="14608"/>
  <c r="FY179" i="14608"/>
  <c r="FZ179" i="14608"/>
  <c r="GA179" i="14608"/>
  <c r="GB179" i="14608"/>
  <c r="GC179" i="14608"/>
  <c r="GD179" i="14608"/>
  <c r="GE179" i="14608"/>
  <c r="GF179" i="14608"/>
  <c r="GG179" i="14608"/>
  <c r="GH179" i="14608"/>
  <c r="GI179" i="14608"/>
  <c r="GJ179" i="14608"/>
  <c r="GK179" i="14608"/>
  <c r="GL179" i="14608"/>
  <c r="GM179" i="14608"/>
  <c r="GN179" i="14608"/>
  <c r="GO179" i="14608"/>
  <c r="GP179" i="14608"/>
  <c r="GQ179" i="14608"/>
  <c r="GR179" i="14608"/>
  <c r="GS179" i="14608"/>
  <c r="GT179" i="14608"/>
  <c r="GU179" i="14608"/>
  <c r="GV179" i="14608"/>
  <c r="GW179" i="14608"/>
  <c r="GX179" i="14608"/>
  <c r="GY179" i="14608"/>
  <c r="GZ179" i="14608"/>
  <c r="HA179" i="14608"/>
  <c r="HB179" i="14608"/>
  <c r="HC179" i="14608"/>
  <c r="HD179" i="14608"/>
  <c r="HE179" i="14608"/>
  <c r="HF179" i="14608"/>
  <c r="HG179" i="14608"/>
  <c r="HH179" i="14608"/>
  <c r="HI179" i="14608"/>
  <c r="HJ179" i="14608"/>
  <c r="HK179" i="14608"/>
  <c r="HL179" i="14608"/>
  <c r="HM179" i="14608"/>
  <c r="HN179" i="14608"/>
  <c r="HO179" i="14608"/>
  <c r="HP179" i="14608"/>
  <c r="HQ179" i="14608"/>
  <c r="HR179" i="14608"/>
  <c r="HS179" i="14608"/>
  <c r="HT179" i="14608"/>
  <c r="HU179" i="14608"/>
  <c r="HV179" i="14608"/>
  <c r="HW179" i="14608"/>
  <c r="HX179" i="14608"/>
  <c r="HY179" i="14608"/>
  <c r="HZ179" i="14608"/>
  <c r="IA179" i="14608"/>
  <c r="IB179" i="14608"/>
  <c r="IC179" i="14608"/>
  <c r="ID179" i="14608"/>
  <c r="IE179" i="14608"/>
  <c r="IF179" i="14608"/>
  <c r="IG179" i="14608"/>
  <c r="IH179" i="14608"/>
  <c r="II179" i="14608"/>
  <c r="IJ179" i="14608"/>
  <c r="IK179" i="14608"/>
  <c r="IL179" i="14608"/>
  <c r="IM179" i="14608"/>
  <c r="IN179" i="14608"/>
  <c r="IO179" i="14608"/>
  <c r="IP179" i="14608"/>
  <c r="IQ179" i="14608"/>
  <c r="IR179" i="14608"/>
  <c r="IS179" i="14608"/>
  <c r="IT179" i="14608"/>
  <c r="IU179" i="14608"/>
  <c r="IV179" i="14608"/>
  <c r="A178" i="14608"/>
  <c r="B178" i="14608"/>
  <c r="C178" i="14608"/>
  <c r="D178" i="14608"/>
  <c r="E178" i="14608"/>
  <c r="F178" i="14608"/>
  <c r="G178" i="14608"/>
  <c r="H178" i="14608"/>
  <c r="I178" i="14608"/>
  <c r="J178" i="14608"/>
  <c r="K178" i="14608"/>
  <c r="L178" i="14608"/>
  <c r="M178" i="14608"/>
  <c r="N178" i="14608"/>
  <c r="O178" i="14608"/>
  <c r="P178" i="14608"/>
  <c r="Q178" i="14608"/>
  <c r="R178" i="14608"/>
  <c r="S178" i="14608"/>
  <c r="T178" i="14608"/>
  <c r="U178" i="14608"/>
  <c r="V178" i="14608"/>
  <c r="W178" i="14608"/>
  <c r="X178" i="14608"/>
  <c r="Y178" i="14608"/>
  <c r="Z178" i="14608"/>
  <c r="AA178" i="14608"/>
  <c r="AB178" i="14608"/>
  <c r="AC178" i="14608"/>
  <c r="AD178" i="14608"/>
  <c r="AE178" i="14608"/>
  <c r="AF178" i="14608"/>
  <c r="AG178" i="14608"/>
  <c r="AH178" i="14608"/>
  <c r="AI178" i="14608"/>
  <c r="AJ178" i="14608"/>
  <c r="AK178" i="14608"/>
  <c r="AL178" i="14608"/>
  <c r="AM178" i="14608"/>
  <c r="AN178" i="14608"/>
  <c r="AO178" i="14608"/>
  <c r="AP178" i="14608"/>
  <c r="AQ178" i="14608"/>
  <c r="AR178" i="14608"/>
  <c r="AS178" i="14608"/>
  <c r="AT178" i="14608"/>
  <c r="AU178" i="14608"/>
  <c r="AV178" i="14608"/>
  <c r="AW178" i="14608"/>
  <c r="AX178" i="14608"/>
  <c r="AY178" i="14608"/>
  <c r="AZ178" i="14608"/>
  <c r="BA178" i="14608"/>
  <c r="BB178" i="14608"/>
  <c r="BC178" i="14608"/>
  <c r="BD178" i="14608"/>
  <c r="BE178" i="14608"/>
  <c r="BF178" i="14608"/>
  <c r="BG178" i="14608"/>
  <c r="BH178" i="14608"/>
  <c r="BI178" i="14608"/>
  <c r="BJ178" i="14608"/>
  <c r="BK178" i="14608"/>
  <c r="BL178" i="14608"/>
  <c r="BM178" i="14608"/>
  <c r="BN178" i="14608"/>
  <c r="BO178" i="14608"/>
  <c r="BP178" i="14608"/>
  <c r="BQ178" i="14608"/>
  <c r="BR178" i="14608"/>
  <c r="BS178" i="14608"/>
  <c r="BT178" i="14608"/>
  <c r="BU178" i="14608"/>
  <c r="BV178" i="14608"/>
  <c r="BW178" i="14608"/>
  <c r="BX178" i="14608"/>
  <c r="BY178" i="14608"/>
  <c r="BZ178" i="14608"/>
  <c r="CA178" i="14608"/>
  <c r="CB178" i="14608"/>
  <c r="CC178" i="14608"/>
  <c r="CD178" i="14608"/>
  <c r="CE178" i="14608"/>
  <c r="CF178" i="14608"/>
  <c r="CG178" i="14608"/>
  <c r="CH178" i="14608"/>
  <c r="CI178" i="14608"/>
  <c r="CJ178" i="14608"/>
  <c r="CK178" i="14608"/>
  <c r="CL178" i="14608"/>
  <c r="CM178" i="14608"/>
  <c r="CN178" i="14608"/>
  <c r="CO178" i="14608"/>
  <c r="CP178" i="14608"/>
  <c r="CQ178" i="14608"/>
  <c r="CR178" i="14608"/>
  <c r="CS178" i="14608"/>
  <c r="CT178" i="14608"/>
  <c r="CU178" i="14608"/>
  <c r="CV178" i="14608"/>
  <c r="CW178" i="14608"/>
  <c r="CX178" i="14608"/>
  <c r="CY178" i="14608"/>
  <c r="CZ178" i="14608"/>
  <c r="DA178" i="14608"/>
  <c r="DB178" i="14608"/>
  <c r="DC178" i="14608"/>
  <c r="DD178" i="14608"/>
  <c r="DE178" i="14608"/>
  <c r="DF178" i="14608"/>
  <c r="DG178" i="14608"/>
  <c r="DH178" i="14608"/>
  <c r="DI178" i="14608"/>
  <c r="DJ178" i="14608"/>
  <c r="DK178" i="14608"/>
  <c r="DL178" i="14608"/>
  <c r="DM178" i="14608"/>
  <c r="DN178" i="14608"/>
  <c r="DO178" i="14608"/>
  <c r="DP178" i="14608"/>
  <c r="DQ178" i="14608"/>
  <c r="DR178" i="14608"/>
  <c r="DS178" i="14608"/>
  <c r="DT178" i="14608"/>
  <c r="DU178" i="14608"/>
  <c r="DV178" i="14608"/>
  <c r="DW178" i="14608"/>
  <c r="DX178" i="14608"/>
  <c r="DY178" i="14608"/>
  <c r="DZ178" i="14608"/>
  <c r="EA178" i="14608"/>
  <c r="EB178" i="14608"/>
  <c r="EC178" i="14608"/>
  <c r="ED178" i="14608"/>
  <c r="EE178" i="14608"/>
  <c r="EF178" i="14608"/>
  <c r="EG178" i="14608"/>
  <c r="EH178" i="14608"/>
  <c r="EI178" i="14608"/>
  <c r="EJ178" i="14608"/>
  <c r="EK178" i="14608"/>
  <c r="EL178" i="14608"/>
  <c r="EM178" i="14608"/>
  <c r="EN178" i="14608"/>
  <c r="EO178" i="14608"/>
  <c r="EP178" i="14608"/>
  <c r="EQ178" i="14608"/>
  <c r="ER178" i="14608"/>
  <c r="ES178" i="14608"/>
  <c r="ET178" i="14608"/>
  <c r="EU178" i="14608"/>
  <c r="EV178" i="14608"/>
  <c r="EW178" i="14608"/>
  <c r="EX178" i="14608"/>
  <c r="EY178" i="14608"/>
  <c r="EZ178" i="14608"/>
  <c r="FA178" i="14608"/>
  <c r="FB178" i="14608"/>
  <c r="FC178" i="14608"/>
  <c r="FD178" i="14608"/>
  <c r="FE178" i="14608"/>
  <c r="FF178" i="14608"/>
  <c r="FG178" i="14608"/>
  <c r="FH178" i="14608"/>
  <c r="FI178" i="14608"/>
  <c r="FJ178" i="14608"/>
  <c r="FK178" i="14608"/>
  <c r="FL178" i="14608"/>
  <c r="FM178" i="14608"/>
  <c r="FN178" i="14608"/>
  <c r="FO178" i="14608"/>
  <c r="FP178" i="14608"/>
  <c r="FQ178" i="14608"/>
  <c r="FR178" i="14608"/>
  <c r="FS178" i="14608"/>
  <c r="FT178" i="14608"/>
  <c r="FU178" i="14608"/>
  <c r="FV178" i="14608"/>
  <c r="FW178" i="14608"/>
  <c r="FX178" i="14608"/>
  <c r="FY178" i="14608"/>
  <c r="FZ178" i="14608"/>
  <c r="GA178" i="14608"/>
  <c r="GB178" i="14608"/>
  <c r="GC178" i="14608"/>
  <c r="GD178" i="14608"/>
  <c r="GE178" i="14608"/>
  <c r="GF178" i="14608"/>
  <c r="GG178" i="14608"/>
  <c r="GH178" i="14608"/>
  <c r="GI178" i="14608"/>
  <c r="GJ178" i="14608"/>
  <c r="GK178" i="14608"/>
  <c r="GL178" i="14608"/>
  <c r="GM178" i="14608"/>
  <c r="GN178" i="14608"/>
  <c r="GO178" i="14608"/>
  <c r="GP178" i="14608"/>
  <c r="GQ178" i="14608"/>
  <c r="GR178" i="14608"/>
  <c r="GS178" i="14608"/>
  <c r="GT178" i="14608"/>
  <c r="GU178" i="14608"/>
  <c r="GV178" i="14608"/>
  <c r="GW178" i="14608"/>
  <c r="GX178" i="14608"/>
  <c r="GY178" i="14608"/>
  <c r="GZ178" i="14608"/>
  <c r="HA178" i="14608"/>
  <c r="HB178" i="14608"/>
  <c r="HC178" i="14608"/>
  <c r="HD178" i="14608"/>
  <c r="HE178" i="14608"/>
  <c r="HF178" i="14608"/>
  <c r="HG178" i="14608"/>
  <c r="HH178" i="14608"/>
  <c r="HI178" i="14608"/>
  <c r="HJ178" i="14608"/>
  <c r="HK178" i="14608"/>
  <c r="HL178" i="14608"/>
  <c r="HM178" i="14608"/>
  <c r="HN178" i="14608"/>
  <c r="HO178" i="14608"/>
  <c r="HP178" i="14608"/>
  <c r="HQ178" i="14608"/>
  <c r="HR178" i="14608"/>
  <c r="HS178" i="14608"/>
  <c r="HT178" i="14608"/>
  <c r="HU178" i="14608"/>
  <c r="HV178" i="14608"/>
  <c r="HW178" i="14608"/>
  <c r="HX178" i="14608"/>
  <c r="HY178" i="14608"/>
  <c r="HZ178" i="14608"/>
  <c r="IA178" i="14608"/>
  <c r="IB178" i="14608"/>
  <c r="IC178" i="14608"/>
  <c r="ID178" i="14608"/>
  <c r="IE178" i="14608"/>
  <c r="IF178" i="14608"/>
  <c r="IG178" i="14608"/>
  <c r="IH178" i="14608"/>
  <c r="II178" i="14608"/>
  <c r="IJ178" i="14608"/>
  <c r="IK178" i="14608"/>
  <c r="IL178" i="14608"/>
  <c r="IM178" i="14608"/>
  <c r="IN178" i="14608"/>
  <c r="IO178" i="14608"/>
  <c r="IP178" i="14608"/>
  <c r="IQ178" i="14608"/>
  <c r="IR178" i="14608"/>
  <c r="IS178" i="14608"/>
  <c r="IT178" i="14608"/>
  <c r="IU178" i="14608"/>
  <c r="IV178" i="14608"/>
  <c r="A177" i="14608"/>
  <c r="B177" i="14608"/>
  <c r="C177" i="14608"/>
  <c r="D177" i="14608"/>
  <c r="E177" i="14608"/>
  <c r="F177" i="14608"/>
  <c r="G177" i="14608"/>
  <c r="H177" i="14608"/>
  <c r="I177" i="14608"/>
  <c r="J177" i="14608"/>
  <c r="K177" i="14608"/>
  <c r="L177" i="14608"/>
  <c r="M177" i="14608"/>
  <c r="N177" i="14608"/>
  <c r="O177" i="14608"/>
  <c r="P177" i="14608"/>
  <c r="Q177" i="14608"/>
  <c r="R177" i="14608"/>
  <c r="S177" i="14608"/>
  <c r="T177" i="14608"/>
  <c r="U177" i="14608"/>
  <c r="V177" i="14608"/>
  <c r="W177" i="14608"/>
  <c r="X177" i="14608"/>
  <c r="Y177" i="14608"/>
  <c r="Z177" i="14608"/>
  <c r="AA177" i="14608"/>
  <c r="AB177" i="14608"/>
  <c r="AC177" i="14608"/>
  <c r="AD177" i="14608"/>
  <c r="AE177" i="14608"/>
  <c r="AF177" i="14608"/>
  <c r="AG177" i="14608"/>
  <c r="AH177" i="14608"/>
  <c r="AI177" i="14608"/>
  <c r="AJ177" i="14608"/>
  <c r="AK177" i="14608"/>
  <c r="AL177" i="14608"/>
  <c r="AM177" i="14608"/>
  <c r="AN177" i="14608"/>
  <c r="AO177" i="14608"/>
  <c r="AP177" i="14608"/>
  <c r="AQ177" i="14608"/>
  <c r="AR177" i="14608"/>
  <c r="AS177" i="14608"/>
  <c r="AT177" i="14608"/>
  <c r="AU177" i="14608"/>
  <c r="AV177" i="14608"/>
  <c r="AW177" i="14608"/>
  <c r="AX177" i="14608"/>
  <c r="AY177" i="14608"/>
  <c r="AZ177" i="14608"/>
  <c r="BA177" i="14608"/>
  <c r="BB177" i="14608"/>
  <c r="BC177" i="14608"/>
  <c r="BD177" i="14608"/>
  <c r="BE177" i="14608"/>
  <c r="BF177" i="14608"/>
  <c r="BG177" i="14608"/>
  <c r="BH177" i="14608"/>
  <c r="BI177" i="14608"/>
  <c r="BJ177" i="14608"/>
  <c r="BK177" i="14608"/>
  <c r="BL177" i="14608"/>
  <c r="BM177" i="14608"/>
  <c r="BN177" i="14608"/>
  <c r="BO177" i="14608"/>
  <c r="BP177" i="14608"/>
  <c r="BQ177" i="14608"/>
  <c r="BR177" i="14608"/>
  <c r="BS177" i="14608"/>
  <c r="BT177" i="14608"/>
  <c r="BU177" i="14608"/>
  <c r="BV177" i="14608"/>
  <c r="BW177" i="14608"/>
  <c r="BX177" i="14608"/>
  <c r="BY177" i="14608"/>
  <c r="BZ177" i="14608"/>
  <c r="CA177" i="14608"/>
  <c r="CB177" i="14608"/>
  <c r="CC177" i="14608"/>
  <c r="CD177" i="14608"/>
  <c r="CE177" i="14608"/>
  <c r="CF177" i="14608"/>
  <c r="CG177" i="14608"/>
  <c r="CH177" i="14608"/>
  <c r="CI177" i="14608"/>
  <c r="CJ177" i="14608"/>
  <c r="CK177" i="14608"/>
  <c r="CL177" i="14608"/>
  <c r="CM177" i="14608"/>
  <c r="CN177" i="14608"/>
  <c r="CO177" i="14608"/>
  <c r="CP177" i="14608"/>
  <c r="CQ177" i="14608"/>
  <c r="CR177" i="14608"/>
  <c r="CS177" i="14608"/>
  <c r="CT177" i="14608"/>
  <c r="CU177" i="14608"/>
  <c r="CV177" i="14608"/>
  <c r="CW177" i="14608"/>
  <c r="CX177" i="14608"/>
  <c r="CY177" i="14608"/>
  <c r="CZ177" i="14608"/>
  <c r="DA177" i="14608"/>
  <c r="DB177" i="14608"/>
  <c r="DC177" i="14608"/>
  <c r="DD177" i="14608"/>
  <c r="DE177" i="14608"/>
  <c r="DF177" i="14608"/>
  <c r="DG177" i="14608"/>
  <c r="DH177" i="14608"/>
  <c r="DI177" i="14608"/>
  <c r="DJ177" i="14608"/>
  <c r="DK177" i="14608"/>
  <c r="DL177" i="14608"/>
  <c r="DM177" i="14608"/>
  <c r="DN177" i="14608"/>
  <c r="DO177" i="14608"/>
  <c r="DP177" i="14608"/>
  <c r="DQ177" i="14608"/>
  <c r="DR177" i="14608"/>
  <c r="DS177" i="14608"/>
  <c r="DT177" i="14608"/>
  <c r="DU177" i="14608"/>
  <c r="DV177" i="14608"/>
  <c r="DW177" i="14608"/>
  <c r="DX177" i="14608"/>
  <c r="DY177" i="14608"/>
  <c r="DZ177" i="14608"/>
  <c r="EA177" i="14608"/>
  <c r="EB177" i="14608"/>
  <c r="EC177" i="14608"/>
  <c r="ED177" i="14608"/>
  <c r="EE177" i="14608"/>
  <c r="EF177" i="14608"/>
  <c r="EG177" i="14608"/>
  <c r="EH177" i="14608"/>
  <c r="EI177" i="14608"/>
  <c r="EJ177" i="14608"/>
  <c r="EK177" i="14608"/>
  <c r="EL177" i="14608"/>
  <c r="EM177" i="14608"/>
  <c r="EN177" i="14608"/>
  <c r="EO177" i="14608"/>
  <c r="EP177" i="14608"/>
  <c r="EQ177" i="14608"/>
  <c r="ER177" i="14608"/>
  <c r="ES177" i="14608"/>
  <c r="ET177" i="14608"/>
  <c r="EU177" i="14608"/>
  <c r="EV177" i="14608"/>
  <c r="EW177" i="14608"/>
  <c r="EX177" i="14608"/>
  <c r="EY177" i="14608"/>
  <c r="EZ177" i="14608"/>
  <c r="FA177" i="14608"/>
  <c r="FB177" i="14608"/>
  <c r="FC177" i="14608"/>
  <c r="FD177" i="14608"/>
  <c r="FE177" i="14608"/>
  <c r="FF177" i="14608"/>
  <c r="FG177" i="14608"/>
  <c r="FH177" i="14608"/>
  <c r="FI177" i="14608"/>
  <c r="FJ177" i="14608"/>
  <c r="FK177" i="14608"/>
  <c r="FL177" i="14608"/>
  <c r="FM177" i="14608"/>
  <c r="FN177" i="14608"/>
  <c r="FO177" i="14608"/>
  <c r="FP177" i="14608"/>
  <c r="FQ177" i="14608"/>
  <c r="FR177" i="14608"/>
  <c r="FS177" i="14608"/>
  <c r="FT177" i="14608"/>
  <c r="FU177" i="14608"/>
  <c r="FV177" i="14608"/>
  <c r="FW177" i="14608"/>
  <c r="FX177" i="14608"/>
  <c r="FY177" i="14608"/>
  <c r="FZ177" i="14608"/>
  <c r="GA177" i="14608"/>
  <c r="GB177" i="14608"/>
  <c r="GC177" i="14608"/>
  <c r="GD177" i="14608"/>
  <c r="GE177" i="14608"/>
  <c r="GF177" i="14608"/>
  <c r="GG177" i="14608"/>
  <c r="GH177" i="14608"/>
  <c r="GI177" i="14608"/>
  <c r="GJ177" i="14608"/>
  <c r="GK177" i="14608"/>
  <c r="GL177" i="14608"/>
  <c r="GM177" i="14608"/>
  <c r="GN177" i="14608"/>
  <c r="GO177" i="14608"/>
  <c r="GP177" i="14608"/>
  <c r="GQ177" i="14608"/>
  <c r="GR177" i="14608"/>
  <c r="GS177" i="14608"/>
  <c r="GT177" i="14608"/>
  <c r="GU177" i="14608"/>
  <c r="GV177" i="14608"/>
  <c r="GW177" i="14608"/>
  <c r="GX177" i="14608"/>
  <c r="GY177" i="14608"/>
  <c r="GZ177" i="14608"/>
  <c r="HA177" i="14608"/>
  <c r="HB177" i="14608"/>
  <c r="HC177" i="14608"/>
  <c r="HD177" i="14608"/>
  <c r="HE177" i="14608"/>
  <c r="HF177" i="14608"/>
  <c r="HG177" i="14608"/>
  <c r="HH177" i="14608"/>
  <c r="HI177" i="14608"/>
  <c r="HJ177" i="14608"/>
  <c r="HK177" i="14608"/>
  <c r="HL177" i="14608"/>
  <c r="HM177" i="14608"/>
  <c r="HN177" i="14608"/>
  <c r="HO177" i="14608"/>
  <c r="HP177" i="14608"/>
  <c r="HQ177" i="14608"/>
  <c r="HR177" i="14608"/>
  <c r="HS177" i="14608"/>
  <c r="HT177" i="14608"/>
  <c r="HU177" i="14608"/>
  <c r="HV177" i="14608"/>
  <c r="HW177" i="14608"/>
  <c r="HX177" i="14608"/>
  <c r="HY177" i="14608"/>
  <c r="HZ177" i="14608"/>
  <c r="IA177" i="14608"/>
  <c r="IB177" i="14608"/>
  <c r="IC177" i="14608"/>
  <c r="ID177" i="14608"/>
  <c r="IE177" i="14608"/>
  <c r="IF177" i="14608"/>
  <c r="IG177" i="14608"/>
  <c r="IH177" i="14608"/>
  <c r="II177" i="14608"/>
  <c r="IJ177" i="14608"/>
  <c r="IK177" i="14608"/>
  <c r="IL177" i="14608"/>
  <c r="IM177" i="14608"/>
  <c r="IN177" i="14608"/>
  <c r="IO177" i="14608"/>
  <c r="IP177" i="14608"/>
  <c r="IQ177" i="14608"/>
  <c r="IR177" i="14608"/>
  <c r="IS177" i="14608"/>
  <c r="IT177" i="14608"/>
  <c r="IU177" i="14608"/>
  <c r="IV177" i="14608"/>
  <c r="A176" i="14608"/>
  <c r="B176" i="14608"/>
  <c r="C176" i="14608"/>
  <c r="D176" i="14608"/>
  <c r="E176" i="14608"/>
  <c r="F176" i="14608"/>
  <c r="G176" i="14608"/>
  <c r="H176" i="14608"/>
  <c r="I176" i="14608"/>
  <c r="J176" i="14608"/>
  <c r="K176" i="14608"/>
  <c r="L176" i="14608"/>
  <c r="M176" i="14608"/>
  <c r="N176" i="14608"/>
  <c r="O176" i="14608"/>
  <c r="P176" i="14608"/>
  <c r="Q176" i="14608"/>
  <c r="R176" i="14608"/>
  <c r="S176" i="14608"/>
  <c r="T176" i="14608"/>
  <c r="U176" i="14608"/>
  <c r="V176" i="14608"/>
  <c r="W176" i="14608"/>
  <c r="X176" i="14608"/>
  <c r="Y176" i="14608"/>
  <c r="Z176" i="14608"/>
  <c r="AA176" i="14608"/>
  <c r="AB176" i="14608"/>
  <c r="AC176" i="14608"/>
  <c r="AD176" i="14608"/>
  <c r="AE176" i="14608"/>
  <c r="AF176" i="14608"/>
  <c r="AG176" i="14608"/>
  <c r="AH176" i="14608"/>
  <c r="AI176" i="14608"/>
  <c r="AJ176" i="14608"/>
  <c r="AK176" i="14608"/>
  <c r="AL176" i="14608"/>
  <c r="AM176" i="14608"/>
  <c r="AN176" i="14608"/>
  <c r="AO176" i="14608"/>
  <c r="AP176" i="14608"/>
  <c r="AQ176" i="14608"/>
  <c r="AR176" i="14608"/>
  <c r="AS176" i="14608"/>
  <c r="AT176" i="14608"/>
  <c r="AU176" i="14608"/>
  <c r="AV176" i="14608"/>
  <c r="AW176" i="14608"/>
  <c r="AX176" i="14608"/>
  <c r="AY176" i="14608"/>
  <c r="AZ176" i="14608"/>
  <c r="BA176" i="14608"/>
  <c r="BB176" i="14608"/>
  <c r="BC176" i="14608"/>
  <c r="BD176" i="14608"/>
  <c r="BE176" i="14608"/>
  <c r="BF176" i="14608"/>
  <c r="BG176" i="14608"/>
  <c r="BH176" i="14608"/>
  <c r="BI176" i="14608"/>
  <c r="BJ176" i="14608"/>
  <c r="BK176" i="14608"/>
  <c r="BL176" i="14608"/>
  <c r="BM176" i="14608"/>
  <c r="BN176" i="14608"/>
  <c r="BO176" i="14608"/>
  <c r="BP176" i="14608"/>
  <c r="BQ176" i="14608"/>
  <c r="BR176" i="14608"/>
  <c r="BS176" i="14608"/>
  <c r="BT176" i="14608"/>
  <c r="BU176" i="14608"/>
  <c r="BV176" i="14608"/>
  <c r="BW176" i="14608"/>
  <c r="BX176" i="14608"/>
  <c r="BY176" i="14608"/>
  <c r="BZ176" i="14608"/>
  <c r="CA176" i="14608"/>
  <c r="CB176" i="14608"/>
  <c r="CC176" i="14608"/>
  <c r="CD176" i="14608"/>
  <c r="CE176" i="14608"/>
  <c r="CF176" i="14608"/>
  <c r="CG176" i="14608"/>
  <c r="CH176" i="14608"/>
  <c r="CI176" i="14608"/>
  <c r="CJ176" i="14608"/>
  <c r="CK176" i="14608"/>
  <c r="CL176" i="14608"/>
  <c r="CM176" i="14608"/>
  <c r="CN176" i="14608"/>
  <c r="CO176" i="14608"/>
  <c r="CP176" i="14608"/>
  <c r="CQ176" i="14608"/>
  <c r="CR176" i="14608"/>
  <c r="CS176" i="14608"/>
  <c r="CT176" i="14608"/>
  <c r="CU176" i="14608"/>
  <c r="CV176" i="14608"/>
  <c r="CW176" i="14608"/>
  <c r="CX176" i="14608"/>
  <c r="CY176" i="14608"/>
  <c r="CZ176" i="14608"/>
  <c r="DA176" i="14608"/>
  <c r="DB176" i="14608"/>
  <c r="DC176" i="14608"/>
  <c r="DD176" i="14608"/>
  <c r="DE176" i="14608"/>
  <c r="DF176" i="14608"/>
  <c r="DG176" i="14608"/>
  <c r="DH176" i="14608"/>
  <c r="DI176" i="14608"/>
  <c r="DJ176" i="14608"/>
  <c r="DK176" i="14608"/>
  <c r="DL176" i="14608"/>
  <c r="DM176" i="14608"/>
  <c r="DN176" i="14608"/>
  <c r="DO176" i="14608"/>
  <c r="DP176" i="14608"/>
  <c r="DQ176" i="14608"/>
  <c r="DR176" i="14608"/>
  <c r="DS176" i="14608"/>
  <c r="DT176" i="14608"/>
  <c r="DU176" i="14608"/>
  <c r="DV176" i="14608"/>
  <c r="DW176" i="14608"/>
  <c r="DX176" i="14608"/>
  <c r="DY176" i="14608"/>
  <c r="DZ176" i="14608"/>
  <c r="EA176" i="14608"/>
  <c r="EB176" i="14608"/>
  <c r="EC176" i="14608"/>
  <c r="ED176" i="14608"/>
  <c r="EE176" i="14608"/>
  <c r="EF176" i="14608"/>
  <c r="EG176" i="14608"/>
  <c r="EH176" i="14608"/>
  <c r="EI176" i="14608"/>
  <c r="EJ176" i="14608"/>
  <c r="EK176" i="14608"/>
  <c r="EL176" i="14608"/>
  <c r="EM176" i="14608"/>
  <c r="EN176" i="14608"/>
  <c r="EO176" i="14608"/>
  <c r="EP176" i="14608"/>
  <c r="EQ176" i="14608"/>
  <c r="ER176" i="14608"/>
  <c r="ES176" i="14608"/>
  <c r="ET176" i="14608"/>
  <c r="EU176" i="14608"/>
  <c r="EV176" i="14608"/>
  <c r="EW176" i="14608"/>
  <c r="EX176" i="14608"/>
  <c r="EY176" i="14608"/>
  <c r="EZ176" i="14608"/>
  <c r="FA176" i="14608"/>
  <c r="FB176" i="14608"/>
  <c r="FC176" i="14608"/>
  <c r="FD176" i="14608"/>
  <c r="FE176" i="14608"/>
  <c r="FF176" i="14608"/>
  <c r="FG176" i="14608"/>
  <c r="FH176" i="14608"/>
  <c r="FI176" i="14608"/>
  <c r="FJ176" i="14608"/>
  <c r="FK176" i="14608"/>
  <c r="FL176" i="14608"/>
  <c r="FM176" i="14608"/>
  <c r="FN176" i="14608"/>
  <c r="FO176" i="14608"/>
  <c r="FP176" i="14608"/>
  <c r="FQ176" i="14608"/>
  <c r="FR176" i="14608"/>
  <c r="FS176" i="14608"/>
  <c r="FT176" i="14608"/>
  <c r="FU176" i="14608"/>
  <c r="FV176" i="14608"/>
  <c r="FW176" i="14608"/>
  <c r="FX176" i="14608"/>
  <c r="FY176" i="14608"/>
  <c r="FZ176" i="14608"/>
  <c r="GA176" i="14608"/>
  <c r="GB176" i="14608"/>
  <c r="GC176" i="14608"/>
  <c r="GD176" i="14608"/>
  <c r="GE176" i="14608"/>
  <c r="GF176" i="14608"/>
  <c r="GG176" i="14608"/>
  <c r="GH176" i="14608"/>
  <c r="GI176" i="14608"/>
  <c r="GJ176" i="14608"/>
  <c r="GK176" i="14608"/>
  <c r="GL176" i="14608"/>
  <c r="GM176" i="14608"/>
  <c r="GN176" i="14608"/>
  <c r="GO176" i="14608"/>
  <c r="GP176" i="14608"/>
  <c r="GQ176" i="14608"/>
  <c r="GR176" i="14608"/>
  <c r="GS176" i="14608"/>
  <c r="GT176" i="14608"/>
  <c r="GU176" i="14608"/>
  <c r="GV176" i="14608"/>
  <c r="GW176" i="14608"/>
  <c r="GX176" i="14608"/>
  <c r="GY176" i="14608"/>
  <c r="GZ176" i="14608"/>
  <c r="HA176" i="14608"/>
  <c r="HB176" i="14608"/>
  <c r="HC176" i="14608"/>
  <c r="HD176" i="14608"/>
  <c r="HE176" i="14608"/>
  <c r="HF176" i="14608"/>
  <c r="HG176" i="14608"/>
  <c r="HH176" i="14608"/>
  <c r="HI176" i="14608"/>
  <c r="HJ176" i="14608"/>
  <c r="HK176" i="14608"/>
  <c r="HL176" i="14608"/>
  <c r="HM176" i="14608"/>
  <c r="HN176" i="14608"/>
  <c r="HO176" i="14608"/>
  <c r="HP176" i="14608"/>
  <c r="HQ176" i="14608"/>
  <c r="HR176" i="14608"/>
  <c r="HS176" i="14608"/>
  <c r="HT176" i="14608"/>
  <c r="HU176" i="14608"/>
  <c r="HV176" i="14608"/>
  <c r="HW176" i="14608"/>
  <c r="HX176" i="14608"/>
  <c r="HY176" i="14608"/>
  <c r="HZ176" i="14608"/>
  <c r="IA176" i="14608"/>
  <c r="IB176" i="14608"/>
  <c r="IC176" i="14608"/>
  <c r="ID176" i="14608"/>
  <c r="IE176" i="14608"/>
  <c r="IF176" i="14608"/>
  <c r="IG176" i="14608"/>
  <c r="IH176" i="14608"/>
  <c r="II176" i="14608"/>
  <c r="IJ176" i="14608"/>
  <c r="IK176" i="14608"/>
  <c r="IL176" i="14608"/>
  <c r="IM176" i="14608"/>
  <c r="IN176" i="14608"/>
  <c r="IO176" i="14608"/>
  <c r="IP176" i="14608"/>
  <c r="IQ176" i="14608"/>
  <c r="IR176" i="14608"/>
  <c r="IS176" i="14608"/>
  <c r="IT176" i="14608"/>
  <c r="IU176" i="14608"/>
  <c r="IV176" i="14608"/>
  <c r="A175" i="14608"/>
  <c r="B175" i="14608"/>
  <c r="C175" i="14608"/>
  <c r="D175" i="14608"/>
  <c r="E175" i="14608"/>
  <c r="F175" i="14608"/>
  <c r="G175" i="14608"/>
  <c r="H175" i="14608"/>
  <c r="I175" i="14608"/>
  <c r="J175" i="14608"/>
  <c r="K175" i="14608"/>
  <c r="L175" i="14608"/>
  <c r="M175" i="14608"/>
  <c r="N175" i="14608"/>
  <c r="O175" i="14608"/>
  <c r="P175" i="14608"/>
  <c r="Q175" i="14608"/>
  <c r="R175" i="14608"/>
  <c r="S175" i="14608"/>
  <c r="T175" i="14608"/>
  <c r="U175" i="14608"/>
  <c r="V175" i="14608"/>
  <c r="W175" i="14608"/>
  <c r="X175" i="14608"/>
  <c r="Y175" i="14608"/>
  <c r="Z175" i="14608"/>
  <c r="AA175" i="14608"/>
  <c r="AB175" i="14608"/>
  <c r="AC175" i="14608"/>
  <c r="AD175" i="14608"/>
  <c r="AE175" i="14608"/>
  <c r="AF175" i="14608"/>
  <c r="AG175" i="14608"/>
  <c r="AH175" i="14608"/>
  <c r="AI175" i="14608"/>
  <c r="AJ175" i="14608"/>
  <c r="AK175" i="14608"/>
  <c r="AL175" i="14608"/>
  <c r="AM175" i="14608"/>
  <c r="AN175" i="14608"/>
  <c r="AO175" i="14608"/>
  <c r="AP175" i="14608"/>
  <c r="AQ175" i="14608"/>
  <c r="AR175" i="14608"/>
  <c r="AS175" i="14608"/>
  <c r="AT175" i="14608"/>
  <c r="AU175" i="14608"/>
  <c r="AV175" i="14608"/>
  <c r="AW175" i="14608"/>
  <c r="AX175" i="14608"/>
  <c r="AY175" i="14608"/>
  <c r="AZ175" i="14608"/>
  <c r="BA175" i="14608"/>
  <c r="BB175" i="14608"/>
  <c r="BC175" i="14608"/>
  <c r="BD175" i="14608"/>
  <c r="BE175" i="14608"/>
  <c r="BF175" i="14608"/>
  <c r="BG175" i="14608"/>
  <c r="BH175" i="14608"/>
  <c r="BI175" i="14608"/>
  <c r="BJ175" i="14608"/>
  <c r="BK175" i="14608"/>
  <c r="BL175" i="14608"/>
  <c r="BM175" i="14608"/>
  <c r="BN175" i="14608"/>
  <c r="BO175" i="14608"/>
  <c r="BP175" i="14608"/>
  <c r="BQ175" i="14608"/>
  <c r="BR175" i="14608"/>
  <c r="BS175" i="14608"/>
  <c r="BT175" i="14608"/>
  <c r="BU175" i="14608"/>
  <c r="BV175" i="14608"/>
  <c r="BW175" i="14608"/>
  <c r="BX175" i="14608"/>
  <c r="BY175" i="14608"/>
  <c r="BZ175" i="14608"/>
  <c r="CA175" i="14608"/>
  <c r="CB175" i="14608"/>
  <c r="CC175" i="14608"/>
  <c r="CD175" i="14608"/>
  <c r="CE175" i="14608"/>
  <c r="CF175" i="14608"/>
  <c r="CG175" i="14608"/>
  <c r="CH175" i="14608"/>
  <c r="CI175" i="14608"/>
  <c r="CJ175" i="14608"/>
  <c r="CK175" i="14608"/>
  <c r="CL175" i="14608"/>
  <c r="CM175" i="14608"/>
  <c r="CN175" i="14608"/>
  <c r="CO175" i="14608"/>
  <c r="CP175" i="14608"/>
  <c r="CQ175" i="14608"/>
  <c r="CR175" i="14608"/>
  <c r="CS175" i="14608"/>
  <c r="CT175" i="14608"/>
  <c r="CU175" i="14608"/>
  <c r="CV175" i="14608"/>
  <c r="CW175" i="14608"/>
  <c r="CX175" i="14608"/>
  <c r="CY175" i="14608"/>
  <c r="CZ175" i="14608"/>
  <c r="DA175" i="14608"/>
  <c r="DB175" i="14608"/>
  <c r="DC175" i="14608"/>
  <c r="DD175" i="14608"/>
  <c r="DE175" i="14608"/>
  <c r="DF175" i="14608"/>
  <c r="DG175" i="14608"/>
  <c r="DH175" i="14608"/>
  <c r="DI175" i="14608"/>
  <c r="DJ175" i="14608"/>
  <c r="DK175" i="14608"/>
  <c r="DL175" i="14608"/>
  <c r="DM175" i="14608"/>
  <c r="DN175" i="14608"/>
  <c r="DO175" i="14608"/>
  <c r="DP175" i="14608"/>
  <c r="DQ175" i="14608"/>
  <c r="DR175" i="14608"/>
  <c r="DS175" i="14608"/>
  <c r="DT175" i="14608"/>
  <c r="DU175" i="14608"/>
  <c r="DV175" i="14608"/>
  <c r="DW175" i="14608"/>
  <c r="DX175" i="14608"/>
  <c r="DY175" i="14608"/>
  <c r="DZ175" i="14608"/>
  <c r="EA175" i="14608"/>
  <c r="EB175" i="14608"/>
  <c r="EC175" i="14608"/>
  <c r="ED175" i="14608"/>
  <c r="EE175" i="14608"/>
  <c r="EF175" i="14608"/>
  <c r="EG175" i="14608"/>
  <c r="EH175" i="14608"/>
  <c r="EI175" i="14608"/>
  <c r="EJ175" i="14608"/>
  <c r="EK175" i="14608"/>
  <c r="EL175" i="14608"/>
  <c r="EM175" i="14608"/>
  <c r="EN175" i="14608"/>
  <c r="EO175" i="14608"/>
  <c r="EP175" i="14608"/>
  <c r="EQ175" i="14608"/>
  <c r="ER175" i="14608"/>
  <c r="ES175" i="14608"/>
  <c r="ET175" i="14608"/>
  <c r="EU175" i="14608"/>
  <c r="EV175" i="14608"/>
  <c r="EW175" i="14608"/>
  <c r="EX175" i="14608"/>
  <c r="EY175" i="14608"/>
  <c r="EZ175" i="14608"/>
  <c r="FA175" i="14608"/>
  <c r="FB175" i="14608"/>
  <c r="FC175" i="14608"/>
  <c r="FD175" i="14608"/>
  <c r="FE175" i="14608"/>
  <c r="FF175" i="14608"/>
  <c r="FG175" i="14608"/>
  <c r="FH175" i="14608"/>
  <c r="FI175" i="14608"/>
  <c r="FJ175" i="14608"/>
  <c r="FK175" i="14608"/>
  <c r="FL175" i="14608"/>
  <c r="FM175" i="14608"/>
  <c r="FN175" i="14608"/>
  <c r="FO175" i="14608"/>
  <c r="FP175" i="14608"/>
  <c r="FQ175" i="14608"/>
  <c r="FR175" i="14608"/>
  <c r="FS175" i="14608"/>
  <c r="FT175" i="14608"/>
  <c r="FU175" i="14608"/>
  <c r="FV175" i="14608"/>
  <c r="FW175" i="14608"/>
  <c r="FX175" i="14608"/>
  <c r="FY175" i="14608"/>
  <c r="FZ175" i="14608"/>
  <c r="GA175" i="14608"/>
  <c r="GB175" i="14608"/>
  <c r="GC175" i="14608"/>
  <c r="GD175" i="14608"/>
  <c r="GE175" i="14608"/>
  <c r="GF175" i="14608"/>
  <c r="GG175" i="14608"/>
  <c r="GH175" i="14608"/>
  <c r="GI175" i="14608"/>
  <c r="GJ175" i="14608"/>
  <c r="GK175" i="14608"/>
  <c r="GL175" i="14608"/>
  <c r="GM175" i="14608"/>
  <c r="GN175" i="14608"/>
  <c r="GO175" i="14608"/>
  <c r="GP175" i="14608"/>
  <c r="GQ175" i="14608"/>
  <c r="GR175" i="14608"/>
  <c r="GS175" i="14608"/>
  <c r="GT175" i="14608"/>
  <c r="GU175" i="14608"/>
  <c r="GV175" i="14608"/>
  <c r="GW175" i="14608"/>
  <c r="GX175" i="14608"/>
  <c r="GY175" i="14608"/>
  <c r="GZ175" i="14608"/>
  <c r="HA175" i="14608"/>
  <c r="HB175" i="14608"/>
  <c r="HC175" i="14608"/>
  <c r="HD175" i="14608"/>
  <c r="HE175" i="14608"/>
  <c r="HF175" i="14608"/>
  <c r="HG175" i="14608"/>
  <c r="HH175" i="14608"/>
  <c r="HI175" i="14608"/>
  <c r="HJ175" i="14608"/>
  <c r="HK175" i="14608"/>
  <c r="HL175" i="14608"/>
  <c r="HM175" i="14608"/>
  <c r="HN175" i="14608"/>
  <c r="HO175" i="14608"/>
  <c r="HP175" i="14608"/>
  <c r="HQ175" i="14608"/>
  <c r="HR175" i="14608"/>
  <c r="HS175" i="14608"/>
  <c r="HT175" i="14608"/>
  <c r="HU175" i="14608"/>
  <c r="HV175" i="14608"/>
  <c r="HW175" i="14608"/>
  <c r="HX175" i="14608"/>
  <c r="HY175" i="14608"/>
  <c r="HZ175" i="14608"/>
  <c r="IA175" i="14608"/>
  <c r="IB175" i="14608"/>
  <c r="IC175" i="14608"/>
  <c r="ID175" i="14608"/>
  <c r="IE175" i="14608"/>
  <c r="IF175" i="14608"/>
  <c r="IG175" i="14608"/>
  <c r="IH175" i="14608"/>
  <c r="II175" i="14608"/>
  <c r="IJ175" i="14608"/>
  <c r="IK175" i="14608"/>
  <c r="IL175" i="14608"/>
  <c r="IM175" i="14608"/>
  <c r="IN175" i="14608"/>
  <c r="IO175" i="14608"/>
  <c r="IP175" i="14608"/>
  <c r="IQ175" i="14608"/>
  <c r="IR175" i="14608"/>
  <c r="IS175" i="14608"/>
  <c r="IT175" i="14608"/>
  <c r="IU175" i="14608"/>
  <c r="IV175" i="14608"/>
  <c r="A174" i="14608"/>
  <c r="B174" i="14608"/>
  <c r="C174" i="14608"/>
  <c r="D174" i="14608"/>
  <c r="E174" i="14608"/>
  <c r="F174" i="14608"/>
  <c r="G174" i="14608"/>
  <c r="H174" i="14608"/>
  <c r="I174" i="14608"/>
  <c r="J174" i="14608"/>
  <c r="K174" i="14608"/>
  <c r="L174" i="14608"/>
  <c r="M174" i="14608"/>
  <c r="N174" i="14608"/>
  <c r="O174" i="14608"/>
  <c r="P174" i="14608"/>
  <c r="Q174" i="14608"/>
  <c r="R174" i="14608"/>
  <c r="S174" i="14608"/>
  <c r="T174" i="14608"/>
  <c r="U174" i="14608"/>
  <c r="V174" i="14608"/>
  <c r="W174" i="14608"/>
  <c r="X174" i="14608"/>
  <c r="Y174" i="14608"/>
  <c r="Z174" i="14608"/>
  <c r="AA174" i="14608"/>
  <c r="AB174" i="14608"/>
  <c r="AC174" i="14608"/>
  <c r="AD174" i="14608"/>
  <c r="AE174" i="14608"/>
  <c r="AF174" i="14608"/>
  <c r="AG174" i="14608"/>
  <c r="AH174" i="14608"/>
  <c r="AI174" i="14608"/>
  <c r="AJ174" i="14608"/>
  <c r="AK174" i="14608"/>
  <c r="AL174" i="14608"/>
  <c r="AM174" i="14608"/>
  <c r="AN174" i="14608"/>
  <c r="AO174" i="14608"/>
  <c r="AP174" i="14608"/>
  <c r="AQ174" i="14608"/>
  <c r="AR174" i="14608"/>
  <c r="AS174" i="14608"/>
  <c r="AT174" i="14608"/>
  <c r="AU174" i="14608"/>
  <c r="AV174" i="14608"/>
  <c r="AW174" i="14608"/>
  <c r="AX174" i="14608"/>
  <c r="AY174" i="14608"/>
  <c r="AZ174" i="14608"/>
  <c r="BA174" i="14608"/>
  <c r="BB174" i="14608"/>
  <c r="BC174" i="14608"/>
  <c r="BD174" i="14608"/>
  <c r="BE174" i="14608"/>
  <c r="BF174" i="14608"/>
  <c r="BG174" i="14608"/>
  <c r="BH174" i="14608"/>
  <c r="BI174" i="14608"/>
  <c r="BJ174" i="14608"/>
  <c r="BK174" i="14608"/>
  <c r="BL174" i="14608"/>
  <c r="BM174" i="14608"/>
  <c r="BN174" i="14608"/>
  <c r="BO174" i="14608"/>
  <c r="BP174" i="14608"/>
  <c r="BQ174" i="14608"/>
  <c r="BR174" i="14608"/>
  <c r="BS174" i="14608"/>
  <c r="BT174" i="14608"/>
  <c r="BU174" i="14608"/>
  <c r="BV174" i="14608"/>
  <c r="BW174" i="14608"/>
  <c r="BX174" i="14608"/>
  <c r="BY174" i="14608"/>
  <c r="BZ174" i="14608"/>
  <c r="CA174" i="14608"/>
  <c r="CB174" i="14608"/>
  <c r="CC174" i="14608"/>
  <c r="CD174" i="14608"/>
  <c r="CE174" i="14608"/>
  <c r="CF174" i="14608"/>
  <c r="CG174" i="14608"/>
  <c r="CH174" i="14608"/>
  <c r="CI174" i="14608"/>
  <c r="CJ174" i="14608"/>
  <c r="CK174" i="14608"/>
  <c r="CL174" i="14608"/>
  <c r="CM174" i="14608"/>
  <c r="CN174" i="14608"/>
  <c r="CO174" i="14608"/>
  <c r="CP174" i="14608"/>
  <c r="CQ174" i="14608"/>
  <c r="CR174" i="14608"/>
  <c r="CS174" i="14608"/>
  <c r="CT174" i="14608"/>
  <c r="CU174" i="14608"/>
  <c r="CV174" i="14608"/>
  <c r="CW174" i="14608"/>
  <c r="CX174" i="14608"/>
  <c r="CY174" i="14608"/>
  <c r="CZ174" i="14608"/>
  <c r="DA174" i="14608"/>
  <c r="DB174" i="14608"/>
  <c r="DC174" i="14608"/>
  <c r="DD174" i="14608"/>
  <c r="DE174" i="14608"/>
  <c r="DF174" i="14608"/>
  <c r="DG174" i="14608"/>
  <c r="DH174" i="14608"/>
  <c r="DI174" i="14608"/>
  <c r="DJ174" i="14608"/>
  <c r="DK174" i="14608"/>
  <c r="DL174" i="14608"/>
  <c r="DM174" i="14608"/>
  <c r="DN174" i="14608"/>
  <c r="DO174" i="14608"/>
  <c r="DP174" i="14608"/>
  <c r="DQ174" i="14608"/>
  <c r="DR174" i="14608"/>
  <c r="DS174" i="14608"/>
  <c r="DT174" i="14608"/>
  <c r="DU174" i="14608"/>
  <c r="DV174" i="14608"/>
  <c r="DW174" i="14608"/>
  <c r="DX174" i="14608"/>
  <c r="DY174" i="14608"/>
  <c r="DZ174" i="14608"/>
  <c r="EA174" i="14608"/>
  <c r="EB174" i="14608"/>
  <c r="EC174" i="14608"/>
  <c r="ED174" i="14608"/>
  <c r="EE174" i="14608"/>
  <c r="EF174" i="14608"/>
  <c r="EG174" i="14608"/>
  <c r="EH174" i="14608"/>
  <c r="EI174" i="14608"/>
  <c r="EJ174" i="14608"/>
  <c r="EK174" i="14608"/>
  <c r="EL174" i="14608"/>
  <c r="EM174" i="14608"/>
  <c r="EN174" i="14608"/>
  <c r="EO174" i="14608"/>
  <c r="EP174" i="14608"/>
  <c r="EQ174" i="14608"/>
  <c r="ER174" i="14608"/>
  <c r="ES174" i="14608"/>
  <c r="ET174" i="14608"/>
  <c r="EU174" i="14608"/>
  <c r="EV174" i="14608"/>
  <c r="EW174" i="14608"/>
  <c r="EX174" i="14608"/>
  <c r="EY174" i="14608"/>
  <c r="EZ174" i="14608"/>
  <c r="FA174" i="14608"/>
  <c r="FB174" i="14608"/>
  <c r="FC174" i="14608"/>
  <c r="FD174" i="14608"/>
  <c r="FE174" i="14608"/>
  <c r="FF174" i="14608"/>
  <c r="FG174" i="14608"/>
  <c r="FH174" i="14608"/>
  <c r="FI174" i="14608"/>
  <c r="FJ174" i="14608"/>
  <c r="FK174" i="14608"/>
  <c r="FL174" i="14608"/>
  <c r="FM174" i="14608"/>
  <c r="FN174" i="14608"/>
  <c r="FO174" i="14608"/>
  <c r="FP174" i="14608"/>
  <c r="FQ174" i="14608"/>
  <c r="FR174" i="14608"/>
  <c r="FS174" i="14608"/>
  <c r="FT174" i="14608"/>
  <c r="FU174" i="14608"/>
  <c r="FV174" i="14608"/>
  <c r="FW174" i="14608"/>
  <c r="FX174" i="14608"/>
  <c r="FY174" i="14608"/>
  <c r="FZ174" i="14608"/>
  <c r="GA174" i="14608"/>
  <c r="GB174" i="14608"/>
  <c r="GC174" i="14608"/>
  <c r="GD174" i="14608"/>
  <c r="GE174" i="14608"/>
  <c r="GF174" i="14608"/>
  <c r="GG174" i="14608"/>
  <c r="GH174" i="14608"/>
  <c r="GI174" i="14608"/>
  <c r="GJ174" i="14608"/>
  <c r="GK174" i="14608"/>
  <c r="GL174" i="14608"/>
  <c r="GM174" i="14608"/>
  <c r="GN174" i="14608"/>
  <c r="GO174" i="14608"/>
  <c r="GP174" i="14608"/>
  <c r="GQ174" i="14608"/>
  <c r="GR174" i="14608"/>
  <c r="GS174" i="14608"/>
  <c r="GT174" i="14608"/>
  <c r="GU174" i="14608"/>
  <c r="GV174" i="14608"/>
  <c r="GW174" i="14608"/>
  <c r="GX174" i="14608"/>
  <c r="GY174" i="14608"/>
  <c r="GZ174" i="14608"/>
  <c r="HA174" i="14608"/>
  <c r="HB174" i="14608"/>
  <c r="HC174" i="14608"/>
  <c r="HD174" i="14608"/>
  <c r="HE174" i="14608"/>
  <c r="HF174" i="14608"/>
  <c r="HG174" i="14608"/>
  <c r="HH174" i="14608"/>
  <c r="HI174" i="14608"/>
  <c r="HJ174" i="14608"/>
  <c r="HK174" i="14608"/>
  <c r="HL174" i="14608"/>
  <c r="HM174" i="14608"/>
  <c r="HN174" i="14608"/>
  <c r="HO174" i="14608"/>
  <c r="HP174" i="14608"/>
  <c r="HQ174" i="14608"/>
  <c r="HR174" i="14608"/>
  <c r="HS174" i="14608"/>
  <c r="HT174" i="14608"/>
  <c r="HU174" i="14608"/>
  <c r="HV174" i="14608"/>
  <c r="HW174" i="14608"/>
  <c r="HX174" i="14608"/>
  <c r="HY174" i="14608"/>
  <c r="HZ174" i="14608"/>
  <c r="IA174" i="14608"/>
  <c r="IB174" i="14608"/>
  <c r="IC174" i="14608"/>
  <c r="ID174" i="14608"/>
  <c r="IE174" i="14608"/>
  <c r="IF174" i="14608"/>
  <c r="IG174" i="14608"/>
  <c r="IH174" i="14608"/>
  <c r="II174" i="14608"/>
  <c r="IJ174" i="14608"/>
  <c r="IK174" i="14608"/>
  <c r="IL174" i="14608"/>
  <c r="IM174" i="14608"/>
  <c r="IN174" i="14608"/>
  <c r="IO174" i="14608"/>
  <c r="IP174" i="14608"/>
  <c r="IQ174" i="14608"/>
  <c r="IR174" i="14608"/>
  <c r="IS174" i="14608"/>
  <c r="IT174" i="14608"/>
  <c r="IU174" i="14608"/>
  <c r="IV174" i="14608"/>
  <c r="A173" i="14608"/>
  <c r="B173" i="14608"/>
  <c r="C173" i="14608"/>
  <c r="D173" i="14608"/>
  <c r="E173" i="14608"/>
  <c r="F173" i="14608"/>
  <c r="G173" i="14608"/>
  <c r="H173" i="14608"/>
  <c r="I173" i="14608"/>
  <c r="J173" i="14608"/>
  <c r="K173" i="14608"/>
  <c r="L173" i="14608"/>
  <c r="M173" i="14608"/>
  <c r="N173" i="14608"/>
  <c r="O173" i="14608"/>
  <c r="P173" i="14608"/>
  <c r="Q173" i="14608"/>
  <c r="R173" i="14608"/>
  <c r="S173" i="14608"/>
  <c r="T173" i="14608"/>
  <c r="U173" i="14608"/>
  <c r="V173" i="14608"/>
  <c r="W173" i="14608"/>
  <c r="X173" i="14608"/>
  <c r="Y173" i="14608"/>
  <c r="Z173" i="14608"/>
  <c r="AA173" i="14608"/>
  <c r="AB173" i="14608"/>
  <c r="AC173" i="14608"/>
  <c r="AD173" i="14608"/>
  <c r="AE173" i="14608"/>
  <c r="AF173" i="14608"/>
  <c r="AG173" i="14608"/>
  <c r="AH173" i="14608"/>
  <c r="AI173" i="14608"/>
  <c r="AJ173" i="14608"/>
  <c r="AK173" i="14608"/>
  <c r="AL173" i="14608"/>
  <c r="AM173" i="14608"/>
  <c r="AN173" i="14608"/>
  <c r="AO173" i="14608"/>
  <c r="AP173" i="14608"/>
  <c r="AQ173" i="14608"/>
  <c r="AR173" i="14608"/>
  <c r="AS173" i="14608"/>
  <c r="AT173" i="14608"/>
  <c r="AU173" i="14608"/>
  <c r="AV173" i="14608"/>
  <c r="AW173" i="14608"/>
  <c r="AX173" i="14608"/>
  <c r="AY173" i="14608"/>
  <c r="AZ173" i="14608"/>
  <c r="BA173" i="14608"/>
  <c r="BB173" i="14608"/>
  <c r="BC173" i="14608"/>
  <c r="BD173" i="14608"/>
  <c r="BE173" i="14608"/>
  <c r="BF173" i="14608"/>
  <c r="BG173" i="14608"/>
  <c r="BH173" i="14608"/>
  <c r="BI173" i="14608"/>
  <c r="BJ173" i="14608"/>
  <c r="BK173" i="14608"/>
  <c r="BL173" i="14608"/>
  <c r="BM173" i="14608"/>
  <c r="BN173" i="14608"/>
  <c r="BO173" i="14608"/>
  <c r="BP173" i="14608"/>
  <c r="BQ173" i="14608"/>
  <c r="BR173" i="14608"/>
  <c r="BS173" i="14608"/>
  <c r="BT173" i="14608"/>
  <c r="BU173" i="14608"/>
  <c r="BV173" i="14608"/>
  <c r="BW173" i="14608"/>
  <c r="BX173" i="14608"/>
  <c r="BY173" i="14608"/>
  <c r="BZ173" i="14608"/>
  <c r="CA173" i="14608"/>
  <c r="CB173" i="14608"/>
  <c r="CC173" i="14608"/>
  <c r="CD173" i="14608"/>
  <c r="CE173" i="14608"/>
  <c r="CF173" i="14608"/>
  <c r="CG173" i="14608"/>
  <c r="CH173" i="14608"/>
  <c r="CI173" i="14608"/>
  <c r="CJ173" i="14608"/>
  <c r="CK173" i="14608"/>
  <c r="CL173" i="14608"/>
  <c r="CM173" i="14608"/>
  <c r="CN173" i="14608"/>
  <c r="CO173" i="14608"/>
  <c r="CP173" i="14608"/>
  <c r="CQ173" i="14608"/>
  <c r="CR173" i="14608"/>
  <c r="CS173" i="14608"/>
  <c r="CT173" i="14608"/>
  <c r="CU173" i="14608"/>
  <c r="CV173" i="14608"/>
  <c r="CW173" i="14608"/>
  <c r="CX173" i="14608"/>
  <c r="CY173" i="14608"/>
  <c r="CZ173" i="14608"/>
  <c r="DA173" i="14608"/>
  <c r="DB173" i="14608"/>
  <c r="DC173" i="14608"/>
  <c r="DD173" i="14608"/>
  <c r="DE173" i="14608"/>
  <c r="DF173" i="14608"/>
  <c r="DG173" i="14608"/>
  <c r="DH173" i="14608"/>
  <c r="DI173" i="14608"/>
  <c r="DJ173" i="14608"/>
  <c r="DK173" i="14608"/>
  <c r="DL173" i="14608"/>
  <c r="DM173" i="14608"/>
  <c r="DN173" i="14608"/>
  <c r="DO173" i="14608"/>
  <c r="DP173" i="14608"/>
  <c r="DQ173" i="14608"/>
  <c r="DR173" i="14608"/>
  <c r="DS173" i="14608"/>
  <c r="DT173" i="14608"/>
  <c r="DU173" i="14608"/>
  <c r="DV173" i="14608"/>
  <c r="DW173" i="14608"/>
  <c r="DX173" i="14608"/>
  <c r="DY173" i="14608"/>
  <c r="DZ173" i="14608"/>
  <c r="EA173" i="14608"/>
  <c r="EB173" i="14608"/>
  <c r="EC173" i="14608"/>
  <c r="ED173" i="14608"/>
  <c r="EE173" i="14608"/>
  <c r="EF173" i="14608"/>
  <c r="EG173" i="14608"/>
  <c r="EH173" i="14608"/>
  <c r="EI173" i="14608"/>
  <c r="EJ173" i="14608"/>
  <c r="EK173" i="14608"/>
  <c r="EL173" i="14608"/>
  <c r="EM173" i="14608"/>
  <c r="EN173" i="14608"/>
  <c r="EO173" i="14608"/>
  <c r="EP173" i="14608"/>
  <c r="EQ173" i="14608"/>
  <c r="ER173" i="14608"/>
  <c r="ES173" i="14608"/>
  <c r="ET173" i="14608"/>
  <c r="EU173" i="14608"/>
  <c r="EV173" i="14608"/>
  <c r="EW173" i="14608"/>
  <c r="EX173" i="14608"/>
  <c r="EY173" i="14608"/>
  <c r="EZ173" i="14608"/>
  <c r="FA173" i="14608"/>
  <c r="FB173" i="14608"/>
  <c r="FC173" i="14608"/>
  <c r="FD173" i="14608"/>
  <c r="FE173" i="14608"/>
  <c r="FF173" i="14608"/>
  <c r="FG173" i="14608"/>
  <c r="FH173" i="14608"/>
  <c r="FI173" i="14608"/>
  <c r="FJ173" i="14608"/>
  <c r="FK173" i="14608"/>
  <c r="FL173" i="14608"/>
  <c r="FM173" i="14608"/>
  <c r="FN173" i="14608"/>
  <c r="FO173" i="14608"/>
  <c r="FP173" i="14608"/>
  <c r="FQ173" i="14608"/>
  <c r="FR173" i="14608"/>
  <c r="FS173" i="14608"/>
  <c r="FT173" i="14608"/>
  <c r="FU173" i="14608"/>
  <c r="FV173" i="14608"/>
  <c r="FW173" i="14608"/>
  <c r="FX173" i="14608"/>
  <c r="FY173" i="14608"/>
  <c r="FZ173" i="14608"/>
  <c r="GA173" i="14608"/>
  <c r="GB173" i="14608"/>
  <c r="GC173" i="14608"/>
  <c r="GD173" i="14608"/>
  <c r="GE173" i="14608"/>
  <c r="GF173" i="14608"/>
  <c r="GG173" i="14608"/>
  <c r="GH173" i="14608"/>
  <c r="GI173" i="14608"/>
  <c r="GJ173" i="14608"/>
  <c r="GK173" i="14608"/>
  <c r="GL173" i="14608"/>
  <c r="GM173" i="14608"/>
  <c r="GN173" i="14608"/>
  <c r="GO173" i="14608"/>
  <c r="GP173" i="14608"/>
  <c r="GQ173" i="14608"/>
  <c r="GR173" i="14608"/>
  <c r="GS173" i="14608"/>
  <c r="GT173" i="14608"/>
  <c r="GU173" i="14608"/>
  <c r="GV173" i="14608"/>
  <c r="GW173" i="14608"/>
  <c r="GX173" i="14608"/>
  <c r="GY173" i="14608"/>
  <c r="GZ173" i="14608"/>
  <c r="HA173" i="14608"/>
  <c r="HB173" i="14608"/>
  <c r="HC173" i="14608"/>
  <c r="HD173" i="14608"/>
  <c r="HE173" i="14608"/>
  <c r="HF173" i="14608"/>
  <c r="HG173" i="14608"/>
  <c r="HH173" i="14608"/>
  <c r="HI173" i="14608"/>
  <c r="HJ173" i="14608"/>
  <c r="HK173" i="14608"/>
  <c r="HL173" i="14608"/>
  <c r="HM173" i="14608"/>
  <c r="HN173" i="14608"/>
  <c r="HO173" i="14608"/>
  <c r="HP173" i="14608"/>
  <c r="HQ173" i="14608"/>
  <c r="HR173" i="14608"/>
  <c r="HS173" i="14608"/>
  <c r="HT173" i="14608"/>
  <c r="HU173" i="14608"/>
  <c r="HV173" i="14608"/>
  <c r="HW173" i="14608"/>
  <c r="HX173" i="14608"/>
  <c r="HY173" i="14608"/>
  <c r="HZ173" i="14608"/>
  <c r="IA173" i="14608"/>
  <c r="IB173" i="14608"/>
  <c r="IC173" i="14608"/>
  <c r="ID173" i="14608"/>
  <c r="IE173" i="14608"/>
  <c r="IF173" i="14608"/>
  <c r="IG173" i="14608"/>
  <c r="IH173" i="14608"/>
  <c r="II173" i="14608"/>
  <c r="IJ173" i="14608"/>
  <c r="IK173" i="14608"/>
  <c r="IL173" i="14608"/>
  <c r="IM173" i="14608"/>
  <c r="IN173" i="14608"/>
  <c r="IO173" i="14608"/>
  <c r="IP173" i="14608"/>
  <c r="IQ173" i="14608"/>
  <c r="IR173" i="14608"/>
  <c r="IS173" i="14608"/>
  <c r="IT173" i="14608"/>
  <c r="IU173" i="14608"/>
  <c r="IV173" i="14608"/>
  <c r="A172" i="14608"/>
  <c r="B172" i="14608"/>
  <c r="C172" i="14608"/>
  <c r="D172" i="14608"/>
  <c r="E172" i="14608"/>
  <c r="F172" i="14608"/>
  <c r="G172" i="14608"/>
  <c r="H172" i="14608"/>
  <c r="I172" i="14608"/>
  <c r="J172" i="14608"/>
  <c r="K172" i="14608"/>
  <c r="L172" i="14608"/>
  <c r="M172" i="14608"/>
  <c r="N172" i="14608"/>
  <c r="O172" i="14608"/>
  <c r="P172" i="14608"/>
  <c r="Q172" i="14608"/>
  <c r="R172" i="14608"/>
  <c r="S172" i="14608"/>
  <c r="T172" i="14608"/>
  <c r="U172" i="14608"/>
  <c r="V172" i="14608"/>
  <c r="W172" i="14608"/>
  <c r="X172" i="14608"/>
  <c r="Y172" i="14608"/>
  <c r="Z172" i="14608"/>
  <c r="AA172" i="14608"/>
  <c r="AB172" i="14608"/>
  <c r="AC172" i="14608"/>
  <c r="AD172" i="14608"/>
  <c r="AE172" i="14608"/>
  <c r="AF172" i="14608"/>
  <c r="AG172" i="14608"/>
  <c r="AH172" i="14608"/>
  <c r="AI172" i="14608"/>
  <c r="AJ172" i="14608"/>
  <c r="AK172" i="14608"/>
  <c r="AL172" i="14608"/>
  <c r="AM172" i="14608"/>
  <c r="AN172" i="14608"/>
  <c r="AO172" i="14608"/>
  <c r="AP172" i="14608"/>
  <c r="AQ172" i="14608"/>
  <c r="AR172" i="14608"/>
  <c r="AS172" i="14608"/>
  <c r="AT172" i="14608"/>
  <c r="AU172" i="14608"/>
  <c r="AV172" i="14608"/>
  <c r="AW172" i="14608"/>
  <c r="AX172" i="14608"/>
  <c r="AY172" i="14608"/>
  <c r="AZ172" i="14608"/>
  <c r="BA172" i="14608"/>
  <c r="BB172" i="14608"/>
  <c r="BC172" i="14608"/>
  <c r="BD172" i="14608"/>
  <c r="BE172" i="14608"/>
  <c r="BF172" i="14608"/>
  <c r="BG172" i="14608"/>
  <c r="BH172" i="14608"/>
  <c r="BI172" i="14608"/>
  <c r="BJ172" i="14608"/>
  <c r="BK172" i="14608"/>
  <c r="BL172" i="14608"/>
  <c r="BM172" i="14608"/>
  <c r="BN172" i="14608"/>
  <c r="BO172" i="14608"/>
  <c r="BP172" i="14608"/>
  <c r="BQ172" i="14608"/>
  <c r="BR172" i="14608"/>
  <c r="BS172" i="14608"/>
  <c r="BT172" i="14608"/>
  <c r="BU172" i="14608"/>
  <c r="BV172" i="14608"/>
  <c r="BW172" i="14608"/>
  <c r="BX172" i="14608"/>
  <c r="BY172" i="14608"/>
  <c r="BZ172" i="14608"/>
  <c r="CA172" i="14608"/>
  <c r="CB172" i="14608"/>
  <c r="CC172" i="14608"/>
  <c r="CD172" i="14608"/>
  <c r="CE172" i="14608"/>
  <c r="CF172" i="14608"/>
  <c r="CG172" i="14608"/>
  <c r="CH172" i="14608"/>
  <c r="CI172" i="14608"/>
  <c r="CJ172" i="14608"/>
  <c r="CK172" i="14608"/>
  <c r="CL172" i="14608"/>
  <c r="CM172" i="14608"/>
  <c r="CN172" i="14608"/>
  <c r="CO172" i="14608"/>
  <c r="CP172" i="14608"/>
  <c r="CQ172" i="14608"/>
  <c r="CR172" i="14608"/>
  <c r="CS172" i="14608"/>
  <c r="CT172" i="14608"/>
  <c r="CU172" i="14608"/>
  <c r="CV172" i="14608"/>
  <c r="CW172" i="14608"/>
  <c r="CX172" i="14608"/>
  <c r="CY172" i="14608"/>
  <c r="CZ172" i="14608"/>
  <c r="DA172" i="14608"/>
  <c r="DB172" i="14608"/>
  <c r="DC172" i="14608"/>
  <c r="DD172" i="14608"/>
  <c r="DE172" i="14608"/>
  <c r="DF172" i="14608"/>
  <c r="DG172" i="14608"/>
  <c r="DH172" i="14608"/>
  <c r="DI172" i="14608"/>
  <c r="DJ172" i="14608"/>
  <c r="DK172" i="14608"/>
  <c r="DL172" i="14608"/>
  <c r="DM172" i="14608"/>
  <c r="DN172" i="14608"/>
  <c r="DO172" i="14608"/>
  <c r="DP172" i="14608"/>
  <c r="DQ172" i="14608"/>
  <c r="DR172" i="14608"/>
  <c r="DS172" i="14608"/>
  <c r="DT172" i="14608"/>
  <c r="DU172" i="14608"/>
  <c r="DV172" i="14608"/>
  <c r="DW172" i="14608"/>
  <c r="DX172" i="14608"/>
  <c r="DY172" i="14608"/>
  <c r="DZ172" i="14608"/>
  <c r="EA172" i="14608"/>
  <c r="EB172" i="14608"/>
  <c r="EC172" i="14608"/>
  <c r="ED172" i="14608"/>
  <c r="EE172" i="14608"/>
  <c r="EF172" i="14608"/>
  <c r="EG172" i="14608"/>
  <c r="EH172" i="14608"/>
  <c r="EI172" i="14608"/>
  <c r="EJ172" i="14608"/>
  <c r="EK172" i="14608"/>
  <c r="EL172" i="14608"/>
  <c r="EM172" i="14608"/>
  <c r="EN172" i="14608"/>
  <c r="EO172" i="14608"/>
  <c r="EP172" i="14608"/>
  <c r="EQ172" i="14608"/>
  <c r="ER172" i="14608"/>
  <c r="ES172" i="14608"/>
  <c r="ET172" i="14608"/>
  <c r="EU172" i="14608"/>
  <c r="EV172" i="14608"/>
  <c r="EW172" i="14608"/>
  <c r="EX172" i="14608"/>
  <c r="EY172" i="14608"/>
  <c r="EZ172" i="14608"/>
  <c r="FA172" i="14608"/>
  <c r="FB172" i="14608"/>
  <c r="FC172" i="14608"/>
  <c r="FD172" i="14608"/>
  <c r="FE172" i="14608"/>
  <c r="FF172" i="14608"/>
  <c r="FG172" i="14608"/>
  <c r="FH172" i="14608"/>
  <c r="FI172" i="14608"/>
  <c r="FJ172" i="14608"/>
  <c r="FK172" i="14608"/>
  <c r="FL172" i="14608"/>
  <c r="FM172" i="14608"/>
  <c r="FN172" i="14608"/>
  <c r="FO172" i="14608"/>
  <c r="FP172" i="14608"/>
  <c r="FQ172" i="14608"/>
  <c r="FR172" i="14608"/>
  <c r="FS172" i="14608"/>
  <c r="FT172" i="14608"/>
  <c r="FU172" i="14608"/>
  <c r="FV172" i="14608"/>
  <c r="FW172" i="14608"/>
  <c r="FX172" i="14608"/>
  <c r="FY172" i="14608"/>
  <c r="FZ172" i="14608"/>
  <c r="GA172" i="14608"/>
  <c r="GB172" i="14608"/>
  <c r="GC172" i="14608"/>
  <c r="GD172" i="14608"/>
  <c r="GE172" i="14608"/>
  <c r="GF172" i="14608"/>
  <c r="GG172" i="14608"/>
  <c r="GH172" i="14608"/>
  <c r="GI172" i="14608"/>
  <c r="GJ172" i="14608"/>
  <c r="GK172" i="14608"/>
  <c r="GL172" i="14608"/>
  <c r="GM172" i="14608"/>
  <c r="GN172" i="14608"/>
  <c r="GO172" i="14608"/>
  <c r="GP172" i="14608"/>
  <c r="GQ172" i="14608"/>
  <c r="GR172" i="14608"/>
  <c r="GS172" i="14608"/>
  <c r="GT172" i="14608"/>
  <c r="GU172" i="14608"/>
  <c r="GV172" i="14608"/>
  <c r="GW172" i="14608"/>
  <c r="GX172" i="14608"/>
  <c r="GY172" i="14608"/>
  <c r="GZ172" i="14608"/>
  <c r="HA172" i="14608"/>
  <c r="HB172" i="14608"/>
  <c r="HC172" i="14608"/>
  <c r="HD172" i="14608"/>
  <c r="HE172" i="14608"/>
  <c r="HF172" i="14608"/>
  <c r="HG172" i="14608"/>
  <c r="HH172" i="14608"/>
  <c r="HI172" i="14608"/>
  <c r="HJ172" i="14608"/>
  <c r="HK172" i="14608"/>
  <c r="HL172" i="14608"/>
  <c r="HM172" i="14608"/>
  <c r="HN172" i="14608"/>
  <c r="HO172" i="14608"/>
  <c r="HP172" i="14608"/>
  <c r="HQ172" i="14608"/>
  <c r="HR172" i="14608"/>
  <c r="HS172" i="14608"/>
  <c r="HT172" i="14608"/>
  <c r="HU172" i="14608"/>
  <c r="HV172" i="14608"/>
  <c r="HW172" i="14608"/>
  <c r="HX172" i="14608"/>
  <c r="HY172" i="14608"/>
  <c r="HZ172" i="14608"/>
  <c r="IA172" i="14608"/>
  <c r="IB172" i="14608"/>
  <c r="IC172" i="14608"/>
  <c r="ID172" i="14608"/>
  <c r="IE172" i="14608"/>
  <c r="IF172" i="14608"/>
  <c r="IG172" i="14608"/>
  <c r="IH172" i="14608"/>
  <c r="II172" i="14608"/>
  <c r="IJ172" i="14608"/>
  <c r="IK172" i="14608"/>
  <c r="IL172" i="14608"/>
  <c r="IM172" i="14608"/>
  <c r="IN172" i="14608"/>
  <c r="IO172" i="14608"/>
  <c r="IP172" i="14608"/>
  <c r="IQ172" i="14608"/>
  <c r="IR172" i="14608"/>
  <c r="IS172" i="14608"/>
  <c r="IT172" i="14608"/>
  <c r="IU172" i="14608"/>
  <c r="IV172" i="14608"/>
  <c r="A171" i="14608"/>
  <c r="B171" i="14608"/>
  <c r="C171" i="14608"/>
  <c r="D171" i="14608"/>
  <c r="E171" i="14608"/>
  <c r="F171" i="14608"/>
  <c r="G171" i="14608"/>
  <c r="H171" i="14608"/>
  <c r="I171" i="14608"/>
  <c r="J171" i="14608"/>
  <c r="K171" i="14608"/>
  <c r="L171" i="14608"/>
  <c r="M171" i="14608"/>
  <c r="N171" i="14608"/>
  <c r="O171" i="14608"/>
  <c r="P171" i="14608"/>
  <c r="Q171" i="14608"/>
  <c r="R171" i="14608"/>
  <c r="S171" i="14608"/>
  <c r="T171" i="14608"/>
  <c r="U171" i="14608"/>
  <c r="V171" i="14608"/>
  <c r="W171" i="14608"/>
  <c r="X171" i="14608"/>
  <c r="Y171" i="14608"/>
  <c r="Z171" i="14608"/>
  <c r="AA171" i="14608"/>
  <c r="AB171" i="14608"/>
  <c r="AC171" i="14608"/>
  <c r="AD171" i="14608"/>
  <c r="AE171" i="14608"/>
  <c r="AF171" i="14608"/>
  <c r="AG171" i="14608"/>
  <c r="AH171" i="14608"/>
  <c r="AI171" i="14608"/>
  <c r="AJ171" i="14608"/>
  <c r="AK171" i="14608"/>
  <c r="AL171" i="14608"/>
  <c r="AM171" i="14608"/>
  <c r="AN171" i="14608"/>
  <c r="AO171" i="14608"/>
  <c r="AP171" i="14608"/>
  <c r="AQ171" i="14608"/>
  <c r="AR171" i="14608"/>
  <c r="AS171" i="14608"/>
  <c r="AT171" i="14608"/>
  <c r="AU171" i="14608"/>
  <c r="AV171" i="14608"/>
  <c r="AW171" i="14608"/>
  <c r="AX171" i="14608"/>
  <c r="AY171" i="14608"/>
  <c r="AZ171" i="14608"/>
  <c r="BA171" i="14608"/>
  <c r="BB171" i="14608"/>
  <c r="BC171" i="14608"/>
  <c r="BD171" i="14608"/>
  <c r="BE171" i="14608"/>
  <c r="BF171" i="14608"/>
  <c r="BG171" i="14608"/>
  <c r="BH171" i="14608"/>
  <c r="BI171" i="14608"/>
  <c r="BJ171" i="14608"/>
  <c r="BK171" i="14608"/>
  <c r="BL171" i="14608"/>
  <c r="BM171" i="14608"/>
  <c r="BN171" i="14608"/>
  <c r="BO171" i="14608"/>
  <c r="BP171" i="14608"/>
  <c r="BQ171" i="14608"/>
  <c r="BR171" i="14608"/>
  <c r="BS171" i="14608"/>
  <c r="BT171" i="14608"/>
  <c r="BU171" i="14608"/>
  <c r="BV171" i="14608"/>
  <c r="BW171" i="14608"/>
  <c r="BX171" i="14608"/>
  <c r="BY171" i="14608"/>
  <c r="BZ171" i="14608"/>
  <c r="CA171" i="14608"/>
  <c r="CB171" i="14608"/>
  <c r="CC171" i="14608"/>
  <c r="CD171" i="14608"/>
  <c r="CE171" i="14608"/>
  <c r="CF171" i="14608"/>
  <c r="CG171" i="14608"/>
  <c r="CH171" i="14608"/>
  <c r="CI171" i="14608"/>
  <c r="CJ171" i="14608"/>
  <c r="CK171" i="14608"/>
  <c r="CL171" i="14608"/>
  <c r="CM171" i="14608"/>
  <c r="CN171" i="14608"/>
  <c r="CO171" i="14608"/>
  <c r="CP171" i="14608"/>
  <c r="CQ171" i="14608"/>
  <c r="CR171" i="14608"/>
  <c r="CS171" i="14608"/>
  <c r="CT171" i="14608"/>
  <c r="CU171" i="14608"/>
  <c r="CV171" i="14608"/>
  <c r="CW171" i="14608"/>
  <c r="CX171" i="14608"/>
  <c r="CY171" i="14608"/>
  <c r="CZ171" i="14608"/>
  <c r="DA171" i="14608"/>
  <c r="DB171" i="14608"/>
  <c r="DC171" i="14608"/>
  <c r="DD171" i="14608"/>
  <c r="DE171" i="14608"/>
  <c r="DF171" i="14608"/>
  <c r="DG171" i="14608"/>
  <c r="DH171" i="14608"/>
  <c r="DI171" i="14608"/>
  <c r="DJ171" i="14608"/>
  <c r="DK171" i="14608"/>
  <c r="DL171" i="14608"/>
  <c r="DM171" i="14608"/>
  <c r="DN171" i="14608"/>
  <c r="DO171" i="14608"/>
  <c r="DP171" i="14608"/>
  <c r="DQ171" i="14608"/>
  <c r="DR171" i="14608"/>
  <c r="DS171" i="14608"/>
  <c r="DT171" i="14608"/>
  <c r="DU171" i="14608"/>
  <c r="DV171" i="14608"/>
  <c r="DW171" i="14608"/>
  <c r="DX171" i="14608"/>
  <c r="DY171" i="14608"/>
  <c r="DZ171" i="14608"/>
  <c r="EA171" i="14608"/>
  <c r="EB171" i="14608"/>
  <c r="EC171" i="14608"/>
  <c r="ED171" i="14608"/>
  <c r="EE171" i="14608"/>
  <c r="EF171" i="14608"/>
  <c r="EG171" i="14608"/>
  <c r="EH171" i="14608"/>
  <c r="EI171" i="14608"/>
  <c r="EJ171" i="14608"/>
  <c r="EK171" i="14608"/>
  <c r="EL171" i="14608"/>
  <c r="EM171" i="14608"/>
  <c r="EN171" i="14608"/>
  <c r="EO171" i="14608"/>
  <c r="EP171" i="14608"/>
  <c r="EQ171" i="14608"/>
  <c r="ER171" i="14608"/>
  <c r="ES171" i="14608"/>
  <c r="ET171" i="14608"/>
  <c r="EU171" i="14608"/>
  <c r="EV171" i="14608"/>
  <c r="EW171" i="14608"/>
  <c r="EX171" i="14608"/>
  <c r="EY171" i="14608"/>
  <c r="EZ171" i="14608"/>
  <c r="FA171" i="14608"/>
  <c r="FB171" i="14608"/>
  <c r="FC171" i="14608"/>
  <c r="FD171" i="14608"/>
  <c r="FE171" i="14608"/>
  <c r="FF171" i="14608"/>
  <c r="FG171" i="14608"/>
  <c r="FH171" i="14608"/>
  <c r="FI171" i="14608"/>
  <c r="FJ171" i="14608"/>
  <c r="FK171" i="14608"/>
  <c r="FL171" i="14608"/>
  <c r="FM171" i="14608"/>
  <c r="FN171" i="14608"/>
  <c r="FO171" i="14608"/>
  <c r="FP171" i="14608"/>
  <c r="FQ171" i="14608"/>
  <c r="FR171" i="14608"/>
  <c r="FS171" i="14608"/>
  <c r="FT171" i="14608"/>
  <c r="FU171" i="14608"/>
  <c r="FV171" i="14608"/>
  <c r="FW171" i="14608"/>
  <c r="FX171" i="14608"/>
  <c r="FY171" i="14608"/>
  <c r="FZ171" i="14608"/>
  <c r="GA171" i="14608"/>
  <c r="GB171" i="14608"/>
  <c r="GC171" i="14608"/>
  <c r="GD171" i="14608"/>
  <c r="GE171" i="14608"/>
  <c r="GF171" i="14608"/>
  <c r="GG171" i="14608"/>
  <c r="GH171" i="14608"/>
  <c r="GI171" i="14608"/>
  <c r="GJ171" i="14608"/>
  <c r="GK171" i="14608"/>
  <c r="GL171" i="14608"/>
  <c r="GM171" i="14608"/>
  <c r="GN171" i="14608"/>
  <c r="GO171" i="14608"/>
  <c r="GP171" i="14608"/>
  <c r="GQ171" i="14608"/>
  <c r="GR171" i="14608"/>
  <c r="GS171" i="14608"/>
  <c r="GT171" i="14608"/>
  <c r="GU171" i="14608"/>
  <c r="GV171" i="14608"/>
  <c r="GW171" i="14608"/>
  <c r="GX171" i="14608"/>
  <c r="GY171" i="14608"/>
  <c r="GZ171" i="14608"/>
  <c r="HA171" i="14608"/>
  <c r="HB171" i="14608"/>
  <c r="HC171" i="14608"/>
  <c r="HD171" i="14608"/>
  <c r="HE171" i="14608"/>
  <c r="HF171" i="14608"/>
  <c r="HG171" i="14608"/>
  <c r="HH171" i="14608"/>
  <c r="HI171" i="14608"/>
  <c r="HJ171" i="14608"/>
  <c r="HK171" i="14608"/>
  <c r="HL171" i="14608"/>
  <c r="HM171" i="14608"/>
  <c r="HN171" i="14608"/>
  <c r="HO171" i="14608"/>
  <c r="HP171" i="14608"/>
  <c r="HQ171" i="14608"/>
  <c r="HR171" i="14608"/>
  <c r="HS171" i="14608"/>
  <c r="HT171" i="14608"/>
  <c r="HU171" i="14608"/>
  <c r="HV171" i="14608"/>
  <c r="HW171" i="14608"/>
  <c r="HX171" i="14608"/>
  <c r="HY171" i="14608"/>
  <c r="HZ171" i="14608"/>
  <c r="IA171" i="14608"/>
  <c r="IB171" i="14608"/>
  <c r="IC171" i="14608"/>
  <c r="ID171" i="14608"/>
  <c r="IE171" i="14608"/>
  <c r="IF171" i="14608"/>
  <c r="IG171" i="14608"/>
  <c r="IH171" i="14608"/>
  <c r="II171" i="14608"/>
  <c r="IJ171" i="14608"/>
  <c r="IK171" i="14608"/>
  <c r="IL171" i="14608"/>
  <c r="IM171" i="14608"/>
  <c r="IN171" i="14608"/>
  <c r="IO171" i="14608"/>
  <c r="IP171" i="14608"/>
  <c r="IQ171" i="14608"/>
  <c r="IR171" i="14608"/>
  <c r="IS171" i="14608"/>
  <c r="IT171" i="14608"/>
  <c r="IU171" i="14608"/>
  <c r="IV171" i="14608"/>
  <c r="A170" i="14608"/>
  <c r="B170" i="14608"/>
  <c r="C170" i="14608"/>
  <c r="D170" i="14608"/>
  <c r="E170" i="14608"/>
  <c r="F170" i="14608"/>
  <c r="G170" i="14608"/>
  <c r="H170" i="14608"/>
  <c r="I170" i="14608"/>
  <c r="J170" i="14608"/>
  <c r="K170" i="14608"/>
  <c r="L170" i="14608"/>
  <c r="M170" i="14608"/>
  <c r="N170" i="14608"/>
  <c r="O170" i="14608"/>
  <c r="P170" i="14608"/>
  <c r="Q170" i="14608"/>
  <c r="R170" i="14608"/>
  <c r="S170" i="14608"/>
  <c r="T170" i="14608"/>
  <c r="U170" i="14608"/>
  <c r="V170" i="14608"/>
  <c r="W170" i="14608"/>
  <c r="X170" i="14608"/>
  <c r="Y170" i="14608"/>
  <c r="Z170" i="14608"/>
  <c r="AA170" i="14608"/>
  <c r="AB170" i="14608"/>
  <c r="AC170" i="14608"/>
  <c r="AD170" i="14608"/>
  <c r="AE170" i="14608"/>
  <c r="AF170" i="14608"/>
  <c r="AG170" i="14608"/>
  <c r="AH170" i="14608"/>
  <c r="AI170" i="14608"/>
  <c r="AJ170" i="14608"/>
  <c r="AK170" i="14608"/>
  <c r="AL170" i="14608"/>
  <c r="AM170" i="14608"/>
  <c r="AN170" i="14608"/>
  <c r="AO170" i="14608"/>
  <c r="AP170" i="14608"/>
  <c r="AQ170" i="14608"/>
  <c r="AR170" i="14608"/>
  <c r="AS170" i="14608"/>
  <c r="AT170" i="14608"/>
  <c r="AU170" i="14608"/>
  <c r="AV170" i="14608"/>
  <c r="AW170" i="14608"/>
  <c r="AX170" i="14608"/>
  <c r="AY170" i="14608"/>
  <c r="AZ170" i="14608"/>
  <c r="BA170" i="14608"/>
  <c r="BB170" i="14608"/>
  <c r="BC170" i="14608"/>
  <c r="BD170" i="14608"/>
  <c r="BE170" i="14608"/>
  <c r="BF170" i="14608"/>
  <c r="BG170" i="14608"/>
  <c r="BH170" i="14608"/>
  <c r="BI170" i="14608"/>
  <c r="BJ170" i="14608"/>
  <c r="BK170" i="14608"/>
  <c r="BL170" i="14608"/>
  <c r="BM170" i="14608"/>
  <c r="BN170" i="14608"/>
  <c r="BO170" i="14608"/>
  <c r="BP170" i="14608"/>
  <c r="BQ170" i="14608"/>
  <c r="BR170" i="14608"/>
  <c r="BS170" i="14608"/>
  <c r="BT170" i="14608"/>
  <c r="BU170" i="14608"/>
  <c r="BV170" i="14608"/>
  <c r="BW170" i="14608"/>
  <c r="BX170" i="14608"/>
  <c r="BY170" i="14608"/>
  <c r="BZ170" i="14608"/>
  <c r="CA170" i="14608"/>
  <c r="CB170" i="14608"/>
  <c r="CC170" i="14608"/>
  <c r="CD170" i="14608"/>
  <c r="CE170" i="14608"/>
  <c r="CF170" i="14608"/>
  <c r="CG170" i="14608"/>
  <c r="CH170" i="14608"/>
  <c r="CI170" i="14608"/>
  <c r="CJ170" i="14608"/>
  <c r="CK170" i="14608"/>
  <c r="CL170" i="14608"/>
  <c r="CM170" i="14608"/>
  <c r="CN170" i="14608"/>
  <c r="CO170" i="14608"/>
  <c r="CP170" i="14608"/>
  <c r="CQ170" i="14608"/>
  <c r="CR170" i="14608"/>
  <c r="CS170" i="14608"/>
  <c r="CT170" i="14608"/>
  <c r="CU170" i="14608"/>
  <c r="CV170" i="14608"/>
  <c r="CW170" i="14608"/>
  <c r="CX170" i="14608"/>
  <c r="CY170" i="14608"/>
  <c r="CZ170" i="14608"/>
  <c r="DA170" i="14608"/>
  <c r="DB170" i="14608"/>
  <c r="DC170" i="14608"/>
  <c r="DD170" i="14608"/>
  <c r="DE170" i="14608"/>
  <c r="DF170" i="14608"/>
  <c r="DG170" i="14608"/>
  <c r="DH170" i="14608"/>
  <c r="DI170" i="14608"/>
  <c r="DJ170" i="14608"/>
  <c r="DK170" i="14608"/>
  <c r="DL170" i="14608"/>
  <c r="DM170" i="14608"/>
  <c r="DN170" i="14608"/>
  <c r="DO170" i="14608"/>
  <c r="DP170" i="14608"/>
  <c r="DQ170" i="14608"/>
  <c r="DR170" i="14608"/>
  <c r="DS170" i="14608"/>
  <c r="DT170" i="14608"/>
  <c r="DU170" i="14608"/>
  <c r="DV170" i="14608"/>
  <c r="DW170" i="14608"/>
  <c r="DX170" i="14608"/>
  <c r="DY170" i="14608"/>
  <c r="DZ170" i="14608"/>
  <c r="EA170" i="14608"/>
  <c r="EB170" i="14608"/>
  <c r="EC170" i="14608"/>
  <c r="ED170" i="14608"/>
  <c r="EE170" i="14608"/>
  <c r="EF170" i="14608"/>
  <c r="EG170" i="14608"/>
  <c r="EH170" i="14608"/>
  <c r="EI170" i="14608"/>
  <c r="EJ170" i="14608"/>
  <c r="EK170" i="14608"/>
  <c r="EL170" i="14608"/>
  <c r="EM170" i="14608"/>
  <c r="EN170" i="14608"/>
  <c r="EO170" i="14608"/>
  <c r="EP170" i="14608"/>
  <c r="EQ170" i="14608"/>
  <c r="ER170" i="14608"/>
  <c r="ES170" i="14608"/>
  <c r="ET170" i="14608"/>
  <c r="EU170" i="14608"/>
  <c r="EV170" i="14608"/>
  <c r="EW170" i="14608"/>
  <c r="EX170" i="14608"/>
  <c r="EY170" i="14608"/>
  <c r="EZ170" i="14608"/>
  <c r="FA170" i="14608"/>
  <c r="FB170" i="14608"/>
  <c r="FC170" i="14608"/>
  <c r="FD170" i="14608"/>
  <c r="FE170" i="14608"/>
  <c r="FF170" i="14608"/>
  <c r="FG170" i="14608"/>
  <c r="FH170" i="14608"/>
  <c r="FI170" i="14608"/>
  <c r="FJ170" i="14608"/>
  <c r="FK170" i="14608"/>
  <c r="FL170" i="14608"/>
  <c r="FM170" i="14608"/>
  <c r="FN170" i="14608"/>
  <c r="FO170" i="14608"/>
  <c r="FP170" i="14608"/>
  <c r="FQ170" i="14608"/>
  <c r="FR170" i="14608"/>
  <c r="FS170" i="14608"/>
  <c r="FT170" i="14608"/>
  <c r="FU170" i="14608"/>
  <c r="FV170" i="14608"/>
  <c r="FW170" i="14608"/>
  <c r="FX170" i="14608"/>
  <c r="FY170" i="14608"/>
  <c r="FZ170" i="14608"/>
  <c r="GA170" i="14608"/>
  <c r="GB170" i="14608"/>
  <c r="GC170" i="14608"/>
  <c r="GD170" i="14608"/>
  <c r="GE170" i="14608"/>
  <c r="GF170" i="14608"/>
  <c r="GG170" i="14608"/>
  <c r="GH170" i="14608"/>
  <c r="GI170" i="14608"/>
  <c r="GJ170" i="14608"/>
  <c r="GK170" i="14608"/>
  <c r="GL170" i="14608"/>
  <c r="GM170" i="14608"/>
  <c r="GN170" i="14608"/>
  <c r="GO170" i="14608"/>
  <c r="GP170" i="14608"/>
  <c r="GQ170" i="14608"/>
  <c r="GR170" i="14608"/>
  <c r="GS170" i="14608"/>
  <c r="GT170" i="14608"/>
  <c r="GU170" i="14608"/>
  <c r="GV170" i="14608"/>
  <c r="GW170" i="14608"/>
  <c r="GX170" i="14608"/>
  <c r="GY170" i="14608"/>
  <c r="GZ170" i="14608"/>
  <c r="HA170" i="14608"/>
  <c r="HB170" i="14608"/>
  <c r="HC170" i="14608"/>
  <c r="HD170" i="14608"/>
  <c r="HE170" i="14608"/>
  <c r="HF170" i="14608"/>
  <c r="HG170" i="14608"/>
  <c r="HH170" i="14608"/>
  <c r="HI170" i="14608"/>
  <c r="HJ170" i="14608"/>
  <c r="HK170" i="14608"/>
  <c r="HL170" i="14608"/>
  <c r="HM170" i="14608"/>
  <c r="HN170" i="14608"/>
  <c r="HO170" i="14608"/>
  <c r="HP170" i="14608"/>
  <c r="HQ170" i="14608"/>
  <c r="HR170" i="14608"/>
  <c r="HS170" i="14608"/>
  <c r="HT170" i="14608"/>
  <c r="HU170" i="14608"/>
  <c r="HV170" i="14608"/>
  <c r="HW170" i="14608"/>
  <c r="HX170" i="14608"/>
  <c r="HY170" i="14608"/>
  <c r="HZ170" i="14608"/>
  <c r="IA170" i="14608"/>
  <c r="IB170" i="14608"/>
  <c r="IC170" i="14608"/>
  <c r="ID170" i="14608"/>
  <c r="IE170" i="14608"/>
  <c r="IF170" i="14608"/>
  <c r="IG170" i="14608"/>
  <c r="IH170" i="14608"/>
  <c r="II170" i="14608"/>
  <c r="IJ170" i="14608"/>
  <c r="IK170" i="14608"/>
  <c r="IL170" i="14608"/>
  <c r="IM170" i="14608"/>
  <c r="IN170" i="14608"/>
  <c r="IO170" i="14608"/>
  <c r="IP170" i="14608"/>
  <c r="IQ170" i="14608"/>
  <c r="IR170" i="14608"/>
  <c r="IS170" i="14608"/>
  <c r="IT170" i="14608"/>
  <c r="IU170" i="14608"/>
  <c r="IV170" i="14608"/>
  <c r="A169" i="14608"/>
  <c r="B169" i="14608"/>
  <c r="C169" i="14608"/>
  <c r="D169" i="14608"/>
  <c r="E169" i="14608"/>
  <c r="F169" i="14608"/>
  <c r="G169" i="14608"/>
  <c r="H169" i="14608"/>
  <c r="I169" i="14608"/>
  <c r="J169" i="14608"/>
  <c r="K169" i="14608"/>
  <c r="L169" i="14608"/>
  <c r="M169" i="14608"/>
  <c r="N169" i="14608"/>
  <c r="O169" i="14608"/>
  <c r="P169" i="14608"/>
  <c r="Q169" i="14608"/>
  <c r="R169" i="14608"/>
  <c r="S169" i="14608"/>
  <c r="T169" i="14608"/>
  <c r="U169" i="14608"/>
  <c r="V169" i="14608"/>
  <c r="W169" i="14608"/>
  <c r="X169" i="14608"/>
  <c r="Y169" i="14608"/>
  <c r="Z169" i="14608"/>
  <c r="AA169" i="14608"/>
  <c r="AB169" i="14608"/>
  <c r="AC169" i="14608"/>
  <c r="AD169" i="14608"/>
  <c r="AE169" i="14608"/>
  <c r="AF169" i="14608"/>
  <c r="AG169" i="14608"/>
  <c r="AH169" i="14608"/>
  <c r="AI169" i="14608"/>
  <c r="AJ169" i="14608"/>
  <c r="AK169" i="14608"/>
  <c r="AL169" i="14608"/>
  <c r="AM169" i="14608"/>
  <c r="AN169" i="14608"/>
  <c r="AO169" i="14608"/>
  <c r="AP169" i="14608"/>
  <c r="AQ169" i="14608"/>
  <c r="AR169" i="14608"/>
  <c r="AS169" i="14608"/>
  <c r="AT169" i="14608"/>
  <c r="AU169" i="14608"/>
  <c r="AV169" i="14608"/>
  <c r="AW169" i="14608"/>
  <c r="AX169" i="14608"/>
  <c r="AY169" i="14608"/>
  <c r="AZ169" i="14608"/>
  <c r="BA169" i="14608"/>
  <c r="BB169" i="14608"/>
  <c r="BC169" i="14608"/>
  <c r="BD169" i="14608"/>
  <c r="BE169" i="14608"/>
  <c r="BF169" i="14608"/>
  <c r="BG169" i="14608"/>
  <c r="BH169" i="14608"/>
  <c r="BI169" i="14608"/>
  <c r="BJ169" i="14608"/>
  <c r="BK169" i="14608"/>
  <c r="BL169" i="14608"/>
  <c r="BM169" i="14608"/>
  <c r="BN169" i="14608"/>
  <c r="BO169" i="14608"/>
  <c r="BP169" i="14608"/>
  <c r="BQ169" i="14608"/>
  <c r="BR169" i="14608"/>
  <c r="BS169" i="14608"/>
  <c r="BT169" i="14608"/>
  <c r="BU169" i="14608"/>
  <c r="BV169" i="14608"/>
  <c r="BW169" i="14608"/>
  <c r="BX169" i="14608"/>
  <c r="BY169" i="14608"/>
  <c r="BZ169" i="14608"/>
  <c r="CA169" i="14608"/>
  <c r="CB169" i="14608"/>
  <c r="CC169" i="14608"/>
  <c r="CD169" i="14608"/>
  <c r="CE169" i="14608"/>
  <c r="CF169" i="14608"/>
  <c r="CG169" i="14608"/>
  <c r="CH169" i="14608"/>
  <c r="CI169" i="14608"/>
  <c r="CJ169" i="14608"/>
  <c r="CK169" i="14608"/>
  <c r="CL169" i="14608"/>
  <c r="CM169" i="14608"/>
  <c r="CN169" i="14608"/>
  <c r="CO169" i="14608"/>
  <c r="CP169" i="14608"/>
  <c r="CQ169" i="14608"/>
  <c r="CR169" i="14608"/>
  <c r="CS169" i="14608"/>
  <c r="CT169" i="14608"/>
  <c r="CU169" i="14608"/>
  <c r="CV169" i="14608"/>
  <c r="CW169" i="14608"/>
  <c r="CX169" i="14608"/>
  <c r="CY169" i="14608"/>
  <c r="CZ169" i="14608"/>
  <c r="DA169" i="14608"/>
  <c r="DB169" i="14608"/>
  <c r="DC169" i="14608"/>
  <c r="DD169" i="14608"/>
  <c r="DE169" i="14608"/>
  <c r="DF169" i="14608"/>
  <c r="DG169" i="14608"/>
  <c r="DH169" i="14608"/>
  <c r="DI169" i="14608"/>
  <c r="DJ169" i="14608"/>
  <c r="DK169" i="14608"/>
  <c r="DL169" i="14608"/>
  <c r="DM169" i="14608"/>
  <c r="DN169" i="14608"/>
  <c r="DO169" i="14608"/>
  <c r="DP169" i="14608"/>
  <c r="DQ169" i="14608"/>
  <c r="DR169" i="14608"/>
  <c r="DS169" i="14608"/>
  <c r="DT169" i="14608"/>
  <c r="DU169" i="14608"/>
  <c r="DV169" i="14608"/>
  <c r="DW169" i="14608"/>
  <c r="DX169" i="14608"/>
  <c r="DY169" i="14608"/>
  <c r="DZ169" i="14608"/>
  <c r="EA169" i="14608"/>
  <c r="EB169" i="14608"/>
  <c r="EC169" i="14608"/>
  <c r="ED169" i="14608"/>
  <c r="EE169" i="14608"/>
  <c r="EF169" i="14608"/>
  <c r="EG169" i="14608"/>
  <c r="EH169" i="14608"/>
  <c r="EI169" i="14608"/>
  <c r="EJ169" i="14608"/>
  <c r="EK169" i="14608"/>
  <c r="EL169" i="14608"/>
  <c r="EM169" i="14608"/>
  <c r="EN169" i="14608"/>
  <c r="EO169" i="14608"/>
  <c r="EP169" i="14608"/>
  <c r="EQ169" i="14608"/>
  <c r="ER169" i="14608"/>
  <c r="ES169" i="14608"/>
  <c r="ET169" i="14608"/>
  <c r="EU169" i="14608"/>
  <c r="EV169" i="14608"/>
  <c r="EW169" i="14608"/>
  <c r="EX169" i="14608"/>
  <c r="EY169" i="14608"/>
  <c r="EZ169" i="14608"/>
  <c r="FA169" i="14608"/>
  <c r="FB169" i="14608"/>
  <c r="FC169" i="14608"/>
  <c r="FD169" i="14608"/>
  <c r="FE169" i="14608"/>
  <c r="FF169" i="14608"/>
  <c r="FG169" i="14608"/>
  <c r="FH169" i="14608"/>
  <c r="FI169" i="14608"/>
  <c r="FJ169" i="14608"/>
  <c r="FK169" i="14608"/>
  <c r="FL169" i="14608"/>
  <c r="FM169" i="14608"/>
  <c r="FN169" i="14608"/>
  <c r="FO169" i="14608"/>
  <c r="FP169" i="14608"/>
  <c r="FQ169" i="14608"/>
  <c r="FR169" i="14608"/>
  <c r="FS169" i="14608"/>
  <c r="FT169" i="14608"/>
  <c r="FU169" i="14608"/>
  <c r="FV169" i="14608"/>
  <c r="FW169" i="14608"/>
  <c r="FX169" i="14608"/>
  <c r="FY169" i="14608"/>
  <c r="FZ169" i="14608"/>
  <c r="GA169" i="14608"/>
  <c r="GB169" i="14608"/>
  <c r="GC169" i="14608"/>
  <c r="GD169" i="14608"/>
  <c r="GE169" i="14608"/>
  <c r="GF169" i="14608"/>
  <c r="GG169" i="14608"/>
  <c r="GH169" i="14608"/>
  <c r="GI169" i="14608"/>
  <c r="GJ169" i="14608"/>
  <c r="GK169" i="14608"/>
  <c r="GL169" i="14608"/>
  <c r="GM169" i="14608"/>
  <c r="GN169" i="14608"/>
  <c r="GO169" i="14608"/>
  <c r="GP169" i="14608"/>
  <c r="GQ169" i="14608"/>
  <c r="GR169" i="14608"/>
  <c r="GS169" i="14608"/>
  <c r="GT169" i="14608"/>
  <c r="GU169" i="14608"/>
  <c r="GV169" i="14608"/>
  <c r="GW169" i="14608"/>
  <c r="GX169" i="14608"/>
  <c r="GY169" i="14608"/>
  <c r="GZ169" i="14608"/>
  <c r="HA169" i="14608"/>
  <c r="HB169" i="14608"/>
  <c r="HC169" i="14608"/>
  <c r="HD169" i="14608"/>
  <c r="HE169" i="14608"/>
  <c r="HF169" i="14608"/>
  <c r="HG169" i="14608"/>
  <c r="HH169" i="14608"/>
  <c r="HI169" i="14608"/>
  <c r="HJ169" i="14608"/>
  <c r="HK169" i="14608"/>
  <c r="HL169" i="14608"/>
  <c r="HM169" i="14608"/>
  <c r="HN169" i="14608"/>
  <c r="HO169" i="14608"/>
  <c r="HP169" i="14608"/>
  <c r="HQ169" i="14608"/>
  <c r="HR169" i="14608"/>
  <c r="HS169" i="14608"/>
  <c r="HT169" i="14608"/>
  <c r="HU169" i="14608"/>
  <c r="HV169" i="14608"/>
  <c r="HW169" i="14608"/>
  <c r="HX169" i="14608"/>
  <c r="HY169" i="14608"/>
  <c r="HZ169" i="14608"/>
  <c r="IA169" i="14608"/>
  <c r="IB169" i="14608"/>
  <c r="IC169" i="14608"/>
  <c r="ID169" i="14608"/>
  <c r="IE169" i="14608"/>
  <c r="IF169" i="14608"/>
  <c r="IG169" i="14608"/>
  <c r="IH169" i="14608"/>
  <c r="II169" i="14608"/>
  <c r="IJ169" i="14608"/>
  <c r="IK169" i="14608"/>
  <c r="IL169" i="14608"/>
  <c r="IM169" i="14608"/>
  <c r="IN169" i="14608"/>
  <c r="IO169" i="14608"/>
  <c r="IP169" i="14608"/>
  <c r="IQ169" i="14608"/>
  <c r="IR169" i="14608"/>
  <c r="IS169" i="14608"/>
  <c r="IT169" i="14608"/>
  <c r="IU169" i="14608"/>
  <c r="IV169" i="14608"/>
  <c r="A168" i="14608"/>
  <c r="B168" i="14608"/>
  <c r="C168" i="14608"/>
  <c r="D168" i="14608"/>
  <c r="E168" i="14608"/>
  <c r="F168" i="14608"/>
  <c r="G168" i="14608"/>
  <c r="H168" i="14608"/>
  <c r="I168" i="14608"/>
  <c r="J168" i="14608"/>
  <c r="K168" i="14608"/>
  <c r="L168" i="14608"/>
  <c r="M168" i="14608"/>
  <c r="N168" i="14608"/>
  <c r="O168" i="14608"/>
  <c r="P168" i="14608"/>
  <c r="Q168" i="14608"/>
  <c r="R168" i="14608"/>
  <c r="S168" i="14608"/>
  <c r="T168" i="14608"/>
  <c r="U168" i="14608"/>
  <c r="V168" i="14608"/>
  <c r="W168" i="14608"/>
  <c r="X168" i="14608"/>
  <c r="Y168" i="14608"/>
  <c r="Z168" i="14608"/>
  <c r="AA168" i="14608"/>
  <c r="AB168" i="14608"/>
  <c r="AC168" i="14608"/>
  <c r="AD168" i="14608"/>
  <c r="AE168" i="14608"/>
  <c r="AF168" i="14608"/>
  <c r="AG168" i="14608"/>
  <c r="AH168" i="14608"/>
  <c r="AI168" i="14608"/>
  <c r="AJ168" i="14608"/>
  <c r="AK168" i="14608"/>
  <c r="AL168" i="14608"/>
  <c r="AM168" i="14608"/>
  <c r="AN168" i="14608"/>
  <c r="AO168" i="14608"/>
  <c r="AP168" i="14608"/>
  <c r="AQ168" i="14608"/>
  <c r="AR168" i="14608"/>
  <c r="AS168" i="14608"/>
  <c r="AT168" i="14608"/>
  <c r="AU168" i="14608"/>
  <c r="AV168" i="14608"/>
  <c r="AW168" i="14608"/>
  <c r="AX168" i="14608"/>
  <c r="AY168" i="14608"/>
  <c r="AZ168" i="14608"/>
  <c r="BA168" i="14608"/>
  <c r="BB168" i="14608"/>
  <c r="BC168" i="14608"/>
  <c r="BD168" i="14608"/>
  <c r="BE168" i="14608"/>
  <c r="BF168" i="14608"/>
  <c r="BG168" i="14608"/>
  <c r="BH168" i="14608"/>
  <c r="BI168" i="14608"/>
  <c r="BJ168" i="14608"/>
  <c r="BK168" i="14608"/>
  <c r="BL168" i="14608"/>
  <c r="BM168" i="14608"/>
  <c r="BN168" i="14608"/>
  <c r="BO168" i="14608"/>
  <c r="BP168" i="14608"/>
  <c r="BQ168" i="14608"/>
  <c r="BR168" i="14608"/>
  <c r="BS168" i="14608"/>
  <c r="BT168" i="14608"/>
  <c r="BU168" i="14608"/>
  <c r="BV168" i="14608"/>
  <c r="BW168" i="14608"/>
  <c r="BX168" i="14608"/>
  <c r="BY168" i="14608"/>
  <c r="BZ168" i="14608"/>
  <c r="CA168" i="14608"/>
  <c r="CB168" i="14608"/>
  <c r="CC168" i="14608"/>
  <c r="CD168" i="14608"/>
  <c r="CE168" i="14608"/>
  <c r="CF168" i="14608"/>
  <c r="CG168" i="14608"/>
  <c r="CH168" i="14608"/>
  <c r="CI168" i="14608"/>
  <c r="CJ168" i="14608"/>
  <c r="CK168" i="14608"/>
  <c r="CL168" i="14608"/>
  <c r="CM168" i="14608"/>
  <c r="CN168" i="14608"/>
  <c r="CO168" i="14608"/>
  <c r="CP168" i="14608"/>
  <c r="CQ168" i="14608"/>
  <c r="CR168" i="14608"/>
  <c r="CS168" i="14608"/>
  <c r="CT168" i="14608"/>
  <c r="CU168" i="14608"/>
  <c r="CV168" i="14608"/>
  <c r="CW168" i="14608"/>
  <c r="CX168" i="14608"/>
  <c r="CY168" i="14608"/>
  <c r="CZ168" i="14608"/>
  <c r="DA168" i="14608"/>
  <c r="DB168" i="14608"/>
  <c r="DC168" i="14608"/>
  <c r="DD168" i="14608"/>
  <c r="DE168" i="14608"/>
  <c r="DF168" i="14608"/>
  <c r="DG168" i="14608"/>
  <c r="DH168" i="14608"/>
  <c r="DI168" i="14608"/>
  <c r="DJ168" i="14608"/>
  <c r="DK168" i="14608"/>
  <c r="DL168" i="14608"/>
  <c r="DM168" i="14608"/>
  <c r="DN168" i="14608"/>
  <c r="DO168" i="14608"/>
  <c r="DP168" i="14608"/>
  <c r="DQ168" i="14608"/>
  <c r="DR168" i="14608"/>
  <c r="DS168" i="14608"/>
  <c r="DT168" i="14608"/>
  <c r="DU168" i="14608"/>
  <c r="DV168" i="14608"/>
  <c r="DW168" i="14608"/>
  <c r="DX168" i="14608"/>
  <c r="DY168" i="14608"/>
  <c r="DZ168" i="14608"/>
  <c r="EA168" i="14608"/>
  <c r="EB168" i="14608"/>
  <c r="EC168" i="14608"/>
  <c r="ED168" i="14608"/>
  <c r="EE168" i="14608"/>
  <c r="EF168" i="14608"/>
  <c r="EG168" i="14608"/>
  <c r="EH168" i="14608"/>
  <c r="EI168" i="14608"/>
  <c r="EJ168" i="14608"/>
  <c r="EK168" i="14608"/>
  <c r="EL168" i="14608"/>
  <c r="EM168" i="14608"/>
  <c r="EN168" i="14608"/>
  <c r="EO168" i="14608"/>
  <c r="EP168" i="14608"/>
  <c r="EQ168" i="14608"/>
  <c r="ER168" i="14608"/>
  <c r="ES168" i="14608"/>
  <c r="ET168" i="14608"/>
  <c r="EU168" i="14608"/>
  <c r="EV168" i="14608"/>
  <c r="EW168" i="14608"/>
  <c r="EX168" i="14608"/>
  <c r="EY168" i="14608"/>
  <c r="EZ168" i="14608"/>
  <c r="FA168" i="14608"/>
  <c r="FB168" i="14608"/>
  <c r="FC168" i="14608"/>
  <c r="FD168" i="14608"/>
  <c r="FE168" i="14608"/>
  <c r="FF168" i="14608"/>
  <c r="FG168" i="14608"/>
  <c r="FH168" i="14608"/>
  <c r="FI168" i="14608"/>
  <c r="FJ168" i="14608"/>
  <c r="FK168" i="14608"/>
  <c r="FL168" i="14608"/>
  <c r="FM168" i="14608"/>
  <c r="FN168" i="14608"/>
  <c r="FO168" i="14608"/>
  <c r="FP168" i="14608"/>
  <c r="FQ168" i="14608"/>
  <c r="FR168" i="14608"/>
  <c r="FS168" i="14608"/>
  <c r="FT168" i="14608"/>
  <c r="FU168" i="14608"/>
  <c r="FV168" i="14608"/>
  <c r="FW168" i="14608"/>
  <c r="FX168" i="14608"/>
  <c r="FY168" i="14608"/>
  <c r="FZ168" i="14608"/>
  <c r="GA168" i="14608"/>
  <c r="GB168" i="14608"/>
  <c r="GC168" i="14608"/>
  <c r="GD168" i="14608"/>
  <c r="GE168" i="14608"/>
  <c r="GF168" i="14608"/>
  <c r="GG168" i="14608"/>
  <c r="GH168" i="14608"/>
  <c r="GI168" i="14608"/>
  <c r="GJ168" i="14608"/>
  <c r="GK168" i="14608"/>
  <c r="GL168" i="14608"/>
  <c r="GM168" i="14608"/>
  <c r="GN168" i="14608"/>
  <c r="GO168" i="14608"/>
  <c r="GP168" i="14608"/>
  <c r="GQ168" i="14608"/>
  <c r="GR168" i="14608"/>
  <c r="GS168" i="14608"/>
  <c r="GT168" i="14608"/>
  <c r="GU168" i="14608"/>
  <c r="GV168" i="14608"/>
  <c r="GW168" i="14608"/>
  <c r="GX168" i="14608"/>
  <c r="GY168" i="14608"/>
  <c r="GZ168" i="14608"/>
  <c r="HA168" i="14608"/>
  <c r="HB168" i="14608"/>
  <c r="HC168" i="14608"/>
  <c r="HD168" i="14608"/>
  <c r="HE168" i="14608"/>
  <c r="HF168" i="14608"/>
  <c r="HG168" i="14608"/>
  <c r="HH168" i="14608"/>
  <c r="HI168" i="14608"/>
  <c r="HJ168" i="14608"/>
  <c r="HK168" i="14608"/>
  <c r="HL168" i="14608"/>
  <c r="HM168" i="14608"/>
  <c r="HN168" i="14608"/>
  <c r="HO168" i="14608"/>
  <c r="HP168" i="14608"/>
  <c r="HQ168" i="14608"/>
  <c r="HR168" i="14608"/>
  <c r="HS168" i="14608"/>
  <c r="HT168" i="14608"/>
  <c r="HU168" i="14608"/>
  <c r="HV168" i="14608"/>
  <c r="HW168" i="14608"/>
  <c r="HX168" i="14608"/>
  <c r="HY168" i="14608"/>
  <c r="HZ168" i="14608"/>
  <c r="IA168" i="14608"/>
  <c r="IB168" i="14608"/>
  <c r="IC168" i="14608"/>
  <c r="ID168" i="14608"/>
  <c r="IE168" i="14608"/>
  <c r="IF168" i="14608"/>
  <c r="IG168" i="14608"/>
  <c r="IH168" i="14608"/>
  <c r="II168" i="14608"/>
  <c r="IJ168" i="14608"/>
  <c r="IK168" i="14608"/>
  <c r="IL168" i="14608"/>
  <c r="IM168" i="14608"/>
  <c r="IN168" i="14608"/>
  <c r="IO168" i="14608"/>
  <c r="IP168" i="14608"/>
  <c r="IQ168" i="14608"/>
  <c r="IR168" i="14608"/>
  <c r="IS168" i="14608"/>
  <c r="IT168" i="14608"/>
  <c r="IU168" i="14608"/>
  <c r="IV168" i="14608"/>
  <c r="A167" i="14608"/>
  <c r="B167" i="14608"/>
  <c r="C167" i="14608"/>
  <c r="D167" i="14608"/>
  <c r="E167" i="14608"/>
  <c r="F167" i="14608"/>
  <c r="G167" i="14608"/>
  <c r="H167" i="14608"/>
  <c r="I167" i="14608"/>
  <c r="J167" i="14608"/>
  <c r="K167" i="14608"/>
  <c r="L167" i="14608"/>
  <c r="M167" i="14608"/>
  <c r="N167" i="14608"/>
  <c r="O167" i="14608"/>
  <c r="P167" i="14608"/>
  <c r="Q167" i="14608"/>
  <c r="R167" i="14608"/>
  <c r="S167" i="14608"/>
  <c r="T167" i="14608"/>
  <c r="U167" i="14608"/>
  <c r="V167" i="14608"/>
  <c r="W167" i="14608"/>
  <c r="X167" i="14608"/>
  <c r="Y167" i="14608"/>
  <c r="Z167" i="14608"/>
  <c r="AA167" i="14608"/>
  <c r="AB167" i="14608"/>
  <c r="AC167" i="14608"/>
  <c r="AD167" i="14608"/>
  <c r="AE167" i="14608"/>
  <c r="AF167" i="14608"/>
  <c r="AG167" i="14608"/>
  <c r="AH167" i="14608"/>
  <c r="AI167" i="14608"/>
  <c r="AJ167" i="14608"/>
  <c r="AK167" i="14608"/>
  <c r="AL167" i="14608"/>
  <c r="AM167" i="14608"/>
  <c r="AN167" i="14608"/>
  <c r="AO167" i="14608"/>
  <c r="AP167" i="14608"/>
  <c r="AQ167" i="14608"/>
  <c r="AR167" i="14608"/>
  <c r="AS167" i="14608"/>
  <c r="AT167" i="14608"/>
  <c r="AU167" i="14608"/>
  <c r="AV167" i="14608"/>
  <c r="AW167" i="14608"/>
  <c r="AX167" i="14608"/>
  <c r="AY167" i="14608"/>
  <c r="AZ167" i="14608"/>
  <c r="BA167" i="14608"/>
  <c r="BB167" i="14608"/>
  <c r="BC167" i="14608"/>
  <c r="BD167" i="14608"/>
  <c r="BE167" i="14608"/>
  <c r="BF167" i="14608"/>
  <c r="BG167" i="14608"/>
  <c r="BH167" i="14608"/>
  <c r="BI167" i="14608"/>
  <c r="BJ167" i="14608"/>
  <c r="BK167" i="14608"/>
  <c r="BL167" i="14608"/>
  <c r="BM167" i="14608"/>
  <c r="BN167" i="14608"/>
  <c r="BO167" i="14608"/>
  <c r="BP167" i="14608"/>
  <c r="BQ167" i="14608"/>
  <c r="BR167" i="14608"/>
  <c r="BS167" i="14608"/>
  <c r="BT167" i="14608"/>
  <c r="BU167" i="14608"/>
  <c r="BV167" i="14608"/>
  <c r="BW167" i="14608"/>
  <c r="BX167" i="14608"/>
  <c r="BY167" i="14608"/>
  <c r="BZ167" i="14608"/>
  <c r="CA167" i="14608"/>
  <c r="CB167" i="14608"/>
  <c r="CC167" i="14608"/>
  <c r="CD167" i="14608"/>
  <c r="CE167" i="14608"/>
  <c r="CF167" i="14608"/>
  <c r="CG167" i="14608"/>
  <c r="CH167" i="14608"/>
  <c r="CI167" i="14608"/>
  <c r="CJ167" i="14608"/>
  <c r="CK167" i="14608"/>
  <c r="CL167" i="14608"/>
  <c r="CM167" i="14608"/>
  <c r="CN167" i="14608"/>
  <c r="CO167" i="14608"/>
  <c r="CP167" i="14608"/>
  <c r="CQ167" i="14608"/>
  <c r="CR167" i="14608"/>
  <c r="CS167" i="14608"/>
  <c r="CT167" i="14608"/>
  <c r="CU167" i="14608"/>
  <c r="CV167" i="14608"/>
  <c r="CW167" i="14608"/>
  <c r="CX167" i="14608"/>
  <c r="CY167" i="14608"/>
  <c r="CZ167" i="14608"/>
  <c r="DA167" i="14608"/>
  <c r="DB167" i="14608"/>
  <c r="DC167" i="14608"/>
  <c r="DD167" i="14608"/>
  <c r="DE167" i="14608"/>
  <c r="DF167" i="14608"/>
  <c r="DG167" i="14608"/>
  <c r="DH167" i="14608"/>
  <c r="DI167" i="14608"/>
  <c r="DJ167" i="14608"/>
  <c r="DK167" i="14608"/>
  <c r="DL167" i="14608"/>
  <c r="DM167" i="14608"/>
  <c r="DN167" i="14608"/>
  <c r="DO167" i="14608"/>
  <c r="DP167" i="14608"/>
  <c r="DQ167" i="14608"/>
  <c r="DR167" i="14608"/>
  <c r="DS167" i="14608"/>
  <c r="DT167" i="14608"/>
  <c r="DU167" i="14608"/>
  <c r="DV167" i="14608"/>
  <c r="DW167" i="14608"/>
  <c r="DX167" i="14608"/>
  <c r="DY167" i="14608"/>
  <c r="DZ167" i="14608"/>
  <c r="EA167" i="14608"/>
  <c r="EB167" i="14608"/>
  <c r="EC167" i="14608"/>
  <c r="ED167" i="14608"/>
  <c r="EE167" i="14608"/>
  <c r="EF167" i="14608"/>
  <c r="EG167" i="14608"/>
  <c r="EH167" i="14608"/>
  <c r="EI167" i="14608"/>
  <c r="EJ167" i="14608"/>
  <c r="EK167" i="14608"/>
  <c r="EL167" i="14608"/>
  <c r="EM167" i="14608"/>
  <c r="EN167" i="14608"/>
  <c r="EO167" i="14608"/>
  <c r="EP167" i="14608"/>
  <c r="EQ167" i="14608"/>
  <c r="ER167" i="14608"/>
  <c r="ES167" i="14608"/>
  <c r="ET167" i="14608"/>
  <c r="EU167" i="14608"/>
  <c r="EV167" i="14608"/>
  <c r="EW167" i="14608"/>
  <c r="EX167" i="14608"/>
  <c r="EY167" i="14608"/>
  <c r="EZ167" i="14608"/>
  <c r="FA167" i="14608"/>
  <c r="FB167" i="14608"/>
  <c r="FC167" i="14608"/>
  <c r="FD167" i="14608"/>
  <c r="FE167" i="14608"/>
  <c r="FF167" i="14608"/>
  <c r="FG167" i="14608"/>
  <c r="FH167" i="14608"/>
  <c r="FI167" i="14608"/>
  <c r="FJ167" i="14608"/>
  <c r="FK167" i="14608"/>
  <c r="FL167" i="14608"/>
  <c r="FM167" i="14608"/>
  <c r="FN167" i="14608"/>
  <c r="FO167" i="14608"/>
  <c r="FP167" i="14608"/>
  <c r="FQ167" i="14608"/>
  <c r="FR167" i="14608"/>
  <c r="FS167" i="14608"/>
  <c r="FT167" i="14608"/>
  <c r="FU167" i="14608"/>
  <c r="FV167" i="14608"/>
  <c r="FW167" i="14608"/>
  <c r="FX167" i="14608"/>
  <c r="FY167" i="14608"/>
  <c r="FZ167" i="14608"/>
  <c r="GA167" i="14608"/>
  <c r="GB167" i="14608"/>
  <c r="GC167" i="14608"/>
  <c r="GD167" i="14608"/>
  <c r="GE167" i="14608"/>
  <c r="GF167" i="14608"/>
  <c r="GG167" i="14608"/>
  <c r="GH167" i="14608"/>
  <c r="GI167" i="14608"/>
  <c r="GJ167" i="14608"/>
  <c r="GK167" i="14608"/>
  <c r="GL167" i="14608"/>
  <c r="GM167" i="14608"/>
  <c r="GN167" i="14608"/>
  <c r="GO167" i="14608"/>
  <c r="GP167" i="14608"/>
  <c r="GQ167" i="14608"/>
  <c r="GR167" i="14608"/>
  <c r="GS167" i="14608"/>
  <c r="GT167" i="14608"/>
  <c r="GU167" i="14608"/>
  <c r="GV167" i="14608"/>
  <c r="GW167" i="14608"/>
  <c r="GX167" i="14608"/>
  <c r="GY167" i="14608"/>
  <c r="GZ167" i="14608"/>
  <c r="HA167" i="14608"/>
  <c r="HB167" i="14608"/>
  <c r="HC167" i="14608"/>
  <c r="HD167" i="14608"/>
  <c r="HE167" i="14608"/>
  <c r="HF167" i="14608"/>
  <c r="HG167" i="14608"/>
  <c r="HH167" i="14608"/>
  <c r="HI167" i="14608"/>
  <c r="HJ167" i="14608"/>
  <c r="HK167" i="14608"/>
  <c r="HL167" i="14608"/>
  <c r="HM167" i="14608"/>
  <c r="HN167" i="14608"/>
  <c r="HO167" i="14608"/>
  <c r="HP167" i="14608"/>
  <c r="HQ167" i="14608"/>
  <c r="HR167" i="14608"/>
  <c r="HS167" i="14608"/>
  <c r="HT167" i="14608"/>
  <c r="HU167" i="14608"/>
  <c r="HV167" i="14608"/>
  <c r="HW167" i="14608"/>
  <c r="HX167" i="14608"/>
  <c r="HY167" i="14608"/>
  <c r="HZ167" i="14608"/>
  <c r="IA167" i="14608"/>
  <c r="IB167" i="14608"/>
  <c r="IC167" i="14608"/>
  <c r="ID167" i="14608"/>
  <c r="IE167" i="14608"/>
  <c r="IF167" i="14608"/>
  <c r="IG167" i="14608"/>
  <c r="IH167" i="14608"/>
  <c r="II167" i="14608"/>
  <c r="IJ167" i="14608"/>
  <c r="IK167" i="14608"/>
  <c r="IL167" i="14608"/>
  <c r="IM167" i="14608"/>
  <c r="IN167" i="14608"/>
  <c r="IO167" i="14608"/>
  <c r="IP167" i="14608"/>
  <c r="IQ167" i="14608"/>
  <c r="IR167" i="14608"/>
  <c r="IS167" i="14608"/>
  <c r="IT167" i="14608"/>
  <c r="IU167" i="14608"/>
  <c r="IV167" i="14608"/>
  <c r="A166" i="14608"/>
  <c r="B166" i="14608"/>
  <c r="C166" i="14608"/>
  <c r="D166" i="14608"/>
  <c r="E166" i="14608"/>
  <c r="F166" i="14608"/>
  <c r="G166" i="14608"/>
  <c r="H166" i="14608"/>
  <c r="I166" i="14608"/>
  <c r="J166" i="14608"/>
  <c r="K166" i="14608"/>
  <c r="L166" i="14608"/>
  <c r="M166" i="14608"/>
  <c r="N166" i="14608"/>
  <c r="O166" i="14608"/>
  <c r="P166" i="14608"/>
  <c r="Q166" i="14608"/>
  <c r="R166" i="14608"/>
  <c r="S166" i="14608"/>
  <c r="T166" i="14608"/>
  <c r="U166" i="14608"/>
  <c r="V166" i="14608"/>
  <c r="W166" i="14608"/>
  <c r="X166" i="14608"/>
  <c r="Y166" i="14608"/>
  <c r="Z166" i="14608"/>
  <c r="AA166" i="14608"/>
  <c r="AB166" i="14608"/>
  <c r="AC166" i="14608"/>
  <c r="AD166" i="14608"/>
  <c r="AE166" i="14608"/>
  <c r="AF166" i="14608"/>
  <c r="AG166" i="14608"/>
  <c r="AH166" i="14608"/>
  <c r="AI166" i="14608"/>
  <c r="AJ166" i="14608"/>
  <c r="AK166" i="14608"/>
  <c r="AL166" i="14608"/>
  <c r="AM166" i="14608"/>
  <c r="AN166" i="14608"/>
  <c r="AO166" i="14608"/>
  <c r="AP166" i="14608"/>
  <c r="AQ166" i="14608"/>
  <c r="AR166" i="14608"/>
  <c r="AS166" i="14608"/>
  <c r="AT166" i="14608"/>
  <c r="AU166" i="14608"/>
  <c r="AV166" i="14608"/>
  <c r="AW166" i="14608"/>
  <c r="AX166" i="14608"/>
  <c r="AY166" i="14608"/>
  <c r="AZ166" i="14608"/>
  <c r="BA166" i="14608"/>
  <c r="BB166" i="14608"/>
  <c r="BC166" i="14608"/>
  <c r="BD166" i="14608"/>
  <c r="BE166" i="14608"/>
  <c r="BF166" i="14608"/>
  <c r="BG166" i="14608"/>
  <c r="BH166" i="14608"/>
  <c r="BI166" i="14608"/>
  <c r="BJ166" i="14608"/>
  <c r="BK166" i="14608"/>
  <c r="BL166" i="14608"/>
  <c r="BM166" i="14608"/>
  <c r="BN166" i="14608"/>
  <c r="BO166" i="14608"/>
  <c r="BP166" i="14608"/>
  <c r="BQ166" i="14608"/>
  <c r="BR166" i="14608"/>
  <c r="BS166" i="14608"/>
  <c r="BT166" i="14608"/>
  <c r="BU166" i="14608"/>
  <c r="BV166" i="14608"/>
  <c r="BW166" i="14608"/>
  <c r="BX166" i="14608"/>
  <c r="BY166" i="14608"/>
  <c r="BZ166" i="14608"/>
  <c r="CA166" i="14608"/>
  <c r="CB166" i="14608"/>
  <c r="CC166" i="14608"/>
  <c r="CD166" i="14608"/>
  <c r="CE166" i="14608"/>
  <c r="CF166" i="14608"/>
  <c r="CG166" i="14608"/>
  <c r="CH166" i="14608"/>
  <c r="CI166" i="14608"/>
  <c r="CJ166" i="14608"/>
  <c r="CK166" i="14608"/>
  <c r="CL166" i="14608"/>
  <c r="CM166" i="14608"/>
  <c r="CN166" i="14608"/>
  <c r="CO166" i="14608"/>
  <c r="CP166" i="14608"/>
  <c r="CQ166" i="14608"/>
  <c r="CR166" i="14608"/>
  <c r="CS166" i="14608"/>
  <c r="CT166" i="14608"/>
  <c r="CU166" i="14608"/>
  <c r="CV166" i="14608"/>
  <c r="CW166" i="14608"/>
  <c r="CX166" i="14608"/>
  <c r="CY166" i="14608"/>
  <c r="CZ166" i="14608"/>
  <c r="DA166" i="14608"/>
  <c r="DB166" i="14608"/>
  <c r="DC166" i="14608"/>
  <c r="DD166" i="14608"/>
  <c r="DE166" i="14608"/>
  <c r="DF166" i="14608"/>
  <c r="DG166" i="14608"/>
  <c r="DH166" i="14608"/>
  <c r="DI166" i="14608"/>
  <c r="DJ166" i="14608"/>
  <c r="DK166" i="14608"/>
  <c r="DL166" i="14608"/>
  <c r="DM166" i="14608"/>
  <c r="DN166" i="14608"/>
  <c r="DO166" i="14608"/>
  <c r="DP166" i="14608"/>
  <c r="DQ166" i="14608"/>
  <c r="DR166" i="14608"/>
  <c r="DS166" i="14608"/>
  <c r="DT166" i="14608"/>
  <c r="DU166" i="14608"/>
  <c r="DV166" i="14608"/>
  <c r="DW166" i="14608"/>
  <c r="DX166" i="14608"/>
  <c r="DY166" i="14608"/>
  <c r="DZ166" i="14608"/>
  <c r="EA166" i="14608"/>
  <c r="EB166" i="14608"/>
  <c r="EC166" i="14608"/>
  <c r="ED166" i="14608"/>
  <c r="EE166" i="14608"/>
  <c r="EF166" i="14608"/>
  <c r="EG166" i="14608"/>
  <c r="EH166" i="14608"/>
  <c r="EI166" i="14608"/>
  <c r="EJ166" i="14608"/>
  <c r="EK166" i="14608"/>
  <c r="EL166" i="14608"/>
  <c r="EM166" i="14608"/>
  <c r="EN166" i="14608"/>
  <c r="EO166" i="14608"/>
  <c r="EP166" i="14608"/>
  <c r="EQ166" i="14608"/>
  <c r="ER166" i="14608"/>
  <c r="ES166" i="14608"/>
  <c r="ET166" i="14608"/>
  <c r="EU166" i="14608"/>
  <c r="EV166" i="14608"/>
  <c r="EW166" i="14608"/>
  <c r="EX166" i="14608"/>
  <c r="EY166" i="14608"/>
  <c r="EZ166" i="14608"/>
  <c r="FA166" i="14608"/>
  <c r="FB166" i="14608"/>
  <c r="FC166" i="14608"/>
  <c r="FD166" i="14608"/>
  <c r="FE166" i="14608"/>
  <c r="FF166" i="14608"/>
  <c r="FG166" i="14608"/>
  <c r="FH166" i="14608"/>
  <c r="FI166" i="14608"/>
  <c r="FJ166" i="14608"/>
  <c r="FK166" i="14608"/>
  <c r="FL166" i="14608"/>
  <c r="FM166" i="14608"/>
  <c r="FN166" i="14608"/>
  <c r="FO166" i="14608"/>
  <c r="FP166" i="14608"/>
  <c r="FQ166" i="14608"/>
  <c r="FR166" i="14608"/>
  <c r="FS166" i="14608"/>
  <c r="FT166" i="14608"/>
  <c r="FU166" i="14608"/>
  <c r="FV166" i="14608"/>
  <c r="FW166" i="14608"/>
  <c r="FX166" i="14608"/>
  <c r="FY166" i="14608"/>
  <c r="FZ166" i="14608"/>
  <c r="GA166" i="14608"/>
  <c r="GB166" i="14608"/>
  <c r="GC166" i="14608"/>
  <c r="GD166" i="14608"/>
  <c r="GE166" i="14608"/>
  <c r="GF166" i="14608"/>
  <c r="GG166" i="14608"/>
  <c r="GH166" i="14608"/>
  <c r="GI166" i="14608"/>
  <c r="GJ166" i="14608"/>
  <c r="GK166" i="14608"/>
  <c r="GL166" i="14608"/>
  <c r="GM166" i="14608"/>
  <c r="GN166" i="14608"/>
  <c r="GO166" i="14608"/>
  <c r="GP166" i="14608"/>
  <c r="GQ166" i="14608"/>
  <c r="GR166" i="14608"/>
  <c r="GS166" i="14608"/>
  <c r="GT166" i="14608"/>
  <c r="GU166" i="14608"/>
  <c r="GV166" i="14608"/>
  <c r="GW166" i="14608"/>
  <c r="GX166" i="14608"/>
  <c r="GY166" i="14608"/>
  <c r="GZ166" i="14608"/>
  <c r="HA166" i="14608"/>
  <c r="HB166" i="14608"/>
  <c r="HC166" i="14608"/>
  <c r="HD166" i="14608"/>
  <c r="HE166" i="14608"/>
  <c r="HF166" i="14608"/>
  <c r="HG166" i="14608"/>
  <c r="HH166" i="14608"/>
  <c r="HI166" i="14608"/>
  <c r="HJ166" i="14608"/>
  <c r="HK166" i="14608"/>
  <c r="HL166" i="14608"/>
  <c r="HM166" i="14608"/>
  <c r="HN166" i="14608"/>
  <c r="HO166" i="14608"/>
  <c r="HP166" i="14608"/>
  <c r="HQ166" i="14608"/>
  <c r="HR166" i="14608"/>
  <c r="HS166" i="14608"/>
  <c r="HT166" i="14608"/>
  <c r="HU166" i="14608"/>
  <c r="HV166" i="14608"/>
  <c r="HW166" i="14608"/>
  <c r="HX166" i="14608"/>
  <c r="HY166" i="14608"/>
  <c r="HZ166" i="14608"/>
  <c r="IA166" i="14608"/>
  <c r="IB166" i="14608"/>
  <c r="IC166" i="14608"/>
  <c r="ID166" i="14608"/>
  <c r="IE166" i="14608"/>
  <c r="IF166" i="14608"/>
  <c r="IG166" i="14608"/>
  <c r="IH166" i="14608"/>
  <c r="II166" i="14608"/>
  <c r="IJ166" i="14608"/>
  <c r="IK166" i="14608"/>
  <c r="IL166" i="14608"/>
  <c r="IM166" i="14608"/>
  <c r="IN166" i="14608"/>
  <c r="IO166" i="14608"/>
  <c r="IP166" i="14608"/>
  <c r="IQ166" i="14608"/>
  <c r="IR166" i="14608"/>
  <c r="IS166" i="14608"/>
  <c r="IT166" i="14608"/>
  <c r="IU166" i="14608"/>
  <c r="IV166" i="14608"/>
  <c r="A165" i="14608"/>
  <c r="B165" i="14608"/>
  <c r="C165" i="14608"/>
  <c r="D165" i="14608"/>
  <c r="E165" i="14608"/>
  <c r="F165" i="14608"/>
  <c r="G165" i="14608"/>
  <c r="H165" i="14608"/>
  <c r="I165" i="14608"/>
  <c r="J165" i="14608"/>
  <c r="K165" i="14608"/>
  <c r="L165" i="14608"/>
  <c r="M165" i="14608"/>
  <c r="N165" i="14608"/>
  <c r="O165" i="14608"/>
  <c r="P165" i="14608"/>
  <c r="Q165" i="14608"/>
  <c r="R165" i="14608"/>
  <c r="S165" i="14608"/>
  <c r="T165" i="14608"/>
  <c r="U165" i="14608"/>
  <c r="V165" i="14608"/>
  <c r="W165" i="14608"/>
  <c r="X165" i="14608"/>
  <c r="Y165" i="14608"/>
  <c r="Z165" i="14608"/>
  <c r="AA165" i="14608"/>
  <c r="AB165" i="14608"/>
  <c r="AC165" i="14608"/>
  <c r="AD165" i="14608"/>
  <c r="AE165" i="14608"/>
  <c r="AF165" i="14608"/>
  <c r="AG165" i="14608"/>
  <c r="AH165" i="14608"/>
  <c r="AI165" i="14608"/>
  <c r="AJ165" i="14608"/>
  <c r="AK165" i="14608"/>
  <c r="AL165" i="14608"/>
  <c r="AM165" i="14608"/>
  <c r="AN165" i="14608"/>
  <c r="AO165" i="14608"/>
  <c r="AP165" i="14608"/>
  <c r="AQ165" i="14608"/>
  <c r="AR165" i="14608"/>
  <c r="AS165" i="14608"/>
  <c r="AT165" i="14608"/>
  <c r="AU165" i="14608"/>
  <c r="AV165" i="14608"/>
  <c r="AW165" i="14608"/>
  <c r="AX165" i="14608"/>
  <c r="AY165" i="14608"/>
  <c r="AZ165" i="14608"/>
  <c r="BA165" i="14608"/>
  <c r="BB165" i="14608"/>
  <c r="BC165" i="14608"/>
  <c r="BD165" i="14608"/>
  <c r="BE165" i="14608"/>
  <c r="BF165" i="14608"/>
  <c r="BG165" i="14608"/>
  <c r="BH165" i="14608"/>
  <c r="BI165" i="14608"/>
  <c r="BJ165" i="14608"/>
  <c r="BK165" i="14608"/>
  <c r="BL165" i="14608"/>
  <c r="BM165" i="14608"/>
  <c r="BN165" i="14608"/>
  <c r="BO165" i="14608"/>
  <c r="BP165" i="14608"/>
  <c r="BQ165" i="14608"/>
  <c r="BR165" i="14608"/>
  <c r="BS165" i="14608"/>
  <c r="BT165" i="14608"/>
  <c r="BU165" i="14608"/>
  <c r="BV165" i="14608"/>
  <c r="BW165" i="14608"/>
  <c r="BX165" i="14608"/>
  <c r="BY165" i="14608"/>
  <c r="BZ165" i="14608"/>
  <c r="CA165" i="14608"/>
  <c r="CB165" i="14608"/>
  <c r="CC165" i="14608"/>
  <c r="CD165" i="14608"/>
  <c r="CE165" i="14608"/>
  <c r="CF165" i="14608"/>
  <c r="CG165" i="14608"/>
  <c r="CH165" i="14608"/>
  <c r="CI165" i="14608"/>
  <c r="CJ165" i="14608"/>
  <c r="CK165" i="14608"/>
  <c r="CL165" i="14608"/>
  <c r="CM165" i="14608"/>
  <c r="CN165" i="14608"/>
  <c r="CO165" i="14608"/>
  <c r="CP165" i="14608"/>
  <c r="CQ165" i="14608"/>
  <c r="CR165" i="14608"/>
  <c r="CS165" i="14608"/>
  <c r="CT165" i="14608"/>
  <c r="CU165" i="14608"/>
  <c r="CV165" i="14608"/>
  <c r="CW165" i="14608"/>
  <c r="CX165" i="14608"/>
  <c r="CY165" i="14608"/>
  <c r="CZ165" i="14608"/>
  <c r="DA165" i="14608"/>
  <c r="DB165" i="14608"/>
  <c r="DC165" i="14608"/>
  <c r="DD165" i="14608"/>
  <c r="DE165" i="14608"/>
  <c r="DF165" i="14608"/>
  <c r="DG165" i="14608"/>
  <c r="DH165" i="14608"/>
  <c r="DI165" i="14608"/>
  <c r="DJ165" i="14608"/>
  <c r="DK165" i="14608"/>
  <c r="DL165" i="14608"/>
  <c r="DM165" i="14608"/>
  <c r="DN165" i="14608"/>
  <c r="DO165" i="14608"/>
  <c r="DP165" i="14608"/>
  <c r="DQ165" i="14608"/>
  <c r="DR165" i="14608"/>
  <c r="DS165" i="14608"/>
  <c r="DT165" i="14608"/>
  <c r="DU165" i="14608"/>
  <c r="DV165" i="14608"/>
  <c r="DW165" i="14608"/>
  <c r="DX165" i="14608"/>
  <c r="DY165" i="14608"/>
  <c r="DZ165" i="14608"/>
  <c r="EA165" i="14608"/>
  <c r="EB165" i="14608"/>
  <c r="EC165" i="14608"/>
  <c r="ED165" i="14608"/>
  <c r="EE165" i="14608"/>
  <c r="EF165" i="14608"/>
  <c r="EG165" i="14608"/>
  <c r="EH165" i="14608"/>
  <c r="EI165" i="14608"/>
  <c r="EJ165" i="14608"/>
  <c r="EK165" i="14608"/>
  <c r="EL165" i="14608"/>
  <c r="EM165" i="14608"/>
  <c r="EN165" i="14608"/>
  <c r="EO165" i="14608"/>
  <c r="EP165" i="14608"/>
  <c r="EQ165" i="14608"/>
  <c r="ER165" i="14608"/>
  <c r="ES165" i="14608"/>
  <c r="ET165" i="14608"/>
  <c r="EU165" i="14608"/>
  <c r="EV165" i="14608"/>
  <c r="EW165" i="14608"/>
  <c r="EX165" i="14608"/>
  <c r="EY165" i="14608"/>
  <c r="EZ165" i="14608"/>
  <c r="FA165" i="14608"/>
  <c r="FB165" i="14608"/>
  <c r="FC165" i="14608"/>
  <c r="FD165" i="14608"/>
  <c r="FE165" i="14608"/>
  <c r="FF165" i="14608"/>
  <c r="FG165" i="14608"/>
  <c r="FH165" i="14608"/>
  <c r="FI165" i="14608"/>
  <c r="FJ165" i="14608"/>
  <c r="FK165" i="14608"/>
  <c r="FL165" i="14608"/>
  <c r="FM165" i="14608"/>
  <c r="FN165" i="14608"/>
  <c r="FO165" i="14608"/>
  <c r="FP165" i="14608"/>
  <c r="FQ165" i="14608"/>
  <c r="FR165" i="14608"/>
  <c r="FS165" i="14608"/>
  <c r="FT165" i="14608"/>
  <c r="FU165" i="14608"/>
  <c r="FV165" i="14608"/>
  <c r="FW165" i="14608"/>
  <c r="FX165" i="14608"/>
  <c r="FY165" i="14608"/>
  <c r="FZ165" i="14608"/>
  <c r="GA165" i="14608"/>
  <c r="GB165" i="14608"/>
  <c r="GC165" i="14608"/>
  <c r="GD165" i="14608"/>
  <c r="GE165" i="14608"/>
  <c r="GF165" i="14608"/>
  <c r="GG165" i="14608"/>
  <c r="GH165" i="14608"/>
  <c r="GI165" i="14608"/>
  <c r="GJ165" i="14608"/>
  <c r="GK165" i="14608"/>
  <c r="GL165" i="14608"/>
  <c r="GM165" i="14608"/>
  <c r="GN165" i="14608"/>
  <c r="GO165" i="14608"/>
  <c r="GP165" i="14608"/>
  <c r="GQ165" i="14608"/>
  <c r="GR165" i="14608"/>
  <c r="GS165" i="14608"/>
  <c r="GT165" i="14608"/>
  <c r="GU165" i="14608"/>
  <c r="GV165" i="14608"/>
  <c r="GW165" i="14608"/>
  <c r="GX165" i="14608"/>
  <c r="GY165" i="14608"/>
  <c r="GZ165" i="14608"/>
  <c r="HA165" i="14608"/>
  <c r="HB165" i="14608"/>
  <c r="HC165" i="14608"/>
  <c r="HD165" i="14608"/>
  <c r="HE165" i="14608"/>
  <c r="HF165" i="14608"/>
  <c r="HG165" i="14608"/>
  <c r="HH165" i="14608"/>
  <c r="HI165" i="14608"/>
  <c r="HJ165" i="14608"/>
  <c r="HK165" i="14608"/>
  <c r="HL165" i="14608"/>
  <c r="HM165" i="14608"/>
  <c r="HN165" i="14608"/>
  <c r="HO165" i="14608"/>
  <c r="HP165" i="14608"/>
  <c r="HQ165" i="14608"/>
  <c r="HR165" i="14608"/>
  <c r="HS165" i="14608"/>
  <c r="HT165" i="14608"/>
  <c r="HU165" i="14608"/>
  <c r="HV165" i="14608"/>
  <c r="HW165" i="14608"/>
  <c r="HX165" i="14608"/>
  <c r="HY165" i="14608"/>
  <c r="HZ165" i="14608"/>
  <c r="IA165" i="14608"/>
  <c r="IB165" i="14608"/>
  <c r="IC165" i="14608"/>
  <c r="ID165" i="14608"/>
  <c r="IE165" i="14608"/>
  <c r="IF165" i="14608"/>
  <c r="IG165" i="14608"/>
  <c r="IH165" i="14608"/>
  <c r="II165" i="14608"/>
  <c r="IJ165" i="14608"/>
  <c r="IK165" i="14608"/>
  <c r="IL165" i="14608"/>
  <c r="IM165" i="14608"/>
  <c r="IN165" i="14608"/>
  <c r="IO165" i="14608"/>
  <c r="IP165" i="14608"/>
  <c r="IQ165" i="14608"/>
  <c r="IR165" i="14608"/>
  <c r="IS165" i="14608"/>
  <c r="IT165" i="14608"/>
  <c r="IU165" i="14608"/>
  <c r="IV165" i="14608"/>
  <c r="A164" i="14608"/>
  <c r="B164" i="14608"/>
  <c r="C164" i="14608"/>
  <c r="D164" i="14608"/>
  <c r="E164" i="14608"/>
  <c r="F164" i="14608"/>
  <c r="G164" i="14608"/>
  <c r="H164" i="14608"/>
  <c r="I164" i="14608"/>
  <c r="J164" i="14608"/>
  <c r="K164" i="14608"/>
  <c r="L164" i="14608"/>
  <c r="M164" i="14608"/>
  <c r="N164" i="14608"/>
  <c r="O164" i="14608"/>
  <c r="P164" i="14608"/>
  <c r="Q164" i="14608"/>
  <c r="R164" i="14608"/>
  <c r="S164" i="14608"/>
  <c r="T164" i="14608"/>
  <c r="U164" i="14608"/>
  <c r="V164" i="14608"/>
  <c r="W164" i="14608"/>
  <c r="X164" i="14608"/>
  <c r="Y164" i="14608"/>
  <c r="Z164" i="14608"/>
  <c r="AA164" i="14608"/>
  <c r="AB164" i="14608"/>
  <c r="AC164" i="14608"/>
  <c r="AD164" i="14608"/>
  <c r="AE164" i="14608"/>
  <c r="AF164" i="14608"/>
  <c r="AG164" i="14608"/>
  <c r="AH164" i="14608"/>
  <c r="AI164" i="14608"/>
  <c r="AJ164" i="14608"/>
  <c r="AK164" i="14608"/>
  <c r="AL164" i="14608"/>
  <c r="AM164" i="14608"/>
  <c r="AN164" i="14608"/>
  <c r="AO164" i="14608"/>
  <c r="AP164" i="14608"/>
  <c r="AQ164" i="14608"/>
  <c r="AR164" i="14608"/>
  <c r="AS164" i="14608"/>
  <c r="AT164" i="14608"/>
  <c r="AU164" i="14608"/>
  <c r="AV164" i="14608"/>
  <c r="AW164" i="14608"/>
  <c r="AX164" i="14608"/>
  <c r="AY164" i="14608"/>
  <c r="AZ164" i="14608"/>
  <c r="BA164" i="14608"/>
  <c r="BB164" i="14608"/>
  <c r="BC164" i="14608"/>
  <c r="BD164" i="14608"/>
  <c r="BE164" i="14608"/>
  <c r="BF164" i="14608"/>
  <c r="BG164" i="14608"/>
  <c r="BH164" i="14608"/>
  <c r="BI164" i="14608"/>
  <c r="BJ164" i="14608"/>
  <c r="BK164" i="14608"/>
  <c r="BL164" i="14608"/>
  <c r="BM164" i="14608"/>
  <c r="BN164" i="14608"/>
  <c r="BO164" i="14608"/>
  <c r="BP164" i="14608"/>
  <c r="BQ164" i="14608"/>
  <c r="BR164" i="14608"/>
  <c r="BS164" i="14608"/>
  <c r="BT164" i="14608"/>
  <c r="BU164" i="14608"/>
  <c r="BV164" i="14608"/>
  <c r="BW164" i="14608"/>
  <c r="BX164" i="14608"/>
  <c r="BY164" i="14608"/>
  <c r="BZ164" i="14608"/>
  <c r="CA164" i="14608"/>
  <c r="CB164" i="14608"/>
  <c r="CC164" i="14608"/>
  <c r="CD164" i="14608"/>
  <c r="CE164" i="14608"/>
  <c r="CF164" i="14608"/>
  <c r="CG164" i="14608"/>
  <c r="CH164" i="14608"/>
  <c r="CI164" i="14608"/>
  <c r="CJ164" i="14608"/>
  <c r="CK164" i="14608"/>
  <c r="CL164" i="14608"/>
  <c r="CM164" i="14608"/>
  <c r="CN164" i="14608"/>
  <c r="CO164" i="14608"/>
  <c r="CP164" i="14608"/>
  <c r="CQ164" i="14608"/>
  <c r="CR164" i="14608"/>
  <c r="CS164" i="14608"/>
  <c r="CT164" i="14608"/>
  <c r="CU164" i="14608"/>
  <c r="CV164" i="14608"/>
  <c r="CW164" i="14608"/>
  <c r="CX164" i="14608"/>
  <c r="CY164" i="14608"/>
  <c r="CZ164" i="14608"/>
  <c r="DA164" i="14608"/>
  <c r="DB164" i="14608"/>
  <c r="DC164" i="14608"/>
  <c r="DD164" i="14608"/>
  <c r="DE164" i="14608"/>
  <c r="DF164" i="14608"/>
  <c r="DG164" i="14608"/>
  <c r="DH164" i="14608"/>
  <c r="DI164" i="14608"/>
  <c r="DJ164" i="14608"/>
  <c r="DK164" i="14608"/>
  <c r="DL164" i="14608"/>
  <c r="DM164" i="14608"/>
  <c r="DN164" i="14608"/>
  <c r="DO164" i="14608"/>
  <c r="DP164" i="14608"/>
  <c r="DQ164" i="14608"/>
  <c r="DR164" i="14608"/>
  <c r="DS164" i="14608"/>
  <c r="DT164" i="14608"/>
  <c r="DU164" i="14608"/>
  <c r="DV164" i="14608"/>
  <c r="DW164" i="14608"/>
  <c r="DX164" i="14608"/>
  <c r="DY164" i="14608"/>
  <c r="DZ164" i="14608"/>
  <c r="EA164" i="14608"/>
  <c r="EB164" i="14608"/>
  <c r="EC164" i="14608"/>
  <c r="ED164" i="14608"/>
  <c r="EE164" i="14608"/>
  <c r="EF164" i="14608"/>
  <c r="EG164" i="14608"/>
  <c r="EH164" i="14608"/>
  <c r="EI164" i="14608"/>
  <c r="EJ164" i="14608"/>
  <c r="EK164" i="14608"/>
  <c r="EL164" i="14608"/>
  <c r="EM164" i="14608"/>
  <c r="EN164" i="14608"/>
  <c r="EO164" i="14608"/>
  <c r="EP164" i="14608"/>
  <c r="EQ164" i="14608"/>
  <c r="ER164" i="14608"/>
  <c r="ES164" i="14608"/>
  <c r="ET164" i="14608"/>
  <c r="EU164" i="14608"/>
  <c r="EV164" i="14608"/>
  <c r="EW164" i="14608"/>
  <c r="EX164" i="14608"/>
  <c r="EY164" i="14608"/>
  <c r="EZ164" i="14608"/>
  <c r="FA164" i="14608"/>
  <c r="FB164" i="14608"/>
  <c r="FC164" i="14608"/>
  <c r="FD164" i="14608"/>
  <c r="FE164" i="14608"/>
  <c r="FF164" i="14608"/>
  <c r="FG164" i="14608"/>
  <c r="FH164" i="14608"/>
  <c r="FI164" i="14608"/>
  <c r="FJ164" i="14608"/>
  <c r="FK164" i="14608"/>
  <c r="FL164" i="14608"/>
  <c r="FM164" i="14608"/>
  <c r="FN164" i="14608"/>
  <c r="FO164" i="14608"/>
  <c r="FP164" i="14608"/>
  <c r="FQ164" i="14608"/>
  <c r="FR164" i="14608"/>
  <c r="FS164" i="14608"/>
  <c r="FT164" i="14608"/>
  <c r="FU164" i="14608"/>
  <c r="FV164" i="14608"/>
  <c r="FW164" i="14608"/>
  <c r="FX164" i="14608"/>
  <c r="FY164" i="14608"/>
  <c r="FZ164" i="14608"/>
  <c r="GA164" i="14608"/>
  <c r="GB164" i="14608"/>
  <c r="GC164" i="14608"/>
  <c r="GD164" i="14608"/>
  <c r="GE164" i="14608"/>
  <c r="GF164" i="14608"/>
  <c r="GG164" i="14608"/>
  <c r="GH164" i="14608"/>
  <c r="GI164" i="14608"/>
  <c r="GJ164" i="14608"/>
  <c r="GK164" i="14608"/>
  <c r="GL164" i="14608"/>
  <c r="GM164" i="14608"/>
  <c r="GN164" i="14608"/>
  <c r="GO164" i="14608"/>
  <c r="GP164" i="14608"/>
  <c r="GQ164" i="14608"/>
  <c r="GR164" i="14608"/>
  <c r="GS164" i="14608"/>
  <c r="GT164" i="14608"/>
  <c r="GU164" i="14608"/>
  <c r="GV164" i="14608"/>
  <c r="GW164" i="14608"/>
  <c r="GX164" i="14608"/>
  <c r="GY164" i="14608"/>
  <c r="GZ164" i="14608"/>
  <c r="HA164" i="14608"/>
  <c r="HB164" i="14608"/>
  <c r="HC164" i="14608"/>
  <c r="HD164" i="14608"/>
  <c r="HE164" i="14608"/>
  <c r="HF164" i="14608"/>
  <c r="HG164" i="14608"/>
  <c r="HH164" i="14608"/>
  <c r="HI164" i="14608"/>
  <c r="HJ164" i="14608"/>
  <c r="HK164" i="14608"/>
  <c r="HL164" i="14608"/>
  <c r="HM164" i="14608"/>
  <c r="HN164" i="14608"/>
  <c r="HO164" i="14608"/>
  <c r="HP164" i="14608"/>
  <c r="HQ164" i="14608"/>
  <c r="HR164" i="14608"/>
  <c r="HS164" i="14608"/>
  <c r="HT164" i="14608"/>
  <c r="HU164" i="14608"/>
  <c r="HV164" i="14608"/>
  <c r="HW164" i="14608"/>
  <c r="HX164" i="14608"/>
  <c r="HY164" i="14608"/>
  <c r="HZ164" i="14608"/>
  <c r="IA164" i="14608"/>
  <c r="IB164" i="14608"/>
  <c r="IC164" i="14608"/>
  <c r="ID164" i="14608"/>
  <c r="IE164" i="14608"/>
  <c r="IF164" i="14608"/>
  <c r="IG164" i="14608"/>
  <c r="IH164" i="14608"/>
  <c r="II164" i="14608"/>
  <c r="IJ164" i="14608"/>
  <c r="IK164" i="14608"/>
  <c r="IL164" i="14608"/>
  <c r="IM164" i="14608"/>
  <c r="IN164" i="14608"/>
  <c r="IO164" i="14608"/>
  <c r="IP164" i="14608"/>
  <c r="IQ164" i="14608"/>
  <c r="IR164" i="14608"/>
  <c r="IS164" i="14608"/>
  <c r="IT164" i="14608"/>
  <c r="IU164" i="14608"/>
  <c r="IV164" i="14608"/>
  <c r="A163" i="14608"/>
  <c r="B163" i="14608"/>
  <c r="C163" i="14608"/>
  <c r="D163" i="14608"/>
  <c r="E163" i="14608"/>
  <c r="F163" i="14608"/>
  <c r="G163" i="14608"/>
  <c r="H163" i="14608"/>
  <c r="I163" i="14608"/>
  <c r="J163" i="14608"/>
  <c r="K163" i="14608"/>
  <c r="L163" i="14608"/>
  <c r="M163" i="14608"/>
  <c r="N163" i="14608"/>
  <c r="O163" i="14608"/>
  <c r="P163" i="14608"/>
  <c r="Q163" i="14608"/>
  <c r="R163" i="14608"/>
  <c r="S163" i="14608"/>
  <c r="T163" i="14608"/>
  <c r="U163" i="14608"/>
  <c r="V163" i="14608"/>
  <c r="W163" i="14608"/>
  <c r="X163" i="14608"/>
  <c r="Y163" i="14608"/>
  <c r="Z163" i="14608"/>
  <c r="AA163" i="14608"/>
  <c r="AB163" i="14608"/>
  <c r="AC163" i="14608"/>
  <c r="AD163" i="14608"/>
  <c r="AE163" i="14608"/>
  <c r="AF163" i="14608"/>
  <c r="AG163" i="14608"/>
  <c r="AH163" i="14608"/>
  <c r="AI163" i="14608"/>
  <c r="AJ163" i="14608"/>
  <c r="AK163" i="14608"/>
  <c r="AL163" i="14608"/>
  <c r="AM163" i="14608"/>
  <c r="AN163" i="14608"/>
  <c r="AO163" i="14608"/>
  <c r="AP163" i="14608"/>
  <c r="AQ163" i="14608"/>
  <c r="AR163" i="14608"/>
  <c r="AS163" i="14608"/>
  <c r="AT163" i="14608"/>
  <c r="AU163" i="14608"/>
  <c r="AV163" i="14608"/>
  <c r="AW163" i="14608"/>
  <c r="AX163" i="14608"/>
  <c r="AY163" i="14608"/>
  <c r="AZ163" i="14608"/>
  <c r="BA163" i="14608"/>
  <c r="BB163" i="14608"/>
  <c r="BC163" i="14608"/>
  <c r="BD163" i="14608"/>
  <c r="BE163" i="14608"/>
  <c r="BF163" i="14608"/>
  <c r="BG163" i="14608"/>
  <c r="BH163" i="14608"/>
  <c r="BI163" i="14608"/>
  <c r="BJ163" i="14608"/>
  <c r="BK163" i="14608"/>
  <c r="BL163" i="14608"/>
  <c r="BM163" i="14608"/>
  <c r="BN163" i="14608"/>
  <c r="BO163" i="14608"/>
  <c r="BP163" i="14608"/>
  <c r="BQ163" i="14608"/>
  <c r="BR163" i="14608"/>
  <c r="BS163" i="14608"/>
  <c r="BT163" i="14608"/>
  <c r="BU163" i="14608"/>
  <c r="BV163" i="14608"/>
  <c r="BW163" i="14608"/>
  <c r="BX163" i="14608"/>
  <c r="BY163" i="14608"/>
  <c r="BZ163" i="14608"/>
  <c r="CA163" i="14608"/>
  <c r="CB163" i="14608"/>
  <c r="CC163" i="14608"/>
  <c r="CD163" i="14608"/>
  <c r="CE163" i="14608"/>
  <c r="CF163" i="14608"/>
  <c r="CG163" i="14608"/>
  <c r="CH163" i="14608"/>
  <c r="CI163" i="14608"/>
  <c r="CJ163" i="14608"/>
  <c r="CK163" i="14608"/>
  <c r="CL163" i="14608"/>
  <c r="CM163" i="14608"/>
  <c r="CN163" i="14608"/>
  <c r="CO163" i="14608"/>
  <c r="CP163" i="14608"/>
  <c r="CQ163" i="14608"/>
  <c r="CR163" i="14608"/>
  <c r="CS163" i="14608"/>
  <c r="CT163" i="14608"/>
  <c r="CU163" i="14608"/>
  <c r="CV163" i="14608"/>
  <c r="CW163" i="14608"/>
  <c r="CX163" i="14608"/>
  <c r="CY163" i="14608"/>
  <c r="CZ163" i="14608"/>
  <c r="DA163" i="14608"/>
  <c r="DB163" i="14608"/>
  <c r="DC163" i="14608"/>
  <c r="DD163" i="14608"/>
  <c r="DE163" i="14608"/>
  <c r="DF163" i="14608"/>
  <c r="DG163" i="14608"/>
  <c r="DH163" i="14608"/>
  <c r="DI163" i="14608"/>
  <c r="DJ163" i="14608"/>
  <c r="DK163" i="14608"/>
  <c r="DL163" i="14608"/>
  <c r="DM163" i="14608"/>
  <c r="DN163" i="14608"/>
  <c r="DO163" i="14608"/>
  <c r="DP163" i="14608"/>
  <c r="DQ163" i="14608"/>
  <c r="DR163" i="14608"/>
  <c r="DS163" i="14608"/>
  <c r="DT163" i="14608"/>
  <c r="DU163" i="14608"/>
  <c r="DV163" i="14608"/>
  <c r="DW163" i="14608"/>
  <c r="DX163" i="14608"/>
  <c r="DY163" i="14608"/>
  <c r="DZ163" i="14608"/>
  <c r="EA163" i="14608"/>
  <c r="EB163" i="14608"/>
  <c r="EC163" i="14608"/>
  <c r="ED163" i="14608"/>
  <c r="EE163" i="14608"/>
  <c r="EF163" i="14608"/>
  <c r="EG163" i="14608"/>
  <c r="EH163" i="14608"/>
  <c r="EI163" i="14608"/>
  <c r="EJ163" i="14608"/>
  <c r="EK163" i="14608"/>
  <c r="EL163" i="14608"/>
  <c r="EM163" i="14608"/>
  <c r="EN163" i="14608"/>
  <c r="EO163" i="14608"/>
  <c r="EP163" i="14608"/>
  <c r="EQ163" i="14608"/>
  <c r="ER163" i="14608"/>
  <c r="ES163" i="14608"/>
  <c r="ET163" i="14608"/>
  <c r="EU163" i="14608"/>
  <c r="EV163" i="14608"/>
  <c r="EW163" i="14608"/>
  <c r="EX163" i="14608"/>
  <c r="EY163" i="14608"/>
  <c r="EZ163" i="14608"/>
  <c r="FA163" i="14608"/>
  <c r="FB163" i="14608"/>
  <c r="FC163" i="14608"/>
  <c r="FD163" i="14608"/>
  <c r="FE163" i="14608"/>
  <c r="FF163" i="14608"/>
  <c r="FG163" i="14608"/>
  <c r="FH163" i="14608"/>
  <c r="FI163" i="14608"/>
  <c r="FJ163" i="14608"/>
  <c r="FK163" i="14608"/>
  <c r="FL163" i="14608"/>
  <c r="FM163" i="14608"/>
  <c r="FN163" i="14608"/>
  <c r="FO163" i="14608"/>
  <c r="FP163" i="14608"/>
  <c r="FQ163" i="14608"/>
  <c r="FR163" i="14608"/>
  <c r="FS163" i="14608"/>
  <c r="FT163" i="14608"/>
  <c r="FU163" i="14608"/>
  <c r="FV163" i="14608"/>
  <c r="FW163" i="14608"/>
  <c r="FX163" i="14608"/>
  <c r="FY163" i="14608"/>
  <c r="FZ163" i="14608"/>
  <c r="GA163" i="14608"/>
  <c r="GB163" i="14608"/>
  <c r="GC163" i="14608"/>
  <c r="GD163" i="14608"/>
  <c r="GE163" i="14608"/>
  <c r="GF163" i="14608"/>
  <c r="GG163" i="14608"/>
  <c r="GH163" i="14608"/>
  <c r="GI163" i="14608"/>
  <c r="GJ163" i="14608"/>
  <c r="GK163" i="14608"/>
  <c r="GL163" i="14608"/>
  <c r="GM163" i="14608"/>
  <c r="GN163" i="14608"/>
  <c r="GO163" i="14608"/>
  <c r="GP163" i="14608"/>
  <c r="GQ163" i="14608"/>
  <c r="GR163" i="14608"/>
  <c r="GS163" i="14608"/>
  <c r="GT163" i="14608"/>
  <c r="GU163" i="14608"/>
  <c r="GV163" i="14608"/>
  <c r="GW163" i="14608"/>
  <c r="GX163" i="14608"/>
  <c r="GY163" i="14608"/>
  <c r="GZ163" i="14608"/>
  <c r="HA163" i="14608"/>
  <c r="HB163" i="14608"/>
  <c r="HC163" i="14608"/>
  <c r="HD163" i="14608"/>
  <c r="HE163" i="14608"/>
  <c r="HF163" i="14608"/>
  <c r="HG163" i="14608"/>
  <c r="HH163" i="14608"/>
  <c r="HI163" i="14608"/>
  <c r="HJ163" i="14608"/>
  <c r="HK163" i="14608"/>
  <c r="HL163" i="14608"/>
  <c r="HM163" i="14608"/>
  <c r="HN163" i="14608"/>
  <c r="HO163" i="14608"/>
  <c r="HP163" i="14608"/>
  <c r="HQ163" i="14608"/>
  <c r="HR163" i="14608"/>
  <c r="HS163" i="14608"/>
  <c r="HT163" i="14608"/>
  <c r="HU163" i="14608"/>
  <c r="HV163" i="14608"/>
  <c r="HW163" i="14608"/>
  <c r="HX163" i="14608"/>
  <c r="HY163" i="14608"/>
  <c r="HZ163" i="14608"/>
  <c r="IA163" i="14608"/>
  <c r="IB163" i="14608"/>
  <c r="IC163" i="14608"/>
  <c r="ID163" i="14608"/>
  <c r="IE163" i="14608"/>
  <c r="IF163" i="14608"/>
  <c r="IG163" i="14608"/>
  <c r="IH163" i="14608"/>
  <c r="II163" i="14608"/>
  <c r="IJ163" i="14608"/>
  <c r="IK163" i="14608"/>
  <c r="IL163" i="14608"/>
  <c r="IM163" i="14608"/>
  <c r="IN163" i="14608"/>
  <c r="IO163" i="14608"/>
  <c r="IP163" i="14608"/>
  <c r="IQ163" i="14608"/>
  <c r="IR163" i="14608"/>
  <c r="IS163" i="14608"/>
  <c r="IT163" i="14608"/>
  <c r="IU163" i="14608"/>
  <c r="IV163" i="14608"/>
  <c r="A162" i="14608"/>
  <c r="B162" i="14608"/>
  <c r="C162" i="14608"/>
  <c r="D162" i="14608"/>
  <c r="E162" i="14608"/>
  <c r="F162" i="14608"/>
  <c r="G162" i="14608"/>
  <c r="H162" i="14608"/>
  <c r="I162" i="14608"/>
  <c r="J162" i="14608"/>
  <c r="K162" i="14608"/>
  <c r="L162" i="14608"/>
  <c r="M162" i="14608"/>
  <c r="N162" i="14608"/>
  <c r="O162" i="14608"/>
  <c r="P162" i="14608"/>
  <c r="Q162" i="14608"/>
  <c r="R162" i="14608"/>
  <c r="S162" i="14608"/>
  <c r="T162" i="14608"/>
  <c r="U162" i="14608"/>
  <c r="V162" i="14608"/>
  <c r="W162" i="14608"/>
  <c r="X162" i="14608"/>
  <c r="Y162" i="14608"/>
  <c r="Z162" i="14608"/>
  <c r="AA162" i="14608"/>
  <c r="AB162" i="14608"/>
  <c r="AC162" i="14608"/>
  <c r="AD162" i="14608"/>
  <c r="AE162" i="14608"/>
  <c r="AF162" i="14608"/>
  <c r="AG162" i="14608"/>
  <c r="AH162" i="14608"/>
  <c r="AI162" i="14608"/>
  <c r="AJ162" i="14608"/>
  <c r="AK162" i="14608"/>
  <c r="AL162" i="14608"/>
  <c r="AM162" i="14608"/>
  <c r="AN162" i="14608"/>
  <c r="AO162" i="14608"/>
  <c r="AP162" i="14608"/>
  <c r="AQ162" i="14608"/>
  <c r="AR162" i="14608"/>
  <c r="AS162" i="14608"/>
  <c r="AT162" i="14608"/>
  <c r="AU162" i="14608"/>
  <c r="AV162" i="14608"/>
  <c r="AW162" i="14608"/>
  <c r="AX162" i="14608"/>
  <c r="AY162" i="14608"/>
  <c r="AZ162" i="14608"/>
  <c r="BA162" i="14608"/>
  <c r="BB162" i="14608"/>
  <c r="BC162" i="14608"/>
  <c r="BD162" i="14608"/>
  <c r="BE162" i="14608"/>
  <c r="BF162" i="14608"/>
  <c r="BG162" i="14608"/>
  <c r="BH162" i="14608"/>
  <c r="BI162" i="14608"/>
  <c r="BJ162" i="14608"/>
  <c r="BK162" i="14608"/>
  <c r="BL162" i="14608"/>
  <c r="BM162" i="14608"/>
  <c r="BN162" i="14608"/>
  <c r="BO162" i="14608"/>
  <c r="BP162" i="14608"/>
  <c r="BQ162" i="14608"/>
  <c r="BR162" i="14608"/>
  <c r="BS162" i="14608"/>
  <c r="BT162" i="14608"/>
  <c r="BU162" i="14608"/>
  <c r="BV162" i="14608"/>
  <c r="BW162" i="14608"/>
  <c r="BX162" i="14608"/>
  <c r="BY162" i="14608"/>
  <c r="BZ162" i="14608"/>
  <c r="CA162" i="14608"/>
  <c r="CB162" i="14608"/>
  <c r="CC162" i="14608"/>
  <c r="CD162" i="14608"/>
  <c r="CE162" i="14608"/>
  <c r="CF162" i="14608"/>
  <c r="CG162" i="14608"/>
  <c r="CH162" i="14608"/>
  <c r="CI162" i="14608"/>
  <c r="CJ162" i="14608"/>
  <c r="CK162" i="14608"/>
  <c r="CL162" i="14608"/>
  <c r="CM162" i="14608"/>
  <c r="CN162" i="14608"/>
  <c r="CO162" i="14608"/>
  <c r="CP162" i="14608"/>
  <c r="CQ162" i="14608"/>
  <c r="CR162" i="14608"/>
  <c r="CS162" i="14608"/>
  <c r="CT162" i="14608"/>
  <c r="CU162" i="14608"/>
  <c r="CV162" i="14608"/>
  <c r="CW162" i="14608"/>
  <c r="CX162" i="14608"/>
  <c r="CY162" i="14608"/>
  <c r="CZ162" i="14608"/>
  <c r="DA162" i="14608"/>
  <c r="DB162" i="14608"/>
  <c r="DC162" i="14608"/>
  <c r="DD162" i="14608"/>
  <c r="DE162" i="14608"/>
  <c r="DF162" i="14608"/>
  <c r="DG162" i="14608"/>
  <c r="DH162" i="14608"/>
  <c r="DI162" i="14608"/>
  <c r="DJ162" i="14608"/>
  <c r="DK162" i="14608"/>
  <c r="DL162" i="14608"/>
  <c r="DM162" i="14608"/>
  <c r="DN162" i="14608"/>
  <c r="DO162" i="14608"/>
  <c r="DP162" i="14608"/>
  <c r="DQ162" i="14608"/>
  <c r="DR162" i="14608"/>
  <c r="DS162" i="14608"/>
  <c r="DT162" i="14608"/>
  <c r="DU162" i="14608"/>
  <c r="DV162" i="14608"/>
  <c r="DW162" i="14608"/>
  <c r="DX162" i="14608"/>
  <c r="DY162" i="14608"/>
  <c r="DZ162" i="14608"/>
  <c r="EA162" i="14608"/>
  <c r="EB162" i="14608"/>
  <c r="EC162" i="14608"/>
  <c r="ED162" i="14608"/>
  <c r="EE162" i="14608"/>
  <c r="EF162" i="14608"/>
  <c r="EG162" i="14608"/>
  <c r="EH162" i="14608"/>
  <c r="EI162" i="14608"/>
  <c r="EJ162" i="14608"/>
  <c r="EK162" i="14608"/>
  <c r="EL162" i="14608"/>
  <c r="EM162" i="14608"/>
  <c r="EN162" i="14608"/>
  <c r="EO162" i="14608"/>
  <c r="EP162" i="14608"/>
  <c r="EQ162" i="14608"/>
  <c r="ER162" i="14608"/>
  <c r="ES162" i="14608"/>
  <c r="ET162" i="14608"/>
  <c r="EU162" i="14608"/>
  <c r="EV162" i="14608"/>
  <c r="EW162" i="14608"/>
  <c r="EX162" i="14608"/>
  <c r="EY162" i="14608"/>
  <c r="EZ162" i="14608"/>
  <c r="FA162" i="14608"/>
  <c r="FB162" i="14608"/>
  <c r="FC162" i="14608"/>
  <c r="FD162" i="14608"/>
  <c r="FE162" i="14608"/>
  <c r="FF162" i="14608"/>
  <c r="FG162" i="14608"/>
  <c r="FH162" i="14608"/>
  <c r="FI162" i="14608"/>
  <c r="FJ162" i="14608"/>
  <c r="FK162" i="14608"/>
  <c r="FL162" i="14608"/>
  <c r="FM162" i="14608"/>
  <c r="FN162" i="14608"/>
  <c r="FO162" i="14608"/>
  <c r="FP162" i="14608"/>
  <c r="FQ162" i="14608"/>
  <c r="FR162" i="14608"/>
  <c r="FS162" i="14608"/>
  <c r="FT162" i="14608"/>
  <c r="FU162" i="14608"/>
  <c r="FV162" i="14608"/>
  <c r="FW162" i="14608"/>
  <c r="FX162" i="14608"/>
  <c r="FY162" i="14608"/>
  <c r="FZ162" i="14608"/>
  <c r="GA162" i="14608"/>
  <c r="GB162" i="14608"/>
  <c r="GC162" i="14608"/>
  <c r="GD162" i="14608"/>
  <c r="GE162" i="14608"/>
  <c r="GF162" i="14608"/>
  <c r="GG162" i="14608"/>
  <c r="GH162" i="14608"/>
  <c r="GI162" i="14608"/>
  <c r="GJ162" i="14608"/>
  <c r="GK162" i="14608"/>
  <c r="GL162" i="14608"/>
  <c r="GM162" i="14608"/>
  <c r="GN162" i="14608"/>
  <c r="GO162" i="14608"/>
  <c r="GP162" i="14608"/>
  <c r="GQ162" i="14608"/>
  <c r="GR162" i="14608"/>
  <c r="GS162" i="14608"/>
  <c r="GT162" i="14608"/>
  <c r="GU162" i="14608"/>
  <c r="GV162" i="14608"/>
  <c r="GW162" i="14608"/>
  <c r="GX162" i="14608"/>
  <c r="GY162" i="14608"/>
  <c r="GZ162" i="14608"/>
  <c r="HA162" i="14608"/>
  <c r="HB162" i="14608"/>
  <c r="HC162" i="14608"/>
  <c r="HD162" i="14608"/>
  <c r="HE162" i="14608"/>
  <c r="HF162" i="14608"/>
  <c r="HG162" i="14608"/>
  <c r="HH162" i="14608"/>
  <c r="HI162" i="14608"/>
  <c r="HJ162" i="14608"/>
  <c r="HK162" i="14608"/>
  <c r="HL162" i="14608"/>
  <c r="HM162" i="14608"/>
  <c r="HN162" i="14608"/>
  <c r="HO162" i="14608"/>
  <c r="HP162" i="14608"/>
  <c r="HQ162" i="14608"/>
  <c r="HR162" i="14608"/>
  <c r="HS162" i="14608"/>
  <c r="HT162" i="14608"/>
  <c r="HU162" i="14608"/>
  <c r="HV162" i="14608"/>
  <c r="HW162" i="14608"/>
  <c r="HX162" i="14608"/>
  <c r="HY162" i="14608"/>
  <c r="HZ162" i="14608"/>
  <c r="IA162" i="14608"/>
  <c r="IB162" i="14608"/>
  <c r="IC162" i="14608"/>
  <c r="ID162" i="14608"/>
  <c r="IE162" i="14608"/>
  <c r="IF162" i="14608"/>
  <c r="IG162" i="14608"/>
  <c r="IH162" i="14608"/>
  <c r="II162" i="14608"/>
  <c r="IJ162" i="14608"/>
  <c r="IK162" i="14608"/>
  <c r="IL162" i="14608"/>
  <c r="IM162" i="14608"/>
  <c r="IN162" i="14608"/>
  <c r="IO162" i="14608"/>
  <c r="IP162" i="14608"/>
  <c r="IQ162" i="14608"/>
  <c r="IR162" i="14608"/>
  <c r="IS162" i="14608"/>
  <c r="IT162" i="14608"/>
  <c r="IU162" i="14608"/>
  <c r="IV162" i="14608"/>
  <c r="A161" i="14608"/>
  <c r="B161" i="14608"/>
  <c r="C161" i="14608"/>
  <c r="D161" i="14608"/>
  <c r="E161" i="14608"/>
  <c r="F161" i="14608"/>
  <c r="G161" i="14608"/>
  <c r="H161" i="14608"/>
  <c r="I161" i="14608"/>
  <c r="J161" i="14608"/>
  <c r="K161" i="14608"/>
  <c r="L161" i="14608"/>
  <c r="M161" i="14608"/>
  <c r="N161" i="14608"/>
  <c r="O161" i="14608"/>
  <c r="P161" i="14608"/>
  <c r="Q161" i="14608"/>
  <c r="R161" i="14608"/>
  <c r="S161" i="14608"/>
  <c r="T161" i="14608"/>
  <c r="U161" i="14608"/>
  <c r="V161" i="14608"/>
  <c r="W161" i="14608"/>
  <c r="X161" i="14608"/>
  <c r="Y161" i="14608"/>
  <c r="Z161" i="14608"/>
  <c r="AA161" i="14608"/>
  <c r="AB161" i="14608"/>
  <c r="AC161" i="14608"/>
  <c r="AD161" i="14608"/>
  <c r="AE161" i="14608"/>
  <c r="AF161" i="14608"/>
  <c r="AG161" i="14608"/>
  <c r="AH161" i="14608"/>
  <c r="AI161" i="14608"/>
  <c r="AJ161" i="14608"/>
  <c r="AK161" i="14608"/>
  <c r="AL161" i="14608"/>
  <c r="AM161" i="14608"/>
  <c r="AN161" i="14608"/>
  <c r="AO161" i="14608"/>
  <c r="AP161" i="14608"/>
  <c r="AQ161" i="14608"/>
  <c r="AR161" i="14608"/>
  <c r="AS161" i="14608"/>
  <c r="AT161" i="14608"/>
  <c r="AU161" i="14608"/>
  <c r="AV161" i="14608"/>
  <c r="AW161" i="14608"/>
  <c r="AX161" i="14608"/>
  <c r="AY161" i="14608"/>
  <c r="AZ161" i="14608"/>
  <c r="BA161" i="14608"/>
  <c r="BB161" i="14608"/>
  <c r="BC161" i="14608"/>
  <c r="BD161" i="14608"/>
  <c r="BE161" i="14608"/>
  <c r="BF161" i="14608"/>
  <c r="BG161" i="14608"/>
  <c r="BH161" i="14608"/>
  <c r="BI161" i="14608"/>
  <c r="BJ161" i="14608"/>
  <c r="BK161" i="14608"/>
  <c r="BL161" i="14608"/>
  <c r="BM161" i="14608"/>
  <c r="BN161" i="14608"/>
  <c r="BO161" i="14608"/>
  <c r="BP161" i="14608"/>
  <c r="BQ161" i="14608"/>
  <c r="BR161" i="14608"/>
  <c r="BS161" i="14608"/>
  <c r="BT161" i="14608"/>
  <c r="BU161" i="14608"/>
  <c r="BV161" i="14608"/>
  <c r="BW161" i="14608"/>
  <c r="BX161" i="14608"/>
  <c r="BY161" i="14608"/>
  <c r="BZ161" i="14608"/>
  <c r="CA161" i="14608"/>
  <c r="CB161" i="14608"/>
  <c r="CC161" i="14608"/>
  <c r="CD161" i="14608"/>
  <c r="CE161" i="14608"/>
  <c r="CF161" i="14608"/>
  <c r="CG161" i="14608"/>
  <c r="CH161" i="14608"/>
  <c r="CI161" i="14608"/>
  <c r="CJ161" i="14608"/>
  <c r="CK161" i="14608"/>
  <c r="CL161" i="14608"/>
  <c r="CM161" i="14608"/>
  <c r="CN161" i="14608"/>
  <c r="CO161" i="14608"/>
  <c r="CP161" i="14608"/>
  <c r="CQ161" i="14608"/>
  <c r="CR161" i="14608"/>
  <c r="CS161" i="14608"/>
  <c r="CT161" i="14608"/>
  <c r="CU161" i="14608"/>
  <c r="CV161" i="14608"/>
  <c r="CW161" i="14608"/>
  <c r="CX161" i="14608"/>
  <c r="CY161" i="14608"/>
  <c r="CZ161" i="14608"/>
  <c r="DA161" i="14608"/>
  <c r="DB161" i="14608"/>
  <c r="DC161" i="14608"/>
  <c r="DD161" i="14608"/>
  <c r="DE161" i="14608"/>
  <c r="DF161" i="14608"/>
  <c r="DG161" i="14608"/>
  <c r="DH161" i="14608"/>
  <c r="DI161" i="14608"/>
  <c r="DJ161" i="14608"/>
  <c r="DK161" i="14608"/>
  <c r="DL161" i="14608"/>
  <c r="DM161" i="14608"/>
  <c r="DN161" i="14608"/>
  <c r="DO161" i="14608"/>
  <c r="DP161" i="14608"/>
  <c r="DQ161" i="14608"/>
  <c r="DR161" i="14608"/>
  <c r="DS161" i="14608"/>
  <c r="DT161" i="14608"/>
  <c r="DU161" i="14608"/>
  <c r="DV161" i="14608"/>
  <c r="DW161" i="14608"/>
  <c r="DX161" i="14608"/>
  <c r="DY161" i="14608"/>
  <c r="DZ161" i="14608"/>
  <c r="EA161" i="14608"/>
  <c r="EB161" i="14608"/>
  <c r="EC161" i="14608"/>
  <c r="ED161" i="14608"/>
  <c r="EE161" i="14608"/>
  <c r="EF161" i="14608"/>
  <c r="EG161" i="14608"/>
  <c r="EH161" i="14608"/>
  <c r="EI161" i="14608"/>
  <c r="EJ161" i="14608"/>
  <c r="EK161" i="14608"/>
  <c r="EL161" i="14608"/>
  <c r="EM161" i="14608"/>
  <c r="EN161" i="14608"/>
  <c r="EO161" i="14608"/>
  <c r="EP161" i="14608"/>
  <c r="EQ161" i="14608"/>
  <c r="ER161" i="14608"/>
  <c r="ES161" i="14608"/>
  <c r="ET161" i="14608"/>
  <c r="EU161" i="14608"/>
  <c r="EV161" i="14608"/>
  <c r="EW161" i="14608"/>
  <c r="EX161" i="14608"/>
  <c r="EY161" i="14608"/>
  <c r="EZ161" i="14608"/>
  <c r="FA161" i="14608"/>
  <c r="FB161" i="14608"/>
  <c r="FC161" i="14608"/>
  <c r="FD161" i="14608"/>
  <c r="FE161" i="14608"/>
  <c r="FF161" i="14608"/>
  <c r="FG161" i="14608"/>
  <c r="FH161" i="14608"/>
  <c r="FI161" i="14608"/>
  <c r="FJ161" i="14608"/>
  <c r="FK161" i="14608"/>
  <c r="FL161" i="14608"/>
  <c r="FM161" i="14608"/>
  <c r="FN161" i="14608"/>
  <c r="FO161" i="14608"/>
  <c r="FP161" i="14608"/>
  <c r="FQ161" i="14608"/>
  <c r="FR161" i="14608"/>
  <c r="FS161" i="14608"/>
  <c r="FT161" i="14608"/>
  <c r="FU161" i="14608"/>
  <c r="FV161" i="14608"/>
  <c r="FW161" i="14608"/>
  <c r="FX161" i="14608"/>
  <c r="FY161" i="14608"/>
  <c r="FZ161" i="14608"/>
  <c r="GA161" i="14608"/>
  <c r="GB161" i="14608"/>
  <c r="GC161" i="14608"/>
  <c r="GD161" i="14608"/>
  <c r="GE161" i="14608"/>
  <c r="GF161" i="14608"/>
  <c r="GG161" i="14608"/>
  <c r="GH161" i="14608"/>
  <c r="GI161" i="14608"/>
  <c r="GJ161" i="14608"/>
  <c r="GK161" i="14608"/>
  <c r="GL161" i="14608"/>
  <c r="GM161" i="14608"/>
  <c r="GN161" i="14608"/>
  <c r="GO161" i="14608"/>
  <c r="GP161" i="14608"/>
  <c r="GQ161" i="14608"/>
  <c r="GR161" i="14608"/>
  <c r="GS161" i="14608"/>
  <c r="GT161" i="14608"/>
  <c r="GU161" i="14608"/>
  <c r="GV161" i="14608"/>
  <c r="GW161" i="14608"/>
  <c r="GX161" i="14608"/>
  <c r="GY161" i="14608"/>
  <c r="GZ161" i="14608"/>
  <c r="HA161" i="14608"/>
  <c r="HB161" i="14608"/>
  <c r="HC161" i="14608"/>
  <c r="HD161" i="14608"/>
  <c r="HE161" i="14608"/>
  <c r="HF161" i="14608"/>
  <c r="HG161" i="14608"/>
  <c r="HH161" i="14608"/>
  <c r="HI161" i="14608"/>
  <c r="HJ161" i="14608"/>
  <c r="HK161" i="14608"/>
  <c r="HL161" i="14608"/>
  <c r="HM161" i="14608"/>
  <c r="HN161" i="14608"/>
  <c r="HO161" i="14608"/>
  <c r="HP161" i="14608"/>
  <c r="HQ161" i="14608"/>
  <c r="HR161" i="14608"/>
  <c r="HS161" i="14608"/>
  <c r="HT161" i="14608"/>
  <c r="HU161" i="14608"/>
  <c r="HV161" i="14608"/>
  <c r="HW161" i="14608"/>
  <c r="HX161" i="14608"/>
  <c r="HY161" i="14608"/>
  <c r="HZ161" i="14608"/>
  <c r="IA161" i="14608"/>
  <c r="IB161" i="14608"/>
  <c r="IC161" i="14608"/>
  <c r="ID161" i="14608"/>
  <c r="IE161" i="14608"/>
  <c r="IF161" i="14608"/>
  <c r="IG161" i="14608"/>
  <c r="IH161" i="14608"/>
  <c r="II161" i="14608"/>
  <c r="IJ161" i="14608"/>
  <c r="IK161" i="14608"/>
  <c r="IL161" i="14608"/>
  <c r="IM161" i="14608"/>
  <c r="IN161" i="14608"/>
  <c r="IO161" i="14608"/>
  <c r="IP161" i="14608"/>
  <c r="IQ161" i="14608"/>
  <c r="IR161" i="14608"/>
  <c r="IS161" i="14608"/>
  <c r="IT161" i="14608"/>
  <c r="IU161" i="14608"/>
  <c r="IV161" i="14608"/>
  <c r="A160" i="14608"/>
  <c r="B160" i="14608"/>
  <c r="C160" i="14608"/>
  <c r="D160" i="14608"/>
  <c r="E160" i="14608"/>
  <c r="F160" i="14608"/>
  <c r="G160" i="14608"/>
  <c r="H160" i="14608"/>
  <c r="I160" i="14608"/>
  <c r="J160" i="14608"/>
  <c r="K160" i="14608"/>
  <c r="L160" i="14608"/>
  <c r="M160" i="14608"/>
  <c r="N160" i="14608"/>
  <c r="O160" i="14608"/>
  <c r="P160" i="14608"/>
  <c r="Q160" i="14608"/>
  <c r="R160" i="14608"/>
  <c r="S160" i="14608"/>
  <c r="T160" i="14608"/>
  <c r="U160" i="14608"/>
  <c r="V160" i="14608"/>
  <c r="W160" i="14608"/>
  <c r="X160" i="14608"/>
  <c r="Y160" i="14608"/>
  <c r="Z160" i="14608"/>
  <c r="AA160" i="14608"/>
  <c r="AB160" i="14608"/>
  <c r="AC160" i="14608"/>
  <c r="AD160" i="14608"/>
  <c r="AE160" i="14608"/>
  <c r="AF160" i="14608"/>
  <c r="AG160" i="14608"/>
  <c r="AH160" i="14608"/>
  <c r="AI160" i="14608"/>
  <c r="AJ160" i="14608"/>
  <c r="AK160" i="14608"/>
  <c r="AL160" i="14608"/>
  <c r="AM160" i="14608"/>
  <c r="AN160" i="14608"/>
  <c r="AO160" i="14608"/>
  <c r="AP160" i="14608"/>
  <c r="AQ160" i="14608"/>
  <c r="AR160" i="14608"/>
  <c r="AS160" i="14608"/>
  <c r="AT160" i="14608"/>
  <c r="AU160" i="14608"/>
  <c r="AV160" i="14608"/>
  <c r="AW160" i="14608"/>
  <c r="AX160" i="14608"/>
  <c r="AY160" i="14608"/>
  <c r="AZ160" i="14608"/>
  <c r="BA160" i="14608"/>
  <c r="BB160" i="14608"/>
  <c r="BC160" i="14608"/>
  <c r="BD160" i="14608"/>
  <c r="BE160" i="14608"/>
  <c r="BF160" i="14608"/>
  <c r="BG160" i="14608"/>
  <c r="BH160" i="14608"/>
  <c r="BI160" i="14608"/>
  <c r="BJ160" i="14608"/>
  <c r="BK160" i="14608"/>
  <c r="BL160" i="14608"/>
  <c r="BM160" i="14608"/>
  <c r="BN160" i="14608"/>
  <c r="BO160" i="14608"/>
  <c r="BP160" i="14608"/>
  <c r="BQ160" i="14608"/>
  <c r="BR160" i="14608"/>
  <c r="BS160" i="14608"/>
  <c r="BT160" i="14608"/>
  <c r="BU160" i="14608"/>
  <c r="BV160" i="14608"/>
  <c r="BW160" i="14608"/>
  <c r="BX160" i="14608"/>
  <c r="BY160" i="14608"/>
  <c r="BZ160" i="14608"/>
  <c r="CA160" i="14608"/>
  <c r="CB160" i="14608"/>
  <c r="CC160" i="14608"/>
  <c r="CD160" i="14608"/>
  <c r="CE160" i="14608"/>
  <c r="CF160" i="14608"/>
  <c r="CG160" i="14608"/>
  <c r="CH160" i="14608"/>
  <c r="CI160" i="14608"/>
  <c r="CJ160" i="14608"/>
  <c r="CK160" i="14608"/>
  <c r="CL160" i="14608"/>
  <c r="CM160" i="14608"/>
  <c r="CN160" i="14608"/>
  <c r="CO160" i="14608"/>
  <c r="CP160" i="14608"/>
  <c r="CQ160" i="14608"/>
  <c r="CR160" i="14608"/>
  <c r="CS160" i="14608"/>
  <c r="CT160" i="14608"/>
  <c r="CU160" i="14608"/>
  <c r="CV160" i="14608"/>
  <c r="CW160" i="14608"/>
  <c r="CX160" i="14608"/>
  <c r="CY160" i="14608"/>
  <c r="CZ160" i="14608"/>
  <c r="DA160" i="14608"/>
  <c r="DB160" i="14608"/>
  <c r="DC160" i="14608"/>
  <c r="DD160" i="14608"/>
  <c r="DE160" i="14608"/>
  <c r="DF160" i="14608"/>
  <c r="DG160" i="14608"/>
  <c r="DH160" i="14608"/>
  <c r="DI160" i="14608"/>
  <c r="DJ160" i="14608"/>
  <c r="DK160" i="14608"/>
  <c r="DL160" i="14608"/>
  <c r="DM160" i="14608"/>
  <c r="DN160" i="14608"/>
  <c r="DO160" i="14608"/>
  <c r="DP160" i="14608"/>
  <c r="DQ160" i="14608"/>
  <c r="DR160" i="14608"/>
  <c r="DS160" i="14608"/>
  <c r="DT160" i="14608"/>
  <c r="DU160" i="14608"/>
  <c r="DV160" i="14608"/>
  <c r="DW160" i="14608"/>
  <c r="DX160" i="14608"/>
  <c r="DY160" i="14608"/>
  <c r="DZ160" i="14608"/>
  <c r="EA160" i="14608"/>
  <c r="EB160" i="14608"/>
  <c r="EC160" i="14608"/>
  <c r="ED160" i="14608"/>
  <c r="EE160" i="14608"/>
  <c r="EF160" i="14608"/>
  <c r="EG160" i="14608"/>
  <c r="EH160" i="14608"/>
  <c r="EI160" i="14608"/>
  <c r="EJ160" i="14608"/>
  <c r="EK160" i="14608"/>
  <c r="EL160" i="14608"/>
  <c r="EM160" i="14608"/>
  <c r="EN160" i="14608"/>
  <c r="EO160" i="14608"/>
  <c r="EP160" i="14608"/>
  <c r="EQ160" i="14608"/>
  <c r="ER160" i="14608"/>
  <c r="ES160" i="14608"/>
  <c r="ET160" i="14608"/>
  <c r="EU160" i="14608"/>
  <c r="EV160" i="14608"/>
  <c r="EW160" i="14608"/>
  <c r="EX160" i="14608"/>
  <c r="EY160" i="14608"/>
  <c r="EZ160" i="14608"/>
  <c r="FA160" i="14608"/>
  <c r="FB160" i="14608"/>
  <c r="FC160" i="14608"/>
  <c r="FD160" i="14608"/>
  <c r="FE160" i="14608"/>
  <c r="FF160" i="14608"/>
  <c r="FG160" i="14608"/>
  <c r="FH160" i="14608"/>
  <c r="FI160" i="14608"/>
  <c r="FJ160" i="14608"/>
  <c r="FK160" i="14608"/>
  <c r="FL160" i="14608"/>
  <c r="FM160" i="14608"/>
  <c r="FN160" i="14608"/>
  <c r="FO160" i="14608"/>
  <c r="FP160" i="14608"/>
  <c r="FQ160" i="14608"/>
  <c r="FR160" i="14608"/>
  <c r="FS160" i="14608"/>
  <c r="FT160" i="14608"/>
  <c r="FU160" i="14608"/>
  <c r="FV160" i="14608"/>
  <c r="FW160" i="14608"/>
  <c r="FX160" i="14608"/>
  <c r="FY160" i="14608"/>
  <c r="FZ160" i="14608"/>
  <c r="GA160" i="14608"/>
  <c r="GB160" i="14608"/>
  <c r="GC160" i="14608"/>
  <c r="GD160" i="14608"/>
  <c r="GE160" i="14608"/>
  <c r="GF160" i="14608"/>
  <c r="GG160" i="14608"/>
  <c r="GH160" i="14608"/>
  <c r="GI160" i="14608"/>
  <c r="GJ160" i="14608"/>
  <c r="GK160" i="14608"/>
  <c r="GL160" i="14608"/>
  <c r="GM160" i="14608"/>
  <c r="GN160" i="14608"/>
  <c r="GO160" i="14608"/>
  <c r="GP160" i="14608"/>
  <c r="GQ160" i="14608"/>
  <c r="GR160" i="14608"/>
  <c r="GS160" i="14608"/>
  <c r="GT160" i="14608"/>
  <c r="GU160" i="14608"/>
  <c r="GV160" i="14608"/>
  <c r="GW160" i="14608"/>
  <c r="GX160" i="14608"/>
  <c r="GY160" i="14608"/>
  <c r="GZ160" i="14608"/>
  <c r="HA160" i="14608"/>
  <c r="HB160" i="14608"/>
  <c r="HC160" i="14608"/>
  <c r="HD160" i="14608"/>
  <c r="HE160" i="14608"/>
  <c r="HF160" i="14608"/>
  <c r="HG160" i="14608"/>
  <c r="HH160" i="14608"/>
  <c r="HI160" i="14608"/>
  <c r="HJ160" i="14608"/>
  <c r="HK160" i="14608"/>
  <c r="HL160" i="14608"/>
  <c r="HM160" i="14608"/>
  <c r="HN160" i="14608"/>
  <c r="HO160" i="14608"/>
  <c r="HP160" i="14608"/>
  <c r="HQ160" i="14608"/>
  <c r="HR160" i="14608"/>
  <c r="HS160" i="14608"/>
  <c r="HT160" i="14608"/>
  <c r="HU160" i="14608"/>
  <c r="HV160" i="14608"/>
  <c r="HW160" i="14608"/>
  <c r="HX160" i="14608"/>
  <c r="HY160" i="14608"/>
  <c r="HZ160" i="14608"/>
  <c r="IA160" i="14608"/>
  <c r="IB160" i="14608"/>
  <c r="IC160" i="14608"/>
  <c r="ID160" i="14608"/>
  <c r="IE160" i="14608"/>
  <c r="IF160" i="14608"/>
  <c r="IG160" i="14608"/>
  <c r="IH160" i="14608"/>
  <c r="II160" i="14608"/>
  <c r="IJ160" i="14608"/>
  <c r="IK160" i="14608"/>
  <c r="IL160" i="14608"/>
  <c r="IM160" i="14608"/>
  <c r="IN160" i="14608"/>
  <c r="IO160" i="14608"/>
  <c r="IP160" i="14608"/>
  <c r="IQ160" i="14608"/>
  <c r="IR160" i="14608"/>
  <c r="IS160" i="14608"/>
  <c r="IT160" i="14608"/>
  <c r="IU160" i="14608"/>
  <c r="IV160" i="14608"/>
  <c r="A159" i="14608"/>
  <c r="B159" i="14608"/>
  <c r="C159" i="14608"/>
  <c r="D159" i="14608"/>
  <c r="E159" i="14608"/>
  <c r="F159" i="14608"/>
  <c r="G159" i="14608"/>
  <c r="H159" i="14608"/>
  <c r="I159" i="14608"/>
  <c r="J159" i="14608"/>
  <c r="K159" i="14608"/>
  <c r="L159" i="14608"/>
  <c r="M159" i="14608"/>
  <c r="N159" i="14608"/>
  <c r="O159" i="14608"/>
  <c r="P159" i="14608"/>
  <c r="Q159" i="14608"/>
  <c r="R159" i="14608"/>
  <c r="S159" i="14608"/>
  <c r="T159" i="14608"/>
  <c r="U159" i="14608"/>
  <c r="V159" i="14608"/>
  <c r="W159" i="14608"/>
  <c r="X159" i="14608"/>
  <c r="Y159" i="14608"/>
  <c r="Z159" i="14608"/>
  <c r="AA159" i="14608"/>
  <c r="AB159" i="14608"/>
  <c r="AC159" i="14608"/>
  <c r="AD159" i="14608"/>
  <c r="AE159" i="14608"/>
  <c r="AF159" i="14608"/>
  <c r="AG159" i="14608"/>
  <c r="AH159" i="14608"/>
  <c r="AI159" i="14608"/>
  <c r="AJ159" i="14608"/>
  <c r="AK159" i="14608"/>
  <c r="AL159" i="14608"/>
  <c r="AM159" i="14608"/>
  <c r="AN159" i="14608"/>
  <c r="AO159" i="14608"/>
  <c r="AP159" i="14608"/>
  <c r="AQ159" i="14608"/>
  <c r="AR159" i="14608"/>
  <c r="AS159" i="14608"/>
  <c r="AT159" i="14608"/>
  <c r="AU159" i="14608"/>
  <c r="AV159" i="14608"/>
  <c r="AW159" i="14608"/>
  <c r="AX159" i="14608"/>
  <c r="AY159" i="14608"/>
  <c r="AZ159" i="14608"/>
  <c r="BA159" i="14608"/>
  <c r="BB159" i="14608"/>
  <c r="BC159" i="14608"/>
  <c r="BD159" i="14608"/>
  <c r="BE159" i="14608"/>
  <c r="BF159" i="14608"/>
  <c r="BG159" i="14608"/>
  <c r="BH159" i="14608"/>
  <c r="BI159" i="14608"/>
  <c r="BJ159" i="14608"/>
  <c r="BK159" i="14608"/>
  <c r="BL159" i="14608"/>
  <c r="BM159" i="14608"/>
  <c r="BN159" i="14608"/>
  <c r="BO159" i="14608"/>
  <c r="BP159" i="14608"/>
  <c r="BQ159" i="14608"/>
  <c r="BR159" i="14608"/>
  <c r="BS159" i="14608"/>
  <c r="BT159" i="14608"/>
  <c r="BU159" i="14608"/>
  <c r="BV159" i="14608"/>
  <c r="BW159" i="14608"/>
  <c r="BX159" i="14608"/>
  <c r="BY159" i="14608"/>
  <c r="BZ159" i="14608"/>
  <c r="CA159" i="14608"/>
  <c r="CB159" i="14608"/>
  <c r="CC159" i="14608"/>
  <c r="CD159" i="14608"/>
  <c r="CE159" i="14608"/>
  <c r="CF159" i="14608"/>
  <c r="CG159" i="14608"/>
  <c r="CH159" i="14608"/>
  <c r="CI159" i="14608"/>
  <c r="CJ159" i="14608"/>
  <c r="CK159" i="14608"/>
  <c r="CL159" i="14608"/>
  <c r="CM159" i="14608"/>
  <c r="CN159" i="14608"/>
  <c r="CO159" i="14608"/>
  <c r="CP159" i="14608"/>
  <c r="CQ159" i="14608"/>
  <c r="CR159" i="14608"/>
  <c r="CS159" i="14608"/>
  <c r="CT159" i="14608"/>
  <c r="CU159" i="14608"/>
  <c r="CV159" i="14608"/>
  <c r="CW159" i="14608"/>
  <c r="CX159" i="14608"/>
  <c r="CY159" i="14608"/>
  <c r="CZ159" i="14608"/>
  <c r="DA159" i="14608"/>
  <c r="DB159" i="14608"/>
  <c r="DC159" i="14608"/>
  <c r="DD159" i="14608"/>
  <c r="DE159" i="14608"/>
  <c r="DF159" i="14608"/>
  <c r="DG159" i="14608"/>
  <c r="DH159" i="14608"/>
  <c r="DI159" i="14608"/>
  <c r="DJ159" i="14608"/>
  <c r="DK159" i="14608"/>
  <c r="DL159" i="14608"/>
  <c r="DM159" i="14608"/>
  <c r="DN159" i="14608"/>
  <c r="DO159" i="14608"/>
  <c r="DP159" i="14608"/>
  <c r="DQ159" i="14608"/>
  <c r="DR159" i="14608"/>
  <c r="DS159" i="14608"/>
  <c r="DT159" i="14608"/>
  <c r="DU159" i="14608"/>
  <c r="DV159" i="14608"/>
  <c r="DW159" i="14608"/>
  <c r="DX159" i="14608"/>
  <c r="DY159" i="14608"/>
  <c r="DZ159" i="14608"/>
  <c r="EA159" i="14608"/>
  <c r="EB159" i="14608"/>
  <c r="EC159" i="14608"/>
  <c r="ED159" i="14608"/>
  <c r="EE159" i="14608"/>
  <c r="EF159" i="14608"/>
  <c r="EG159" i="14608"/>
  <c r="EH159" i="14608"/>
  <c r="EI159" i="14608"/>
  <c r="EJ159" i="14608"/>
  <c r="EK159" i="14608"/>
  <c r="EL159" i="14608"/>
  <c r="EM159" i="14608"/>
  <c r="EN159" i="14608"/>
  <c r="EO159" i="14608"/>
  <c r="EP159" i="14608"/>
  <c r="EQ159" i="14608"/>
  <c r="ER159" i="14608"/>
  <c r="ES159" i="14608"/>
  <c r="ET159" i="14608"/>
  <c r="EU159" i="14608"/>
  <c r="EV159" i="14608"/>
  <c r="EW159" i="14608"/>
  <c r="EX159" i="14608"/>
  <c r="EY159" i="14608"/>
  <c r="EZ159" i="14608"/>
  <c r="FA159" i="14608"/>
  <c r="FB159" i="14608"/>
  <c r="FC159" i="14608"/>
  <c r="FD159" i="14608"/>
  <c r="FE159" i="14608"/>
  <c r="FF159" i="14608"/>
  <c r="FG159" i="14608"/>
  <c r="FH159" i="14608"/>
  <c r="FI159" i="14608"/>
  <c r="FJ159" i="14608"/>
  <c r="FK159" i="14608"/>
  <c r="FL159" i="14608"/>
  <c r="FM159" i="14608"/>
  <c r="FN159" i="14608"/>
  <c r="FO159" i="14608"/>
  <c r="FP159" i="14608"/>
  <c r="FQ159" i="14608"/>
  <c r="FR159" i="14608"/>
  <c r="FS159" i="14608"/>
  <c r="FT159" i="14608"/>
  <c r="FU159" i="14608"/>
  <c r="FV159" i="14608"/>
  <c r="FW159" i="14608"/>
  <c r="FX159" i="14608"/>
  <c r="FY159" i="14608"/>
  <c r="FZ159" i="14608"/>
  <c r="GA159" i="14608"/>
  <c r="GB159" i="14608"/>
  <c r="GC159" i="14608"/>
  <c r="GD159" i="14608"/>
  <c r="GE159" i="14608"/>
  <c r="GF159" i="14608"/>
  <c r="GG159" i="14608"/>
  <c r="GH159" i="14608"/>
  <c r="GI159" i="14608"/>
  <c r="GJ159" i="14608"/>
  <c r="GK159" i="14608"/>
  <c r="GL159" i="14608"/>
  <c r="GM159" i="14608"/>
  <c r="GN159" i="14608"/>
  <c r="GO159" i="14608"/>
  <c r="GP159" i="14608"/>
  <c r="GQ159" i="14608"/>
  <c r="GR159" i="14608"/>
  <c r="GS159" i="14608"/>
  <c r="GT159" i="14608"/>
  <c r="GU159" i="14608"/>
  <c r="GV159" i="14608"/>
  <c r="GW159" i="14608"/>
  <c r="GX159" i="14608"/>
  <c r="GY159" i="14608"/>
  <c r="GZ159" i="14608"/>
  <c r="HA159" i="14608"/>
  <c r="HB159" i="14608"/>
  <c r="HC159" i="14608"/>
  <c r="HD159" i="14608"/>
  <c r="HE159" i="14608"/>
  <c r="HF159" i="14608"/>
  <c r="HG159" i="14608"/>
  <c r="HH159" i="14608"/>
  <c r="HI159" i="14608"/>
  <c r="HJ159" i="14608"/>
  <c r="HK159" i="14608"/>
  <c r="HL159" i="14608"/>
  <c r="HM159" i="14608"/>
  <c r="HN159" i="14608"/>
  <c r="HO159" i="14608"/>
  <c r="HP159" i="14608"/>
  <c r="HQ159" i="14608"/>
  <c r="HR159" i="14608"/>
  <c r="HS159" i="14608"/>
  <c r="HT159" i="14608"/>
  <c r="HU159" i="14608"/>
  <c r="HV159" i="14608"/>
  <c r="HW159" i="14608"/>
  <c r="HX159" i="14608"/>
  <c r="HY159" i="14608"/>
  <c r="HZ159" i="14608"/>
  <c r="IA159" i="14608"/>
  <c r="IB159" i="14608"/>
  <c r="IC159" i="14608"/>
  <c r="ID159" i="14608"/>
  <c r="IE159" i="14608"/>
  <c r="IF159" i="14608"/>
  <c r="IG159" i="14608"/>
  <c r="IH159" i="14608"/>
  <c r="II159" i="14608"/>
  <c r="IJ159" i="14608"/>
  <c r="IK159" i="14608"/>
  <c r="IL159" i="14608"/>
  <c r="IM159" i="14608"/>
  <c r="IN159" i="14608"/>
  <c r="IO159" i="14608"/>
  <c r="IP159" i="14608"/>
  <c r="IQ159" i="14608"/>
  <c r="IR159" i="14608"/>
  <c r="IS159" i="14608"/>
  <c r="IT159" i="14608"/>
  <c r="IU159" i="14608"/>
  <c r="IV159" i="14608"/>
  <c r="A158" i="14608"/>
  <c r="B158" i="14608"/>
  <c r="C158" i="14608"/>
  <c r="D158" i="14608"/>
  <c r="E158" i="14608"/>
  <c r="F158" i="14608"/>
  <c r="G158" i="14608"/>
  <c r="H158" i="14608"/>
  <c r="I158" i="14608"/>
  <c r="J158" i="14608"/>
  <c r="K158" i="14608"/>
  <c r="L158" i="14608"/>
  <c r="M158" i="14608"/>
  <c r="N158" i="14608"/>
  <c r="O158" i="14608"/>
  <c r="P158" i="14608"/>
  <c r="Q158" i="14608"/>
  <c r="R158" i="14608"/>
  <c r="S158" i="14608"/>
  <c r="T158" i="14608"/>
  <c r="U158" i="14608"/>
  <c r="V158" i="14608"/>
  <c r="W158" i="14608"/>
  <c r="X158" i="14608"/>
  <c r="Y158" i="14608"/>
  <c r="Z158" i="14608"/>
  <c r="AA158" i="14608"/>
  <c r="AB158" i="14608"/>
  <c r="AC158" i="14608"/>
  <c r="AD158" i="14608"/>
  <c r="AE158" i="14608"/>
  <c r="AF158" i="14608"/>
  <c r="AG158" i="14608"/>
  <c r="AH158" i="14608"/>
  <c r="AI158" i="14608"/>
  <c r="AJ158" i="14608"/>
  <c r="AK158" i="14608"/>
  <c r="AL158" i="14608"/>
  <c r="AM158" i="14608"/>
  <c r="AN158" i="14608"/>
  <c r="AO158" i="14608"/>
  <c r="AP158" i="14608"/>
  <c r="AQ158" i="14608"/>
  <c r="AR158" i="14608"/>
  <c r="AS158" i="14608"/>
  <c r="AT158" i="14608"/>
  <c r="AU158" i="14608"/>
  <c r="AV158" i="14608"/>
  <c r="AW158" i="14608"/>
  <c r="AX158" i="14608"/>
  <c r="AY158" i="14608"/>
  <c r="AZ158" i="14608"/>
  <c r="BA158" i="14608"/>
  <c r="BB158" i="14608"/>
  <c r="BC158" i="14608"/>
  <c r="BD158" i="14608"/>
  <c r="BE158" i="14608"/>
  <c r="BF158" i="14608"/>
  <c r="BG158" i="14608"/>
  <c r="BH158" i="14608"/>
  <c r="BI158" i="14608"/>
  <c r="BJ158" i="14608"/>
  <c r="BK158" i="14608"/>
  <c r="BL158" i="14608"/>
  <c r="BM158" i="14608"/>
  <c r="BN158" i="14608"/>
  <c r="BO158" i="14608"/>
  <c r="BP158" i="14608"/>
  <c r="BQ158" i="14608"/>
  <c r="BR158" i="14608"/>
  <c r="BS158" i="14608"/>
  <c r="BT158" i="14608"/>
  <c r="BU158" i="14608"/>
  <c r="BV158" i="14608"/>
  <c r="BW158" i="14608"/>
  <c r="BX158" i="14608"/>
  <c r="BY158" i="14608"/>
  <c r="BZ158" i="14608"/>
  <c r="CA158" i="14608"/>
  <c r="CB158" i="14608"/>
  <c r="CC158" i="14608"/>
  <c r="CD158" i="14608"/>
  <c r="CE158" i="14608"/>
  <c r="CF158" i="14608"/>
  <c r="CG158" i="14608"/>
  <c r="CH158" i="14608"/>
  <c r="CI158" i="14608"/>
  <c r="CJ158" i="14608"/>
  <c r="CK158" i="14608"/>
  <c r="CL158" i="14608"/>
  <c r="CM158" i="14608"/>
  <c r="CN158" i="14608"/>
  <c r="CO158" i="14608"/>
  <c r="CP158" i="14608"/>
  <c r="CQ158" i="14608"/>
  <c r="CR158" i="14608"/>
  <c r="CS158" i="14608"/>
  <c r="CT158" i="14608"/>
  <c r="CU158" i="14608"/>
  <c r="CV158" i="14608"/>
  <c r="CW158" i="14608"/>
  <c r="CX158" i="14608"/>
  <c r="CY158" i="14608"/>
  <c r="CZ158" i="14608"/>
  <c r="DA158" i="14608"/>
  <c r="DB158" i="14608"/>
  <c r="DC158" i="14608"/>
  <c r="DD158" i="14608"/>
  <c r="DE158" i="14608"/>
  <c r="DF158" i="14608"/>
  <c r="DG158" i="14608"/>
  <c r="DH158" i="14608"/>
  <c r="DI158" i="14608"/>
  <c r="DJ158" i="14608"/>
  <c r="DK158" i="14608"/>
  <c r="DL158" i="14608"/>
  <c r="DM158" i="14608"/>
  <c r="DN158" i="14608"/>
  <c r="DO158" i="14608"/>
  <c r="DP158" i="14608"/>
  <c r="DQ158" i="14608"/>
  <c r="DR158" i="14608"/>
  <c r="DS158" i="14608"/>
  <c r="DT158" i="14608"/>
  <c r="DU158" i="14608"/>
  <c r="DV158" i="14608"/>
  <c r="DW158" i="14608"/>
  <c r="DX158" i="14608"/>
  <c r="DY158" i="14608"/>
  <c r="DZ158" i="14608"/>
  <c r="EA158" i="14608"/>
  <c r="EB158" i="14608"/>
  <c r="EC158" i="14608"/>
  <c r="ED158" i="14608"/>
  <c r="EE158" i="14608"/>
  <c r="EF158" i="14608"/>
  <c r="EG158" i="14608"/>
  <c r="EH158" i="14608"/>
  <c r="EI158" i="14608"/>
  <c r="EJ158" i="14608"/>
  <c r="EK158" i="14608"/>
  <c r="EL158" i="14608"/>
  <c r="EM158" i="14608"/>
  <c r="EN158" i="14608"/>
  <c r="EO158" i="14608"/>
  <c r="EP158" i="14608"/>
  <c r="EQ158" i="14608"/>
  <c r="ER158" i="14608"/>
  <c r="ES158" i="14608"/>
  <c r="ET158" i="14608"/>
  <c r="EU158" i="14608"/>
  <c r="EV158" i="14608"/>
  <c r="EW158" i="14608"/>
  <c r="EX158" i="14608"/>
  <c r="EY158" i="14608"/>
  <c r="EZ158" i="14608"/>
  <c r="FA158" i="14608"/>
  <c r="FB158" i="14608"/>
  <c r="FC158" i="14608"/>
  <c r="FD158" i="14608"/>
  <c r="FE158" i="14608"/>
  <c r="FF158" i="14608"/>
  <c r="FG158" i="14608"/>
  <c r="FH158" i="14608"/>
  <c r="FI158" i="14608"/>
  <c r="FJ158" i="14608"/>
  <c r="FK158" i="14608"/>
  <c r="FL158" i="14608"/>
  <c r="FM158" i="14608"/>
  <c r="FN158" i="14608"/>
  <c r="FO158" i="14608"/>
  <c r="FP158" i="14608"/>
  <c r="FQ158" i="14608"/>
  <c r="FR158" i="14608"/>
  <c r="FS158" i="14608"/>
  <c r="FT158" i="14608"/>
  <c r="FU158" i="14608"/>
  <c r="FV158" i="14608"/>
  <c r="FW158" i="14608"/>
  <c r="FX158" i="14608"/>
  <c r="FY158" i="14608"/>
  <c r="FZ158" i="14608"/>
  <c r="GA158" i="14608"/>
  <c r="GB158" i="14608"/>
  <c r="GC158" i="14608"/>
  <c r="GD158" i="14608"/>
  <c r="GE158" i="14608"/>
  <c r="GF158" i="14608"/>
  <c r="GG158" i="14608"/>
  <c r="GH158" i="14608"/>
  <c r="GI158" i="14608"/>
  <c r="GJ158" i="14608"/>
  <c r="GK158" i="14608"/>
  <c r="GL158" i="14608"/>
  <c r="GM158" i="14608"/>
  <c r="GN158" i="14608"/>
  <c r="GO158" i="14608"/>
  <c r="GP158" i="14608"/>
  <c r="GQ158" i="14608"/>
  <c r="GR158" i="14608"/>
  <c r="GS158" i="14608"/>
  <c r="GT158" i="14608"/>
  <c r="GU158" i="14608"/>
  <c r="GV158" i="14608"/>
  <c r="GW158" i="14608"/>
  <c r="GX158" i="14608"/>
  <c r="GY158" i="14608"/>
  <c r="GZ158" i="14608"/>
  <c r="HA158" i="14608"/>
  <c r="HB158" i="14608"/>
  <c r="HC158" i="14608"/>
  <c r="HD158" i="14608"/>
  <c r="HE158" i="14608"/>
  <c r="HF158" i="14608"/>
  <c r="HG158" i="14608"/>
  <c r="HH158" i="14608"/>
  <c r="HI158" i="14608"/>
  <c r="HJ158" i="14608"/>
  <c r="HK158" i="14608"/>
  <c r="HL158" i="14608"/>
  <c r="HM158" i="14608"/>
  <c r="HN158" i="14608"/>
  <c r="HO158" i="14608"/>
  <c r="HP158" i="14608"/>
  <c r="HQ158" i="14608"/>
  <c r="HR158" i="14608"/>
  <c r="HS158" i="14608"/>
  <c r="HT158" i="14608"/>
  <c r="HU158" i="14608"/>
  <c r="HV158" i="14608"/>
  <c r="HW158" i="14608"/>
  <c r="HX158" i="14608"/>
  <c r="HY158" i="14608"/>
  <c r="HZ158" i="14608"/>
  <c r="IA158" i="14608"/>
  <c r="IB158" i="14608"/>
  <c r="IC158" i="14608"/>
  <c r="ID158" i="14608"/>
  <c r="IE158" i="14608"/>
  <c r="IF158" i="14608"/>
  <c r="IG158" i="14608"/>
  <c r="IH158" i="14608"/>
  <c r="II158" i="14608"/>
  <c r="IJ158" i="14608"/>
  <c r="IK158" i="14608"/>
  <c r="IL158" i="14608"/>
  <c r="IM158" i="14608"/>
  <c r="IN158" i="14608"/>
  <c r="IO158" i="14608"/>
  <c r="IP158" i="14608"/>
  <c r="IQ158" i="14608"/>
  <c r="IR158" i="14608"/>
  <c r="IS158" i="14608"/>
  <c r="IT158" i="14608"/>
  <c r="IU158" i="14608"/>
  <c r="IV158" i="14608"/>
  <c r="A157" i="14608"/>
  <c r="B157" i="14608"/>
  <c r="C157" i="14608"/>
  <c r="D157" i="14608"/>
  <c r="E157" i="14608"/>
  <c r="F157" i="14608"/>
  <c r="G157" i="14608"/>
  <c r="H157" i="14608"/>
  <c r="I157" i="14608"/>
  <c r="J157" i="14608"/>
  <c r="K157" i="14608"/>
  <c r="L157" i="14608"/>
  <c r="M157" i="14608"/>
  <c r="N157" i="14608"/>
  <c r="O157" i="14608"/>
  <c r="P157" i="14608"/>
  <c r="Q157" i="14608"/>
  <c r="R157" i="14608"/>
  <c r="S157" i="14608"/>
  <c r="T157" i="14608"/>
  <c r="U157" i="14608"/>
  <c r="V157" i="14608"/>
  <c r="W157" i="14608"/>
  <c r="X157" i="14608"/>
  <c r="Y157" i="14608"/>
  <c r="Z157" i="14608"/>
  <c r="AA157" i="14608"/>
  <c r="AB157" i="14608"/>
  <c r="AC157" i="14608"/>
  <c r="AD157" i="14608"/>
  <c r="AE157" i="14608"/>
  <c r="AF157" i="14608"/>
  <c r="AG157" i="14608"/>
  <c r="AH157" i="14608"/>
  <c r="AI157" i="14608"/>
  <c r="AJ157" i="14608"/>
  <c r="AK157" i="14608"/>
  <c r="AL157" i="14608"/>
  <c r="AM157" i="14608"/>
  <c r="AN157" i="14608"/>
  <c r="AO157" i="14608"/>
  <c r="AP157" i="14608"/>
  <c r="AQ157" i="14608"/>
  <c r="AR157" i="14608"/>
  <c r="AS157" i="14608"/>
  <c r="AT157" i="14608"/>
  <c r="AU157" i="14608"/>
  <c r="AV157" i="14608"/>
  <c r="AW157" i="14608"/>
  <c r="AX157" i="14608"/>
  <c r="AY157" i="14608"/>
  <c r="AZ157" i="14608"/>
  <c r="BA157" i="14608"/>
  <c r="BB157" i="14608"/>
  <c r="BC157" i="14608"/>
  <c r="BD157" i="14608"/>
  <c r="BE157" i="14608"/>
  <c r="BF157" i="14608"/>
  <c r="BG157" i="14608"/>
  <c r="BH157" i="14608"/>
  <c r="BI157" i="14608"/>
  <c r="BJ157" i="14608"/>
  <c r="BK157" i="14608"/>
  <c r="BL157" i="14608"/>
  <c r="BM157" i="14608"/>
  <c r="BN157" i="14608"/>
  <c r="BO157" i="14608"/>
  <c r="BP157" i="14608"/>
  <c r="BQ157" i="14608"/>
  <c r="BR157" i="14608"/>
  <c r="BS157" i="14608"/>
  <c r="BT157" i="14608"/>
  <c r="BU157" i="14608"/>
  <c r="BV157" i="14608"/>
  <c r="BW157" i="14608"/>
  <c r="BX157" i="14608"/>
  <c r="BY157" i="14608"/>
  <c r="BZ157" i="14608"/>
  <c r="CA157" i="14608"/>
  <c r="CB157" i="14608"/>
  <c r="CC157" i="14608"/>
  <c r="CD157" i="14608"/>
  <c r="CE157" i="14608"/>
  <c r="CF157" i="14608"/>
  <c r="CG157" i="14608"/>
  <c r="CH157" i="14608"/>
  <c r="CI157" i="14608"/>
  <c r="CJ157" i="14608"/>
  <c r="CK157" i="14608"/>
  <c r="CL157" i="14608"/>
  <c r="CM157" i="14608"/>
  <c r="CN157" i="14608"/>
  <c r="CO157" i="14608"/>
  <c r="CP157" i="14608"/>
  <c r="CQ157" i="14608"/>
  <c r="CR157" i="14608"/>
  <c r="CS157" i="14608"/>
  <c r="CT157" i="14608"/>
  <c r="CU157" i="14608"/>
  <c r="CV157" i="14608"/>
  <c r="CW157" i="14608"/>
  <c r="CX157" i="14608"/>
  <c r="CY157" i="14608"/>
  <c r="CZ157" i="14608"/>
  <c r="DA157" i="14608"/>
  <c r="DB157" i="14608"/>
  <c r="DC157" i="14608"/>
  <c r="DD157" i="14608"/>
  <c r="DE157" i="14608"/>
  <c r="DF157" i="14608"/>
  <c r="DG157" i="14608"/>
  <c r="DH157" i="14608"/>
  <c r="DI157" i="14608"/>
  <c r="DJ157" i="14608"/>
  <c r="DK157" i="14608"/>
  <c r="DL157" i="14608"/>
  <c r="DM157" i="14608"/>
  <c r="DN157" i="14608"/>
  <c r="DO157" i="14608"/>
  <c r="DP157" i="14608"/>
  <c r="DQ157" i="14608"/>
  <c r="DR157" i="14608"/>
  <c r="DS157" i="14608"/>
  <c r="DT157" i="14608"/>
  <c r="DU157" i="14608"/>
  <c r="DV157" i="14608"/>
  <c r="DW157" i="14608"/>
  <c r="DX157" i="14608"/>
  <c r="DY157" i="14608"/>
  <c r="DZ157" i="14608"/>
  <c r="EA157" i="14608"/>
  <c r="EB157" i="14608"/>
  <c r="EC157" i="14608"/>
  <c r="ED157" i="14608"/>
  <c r="EE157" i="14608"/>
  <c r="EF157" i="14608"/>
  <c r="EG157" i="14608"/>
  <c r="EH157" i="14608"/>
  <c r="EI157" i="14608"/>
  <c r="EJ157" i="14608"/>
  <c r="EK157" i="14608"/>
  <c r="EL157" i="14608"/>
  <c r="EM157" i="14608"/>
  <c r="EN157" i="14608"/>
  <c r="EO157" i="14608"/>
  <c r="EP157" i="14608"/>
  <c r="EQ157" i="14608"/>
  <c r="ER157" i="14608"/>
  <c r="ES157" i="14608"/>
  <c r="ET157" i="14608"/>
  <c r="EU157" i="14608"/>
  <c r="EV157" i="14608"/>
  <c r="EW157" i="14608"/>
  <c r="EX157" i="14608"/>
  <c r="EY157" i="14608"/>
  <c r="EZ157" i="14608"/>
  <c r="FA157" i="14608"/>
  <c r="FB157" i="14608"/>
  <c r="FC157" i="14608"/>
  <c r="FD157" i="14608"/>
  <c r="FE157" i="14608"/>
  <c r="FF157" i="14608"/>
  <c r="FG157" i="14608"/>
  <c r="FH157" i="14608"/>
  <c r="FI157" i="14608"/>
  <c r="FJ157" i="14608"/>
  <c r="FK157" i="14608"/>
  <c r="FL157" i="14608"/>
  <c r="FM157" i="14608"/>
  <c r="FN157" i="14608"/>
  <c r="FO157" i="14608"/>
  <c r="FP157" i="14608"/>
  <c r="FQ157" i="14608"/>
  <c r="FR157" i="14608"/>
  <c r="FS157" i="14608"/>
  <c r="FT157" i="14608"/>
  <c r="FU157" i="14608"/>
  <c r="FV157" i="14608"/>
  <c r="FW157" i="14608"/>
  <c r="FX157" i="14608"/>
  <c r="FY157" i="14608"/>
  <c r="FZ157" i="14608"/>
  <c r="GA157" i="14608"/>
  <c r="GB157" i="14608"/>
  <c r="GC157" i="14608"/>
  <c r="GD157" i="14608"/>
  <c r="GE157" i="14608"/>
  <c r="GF157" i="14608"/>
  <c r="GG157" i="14608"/>
  <c r="GH157" i="14608"/>
  <c r="GI157" i="14608"/>
  <c r="GJ157" i="14608"/>
  <c r="GK157" i="14608"/>
  <c r="GL157" i="14608"/>
  <c r="GM157" i="14608"/>
  <c r="GN157" i="14608"/>
  <c r="GO157" i="14608"/>
  <c r="GP157" i="14608"/>
  <c r="GQ157" i="14608"/>
  <c r="GR157" i="14608"/>
  <c r="GS157" i="14608"/>
  <c r="GT157" i="14608"/>
  <c r="GU157" i="14608"/>
  <c r="GV157" i="14608"/>
  <c r="GW157" i="14608"/>
  <c r="GX157" i="14608"/>
  <c r="GY157" i="14608"/>
  <c r="GZ157" i="14608"/>
  <c r="HA157" i="14608"/>
  <c r="HB157" i="14608"/>
  <c r="HC157" i="14608"/>
  <c r="HD157" i="14608"/>
  <c r="HE157" i="14608"/>
  <c r="HF157" i="14608"/>
  <c r="HG157" i="14608"/>
  <c r="HH157" i="14608"/>
  <c r="HI157" i="14608"/>
  <c r="HJ157" i="14608"/>
  <c r="HK157" i="14608"/>
  <c r="HL157" i="14608"/>
  <c r="HM157" i="14608"/>
  <c r="HN157" i="14608"/>
  <c r="HO157" i="14608"/>
  <c r="HP157" i="14608"/>
  <c r="HQ157" i="14608"/>
  <c r="HR157" i="14608"/>
  <c r="HS157" i="14608"/>
  <c r="HT157" i="14608"/>
  <c r="HU157" i="14608"/>
  <c r="HV157" i="14608"/>
  <c r="HW157" i="14608"/>
  <c r="HX157" i="14608"/>
  <c r="HY157" i="14608"/>
  <c r="HZ157" i="14608"/>
  <c r="IA157" i="14608"/>
  <c r="IB157" i="14608"/>
  <c r="IC157" i="14608"/>
  <c r="ID157" i="14608"/>
  <c r="IE157" i="14608"/>
  <c r="IF157" i="14608"/>
  <c r="IG157" i="14608"/>
  <c r="IH157" i="14608"/>
  <c r="II157" i="14608"/>
  <c r="IJ157" i="14608"/>
  <c r="IK157" i="14608"/>
  <c r="IL157" i="14608"/>
  <c r="IM157" i="14608"/>
  <c r="IN157" i="14608"/>
  <c r="IO157" i="14608"/>
  <c r="IP157" i="14608"/>
  <c r="IQ157" i="14608"/>
  <c r="IR157" i="14608"/>
  <c r="IS157" i="14608"/>
  <c r="IT157" i="14608"/>
  <c r="IU157" i="14608"/>
  <c r="IV157" i="14608"/>
  <c r="A156" i="14608"/>
  <c r="B156" i="14608"/>
  <c r="C156" i="14608"/>
  <c r="D156" i="14608"/>
  <c r="E156" i="14608"/>
  <c r="F156" i="14608"/>
  <c r="G156" i="14608"/>
  <c r="H156" i="14608"/>
  <c r="I156" i="14608"/>
  <c r="J156" i="14608"/>
  <c r="K156" i="14608"/>
  <c r="L156" i="14608"/>
  <c r="M156" i="14608"/>
  <c r="N156" i="14608"/>
  <c r="O156" i="14608"/>
  <c r="P156" i="14608"/>
  <c r="Q156" i="14608"/>
  <c r="R156" i="14608"/>
  <c r="S156" i="14608"/>
  <c r="T156" i="14608"/>
  <c r="U156" i="14608"/>
  <c r="V156" i="14608"/>
  <c r="W156" i="14608"/>
  <c r="X156" i="14608"/>
  <c r="Y156" i="14608"/>
  <c r="Z156" i="14608"/>
  <c r="AA156" i="14608"/>
  <c r="AB156" i="14608"/>
  <c r="AC156" i="14608"/>
  <c r="AD156" i="14608"/>
  <c r="AE156" i="14608"/>
  <c r="AF156" i="14608"/>
  <c r="AG156" i="14608"/>
  <c r="AH156" i="14608"/>
  <c r="AI156" i="14608"/>
  <c r="AJ156" i="14608"/>
  <c r="AK156" i="14608"/>
  <c r="AL156" i="14608"/>
  <c r="AM156" i="14608"/>
  <c r="AN156" i="14608"/>
  <c r="AO156" i="14608"/>
  <c r="AP156" i="14608"/>
  <c r="AQ156" i="14608"/>
  <c r="AR156" i="14608"/>
  <c r="AS156" i="14608"/>
  <c r="AT156" i="14608"/>
  <c r="AU156" i="14608"/>
  <c r="AV156" i="14608"/>
  <c r="AW156" i="14608"/>
  <c r="AX156" i="14608"/>
  <c r="AY156" i="14608"/>
  <c r="AZ156" i="14608"/>
  <c r="BA156" i="14608"/>
  <c r="BB156" i="14608"/>
  <c r="BC156" i="14608"/>
  <c r="BD156" i="14608"/>
  <c r="BE156" i="14608"/>
  <c r="BF156" i="14608"/>
  <c r="BG156" i="14608"/>
  <c r="BH156" i="14608"/>
  <c r="BI156" i="14608"/>
  <c r="BJ156" i="14608"/>
  <c r="BK156" i="14608"/>
  <c r="BL156" i="14608"/>
  <c r="BM156" i="14608"/>
  <c r="BN156" i="14608"/>
  <c r="BO156" i="14608"/>
  <c r="BP156" i="14608"/>
  <c r="BQ156" i="14608"/>
  <c r="BR156" i="14608"/>
  <c r="BS156" i="14608"/>
  <c r="BT156" i="14608"/>
  <c r="BU156" i="14608"/>
  <c r="BV156" i="14608"/>
  <c r="BW156" i="14608"/>
  <c r="BX156" i="14608"/>
  <c r="BY156" i="14608"/>
  <c r="BZ156" i="14608"/>
  <c r="CA156" i="14608"/>
  <c r="CB156" i="14608"/>
  <c r="CC156" i="14608"/>
  <c r="CD156" i="14608"/>
  <c r="CE156" i="14608"/>
  <c r="CF156" i="14608"/>
  <c r="CG156" i="14608"/>
  <c r="CH156" i="14608"/>
  <c r="CI156" i="14608"/>
  <c r="CJ156" i="14608"/>
  <c r="CK156" i="14608"/>
  <c r="CL156" i="14608"/>
  <c r="CM156" i="14608"/>
  <c r="CN156" i="14608"/>
  <c r="CO156" i="14608"/>
  <c r="CP156" i="14608"/>
  <c r="CQ156" i="14608"/>
  <c r="CR156" i="14608"/>
  <c r="CS156" i="14608"/>
  <c r="CT156" i="14608"/>
  <c r="CU156" i="14608"/>
  <c r="CV156" i="14608"/>
  <c r="CW156" i="14608"/>
  <c r="CX156" i="14608"/>
  <c r="CY156" i="14608"/>
  <c r="CZ156" i="14608"/>
  <c r="DA156" i="14608"/>
  <c r="DB156" i="14608"/>
  <c r="DC156" i="14608"/>
  <c r="DD156" i="14608"/>
  <c r="DE156" i="14608"/>
  <c r="DF156" i="14608"/>
  <c r="DG156" i="14608"/>
  <c r="DH156" i="14608"/>
  <c r="DI156" i="14608"/>
  <c r="DJ156" i="14608"/>
  <c r="DK156" i="14608"/>
  <c r="DL156" i="14608"/>
  <c r="DM156" i="14608"/>
  <c r="DN156" i="14608"/>
  <c r="DO156" i="14608"/>
  <c r="DP156" i="14608"/>
  <c r="DQ156" i="14608"/>
  <c r="DR156" i="14608"/>
  <c r="DS156" i="14608"/>
  <c r="DT156" i="14608"/>
  <c r="DU156" i="14608"/>
  <c r="DV156" i="14608"/>
  <c r="DW156" i="14608"/>
  <c r="DX156" i="14608"/>
  <c r="DY156" i="14608"/>
  <c r="DZ156" i="14608"/>
  <c r="EA156" i="14608"/>
  <c r="EB156" i="14608"/>
  <c r="EC156" i="14608"/>
  <c r="ED156" i="14608"/>
  <c r="EE156" i="14608"/>
  <c r="EF156" i="14608"/>
  <c r="EG156" i="14608"/>
  <c r="EH156" i="14608"/>
  <c r="EI156" i="14608"/>
  <c r="EJ156" i="14608"/>
  <c r="EK156" i="14608"/>
  <c r="EL156" i="14608"/>
  <c r="EM156" i="14608"/>
  <c r="EN156" i="14608"/>
  <c r="EO156" i="14608"/>
  <c r="EP156" i="14608"/>
  <c r="EQ156" i="14608"/>
  <c r="ER156" i="14608"/>
  <c r="ES156" i="14608"/>
  <c r="ET156" i="14608"/>
  <c r="EU156" i="14608"/>
  <c r="EV156" i="14608"/>
  <c r="EW156" i="14608"/>
  <c r="EX156" i="14608"/>
  <c r="EY156" i="14608"/>
  <c r="EZ156" i="14608"/>
  <c r="FA156" i="14608"/>
  <c r="FB156" i="14608"/>
  <c r="FC156" i="14608"/>
  <c r="FD156" i="14608"/>
  <c r="FE156" i="14608"/>
  <c r="FF156" i="14608"/>
  <c r="FG156" i="14608"/>
  <c r="FH156" i="14608"/>
  <c r="FI156" i="14608"/>
  <c r="FJ156" i="14608"/>
  <c r="FK156" i="14608"/>
  <c r="FL156" i="14608"/>
  <c r="FM156" i="14608"/>
  <c r="FN156" i="14608"/>
  <c r="FO156" i="14608"/>
  <c r="FP156" i="14608"/>
  <c r="FQ156" i="14608"/>
  <c r="FR156" i="14608"/>
  <c r="FS156" i="14608"/>
  <c r="FT156" i="14608"/>
  <c r="FU156" i="14608"/>
  <c r="FV156" i="14608"/>
  <c r="FW156" i="14608"/>
  <c r="FX156" i="14608"/>
  <c r="FY156" i="14608"/>
  <c r="FZ156" i="14608"/>
  <c r="GA156" i="14608"/>
  <c r="GB156" i="14608"/>
  <c r="GC156" i="14608"/>
  <c r="GD156" i="14608"/>
  <c r="GE156" i="14608"/>
  <c r="GF156" i="14608"/>
  <c r="GG156" i="14608"/>
  <c r="GH156" i="14608"/>
  <c r="GI156" i="14608"/>
  <c r="GJ156" i="14608"/>
  <c r="GK156" i="14608"/>
  <c r="GL156" i="14608"/>
  <c r="GM156" i="14608"/>
  <c r="GN156" i="14608"/>
  <c r="GO156" i="14608"/>
  <c r="GP156" i="14608"/>
  <c r="GQ156" i="14608"/>
  <c r="GR156" i="14608"/>
  <c r="GS156" i="14608"/>
  <c r="GT156" i="14608"/>
  <c r="GU156" i="14608"/>
  <c r="GV156" i="14608"/>
  <c r="GW156" i="14608"/>
  <c r="GX156" i="14608"/>
  <c r="GY156" i="14608"/>
  <c r="GZ156" i="14608"/>
  <c r="HA156" i="14608"/>
  <c r="HB156" i="14608"/>
  <c r="HC156" i="14608"/>
  <c r="HD156" i="14608"/>
  <c r="HE156" i="14608"/>
  <c r="HF156" i="14608"/>
  <c r="HG156" i="14608"/>
  <c r="HH156" i="14608"/>
  <c r="HI156" i="14608"/>
  <c r="HJ156" i="14608"/>
  <c r="HK156" i="14608"/>
  <c r="HL156" i="14608"/>
  <c r="HM156" i="14608"/>
  <c r="HN156" i="14608"/>
  <c r="HO156" i="14608"/>
  <c r="HP156" i="14608"/>
  <c r="HQ156" i="14608"/>
  <c r="HR156" i="14608"/>
  <c r="HS156" i="14608"/>
  <c r="HT156" i="14608"/>
  <c r="HU156" i="14608"/>
  <c r="HV156" i="14608"/>
  <c r="HW156" i="14608"/>
  <c r="HX156" i="14608"/>
  <c r="HY156" i="14608"/>
  <c r="HZ156" i="14608"/>
  <c r="IA156" i="14608"/>
  <c r="IB156" i="14608"/>
  <c r="IC156" i="14608"/>
  <c r="ID156" i="14608"/>
  <c r="IE156" i="14608"/>
  <c r="IF156" i="14608"/>
  <c r="IG156" i="14608"/>
  <c r="IH156" i="14608"/>
  <c r="II156" i="14608"/>
  <c r="IJ156" i="14608"/>
  <c r="IK156" i="14608"/>
  <c r="IL156" i="14608"/>
  <c r="IM156" i="14608"/>
  <c r="IN156" i="14608"/>
  <c r="IO156" i="14608"/>
  <c r="IP156" i="14608"/>
  <c r="IQ156" i="14608"/>
  <c r="IR156" i="14608"/>
  <c r="IS156" i="14608"/>
  <c r="IT156" i="14608"/>
  <c r="IU156" i="14608"/>
  <c r="IV156" i="14608"/>
  <c r="A155" i="14608"/>
  <c r="B155" i="14608"/>
  <c r="C155" i="14608"/>
  <c r="D155" i="14608"/>
  <c r="E155" i="14608"/>
  <c r="F155" i="14608"/>
  <c r="G155" i="14608"/>
  <c r="H155" i="14608"/>
  <c r="I155" i="14608"/>
  <c r="J155" i="14608"/>
  <c r="K155" i="14608"/>
  <c r="L155" i="14608"/>
  <c r="M155" i="14608"/>
  <c r="N155" i="14608"/>
  <c r="O155" i="14608"/>
  <c r="P155" i="14608"/>
  <c r="Q155" i="14608"/>
  <c r="R155" i="14608"/>
  <c r="S155" i="14608"/>
  <c r="T155" i="14608"/>
  <c r="U155" i="14608"/>
  <c r="V155" i="14608"/>
  <c r="W155" i="14608"/>
  <c r="X155" i="14608"/>
  <c r="Y155" i="14608"/>
  <c r="Z155" i="14608"/>
  <c r="AA155" i="14608"/>
  <c r="AB155" i="14608"/>
  <c r="AC155" i="14608"/>
  <c r="AD155" i="14608"/>
  <c r="AE155" i="14608"/>
  <c r="AF155" i="14608"/>
  <c r="AG155" i="14608"/>
  <c r="AH155" i="14608"/>
  <c r="AI155" i="14608"/>
  <c r="AJ155" i="14608"/>
  <c r="AK155" i="14608"/>
  <c r="AL155" i="14608"/>
  <c r="AM155" i="14608"/>
  <c r="AN155" i="14608"/>
  <c r="AO155" i="14608"/>
  <c r="AP155" i="14608"/>
  <c r="AQ155" i="14608"/>
  <c r="AR155" i="14608"/>
  <c r="AS155" i="14608"/>
  <c r="AT155" i="14608"/>
  <c r="AU155" i="14608"/>
  <c r="AV155" i="14608"/>
  <c r="AW155" i="14608"/>
  <c r="AX155" i="14608"/>
  <c r="AY155" i="14608"/>
  <c r="AZ155" i="14608"/>
  <c r="BA155" i="14608"/>
  <c r="BB155" i="14608"/>
  <c r="BC155" i="14608"/>
  <c r="BD155" i="14608"/>
  <c r="BE155" i="14608"/>
  <c r="BF155" i="14608"/>
  <c r="BG155" i="14608"/>
  <c r="BH155" i="14608"/>
  <c r="BI155" i="14608"/>
  <c r="BJ155" i="14608"/>
  <c r="BK155" i="14608"/>
  <c r="BL155" i="14608"/>
  <c r="BM155" i="14608"/>
  <c r="BN155" i="14608"/>
  <c r="BO155" i="14608"/>
  <c r="BP155" i="14608"/>
  <c r="BQ155" i="14608"/>
  <c r="BR155" i="14608"/>
  <c r="BS155" i="14608"/>
  <c r="BT155" i="14608"/>
  <c r="BU155" i="14608"/>
  <c r="BV155" i="14608"/>
  <c r="BW155" i="14608"/>
  <c r="BX155" i="14608"/>
  <c r="BY155" i="14608"/>
  <c r="BZ155" i="14608"/>
  <c r="CA155" i="14608"/>
  <c r="CB155" i="14608"/>
  <c r="CC155" i="14608"/>
  <c r="CD155" i="14608"/>
  <c r="CE155" i="14608"/>
  <c r="CF155" i="14608"/>
  <c r="CG155" i="14608"/>
  <c r="CH155" i="14608"/>
  <c r="CI155" i="14608"/>
  <c r="CJ155" i="14608"/>
  <c r="CK155" i="14608"/>
  <c r="CL155" i="14608"/>
  <c r="CM155" i="14608"/>
  <c r="CN155" i="14608"/>
  <c r="CO155" i="14608"/>
  <c r="CP155" i="14608"/>
  <c r="CQ155" i="14608"/>
  <c r="CR155" i="14608"/>
  <c r="CS155" i="14608"/>
  <c r="CT155" i="14608"/>
  <c r="CU155" i="14608"/>
  <c r="CV155" i="14608"/>
  <c r="CW155" i="14608"/>
  <c r="CX155" i="14608"/>
  <c r="CY155" i="14608"/>
  <c r="CZ155" i="14608"/>
  <c r="DA155" i="14608"/>
  <c r="DB155" i="14608"/>
  <c r="DC155" i="14608"/>
  <c r="DD155" i="14608"/>
  <c r="DE155" i="14608"/>
  <c r="DF155" i="14608"/>
  <c r="DG155" i="14608"/>
  <c r="DH155" i="14608"/>
  <c r="DI155" i="14608"/>
  <c r="DJ155" i="14608"/>
  <c r="DK155" i="14608"/>
  <c r="DL155" i="14608"/>
  <c r="DM155" i="14608"/>
  <c r="DN155" i="14608"/>
  <c r="DO155" i="14608"/>
  <c r="DP155" i="14608"/>
  <c r="DQ155" i="14608"/>
  <c r="DR155" i="14608"/>
  <c r="DS155" i="14608"/>
  <c r="DT155" i="14608"/>
  <c r="DU155" i="14608"/>
  <c r="DV155" i="14608"/>
  <c r="DW155" i="14608"/>
  <c r="DX155" i="14608"/>
  <c r="DY155" i="14608"/>
  <c r="DZ155" i="14608"/>
  <c r="EA155" i="14608"/>
  <c r="EB155" i="14608"/>
  <c r="EC155" i="14608"/>
  <c r="ED155" i="14608"/>
  <c r="EE155" i="14608"/>
  <c r="EF155" i="14608"/>
  <c r="EG155" i="14608"/>
  <c r="EH155" i="14608"/>
  <c r="EI155" i="14608"/>
  <c r="EJ155" i="14608"/>
  <c r="EK155" i="14608"/>
  <c r="EL155" i="14608"/>
  <c r="EM155" i="14608"/>
  <c r="EN155" i="14608"/>
  <c r="EO155" i="14608"/>
  <c r="EP155" i="14608"/>
  <c r="EQ155" i="14608"/>
  <c r="ER155" i="14608"/>
  <c r="ES155" i="14608"/>
  <c r="ET155" i="14608"/>
  <c r="EU155" i="14608"/>
  <c r="EV155" i="14608"/>
  <c r="EW155" i="14608"/>
  <c r="EX155" i="14608"/>
  <c r="EY155" i="14608"/>
  <c r="EZ155" i="14608"/>
  <c r="FA155" i="14608"/>
  <c r="FB155" i="14608"/>
  <c r="FC155" i="14608"/>
  <c r="FD155" i="14608"/>
  <c r="FE155" i="14608"/>
  <c r="FF155" i="14608"/>
  <c r="FG155" i="14608"/>
  <c r="FH155" i="14608"/>
  <c r="FI155" i="14608"/>
  <c r="FJ155" i="14608"/>
  <c r="FK155" i="14608"/>
  <c r="FL155" i="14608"/>
  <c r="FM155" i="14608"/>
  <c r="FN155" i="14608"/>
  <c r="FO155" i="14608"/>
  <c r="FP155" i="14608"/>
  <c r="FQ155" i="14608"/>
  <c r="FR155" i="14608"/>
  <c r="FS155" i="14608"/>
  <c r="FT155" i="14608"/>
  <c r="FU155" i="14608"/>
  <c r="FV155" i="14608"/>
  <c r="FW155" i="14608"/>
  <c r="FX155" i="14608"/>
  <c r="FY155" i="14608"/>
  <c r="FZ155" i="14608"/>
  <c r="GA155" i="14608"/>
  <c r="GB155" i="14608"/>
  <c r="GC155" i="14608"/>
  <c r="GD155" i="14608"/>
  <c r="GE155" i="14608"/>
  <c r="GF155" i="14608"/>
  <c r="GG155" i="14608"/>
  <c r="GH155" i="14608"/>
  <c r="GI155" i="14608"/>
  <c r="GJ155" i="14608"/>
  <c r="GK155" i="14608"/>
  <c r="GL155" i="14608"/>
  <c r="GM155" i="14608"/>
  <c r="GN155" i="14608"/>
  <c r="GO155" i="14608"/>
  <c r="GP155" i="14608"/>
  <c r="GQ155" i="14608"/>
  <c r="GR155" i="14608"/>
  <c r="GS155" i="14608"/>
  <c r="GT155" i="14608"/>
  <c r="GU155" i="14608"/>
  <c r="GV155" i="14608"/>
  <c r="GW155" i="14608"/>
  <c r="GX155" i="14608"/>
  <c r="GY155" i="14608"/>
  <c r="GZ155" i="14608"/>
  <c r="HA155" i="14608"/>
  <c r="HB155" i="14608"/>
  <c r="HC155" i="14608"/>
  <c r="HD155" i="14608"/>
  <c r="HE155" i="14608"/>
  <c r="HF155" i="14608"/>
  <c r="HG155" i="14608"/>
  <c r="HH155" i="14608"/>
  <c r="HI155" i="14608"/>
  <c r="HJ155" i="14608"/>
  <c r="HK155" i="14608"/>
  <c r="HL155" i="14608"/>
  <c r="HM155" i="14608"/>
  <c r="HN155" i="14608"/>
  <c r="HO155" i="14608"/>
  <c r="HP155" i="14608"/>
  <c r="HQ155" i="14608"/>
  <c r="HR155" i="14608"/>
  <c r="HS155" i="14608"/>
  <c r="HT155" i="14608"/>
  <c r="HU155" i="14608"/>
  <c r="HV155" i="14608"/>
  <c r="HW155" i="14608"/>
  <c r="HX155" i="14608"/>
  <c r="HY155" i="14608"/>
  <c r="HZ155" i="14608"/>
  <c r="IA155" i="14608"/>
  <c r="IB155" i="14608"/>
  <c r="IC155" i="14608"/>
  <c r="ID155" i="14608"/>
  <c r="IE155" i="14608"/>
  <c r="IF155" i="14608"/>
  <c r="IG155" i="14608"/>
  <c r="IH155" i="14608"/>
  <c r="II155" i="14608"/>
  <c r="IJ155" i="14608"/>
  <c r="IK155" i="14608"/>
  <c r="IL155" i="14608"/>
  <c r="IM155" i="14608"/>
  <c r="IN155" i="14608"/>
  <c r="IO155" i="14608"/>
  <c r="IP155" i="14608"/>
  <c r="IQ155" i="14608"/>
  <c r="IR155" i="14608"/>
  <c r="IS155" i="14608"/>
  <c r="IT155" i="14608"/>
  <c r="IU155" i="14608"/>
  <c r="IV155" i="14608"/>
  <c r="A154" i="14608"/>
  <c r="B154" i="14608"/>
  <c r="C154" i="14608"/>
  <c r="D154" i="14608"/>
  <c r="E154" i="14608"/>
  <c r="F154" i="14608"/>
  <c r="G154" i="14608"/>
  <c r="H154" i="14608"/>
  <c r="I154" i="14608"/>
  <c r="J154" i="14608"/>
  <c r="K154" i="14608"/>
  <c r="L154" i="14608"/>
  <c r="M154" i="14608"/>
  <c r="N154" i="14608"/>
  <c r="O154" i="14608"/>
  <c r="P154" i="14608"/>
  <c r="Q154" i="14608"/>
  <c r="R154" i="14608"/>
  <c r="S154" i="14608"/>
  <c r="T154" i="14608"/>
  <c r="U154" i="14608"/>
  <c r="V154" i="14608"/>
  <c r="W154" i="14608"/>
  <c r="X154" i="14608"/>
  <c r="Y154" i="14608"/>
  <c r="Z154" i="14608"/>
  <c r="AA154" i="14608"/>
  <c r="AB154" i="14608"/>
  <c r="AC154" i="14608"/>
  <c r="AD154" i="14608"/>
  <c r="AE154" i="14608"/>
  <c r="AF154" i="14608"/>
  <c r="AG154" i="14608"/>
  <c r="AH154" i="14608"/>
  <c r="AI154" i="14608"/>
  <c r="AJ154" i="14608"/>
  <c r="AK154" i="14608"/>
  <c r="AL154" i="14608"/>
  <c r="AM154" i="14608"/>
  <c r="AN154" i="14608"/>
  <c r="AO154" i="14608"/>
  <c r="AP154" i="14608"/>
  <c r="AQ154" i="14608"/>
  <c r="AR154" i="14608"/>
  <c r="AS154" i="14608"/>
  <c r="AT154" i="14608"/>
  <c r="AU154" i="14608"/>
  <c r="AV154" i="14608"/>
  <c r="AW154" i="14608"/>
  <c r="AX154" i="14608"/>
  <c r="AY154" i="14608"/>
  <c r="AZ154" i="14608"/>
  <c r="BA154" i="14608"/>
  <c r="BB154" i="14608"/>
  <c r="BC154" i="14608"/>
  <c r="BD154" i="14608"/>
  <c r="BE154" i="14608"/>
  <c r="BF154" i="14608"/>
  <c r="BG154" i="14608"/>
  <c r="BH154" i="14608"/>
  <c r="BI154" i="14608"/>
  <c r="BJ154" i="14608"/>
  <c r="BK154" i="14608"/>
  <c r="BL154" i="14608"/>
  <c r="BM154" i="14608"/>
  <c r="BN154" i="14608"/>
  <c r="BO154" i="14608"/>
  <c r="BP154" i="14608"/>
  <c r="BQ154" i="14608"/>
  <c r="BR154" i="14608"/>
  <c r="BS154" i="14608"/>
  <c r="BT154" i="14608"/>
  <c r="BU154" i="14608"/>
  <c r="BV154" i="14608"/>
  <c r="BW154" i="14608"/>
  <c r="BX154" i="14608"/>
  <c r="BY154" i="14608"/>
  <c r="BZ154" i="14608"/>
  <c r="CA154" i="14608"/>
  <c r="CB154" i="14608"/>
  <c r="CC154" i="14608"/>
  <c r="CD154" i="14608"/>
  <c r="CE154" i="14608"/>
  <c r="CF154" i="14608"/>
  <c r="CG154" i="14608"/>
  <c r="CH154" i="14608"/>
  <c r="CI154" i="14608"/>
  <c r="CJ154" i="14608"/>
  <c r="CK154" i="14608"/>
  <c r="CL154" i="14608"/>
  <c r="CM154" i="14608"/>
  <c r="CN154" i="14608"/>
  <c r="CO154" i="14608"/>
  <c r="CP154" i="14608"/>
  <c r="CQ154" i="14608"/>
  <c r="CR154" i="14608"/>
  <c r="CS154" i="14608"/>
  <c r="CT154" i="14608"/>
  <c r="CU154" i="14608"/>
  <c r="CV154" i="14608"/>
  <c r="CW154" i="14608"/>
  <c r="CX154" i="14608"/>
  <c r="CY154" i="14608"/>
  <c r="CZ154" i="14608"/>
  <c r="DA154" i="14608"/>
  <c r="DB154" i="14608"/>
  <c r="DC154" i="14608"/>
  <c r="DD154" i="14608"/>
  <c r="DE154" i="14608"/>
  <c r="DF154" i="14608"/>
  <c r="DG154" i="14608"/>
  <c r="DH154" i="14608"/>
  <c r="DI154" i="14608"/>
  <c r="DJ154" i="14608"/>
  <c r="DK154" i="14608"/>
  <c r="DL154" i="14608"/>
  <c r="DM154" i="14608"/>
  <c r="DN154" i="14608"/>
  <c r="DO154" i="14608"/>
  <c r="DP154" i="14608"/>
  <c r="DQ154" i="14608"/>
  <c r="DR154" i="14608"/>
  <c r="DS154" i="14608"/>
  <c r="DT154" i="14608"/>
  <c r="DU154" i="14608"/>
  <c r="DV154" i="14608"/>
  <c r="DW154" i="14608"/>
  <c r="DX154" i="14608"/>
  <c r="DY154" i="14608"/>
  <c r="DZ154" i="14608"/>
  <c r="EA154" i="14608"/>
  <c r="EB154" i="14608"/>
  <c r="EC154" i="14608"/>
  <c r="ED154" i="14608"/>
  <c r="EE154" i="14608"/>
  <c r="EF154" i="14608"/>
  <c r="EG154" i="14608"/>
  <c r="EH154" i="14608"/>
  <c r="EI154" i="14608"/>
  <c r="EJ154" i="14608"/>
  <c r="EK154" i="14608"/>
  <c r="EL154" i="14608"/>
  <c r="EM154" i="14608"/>
  <c r="EN154" i="14608"/>
  <c r="EO154" i="14608"/>
  <c r="EP154" i="14608"/>
  <c r="EQ154" i="14608"/>
  <c r="ER154" i="14608"/>
  <c r="ES154" i="14608"/>
  <c r="ET154" i="14608"/>
  <c r="EU154" i="14608"/>
  <c r="EV154" i="14608"/>
  <c r="EW154" i="14608"/>
  <c r="EX154" i="14608"/>
  <c r="EY154" i="14608"/>
  <c r="EZ154" i="14608"/>
  <c r="FA154" i="14608"/>
  <c r="FB154" i="14608"/>
  <c r="FC154" i="14608"/>
  <c r="FD154" i="14608"/>
  <c r="FE154" i="14608"/>
  <c r="FF154" i="14608"/>
  <c r="FG154" i="14608"/>
  <c r="FH154" i="14608"/>
  <c r="FI154" i="14608"/>
  <c r="FJ154" i="14608"/>
  <c r="FK154" i="14608"/>
  <c r="FL154" i="14608"/>
  <c r="FM154" i="14608"/>
  <c r="FN154" i="14608"/>
  <c r="FO154" i="14608"/>
  <c r="FP154" i="14608"/>
  <c r="FQ154" i="14608"/>
  <c r="FR154" i="14608"/>
  <c r="FS154" i="14608"/>
  <c r="FT154" i="14608"/>
  <c r="FU154" i="14608"/>
  <c r="FV154" i="14608"/>
  <c r="FW154" i="14608"/>
  <c r="FX154" i="14608"/>
  <c r="FY154" i="14608"/>
  <c r="FZ154" i="14608"/>
  <c r="GA154" i="14608"/>
  <c r="GB154" i="14608"/>
  <c r="GC154" i="14608"/>
  <c r="GD154" i="14608"/>
  <c r="GE154" i="14608"/>
  <c r="GF154" i="14608"/>
  <c r="GG154" i="14608"/>
  <c r="GH154" i="14608"/>
  <c r="GI154" i="14608"/>
  <c r="GJ154" i="14608"/>
  <c r="GK154" i="14608"/>
  <c r="GL154" i="14608"/>
  <c r="GM154" i="14608"/>
  <c r="GN154" i="14608"/>
  <c r="GO154" i="14608"/>
  <c r="GP154" i="14608"/>
  <c r="GQ154" i="14608"/>
  <c r="GR154" i="14608"/>
  <c r="GS154" i="14608"/>
  <c r="GT154" i="14608"/>
  <c r="GU154" i="14608"/>
  <c r="GV154" i="14608"/>
  <c r="GW154" i="14608"/>
  <c r="GX154" i="14608"/>
  <c r="GY154" i="14608"/>
  <c r="GZ154" i="14608"/>
  <c r="HA154" i="14608"/>
  <c r="HB154" i="14608"/>
  <c r="HC154" i="14608"/>
  <c r="HD154" i="14608"/>
  <c r="HE154" i="14608"/>
  <c r="HF154" i="14608"/>
  <c r="HG154" i="14608"/>
  <c r="HH154" i="14608"/>
  <c r="HI154" i="14608"/>
  <c r="HJ154" i="14608"/>
  <c r="HK154" i="14608"/>
  <c r="HL154" i="14608"/>
  <c r="HM154" i="14608"/>
  <c r="HN154" i="14608"/>
  <c r="HO154" i="14608"/>
  <c r="HP154" i="14608"/>
  <c r="HQ154" i="14608"/>
  <c r="HR154" i="14608"/>
  <c r="HS154" i="14608"/>
  <c r="HT154" i="14608"/>
  <c r="HU154" i="14608"/>
  <c r="HV154" i="14608"/>
  <c r="HW154" i="14608"/>
  <c r="HX154" i="14608"/>
  <c r="HY154" i="14608"/>
  <c r="HZ154" i="14608"/>
  <c r="IA154" i="14608"/>
  <c r="IB154" i="14608"/>
  <c r="IC154" i="14608"/>
  <c r="ID154" i="14608"/>
  <c r="IE154" i="14608"/>
  <c r="IF154" i="14608"/>
  <c r="IG154" i="14608"/>
  <c r="IH154" i="14608"/>
  <c r="II154" i="14608"/>
  <c r="IJ154" i="14608"/>
  <c r="IK154" i="14608"/>
  <c r="IL154" i="14608"/>
  <c r="IM154" i="14608"/>
  <c r="IN154" i="14608"/>
  <c r="IO154" i="14608"/>
  <c r="IP154" i="14608"/>
  <c r="IQ154" i="14608"/>
  <c r="IR154" i="14608"/>
  <c r="IS154" i="14608"/>
  <c r="IT154" i="14608"/>
  <c r="IU154" i="14608"/>
  <c r="IV154" i="14608"/>
  <c r="A153" i="14608"/>
  <c r="B153" i="14608"/>
  <c r="C153" i="14608"/>
  <c r="D153" i="14608"/>
  <c r="E153" i="14608"/>
  <c r="F153" i="14608"/>
  <c r="G153" i="14608"/>
  <c r="H153" i="14608"/>
  <c r="I153" i="14608"/>
  <c r="J153" i="14608"/>
  <c r="K153" i="14608"/>
  <c r="L153" i="14608"/>
  <c r="M153" i="14608"/>
  <c r="N153" i="14608"/>
  <c r="O153" i="14608"/>
  <c r="P153" i="14608"/>
  <c r="Q153" i="14608"/>
  <c r="R153" i="14608"/>
  <c r="S153" i="14608"/>
  <c r="T153" i="14608"/>
  <c r="U153" i="14608"/>
  <c r="V153" i="14608"/>
  <c r="W153" i="14608"/>
  <c r="X153" i="14608"/>
  <c r="Y153" i="14608"/>
  <c r="Z153" i="14608"/>
  <c r="AA153" i="14608"/>
  <c r="AB153" i="14608"/>
  <c r="AC153" i="14608"/>
  <c r="AD153" i="14608"/>
  <c r="AE153" i="14608"/>
  <c r="AF153" i="14608"/>
  <c r="AG153" i="14608"/>
  <c r="AH153" i="14608"/>
  <c r="AI153" i="14608"/>
  <c r="AJ153" i="14608"/>
  <c r="AK153" i="14608"/>
  <c r="AL153" i="14608"/>
  <c r="AM153" i="14608"/>
  <c r="AN153" i="14608"/>
  <c r="AO153" i="14608"/>
  <c r="AP153" i="14608"/>
  <c r="AQ153" i="14608"/>
  <c r="AR153" i="14608"/>
  <c r="AS153" i="14608"/>
  <c r="AT153" i="14608"/>
  <c r="AU153" i="14608"/>
  <c r="AV153" i="14608"/>
  <c r="AW153" i="14608"/>
  <c r="AX153" i="14608"/>
  <c r="AY153" i="14608"/>
  <c r="AZ153" i="14608"/>
  <c r="BA153" i="14608"/>
  <c r="BB153" i="14608"/>
  <c r="BC153" i="14608"/>
  <c r="BD153" i="14608"/>
  <c r="BE153" i="14608"/>
  <c r="BF153" i="14608"/>
  <c r="BG153" i="14608"/>
  <c r="BH153" i="14608"/>
  <c r="BI153" i="14608"/>
  <c r="BJ153" i="14608"/>
  <c r="BK153" i="14608"/>
  <c r="BL153" i="14608"/>
  <c r="BM153" i="14608"/>
  <c r="BN153" i="14608"/>
  <c r="BO153" i="14608"/>
  <c r="BP153" i="14608"/>
  <c r="BQ153" i="14608"/>
  <c r="BR153" i="14608"/>
  <c r="BS153" i="14608"/>
  <c r="BT153" i="14608"/>
  <c r="BU153" i="14608"/>
  <c r="BV153" i="14608"/>
  <c r="BW153" i="14608"/>
  <c r="BX153" i="14608"/>
  <c r="BY153" i="14608"/>
  <c r="BZ153" i="14608"/>
  <c r="CA153" i="14608"/>
  <c r="CB153" i="14608"/>
  <c r="CC153" i="14608"/>
  <c r="CD153" i="14608"/>
  <c r="CE153" i="14608"/>
  <c r="CF153" i="14608"/>
  <c r="CG153" i="14608"/>
  <c r="CH153" i="14608"/>
  <c r="CI153" i="14608"/>
  <c r="CJ153" i="14608"/>
  <c r="CK153" i="14608"/>
  <c r="CL153" i="14608"/>
  <c r="CM153" i="14608"/>
  <c r="CN153" i="14608"/>
  <c r="CO153" i="14608"/>
  <c r="CP153" i="14608"/>
  <c r="CQ153" i="14608"/>
  <c r="CR153" i="14608"/>
  <c r="CS153" i="14608"/>
  <c r="CT153" i="14608"/>
  <c r="CU153" i="14608"/>
  <c r="CV153" i="14608"/>
  <c r="CW153" i="14608"/>
  <c r="CX153" i="14608"/>
  <c r="CY153" i="14608"/>
  <c r="CZ153" i="14608"/>
  <c r="DA153" i="14608"/>
  <c r="DB153" i="14608"/>
  <c r="DC153" i="14608"/>
  <c r="DD153" i="14608"/>
  <c r="DE153" i="14608"/>
  <c r="DF153" i="14608"/>
  <c r="DG153" i="14608"/>
  <c r="DH153" i="14608"/>
  <c r="DI153" i="14608"/>
  <c r="DJ153" i="14608"/>
  <c r="DK153" i="14608"/>
  <c r="DL153" i="14608"/>
  <c r="DM153" i="14608"/>
  <c r="DN153" i="14608"/>
  <c r="DO153" i="14608"/>
  <c r="DP153" i="14608"/>
  <c r="DQ153" i="14608"/>
  <c r="DR153" i="14608"/>
  <c r="DS153" i="14608"/>
  <c r="DT153" i="14608"/>
  <c r="DU153" i="14608"/>
  <c r="DV153" i="14608"/>
  <c r="DW153" i="14608"/>
  <c r="DX153" i="14608"/>
  <c r="DY153" i="14608"/>
  <c r="DZ153" i="14608"/>
  <c r="EA153" i="14608"/>
  <c r="EB153" i="14608"/>
  <c r="EC153" i="14608"/>
  <c r="ED153" i="14608"/>
  <c r="EE153" i="14608"/>
  <c r="EF153" i="14608"/>
  <c r="EG153" i="14608"/>
  <c r="EH153" i="14608"/>
  <c r="EI153" i="14608"/>
  <c r="EJ153" i="14608"/>
  <c r="EK153" i="14608"/>
  <c r="EL153" i="14608"/>
  <c r="EM153" i="14608"/>
  <c r="EN153" i="14608"/>
  <c r="EO153" i="14608"/>
  <c r="EP153" i="14608"/>
  <c r="EQ153" i="14608"/>
  <c r="ER153" i="14608"/>
  <c r="ES153" i="14608"/>
  <c r="ET153" i="14608"/>
  <c r="EU153" i="14608"/>
  <c r="EV153" i="14608"/>
  <c r="EW153" i="14608"/>
  <c r="EX153" i="14608"/>
  <c r="EY153" i="14608"/>
  <c r="EZ153" i="14608"/>
  <c r="FA153" i="14608"/>
  <c r="FB153" i="14608"/>
  <c r="FC153" i="14608"/>
  <c r="FD153" i="14608"/>
  <c r="FE153" i="14608"/>
  <c r="FF153" i="14608"/>
  <c r="FG153" i="14608"/>
  <c r="FH153" i="14608"/>
  <c r="FI153" i="14608"/>
  <c r="FJ153" i="14608"/>
  <c r="FK153" i="14608"/>
  <c r="FL153" i="14608"/>
  <c r="FM153" i="14608"/>
  <c r="FN153" i="14608"/>
  <c r="FO153" i="14608"/>
  <c r="FP153" i="14608"/>
  <c r="FQ153" i="14608"/>
  <c r="FR153" i="14608"/>
  <c r="FS153" i="14608"/>
  <c r="FT153" i="14608"/>
  <c r="FU153" i="14608"/>
  <c r="FV153" i="14608"/>
  <c r="FW153" i="14608"/>
  <c r="FX153" i="14608"/>
  <c r="FY153" i="14608"/>
  <c r="FZ153" i="14608"/>
  <c r="GA153" i="14608"/>
  <c r="GB153" i="14608"/>
  <c r="GC153" i="14608"/>
  <c r="GD153" i="14608"/>
  <c r="GE153" i="14608"/>
  <c r="GF153" i="14608"/>
  <c r="GG153" i="14608"/>
  <c r="GH153" i="14608"/>
  <c r="GI153" i="14608"/>
  <c r="GJ153" i="14608"/>
  <c r="GK153" i="14608"/>
  <c r="GL153" i="14608"/>
  <c r="GM153" i="14608"/>
  <c r="GN153" i="14608"/>
  <c r="GO153" i="14608"/>
  <c r="GP153" i="14608"/>
  <c r="GQ153" i="14608"/>
  <c r="GR153" i="14608"/>
  <c r="GS153" i="14608"/>
  <c r="GT153" i="14608"/>
  <c r="GU153" i="14608"/>
  <c r="GV153" i="14608"/>
  <c r="GW153" i="14608"/>
  <c r="GX153" i="14608"/>
  <c r="GY153" i="14608"/>
  <c r="GZ153" i="14608"/>
  <c r="HA153" i="14608"/>
  <c r="HB153" i="14608"/>
  <c r="HC153" i="14608"/>
  <c r="HD153" i="14608"/>
  <c r="HE153" i="14608"/>
  <c r="HF153" i="14608"/>
  <c r="HG153" i="14608"/>
  <c r="HH153" i="14608"/>
  <c r="HI153" i="14608"/>
  <c r="HJ153" i="14608"/>
  <c r="HK153" i="14608"/>
  <c r="HL153" i="14608"/>
  <c r="HM153" i="14608"/>
  <c r="HN153" i="14608"/>
  <c r="HO153" i="14608"/>
  <c r="HP153" i="14608"/>
  <c r="HQ153" i="14608"/>
  <c r="HR153" i="14608"/>
  <c r="HS153" i="14608"/>
  <c r="HT153" i="14608"/>
  <c r="HU153" i="14608"/>
  <c r="HV153" i="14608"/>
  <c r="HW153" i="14608"/>
  <c r="HX153" i="14608"/>
  <c r="HY153" i="14608"/>
  <c r="HZ153" i="14608"/>
  <c r="IA153" i="14608"/>
  <c r="IB153" i="14608"/>
  <c r="IC153" i="14608"/>
  <c r="ID153" i="14608"/>
  <c r="IE153" i="14608"/>
  <c r="IF153" i="14608"/>
  <c r="IG153" i="14608"/>
  <c r="IH153" i="14608"/>
  <c r="II153" i="14608"/>
  <c r="IJ153" i="14608"/>
  <c r="IK153" i="14608"/>
  <c r="IL153" i="14608"/>
  <c r="IM153" i="14608"/>
  <c r="IN153" i="14608"/>
  <c r="IO153" i="14608"/>
  <c r="IP153" i="14608"/>
  <c r="IQ153" i="14608"/>
  <c r="IR153" i="14608"/>
  <c r="IS153" i="14608"/>
  <c r="IT153" i="14608"/>
  <c r="IU153" i="14608"/>
  <c r="IV153" i="14608"/>
  <c r="A152" i="14608"/>
  <c r="B152" i="14608"/>
  <c r="C152" i="14608"/>
  <c r="D152" i="14608"/>
  <c r="E152" i="14608"/>
  <c r="F152" i="14608"/>
  <c r="G152" i="14608"/>
  <c r="H152" i="14608"/>
  <c r="I152" i="14608"/>
  <c r="J152" i="14608"/>
  <c r="K152" i="14608"/>
  <c r="L152" i="14608"/>
  <c r="M152" i="14608"/>
  <c r="N152" i="14608"/>
  <c r="O152" i="14608"/>
  <c r="P152" i="14608"/>
  <c r="Q152" i="14608"/>
  <c r="R152" i="14608"/>
  <c r="S152" i="14608"/>
  <c r="T152" i="14608"/>
  <c r="U152" i="14608"/>
  <c r="V152" i="14608"/>
  <c r="W152" i="14608"/>
  <c r="X152" i="14608"/>
  <c r="Y152" i="14608"/>
  <c r="Z152" i="14608"/>
  <c r="AA152" i="14608"/>
  <c r="AB152" i="14608"/>
  <c r="AC152" i="14608"/>
  <c r="AD152" i="14608"/>
  <c r="AE152" i="14608"/>
  <c r="AF152" i="14608"/>
  <c r="AG152" i="14608"/>
  <c r="AH152" i="14608"/>
  <c r="AI152" i="14608"/>
  <c r="AJ152" i="14608"/>
  <c r="AK152" i="14608"/>
  <c r="AL152" i="14608"/>
  <c r="AM152" i="14608"/>
  <c r="AN152" i="14608"/>
  <c r="AO152" i="14608"/>
  <c r="AP152" i="14608"/>
  <c r="AQ152" i="14608"/>
  <c r="AR152" i="14608"/>
  <c r="AS152" i="14608"/>
  <c r="AT152" i="14608"/>
  <c r="AU152" i="14608"/>
  <c r="AV152" i="14608"/>
  <c r="AW152" i="14608"/>
  <c r="AX152" i="14608"/>
  <c r="AY152" i="14608"/>
  <c r="AZ152" i="14608"/>
  <c r="BA152" i="14608"/>
  <c r="BB152" i="14608"/>
  <c r="BC152" i="14608"/>
  <c r="BD152" i="14608"/>
  <c r="BE152" i="14608"/>
  <c r="BF152" i="14608"/>
  <c r="BG152" i="14608"/>
  <c r="BH152" i="14608"/>
  <c r="BI152" i="14608"/>
  <c r="BJ152" i="14608"/>
  <c r="BK152" i="14608"/>
  <c r="BL152" i="14608"/>
  <c r="BM152" i="14608"/>
  <c r="BN152" i="14608"/>
  <c r="BO152" i="14608"/>
  <c r="BP152" i="14608"/>
  <c r="BQ152" i="14608"/>
  <c r="BR152" i="14608"/>
  <c r="BS152" i="14608"/>
  <c r="BT152" i="14608"/>
  <c r="BU152" i="14608"/>
  <c r="BV152" i="14608"/>
  <c r="BW152" i="14608"/>
  <c r="BX152" i="14608"/>
  <c r="BY152" i="14608"/>
  <c r="BZ152" i="14608"/>
  <c r="CA152" i="14608"/>
  <c r="CB152" i="14608"/>
  <c r="CC152" i="14608"/>
  <c r="CD152" i="14608"/>
  <c r="CE152" i="14608"/>
  <c r="CF152" i="14608"/>
  <c r="CG152" i="14608"/>
  <c r="CH152" i="14608"/>
  <c r="CI152" i="14608"/>
  <c r="CJ152" i="14608"/>
  <c r="CK152" i="14608"/>
  <c r="CL152" i="14608"/>
  <c r="CM152" i="14608"/>
  <c r="CN152" i="14608"/>
  <c r="CO152" i="14608"/>
  <c r="CP152" i="14608"/>
  <c r="CQ152" i="14608"/>
  <c r="CR152" i="14608"/>
  <c r="CS152" i="14608"/>
  <c r="CT152" i="14608"/>
  <c r="CU152" i="14608"/>
  <c r="CV152" i="14608"/>
  <c r="CW152" i="14608"/>
  <c r="CX152" i="14608"/>
  <c r="CY152" i="14608"/>
  <c r="CZ152" i="14608"/>
  <c r="DA152" i="14608"/>
  <c r="DB152" i="14608"/>
  <c r="DC152" i="14608"/>
  <c r="DD152" i="14608"/>
  <c r="DE152" i="14608"/>
  <c r="DF152" i="14608"/>
  <c r="DG152" i="14608"/>
  <c r="DH152" i="14608"/>
  <c r="DI152" i="14608"/>
  <c r="DJ152" i="14608"/>
  <c r="DK152" i="14608"/>
  <c r="DL152" i="14608"/>
  <c r="DM152" i="14608"/>
  <c r="DN152" i="14608"/>
  <c r="DO152" i="14608"/>
  <c r="DP152" i="14608"/>
  <c r="DQ152" i="14608"/>
  <c r="DR152" i="14608"/>
  <c r="DS152" i="14608"/>
  <c r="DT152" i="14608"/>
  <c r="DU152" i="14608"/>
  <c r="DV152" i="14608"/>
  <c r="DW152" i="14608"/>
  <c r="DX152" i="14608"/>
  <c r="DY152" i="14608"/>
  <c r="DZ152" i="14608"/>
  <c r="EA152" i="14608"/>
  <c r="EB152" i="14608"/>
  <c r="EC152" i="14608"/>
  <c r="ED152" i="14608"/>
  <c r="EE152" i="14608"/>
  <c r="EF152" i="14608"/>
  <c r="EG152" i="14608"/>
  <c r="EH152" i="14608"/>
  <c r="EI152" i="14608"/>
  <c r="EJ152" i="14608"/>
  <c r="EK152" i="14608"/>
  <c r="EL152" i="14608"/>
  <c r="EM152" i="14608"/>
  <c r="EN152" i="14608"/>
  <c r="EO152" i="14608"/>
  <c r="EP152" i="14608"/>
  <c r="EQ152" i="14608"/>
  <c r="ER152" i="14608"/>
  <c r="ES152" i="14608"/>
  <c r="ET152" i="14608"/>
  <c r="EU152" i="14608"/>
  <c r="EV152" i="14608"/>
  <c r="EW152" i="14608"/>
  <c r="EX152" i="14608"/>
  <c r="EY152" i="14608"/>
  <c r="EZ152" i="14608"/>
  <c r="FA152" i="14608"/>
  <c r="FB152" i="14608"/>
  <c r="FC152" i="14608"/>
  <c r="FD152" i="14608"/>
  <c r="FE152" i="14608"/>
  <c r="FF152" i="14608"/>
  <c r="FG152" i="14608"/>
  <c r="FH152" i="14608"/>
  <c r="FI152" i="14608"/>
  <c r="FJ152" i="14608"/>
  <c r="FK152" i="14608"/>
  <c r="FL152" i="14608"/>
  <c r="FM152" i="14608"/>
  <c r="FN152" i="14608"/>
  <c r="FO152" i="14608"/>
  <c r="FP152" i="14608"/>
  <c r="FQ152" i="14608"/>
  <c r="FR152" i="14608"/>
  <c r="FS152" i="14608"/>
  <c r="FT152" i="14608"/>
  <c r="FU152" i="14608"/>
  <c r="FV152" i="14608"/>
  <c r="FW152" i="14608"/>
  <c r="FX152" i="14608"/>
  <c r="FY152" i="14608"/>
  <c r="FZ152" i="14608"/>
  <c r="GA152" i="14608"/>
  <c r="GB152" i="14608"/>
  <c r="GC152" i="14608"/>
  <c r="GD152" i="14608"/>
  <c r="GE152" i="14608"/>
  <c r="GF152" i="14608"/>
  <c r="GG152" i="14608"/>
  <c r="GH152" i="14608"/>
  <c r="GI152" i="14608"/>
  <c r="GJ152" i="14608"/>
  <c r="GK152" i="14608"/>
  <c r="GL152" i="14608"/>
  <c r="GM152" i="14608"/>
  <c r="GN152" i="14608"/>
  <c r="GO152" i="14608"/>
  <c r="GP152" i="14608"/>
  <c r="GQ152" i="14608"/>
  <c r="GR152" i="14608"/>
  <c r="GS152" i="14608"/>
  <c r="GT152" i="14608"/>
  <c r="GU152" i="14608"/>
  <c r="GV152" i="14608"/>
  <c r="GW152" i="14608"/>
  <c r="GX152" i="14608"/>
  <c r="GY152" i="14608"/>
  <c r="GZ152" i="14608"/>
  <c r="HA152" i="14608"/>
  <c r="HB152" i="14608"/>
  <c r="HC152" i="14608"/>
  <c r="HD152" i="14608"/>
  <c r="HE152" i="14608"/>
  <c r="HF152" i="14608"/>
  <c r="HG152" i="14608"/>
  <c r="HH152" i="14608"/>
  <c r="HI152" i="14608"/>
  <c r="HJ152" i="14608"/>
  <c r="HK152" i="14608"/>
  <c r="HL152" i="14608"/>
  <c r="HM152" i="14608"/>
  <c r="HN152" i="14608"/>
  <c r="HO152" i="14608"/>
  <c r="HP152" i="14608"/>
  <c r="HQ152" i="14608"/>
  <c r="HR152" i="14608"/>
  <c r="HS152" i="14608"/>
  <c r="HT152" i="14608"/>
  <c r="HU152" i="14608"/>
  <c r="HV152" i="14608"/>
  <c r="HW152" i="14608"/>
  <c r="HX152" i="14608"/>
  <c r="HY152" i="14608"/>
  <c r="HZ152" i="14608"/>
  <c r="IA152" i="14608"/>
  <c r="IB152" i="14608"/>
  <c r="IC152" i="14608"/>
  <c r="ID152" i="14608"/>
  <c r="IE152" i="14608"/>
  <c r="IF152" i="14608"/>
  <c r="IG152" i="14608"/>
  <c r="IH152" i="14608"/>
  <c r="II152" i="14608"/>
  <c r="IJ152" i="14608"/>
  <c r="IK152" i="14608"/>
  <c r="IL152" i="14608"/>
  <c r="IM152" i="14608"/>
  <c r="IN152" i="14608"/>
  <c r="IO152" i="14608"/>
  <c r="IP152" i="14608"/>
  <c r="IQ152" i="14608"/>
  <c r="IR152" i="14608"/>
  <c r="IS152" i="14608"/>
  <c r="IT152" i="14608"/>
  <c r="IU152" i="14608"/>
  <c r="IV152" i="14608"/>
  <c r="A151" i="14608"/>
  <c r="B151" i="14608"/>
  <c r="C151" i="14608"/>
  <c r="D151" i="14608"/>
  <c r="E151" i="14608"/>
  <c r="F151" i="14608"/>
  <c r="G151" i="14608"/>
  <c r="H151" i="14608"/>
  <c r="I151" i="14608"/>
  <c r="J151" i="14608"/>
  <c r="K151" i="14608"/>
  <c r="L151" i="14608"/>
  <c r="M151" i="14608"/>
  <c r="N151" i="14608"/>
  <c r="O151" i="14608"/>
  <c r="P151" i="14608"/>
  <c r="Q151" i="14608"/>
  <c r="R151" i="14608"/>
  <c r="S151" i="14608"/>
  <c r="T151" i="14608"/>
  <c r="U151" i="14608"/>
  <c r="V151" i="14608"/>
  <c r="W151" i="14608"/>
  <c r="X151" i="14608"/>
  <c r="Y151" i="14608"/>
  <c r="Z151" i="14608"/>
  <c r="AA151" i="14608"/>
  <c r="AB151" i="14608"/>
  <c r="AC151" i="14608"/>
  <c r="AD151" i="14608"/>
  <c r="AE151" i="14608"/>
  <c r="AF151" i="14608"/>
  <c r="AG151" i="14608"/>
  <c r="AH151" i="14608"/>
  <c r="AI151" i="14608"/>
  <c r="AJ151" i="14608"/>
  <c r="AK151" i="14608"/>
  <c r="AL151" i="14608"/>
  <c r="AM151" i="14608"/>
  <c r="AN151" i="14608"/>
  <c r="AO151" i="14608"/>
  <c r="AP151" i="14608"/>
  <c r="AQ151" i="14608"/>
  <c r="AR151" i="14608"/>
  <c r="AS151" i="14608"/>
  <c r="AT151" i="14608"/>
  <c r="AU151" i="14608"/>
  <c r="AV151" i="14608"/>
  <c r="AW151" i="14608"/>
  <c r="AX151" i="14608"/>
  <c r="AY151" i="14608"/>
  <c r="AZ151" i="14608"/>
  <c r="BA151" i="14608"/>
  <c r="BB151" i="14608"/>
  <c r="BC151" i="14608"/>
  <c r="BD151" i="14608"/>
  <c r="BE151" i="14608"/>
  <c r="BF151" i="14608"/>
  <c r="BG151" i="14608"/>
  <c r="BH151" i="14608"/>
  <c r="BI151" i="14608"/>
  <c r="BJ151" i="14608"/>
  <c r="BK151" i="14608"/>
  <c r="BL151" i="14608"/>
  <c r="BM151" i="14608"/>
  <c r="BN151" i="14608"/>
  <c r="BO151" i="14608"/>
  <c r="BP151" i="14608"/>
  <c r="BQ151" i="14608"/>
  <c r="BR151" i="14608"/>
  <c r="BS151" i="14608"/>
  <c r="BT151" i="14608"/>
  <c r="BU151" i="14608"/>
  <c r="BV151" i="14608"/>
  <c r="BW151" i="14608"/>
  <c r="BX151" i="14608"/>
  <c r="BY151" i="14608"/>
  <c r="BZ151" i="14608"/>
  <c r="CA151" i="14608"/>
  <c r="CB151" i="14608"/>
  <c r="CC151" i="14608"/>
  <c r="CD151" i="14608"/>
  <c r="CE151" i="14608"/>
  <c r="CF151" i="14608"/>
  <c r="CG151" i="14608"/>
  <c r="CH151" i="14608"/>
  <c r="CI151" i="14608"/>
  <c r="CJ151" i="14608"/>
  <c r="CK151" i="14608"/>
  <c r="CL151" i="14608"/>
  <c r="CM151" i="14608"/>
  <c r="CN151" i="14608"/>
  <c r="CO151" i="14608"/>
  <c r="CP151" i="14608"/>
  <c r="CQ151" i="14608"/>
  <c r="CR151" i="14608"/>
  <c r="CS151" i="14608"/>
  <c r="CT151" i="14608"/>
  <c r="CU151" i="14608"/>
  <c r="CV151" i="14608"/>
  <c r="CW151" i="14608"/>
  <c r="CX151" i="14608"/>
  <c r="CY151" i="14608"/>
  <c r="CZ151" i="14608"/>
  <c r="DA151" i="14608"/>
  <c r="DB151" i="14608"/>
  <c r="DC151" i="14608"/>
  <c r="DD151" i="14608"/>
  <c r="DE151" i="14608"/>
  <c r="DF151" i="14608"/>
  <c r="DG151" i="14608"/>
  <c r="DH151" i="14608"/>
  <c r="DI151" i="14608"/>
  <c r="DJ151" i="14608"/>
  <c r="DK151" i="14608"/>
  <c r="DL151" i="14608"/>
  <c r="DM151" i="14608"/>
  <c r="DN151" i="14608"/>
  <c r="DO151" i="14608"/>
  <c r="DP151" i="14608"/>
  <c r="DQ151" i="14608"/>
  <c r="DR151" i="14608"/>
  <c r="DS151" i="14608"/>
  <c r="DT151" i="14608"/>
  <c r="DU151" i="14608"/>
  <c r="DV151" i="14608"/>
  <c r="DW151" i="14608"/>
  <c r="DX151" i="14608"/>
  <c r="DY151" i="14608"/>
  <c r="DZ151" i="14608"/>
  <c r="EA151" i="14608"/>
  <c r="EB151" i="14608"/>
  <c r="EC151" i="14608"/>
  <c r="ED151" i="14608"/>
  <c r="EE151" i="14608"/>
  <c r="EF151" i="14608"/>
  <c r="EG151" i="14608"/>
  <c r="EH151" i="14608"/>
  <c r="EI151" i="14608"/>
  <c r="EJ151" i="14608"/>
  <c r="EK151" i="14608"/>
  <c r="EL151" i="14608"/>
  <c r="EM151" i="14608"/>
  <c r="EN151" i="14608"/>
  <c r="EO151" i="14608"/>
  <c r="EP151" i="14608"/>
  <c r="EQ151" i="14608"/>
  <c r="ER151" i="14608"/>
  <c r="ES151" i="14608"/>
  <c r="ET151" i="14608"/>
  <c r="EU151" i="14608"/>
  <c r="EV151" i="14608"/>
  <c r="EW151" i="14608"/>
  <c r="EX151" i="14608"/>
  <c r="EY151" i="14608"/>
  <c r="EZ151" i="14608"/>
  <c r="FA151" i="14608"/>
  <c r="FB151" i="14608"/>
  <c r="FC151" i="14608"/>
  <c r="FD151" i="14608"/>
  <c r="FE151" i="14608"/>
  <c r="FF151" i="14608"/>
  <c r="FG151" i="14608"/>
  <c r="FH151" i="14608"/>
  <c r="FI151" i="14608"/>
  <c r="FJ151" i="14608"/>
  <c r="FK151" i="14608"/>
  <c r="FL151" i="14608"/>
  <c r="FM151" i="14608"/>
  <c r="FN151" i="14608"/>
  <c r="FO151" i="14608"/>
  <c r="FP151" i="14608"/>
  <c r="FQ151" i="14608"/>
  <c r="FR151" i="14608"/>
  <c r="FS151" i="14608"/>
  <c r="FT151" i="14608"/>
  <c r="FU151" i="14608"/>
  <c r="FV151" i="14608"/>
  <c r="FW151" i="14608"/>
  <c r="FX151" i="14608"/>
  <c r="FY151" i="14608"/>
  <c r="FZ151" i="14608"/>
  <c r="GA151" i="14608"/>
  <c r="GB151" i="14608"/>
  <c r="GC151" i="14608"/>
  <c r="GD151" i="14608"/>
  <c r="GE151" i="14608"/>
  <c r="GF151" i="14608"/>
  <c r="GG151" i="14608"/>
  <c r="GH151" i="14608"/>
  <c r="GI151" i="14608"/>
  <c r="GJ151" i="14608"/>
  <c r="GK151" i="14608"/>
  <c r="GL151" i="14608"/>
  <c r="GM151" i="14608"/>
  <c r="GN151" i="14608"/>
  <c r="GO151" i="14608"/>
  <c r="GP151" i="14608"/>
  <c r="GQ151" i="14608"/>
  <c r="GR151" i="14608"/>
  <c r="GS151" i="14608"/>
  <c r="GT151" i="14608"/>
  <c r="GU151" i="14608"/>
  <c r="GV151" i="14608"/>
  <c r="GW151" i="14608"/>
  <c r="GX151" i="14608"/>
  <c r="GY151" i="14608"/>
  <c r="GZ151" i="14608"/>
  <c r="HA151" i="14608"/>
  <c r="HB151" i="14608"/>
  <c r="HC151" i="14608"/>
  <c r="HD151" i="14608"/>
  <c r="HE151" i="14608"/>
  <c r="HF151" i="14608"/>
  <c r="HG151" i="14608"/>
  <c r="HH151" i="14608"/>
  <c r="HI151" i="14608"/>
  <c r="HJ151" i="14608"/>
  <c r="HK151" i="14608"/>
  <c r="HL151" i="14608"/>
  <c r="HM151" i="14608"/>
  <c r="HN151" i="14608"/>
  <c r="HO151" i="14608"/>
  <c r="HP151" i="14608"/>
  <c r="HQ151" i="14608"/>
  <c r="HR151" i="14608"/>
  <c r="HS151" i="14608"/>
  <c r="HT151" i="14608"/>
  <c r="HU151" i="14608"/>
  <c r="HV151" i="14608"/>
  <c r="HW151" i="14608"/>
  <c r="HX151" i="14608"/>
  <c r="HY151" i="14608"/>
  <c r="HZ151" i="14608"/>
  <c r="IA151" i="14608"/>
  <c r="IB151" i="14608"/>
  <c r="IC151" i="14608"/>
  <c r="ID151" i="14608"/>
  <c r="IE151" i="14608"/>
  <c r="IF151" i="14608"/>
  <c r="IG151" i="14608"/>
  <c r="IH151" i="14608"/>
  <c r="II151" i="14608"/>
  <c r="IJ151" i="14608"/>
  <c r="IK151" i="14608"/>
  <c r="IL151" i="14608"/>
  <c r="IM151" i="14608"/>
  <c r="IN151" i="14608"/>
  <c r="IO151" i="14608"/>
  <c r="IP151" i="14608"/>
  <c r="IQ151" i="14608"/>
  <c r="IR151" i="14608"/>
  <c r="IS151" i="14608"/>
  <c r="IT151" i="14608"/>
  <c r="IU151" i="14608"/>
  <c r="IV151" i="14608"/>
  <c r="A150" i="14608"/>
  <c r="B150" i="14608"/>
  <c r="C150" i="14608"/>
  <c r="D150" i="14608"/>
  <c r="E150" i="14608"/>
  <c r="F150" i="14608"/>
  <c r="G150" i="14608"/>
  <c r="H150" i="14608"/>
  <c r="I150" i="14608"/>
  <c r="J150" i="14608"/>
  <c r="K150" i="14608"/>
  <c r="L150" i="14608"/>
  <c r="M150" i="14608"/>
  <c r="N150" i="14608"/>
  <c r="O150" i="14608"/>
  <c r="P150" i="14608"/>
  <c r="Q150" i="14608"/>
  <c r="R150" i="14608"/>
  <c r="S150" i="14608"/>
  <c r="T150" i="14608"/>
  <c r="U150" i="14608"/>
  <c r="V150" i="14608"/>
  <c r="W150" i="14608"/>
  <c r="X150" i="14608"/>
  <c r="Y150" i="14608"/>
  <c r="Z150" i="14608"/>
  <c r="AA150" i="14608"/>
  <c r="AB150" i="14608"/>
  <c r="AC150" i="14608"/>
  <c r="AD150" i="14608"/>
  <c r="AE150" i="14608"/>
  <c r="AF150" i="14608"/>
  <c r="AG150" i="14608"/>
  <c r="AH150" i="14608"/>
  <c r="AI150" i="14608"/>
  <c r="AJ150" i="14608"/>
  <c r="AK150" i="14608"/>
  <c r="AL150" i="14608"/>
  <c r="AM150" i="14608"/>
  <c r="AN150" i="14608"/>
  <c r="AO150" i="14608"/>
  <c r="AP150" i="14608"/>
  <c r="AQ150" i="14608"/>
  <c r="AR150" i="14608"/>
  <c r="AS150" i="14608"/>
  <c r="AT150" i="14608"/>
  <c r="AU150" i="14608"/>
  <c r="AV150" i="14608"/>
  <c r="AW150" i="14608"/>
  <c r="AX150" i="14608"/>
  <c r="AY150" i="14608"/>
  <c r="AZ150" i="14608"/>
  <c r="BA150" i="14608"/>
  <c r="BB150" i="14608"/>
  <c r="BC150" i="14608"/>
  <c r="BD150" i="14608"/>
  <c r="BE150" i="14608"/>
  <c r="BF150" i="14608"/>
  <c r="BG150" i="14608"/>
  <c r="BH150" i="14608"/>
  <c r="BI150" i="14608"/>
  <c r="BJ150" i="14608"/>
  <c r="BK150" i="14608"/>
  <c r="BL150" i="14608"/>
  <c r="BM150" i="14608"/>
  <c r="BN150" i="14608"/>
  <c r="BO150" i="14608"/>
  <c r="BP150" i="14608"/>
  <c r="BQ150" i="14608"/>
  <c r="BR150" i="14608"/>
  <c r="BS150" i="14608"/>
  <c r="BT150" i="14608"/>
  <c r="BU150" i="14608"/>
  <c r="BV150" i="14608"/>
  <c r="BW150" i="14608"/>
  <c r="BX150" i="14608"/>
  <c r="BY150" i="14608"/>
  <c r="BZ150" i="14608"/>
  <c r="CA150" i="14608"/>
  <c r="CB150" i="14608"/>
  <c r="CC150" i="14608"/>
  <c r="CD150" i="14608"/>
  <c r="CE150" i="14608"/>
  <c r="CF150" i="14608"/>
  <c r="CG150" i="14608"/>
  <c r="CH150" i="14608"/>
  <c r="CI150" i="14608"/>
  <c r="CJ150" i="14608"/>
  <c r="CK150" i="14608"/>
  <c r="CL150" i="14608"/>
  <c r="CM150" i="14608"/>
  <c r="CN150" i="14608"/>
  <c r="CO150" i="14608"/>
  <c r="CP150" i="14608"/>
  <c r="CQ150" i="14608"/>
  <c r="CR150" i="14608"/>
  <c r="CS150" i="14608"/>
  <c r="CT150" i="14608"/>
  <c r="CU150" i="14608"/>
  <c r="CV150" i="14608"/>
  <c r="CW150" i="14608"/>
  <c r="CX150" i="14608"/>
  <c r="CY150" i="14608"/>
  <c r="CZ150" i="14608"/>
  <c r="DA150" i="14608"/>
  <c r="DB150" i="14608"/>
  <c r="DC150" i="14608"/>
  <c r="DD150" i="14608"/>
  <c r="DE150" i="14608"/>
  <c r="DF150" i="14608"/>
  <c r="DG150" i="14608"/>
  <c r="DH150" i="14608"/>
  <c r="DI150" i="14608"/>
  <c r="DJ150" i="14608"/>
  <c r="DK150" i="14608"/>
  <c r="DL150" i="14608"/>
  <c r="DM150" i="14608"/>
  <c r="DN150" i="14608"/>
  <c r="DO150" i="14608"/>
  <c r="DP150" i="14608"/>
  <c r="DQ150" i="14608"/>
  <c r="DR150" i="14608"/>
  <c r="DS150" i="14608"/>
  <c r="DT150" i="14608"/>
  <c r="DU150" i="14608"/>
  <c r="DV150" i="14608"/>
  <c r="DW150" i="14608"/>
  <c r="DX150" i="14608"/>
  <c r="DY150" i="14608"/>
  <c r="DZ150" i="14608"/>
  <c r="EA150" i="14608"/>
  <c r="EB150" i="14608"/>
  <c r="EC150" i="14608"/>
  <c r="ED150" i="14608"/>
  <c r="EE150" i="14608"/>
  <c r="EF150" i="14608"/>
  <c r="EG150" i="14608"/>
  <c r="EH150" i="14608"/>
  <c r="EI150" i="14608"/>
  <c r="EJ150" i="14608"/>
  <c r="EK150" i="14608"/>
  <c r="EL150" i="14608"/>
  <c r="EM150" i="14608"/>
  <c r="EN150" i="14608"/>
  <c r="EO150" i="14608"/>
  <c r="EP150" i="14608"/>
  <c r="EQ150" i="14608"/>
  <c r="ER150" i="14608"/>
  <c r="ES150" i="14608"/>
  <c r="ET150" i="14608"/>
  <c r="EU150" i="14608"/>
  <c r="EV150" i="14608"/>
  <c r="EW150" i="14608"/>
  <c r="EX150" i="14608"/>
  <c r="EY150" i="14608"/>
  <c r="EZ150" i="14608"/>
  <c r="FA150" i="14608"/>
  <c r="FB150" i="14608"/>
  <c r="FC150" i="14608"/>
  <c r="FD150" i="14608"/>
  <c r="FE150" i="14608"/>
  <c r="FF150" i="14608"/>
  <c r="FG150" i="14608"/>
  <c r="FH150" i="14608"/>
  <c r="FI150" i="14608"/>
  <c r="FJ150" i="14608"/>
  <c r="FK150" i="14608"/>
  <c r="FL150" i="14608"/>
  <c r="FM150" i="14608"/>
  <c r="FN150" i="14608"/>
  <c r="FO150" i="14608"/>
  <c r="FP150" i="14608"/>
  <c r="FQ150" i="14608"/>
  <c r="FR150" i="14608"/>
  <c r="FS150" i="14608"/>
  <c r="FT150" i="14608"/>
  <c r="FU150" i="14608"/>
  <c r="FV150" i="14608"/>
  <c r="FW150" i="14608"/>
  <c r="FX150" i="14608"/>
  <c r="FY150" i="14608"/>
  <c r="FZ150" i="14608"/>
  <c r="GA150" i="14608"/>
  <c r="GB150" i="14608"/>
  <c r="GC150" i="14608"/>
  <c r="GD150" i="14608"/>
  <c r="GE150" i="14608"/>
  <c r="GF150" i="14608"/>
  <c r="GG150" i="14608"/>
  <c r="GH150" i="14608"/>
  <c r="GI150" i="14608"/>
  <c r="GJ150" i="14608"/>
  <c r="GK150" i="14608"/>
  <c r="GL150" i="14608"/>
  <c r="GM150" i="14608"/>
  <c r="GN150" i="14608"/>
  <c r="GO150" i="14608"/>
  <c r="GP150" i="14608"/>
  <c r="GQ150" i="14608"/>
  <c r="GR150" i="14608"/>
  <c r="GS150" i="14608"/>
  <c r="GT150" i="14608"/>
  <c r="GU150" i="14608"/>
  <c r="GV150" i="14608"/>
  <c r="GW150" i="14608"/>
  <c r="GX150" i="14608"/>
  <c r="GY150" i="14608"/>
  <c r="GZ150" i="14608"/>
  <c r="HA150" i="14608"/>
  <c r="HB150" i="14608"/>
  <c r="HC150" i="14608"/>
  <c r="HD150" i="14608"/>
  <c r="HE150" i="14608"/>
  <c r="HF150" i="14608"/>
  <c r="HG150" i="14608"/>
  <c r="HH150" i="14608"/>
  <c r="HI150" i="14608"/>
  <c r="HJ150" i="14608"/>
  <c r="HK150" i="14608"/>
  <c r="HL150" i="14608"/>
  <c r="HM150" i="14608"/>
  <c r="HN150" i="14608"/>
  <c r="HO150" i="14608"/>
  <c r="HP150" i="14608"/>
  <c r="HQ150" i="14608"/>
  <c r="HR150" i="14608"/>
  <c r="HS150" i="14608"/>
  <c r="HT150" i="14608"/>
  <c r="HU150" i="14608"/>
  <c r="HV150" i="14608"/>
  <c r="HW150" i="14608"/>
  <c r="HX150" i="14608"/>
  <c r="HY150" i="14608"/>
  <c r="HZ150" i="14608"/>
  <c r="IA150" i="14608"/>
  <c r="IB150" i="14608"/>
  <c r="IC150" i="14608"/>
  <c r="ID150" i="14608"/>
  <c r="IE150" i="14608"/>
  <c r="IF150" i="14608"/>
  <c r="IG150" i="14608"/>
  <c r="IH150" i="14608"/>
  <c r="II150" i="14608"/>
  <c r="IJ150" i="14608"/>
  <c r="IK150" i="14608"/>
  <c r="IL150" i="14608"/>
  <c r="IM150" i="14608"/>
  <c r="IN150" i="14608"/>
  <c r="IO150" i="14608"/>
  <c r="IP150" i="14608"/>
  <c r="IQ150" i="14608"/>
  <c r="IR150" i="14608"/>
  <c r="IS150" i="14608"/>
  <c r="IT150" i="14608"/>
  <c r="IU150" i="14608"/>
  <c r="IV150" i="14608"/>
  <c r="A149" i="14608"/>
  <c r="B149" i="14608"/>
  <c r="C149" i="14608"/>
  <c r="D149" i="14608"/>
  <c r="E149" i="14608"/>
  <c r="F149" i="14608"/>
  <c r="G149" i="14608"/>
  <c r="H149" i="14608"/>
  <c r="I149" i="14608"/>
  <c r="J149" i="14608"/>
  <c r="K149" i="14608"/>
  <c r="L149" i="14608"/>
  <c r="M149" i="14608"/>
  <c r="N149" i="14608"/>
  <c r="O149" i="14608"/>
  <c r="P149" i="14608"/>
  <c r="Q149" i="14608"/>
  <c r="R149" i="14608"/>
  <c r="S149" i="14608"/>
  <c r="T149" i="14608"/>
  <c r="U149" i="14608"/>
  <c r="V149" i="14608"/>
  <c r="W149" i="14608"/>
  <c r="X149" i="14608"/>
  <c r="Y149" i="14608"/>
  <c r="Z149" i="14608"/>
  <c r="AA149" i="14608"/>
  <c r="AB149" i="14608"/>
  <c r="AC149" i="14608"/>
  <c r="AD149" i="14608"/>
  <c r="AE149" i="14608"/>
  <c r="AF149" i="14608"/>
  <c r="AG149" i="14608"/>
  <c r="AH149" i="14608"/>
  <c r="AI149" i="14608"/>
  <c r="AJ149" i="14608"/>
  <c r="AK149" i="14608"/>
  <c r="AL149" i="14608"/>
  <c r="AM149" i="14608"/>
  <c r="AN149" i="14608"/>
  <c r="AO149" i="14608"/>
  <c r="AP149" i="14608"/>
  <c r="AQ149" i="14608"/>
  <c r="AR149" i="14608"/>
  <c r="AS149" i="14608"/>
  <c r="AT149" i="14608"/>
  <c r="AU149" i="14608"/>
  <c r="AV149" i="14608"/>
  <c r="AW149" i="14608"/>
  <c r="AX149" i="14608"/>
  <c r="AY149" i="14608"/>
  <c r="AZ149" i="14608"/>
  <c r="BA149" i="14608"/>
  <c r="BB149" i="14608"/>
  <c r="BC149" i="14608"/>
  <c r="BD149" i="14608"/>
  <c r="BE149" i="14608"/>
  <c r="BF149" i="14608"/>
  <c r="BG149" i="14608"/>
  <c r="BH149" i="14608"/>
  <c r="BI149" i="14608"/>
  <c r="BJ149" i="14608"/>
  <c r="BK149" i="14608"/>
  <c r="BL149" i="14608"/>
  <c r="BM149" i="14608"/>
  <c r="BN149" i="14608"/>
  <c r="BO149" i="14608"/>
  <c r="BP149" i="14608"/>
  <c r="BQ149" i="14608"/>
  <c r="BR149" i="14608"/>
  <c r="BS149" i="14608"/>
  <c r="BT149" i="14608"/>
  <c r="BU149" i="14608"/>
  <c r="BV149" i="14608"/>
  <c r="BW149" i="14608"/>
  <c r="BX149" i="14608"/>
  <c r="BY149" i="14608"/>
  <c r="BZ149" i="14608"/>
  <c r="CA149" i="14608"/>
  <c r="CB149" i="14608"/>
  <c r="CC149" i="14608"/>
  <c r="CD149" i="14608"/>
  <c r="CE149" i="14608"/>
  <c r="CF149" i="14608"/>
  <c r="CG149" i="14608"/>
  <c r="CH149" i="14608"/>
  <c r="CI149" i="14608"/>
  <c r="CJ149" i="14608"/>
  <c r="CK149" i="14608"/>
  <c r="CL149" i="14608"/>
  <c r="CM149" i="14608"/>
  <c r="CN149" i="14608"/>
  <c r="CO149" i="14608"/>
  <c r="CP149" i="14608"/>
  <c r="CQ149" i="14608"/>
  <c r="CR149" i="14608"/>
  <c r="CS149" i="14608"/>
  <c r="CT149" i="14608"/>
  <c r="CU149" i="14608"/>
  <c r="CV149" i="14608"/>
  <c r="CW149" i="14608"/>
  <c r="CX149" i="14608"/>
  <c r="CY149" i="14608"/>
  <c r="CZ149" i="14608"/>
  <c r="DA149" i="14608"/>
  <c r="DB149" i="14608"/>
  <c r="DC149" i="14608"/>
  <c r="DD149" i="14608"/>
  <c r="DE149" i="14608"/>
  <c r="DF149" i="14608"/>
  <c r="DG149" i="14608"/>
  <c r="DH149" i="14608"/>
  <c r="DI149" i="14608"/>
  <c r="DJ149" i="14608"/>
  <c r="DK149" i="14608"/>
  <c r="DL149" i="14608"/>
  <c r="DM149" i="14608"/>
  <c r="DN149" i="14608"/>
  <c r="DO149" i="14608"/>
  <c r="DP149" i="14608"/>
  <c r="DQ149" i="14608"/>
  <c r="DR149" i="14608"/>
  <c r="DS149" i="14608"/>
  <c r="DT149" i="14608"/>
  <c r="DU149" i="14608"/>
  <c r="DV149" i="14608"/>
  <c r="DW149" i="14608"/>
  <c r="DX149" i="14608"/>
  <c r="DY149" i="14608"/>
  <c r="DZ149" i="14608"/>
  <c r="EA149" i="14608"/>
  <c r="EB149" i="14608"/>
  <c r="EC149" i="14608"/>
  <c r="ED149" i="14608"/>
  <c r="EE149" i="14608"/>
  <c r="EF149" i="14608"/>
  <c r="EG149" i="14608"/>
  <c r="EH149" i="14608"/>
  <c r="EI149" i="14608"/>
  <c r="EJ149" i="14608"/>
  <c r="EK149" i="14608"/>
  <c r="EL149" i="14608"/>
  <c r="EM149" i="14608"/>
  <c r="EN149" i="14608"/>
  <c r="EO149" i="14608"/>
  <c r="EP149" i="14608"/>
  <c r="EQ149" i="14608"/>
  <c r="ER149" i="14608"/>
  <c r="ES149" i="14608"/>
  <c r="ET149" i="14608"/>
  <c r="EU149" i="14608"/>
  <c r="EV149" i="14608"/>
  <c r="EW149" i="14608"/>
  <c r="EX149" i="14608"/>
  <c r="EY149" i="14608"/>
  <c r="EZ149" i="14608"/>
  <c r="FA149" i="14608"/>
  <c r="FB149" i="14608"/>
  <c r="FC149" i="14608"/>
  <c r="FD149" i="14608"/>
  <c r="FE149" i="14608"/>
  <c r="FF149" i="14608"/>
  <c r="FG149" i="14608"/>
  <c r="FH149" i="14608"/>
  <c r="FI149" i="14608"/>
  <c r="FJ149" i="14608"/>
  <c r="FK149" i="14608"/>
  <c r="FL149" i="14608"/>
  <c r="FM149" i="14608"/>
  <c r="FN149" i="14608"/>
  <c r="FO149" i="14608"/>
  <c r="FP149" i="14608"/>
  <c r="FQ149" i="14608"/>
  <c r="FR149" i="14608"/>
  <c r="FS149" i="14608"/>
  <c r="FT149" i="14608"/>
  <c r="FU149" i="14608"/>
  <c r="FV149" i="14608"/>
  <c r="FW149" i="14608"/>
  <c r="FX149" i="14608"/>
  <c r="FY149" i="14608"/>
  <c r="FZ149" i="14608"/>
  <c r="GA149" i="14608"/>
  <c r="GB149" i="14608"/>
  <c r="GC149" i="14608"/>
  <c r="GD149" i="14608"/>
  <c r="GE149" i="14608"/>
  <c r="GF149" i="14608"/>
  <c r="GG149" i="14608"/>
  <c r="GH149" i="14608"/>
  <c r="GI149" i="14608"/>
  <c r="GJ149" i="14608"/>
  <c r="GK149" i="14608"/>
  <c r="GL149" i="14608"/>
  <c r="GM149" i="14608"/>
  <c r="GN149" i="14608"/>
  <c r="GO149" i="14608"/>
  <c r="GP149" i="14608"/>
  <c r="GQ149" i="14608"/>
  <c r="GR149" i="14608"/>
  <c r="GS149" i="14608"/>
  <c r="GT149" i="14608"/>
  <c r="GU149" i="14608"/>
  <c r="GV149" i="14608"/>
  <c r="GW149" i="14608"/>
  <c r="GX149" i="14608"/>
  <c r="GY149" i="14608"/>
  <c r="GZ149" i="14608"/>
  <c r="HA149" i="14608"/>
  <c r="HB149" i="14608"/>
  <c r="HC149" i="14608"/>
  <c r="HD149" i="14608"/>
  <c r="HE149" i="14608"/>
  <c r="HF149" i="14608"/>
  <c r="HG149" i="14608"/>
  <c r="HH149" i="14608"/>
  <c r="HI149" i="14608"/>
  <c r="HJ149" i="14608"/>
  <c r="HK149" i="14608"/>
  <c r="HL149" i="14608"/>
  <c r="HM149" i="14608"/>
  <c r="HN149" i="14608"/>
  <c r="HO149" i="14608"/>
  <c r="HP149" i="14608"/>
  <c r="HQ149" i="14608"/>
  <c r="HR149" i="14608"/>
  <c r="HS149" i="14608"/>
  <c r="HT149" i="14608"/>
  <c r="HU149" i="14608"/>
  <c r="HV149" i="14608"/>
  <c r="HW149" i="14608"/>
  <c r="HX149" i="14608"/>
  <c r="HY149" i="14608"/>
  <c r="HZ149" i="14608"/>
  <c r="IA149" i="14608"/>
  <c r="IB149" i="14608"/>
  <c r="IC149" i="14608"/>
  <c r="ID149" i="14608"/>
  <c r="IE149" i="14608"/>
  <c r="IF149" i="14608"/>
  <c r="IG149" i="14608"/>
  <c r="IH149" i="14608"/>
  <c r="II149" i="14608"/>
  <c r="IJ149" i="14608"/>
  <c r="IK149" i="14608"/>
  <c r="IL149" i="14608"/>
  <c r="IM149" i="14608"/>
  <c r="IN149" i="14608"/>
  <c r="IO149" i="14608"/>
  <c r="IP149" i="14608"/>
  <c r="IQ149" i="14608"/>
  <c r="IR149" i="14608"/>
  <c r="IS149" i="14608"/>
  <c r="IT149" i="14608"/>
  <c r="IU149" i="14608"/>
  <c r="IV149" i="14608"/>
  <c r="A148" i="14608"/>
  <c r="B148" i="14608"/>
  <c r="C148" i="14608"/>
  <c r="D148" i="14608"/>
  <c r="E148" i="14608"/>
  <c r="F148" i="14608"/>
  <c r="G148" i="14608"/>
  <c r="H148" i="14608"/>
  <c r="I148" i="14608"/>
  <c r="J148" i="14608"/>
  <c r="K148" i="14608"/>
  <c r="L148" i="14608"/>
  <c r="M148" i="14608"/>
  <c r="N148" i="14608"/>
  <c r="O148" i="14608"/>
  <c r="P148" i="14608"/>
  <c r="Q148" i="14608"/>
  <c r="R148" i="14608"/>
  <c r="S148" i="14608"/>
  <c r="T148" i="14608"/>
  <c r="U148" i="14608"/>
  <c r="V148" i="14608"/>
  <c r="W148" i="14608"/>
  <c r="X148" i="14608"/>
  <c r="Y148" i="14608"/>
  <c r="Z148" i="14608"/>
  <c r="AA148" i="14608"/>
  <c r="AB148" i="14608"/>
  <c r="AC148" i="14608"/>
  <c r="AD148" i="14608"/>
  <c r="AE148" i="14608"/>
  <c r="AF148" i="14608"/>
  <c r="AG148" i="14608"/>
  <c r="AH148" i="14608"/>
  <c r="AI148" i="14608"/>
  <c r="AJ148" i="14608"/>
  <c r="AK148" i="14608"/>
  <c r="AL148" i="14608"/>
  <c r="AM148" i="14608"/>
  <c r="AN148" i="14608"/>
  <c r="AO148" i="14608"/>
  <c r="AP148" i="14608"/>
  <c r="AQ148" i="14608"/>
  <c r="AR148" i="14608"/>
  <c r="AS148" i="14608"/>
  <c r="AT148" i="14608"/>
  <c r="AU148" i="14608"/>
  <c r="AV148" i="14608"/>
  <c r="AW148" i="14608"/>
  <c r="AX148" i="14608"/>
  <c r="AY148" i="14608"/>
  <c r="AZ148" i="14608"/>
  <c r="BA148" i="14608"/>
  <c r="BB148" i="14608"/>
  <c r="BC148" i="14608"/>
  <c r="BD148" i="14608"/>
  <c r="BE148" i="14608"/>
  <c r="BF148" i="14608"/>
  <c r="BG148" i="14608"/>
  <c r="BH148" i="14608"/>
  <c r="BI148" i="14608"/>
  <c r="BJ148" i="14608"/>
  <c r="BK148" i="14608"/>
  <c r="BL148" i="14608"/>
  <c r="BM148" i="14608"/>
  <c r="BN148" i="14608"/>
  <c r="BO148" i="14608"/>
  <c r="BP148" i="14608"/>
  <c r="BQ148" i="14608"/>
  <c r="BR148" i="14608"/>
  <c r="BS148" i="14608"/>
  <c r="BT148" i="14608"/>
  <c r="BU148" i="14608"/>
  <c r="BV148" i="14608"/>
  <c r="BW148" i="14608"/>
  <c r="BX148" i="14608"/>
  <c r="BY148" i="14608"/>
  <c r="BZ148" i="14608"/>
  <c r="CA148" i="14608"/>
  <c r="CB148" i="14608"/>
  <c r="CC148" i="14608"/>
  <c r="CD148" i="14608"/>
  <c r="CE148" i="14608"/>
  <c r="CF148" i="14608"/>
  <c r="CG148" i="14608"/>
  <c r="CH148" i="14608"/>
  <c r="CI148" i="14608"/>
  <c r="CJ148" i="14608"/>
  <c r="CK148" i="14608"/>
  <c r="CL148" i="14608"/>
  <c r="CM148" i="14608"/>
  <c r="CN148" i="14608"/>
  <c r="CO148" i="14608"/>
  <c r="CP148" i="14608"/>
  <c r="CQ148" i="14608"/>
  <c r="CR148" i="14608"/>
  <c r="CS148" i="14608"/>
  <c r="CT148" i="14608"/>
  <c r="CU148" i="14608"/>
  <c r="CV148" i="14608"/>
  <c r="CW148" i="14608"/>
  <c r="CX148" i="14608"/>
  <c r="CY148" i="14608"/>
  <c r="CZ148" i="14608"/>
  <c r="DA148" i="14608"/>
  <c r="DB148" i="14608"/>
  <c r="DC148" i="14608"/>
  <c r="DD148" i="14608"/>
  <c r="DE148" i="14608"/>
  <c r="DF148" i="14608"/>
  <c r="DG148" i="14608"/>
  <c r="DH148" i="14608"/>
  <c r="DI148" i="14608"/>
  <c r="DJ148" i="14608"/>
  <c r="DK148" i="14608"/>
  <c r="DL148" i="14608"/>
  <c r="DM148" i="14608"/>
  <c r="DN148" i="14608"/>
  <c r="DO148" i="14608"/>
  <c r="DP148" i="14608"/>
  <c r="DQ148" i="14608"/>
  <c r="DR148" i="14608"/>
  <c r="DS148" i="14608"/>
  <c r="DT148" i="14608"/>
  <c r="DU148" i="14608"/>
  <c r="DV148" i="14608"/>
  <c r="DW148" i="14608"/>
  <c r="DX148" i="14608"/>
  <c r="DY148" i="14608"/>
  <c r="DZ148" i="14608"/>
  <c r="EA148" i="14608"/>
  <c r="EB148" i="14608"/>
  <c r="EC148" i="14608"/>
  <c r="ED148" i="14608"/>
  <c r="EE148" i="14608"/>
  <c r="EF148" i="14608"/>
  <c r="EG148" i="14608"/>
  <c r="EH148" i="14608"/>
  <c r="EI148" i="14608"/>
  <c r="EJ148" i="14608"/>
  <c r="EK148" i="14608"/>
  <c r="EL148" i="14608"/>
  <c r="EM148" i="14608"/>
  <c r="EN148" i="14608"/>
  <c r="EO148" i="14608"/>
  <c r="EP148" i="14608"/>
  <c r="EQ148" i="14608"/>
  <c r="ER148" i="14608"/>
  <c r="ES148" i="14608"/>
  <c r="ET148" i="14608"/>
  <c r="EU148" i="14608"/>
  <c r="EV148" i="14608"/>
  <c r="EW148" i="14608"/>
  <c r="EX148" i="14608"/>
  <c r="EY148" i="14608"/>
  <c r="EZ148" i="14608"/>
  <c r="FA148" i="14608"/>
  <c r="FB148" i="14608"/>
  <c r="FC148" i="14608"/>
  <c r="FD148" i="14608"/>
  <c r="FE148" i="14608"/>
  <c r="FF148" i="14608"/>
  <c r="FG148" i="14608"/>
  <c r="FH148" i="14608"/>
  <c r="FI148" i="14608"/>
  <c r="FJ148" i="14608"/>
  <c r="FK148" i="14608"/>
  <c r="FL148" i="14608"/>
  <c r="FM148" i="14608"/>
  <c r="FN148" i="14608"/>
  <c r="FO148" i="14608"/>
  <c r="FP148" i="14608"/>
  <c r="FQ148" i="14608"/>
  <c r="FR148" i="14608"/>
  <c r="FS148" i="14608"/>
  <c r="FT148" i="14608"/>
  <c r="FU148" i="14608"/>
  <c r="FV148" i="14608"/>
  <c r="FW148" i="14608"/>
  <c r="FX148" i="14608"/>
  <c r="FY148" i="14608"/>
  <c r="FZ148" i="14608"/>
  <c r="GA148" i="14608"/>
  <c r="GB148" i="14608"/>
  <c r="GC148" i="14608"/>
  <c r="GD148" i="14608"/>
  <c r="GE148" i="14608"/>
  <c r="GF148" i="14608"/>
  <c r="GG148" i="14608"/>
  <c r="GH148" i="14608"/>
  <c r="GI148" i="14608"/>
  <c r="GJ148" i="14608"/>
  <c r="GK148" i="14608"/>
  <c r="GL148" i="14608"/>
  <c r="GM148" i="14608"/>
  <c r="GN148" i="14608"/>
  <c r="GO148" i="14608"/>
  <c r="GP148" i="14608"/>
  <c r="GQ148" i="14608"/>
  <c r="GR148" i="14608"/>
  <c r="GS148" i="14608"/>
  <c r="GT148" i="14608"/>
  <c r="GU148" i="14608"/>
  <c r="GV148" i="14608"/>
  <c r="GW148" i="14608"/>
  <c r="GX148" i="14608"/>
  <c r="GY148" i="14608"/>
  <c r="GZ148" i="14608"/>
  <c r="HA148" i="14608"/>
  <c r="HB148" i="14608"/>
  <c r="HC148" i="14608"/>
  <c r="HD148" i="14608"/>
  <c r="HE148" i="14608"/>
  <c r="HF148" i="14608"/>
  <c r="HG148" i="14608"/>
  <c r="HH148" i="14608"/>
  <c r="HI148" i="14608"/>
  <c r="HJ148" i="14608"/>
  <c r="HK148" i="14608"/>
  <c r="HL148" i="14608"/>
  <c r="HM148" i="14608"/>
  <c r="HN148" i="14608"/>
  <c r="HO148" i="14608"/>
  <c r="HP148" i="14608"/>
  <c r="HQ148" i="14608"/>
  <c r="HR148" i="14608"/>
  <c r="HS148" i="14608"/>
  <c r="HT148" i="14608"/>
  <c r="HU148" i="14608"/>
  <c r="HV148" i="14608"/>
  <c r="HW148" i="14608"/>
  <c r="HX148" i="14608"/>
  <c r="HY148" i="14608"/>
  <c r="HZ148" i="14608"/>
  <c r="IA148" i="14608"/>
  <c r="IB148" i="14608"/>
  <c r="IC148" i="14608"/>
  <c r="ID148" i="14608"/>
  <c r="IE148" i="14608"/>
  <c r="IF148" i="14608"/>
  <c r="IG148" i="14608"/>
  <c r="IH148" i="14608"/>
  <c r="II148" i="14608"/>
  <c r="IJ148" i="14608"/>
  <c r="IK148" i="14608"/>
  <c r="IL148" i="14608"/>
  <c r="IM148" i="14608"/>
  <c r="IN148" i="14608"/>
  <c r="IO148" i="14608"/>
  <c r="IP148" i="14608"/>
  <c r="IQ148" i="14608"/>
  <c r="IR148" i="14608"/>
  <c r="IS148" i="14608"/>
  <c r="IT148" i="14608"/>
  <c r="IU148" i="14608"/>
  <c r="IV148" i="14608"/>
  <c r="A147" i="14608"/>
  <c r="B147" i="14608"/>
  <c r="C147" i="14608"/>
  <c r="D147" i="14608"/>
  <c r="E147" i="14608"/>
  <c r="F147" i="14608"/>
  <c r="G147" i="14608"/>
  <c r="H147" i="14608"/>
  <c r="I147" i="14608"/>
  <c r="J147" i="14608"/>
  <c r="K147" i="14608"/>
  <c r="L147" i="14608"/>
  <c r="M147" i="14608"/>
  <c r="N147" i="14608"/>
  <c r="O147" i="14608"/>
  <c r="P147" i="14608"/>
  <c r="Q147" i="14608"/>
  <c r="R147" i="14608"/>
  <c r="S147" i="14608"/>
  <c r="T147" i="14608"/>
  <c r="U147" i="14608"/>
  <c r="V147" i="14608"/>
  <c r="W147" i="14608"/>
  <c r="X147" i="14608"/>
  <c r="Y147" i="14608"/>
  <c r="Z147" i="14608"/>
  <c r="AA147" i="14608"/>
  <c r="AB147" i="14608"/>
  <c r="AC147" i="14608"/>
  <c r="AD147" i="14608"/>
  <c r="AE147" i="14608"/>
  <c r="AF147" i="14608"/>
  <c r="AG147" i="14608"/>
  <c r="AH147" i="14608"/>
  <c r="AI147" i="14608"/>
  <c r="AJ147" i="14608"/>
  <c r="AK147" i="14608"/>
  <c r="AL147" i="14608"/>
  <c r="AM147" i="14608"/>
  <c r="AN147" i="14608"/>
  <c r="AO147" i="14608"/>
  <c r="AP147" i="14608"/>
  <c r="AQ147" i="14608"/>
  <c r="AR147" i="14608"/>
  <c r="AS147" i="14608"/>
  <c r="AT147" i="14608"/>
  <c r="AU147" i="14608"/>
  <c r="AV147" i="14608"/>
  <c r="AW147" i="14608"/>
  <c r="AX147" i="14608"/>
  <c r="AY147" i="14608"/>
  <c r="AZ147" i="14608"/>
  <c r="BA147" i="14608"/>
  <c r="BB147" i="14608"/>
  <c r="BC147" i="14608"/>
  <c r="BD147" i="14608"/>
  <c r="BE147" i="14608"/>
  <c r="BF147" i="14608"/>
  <c r="BG147" i="14608"/>
  <c r="BH147" i="14608"/>
  <c r="BI147" i="14608"/>
  <c r="BJ147" i="14608"/>
  <c r="BK147" i="14608"/>
  <c r="BL147" i="14608"/>
  <c r="BM147" i="14608"/>
  <c r="BN147" i="14608"/>
  <c r="BO147" i="14608"/>
  <c r="BP147" i="14608"/>
  <c r="BQ147" i="14608"/>
  <c r="BR147" i="14608"/>
  <c r="BS147" i="14608"/>
  <c r="BT147" i="14608"/>
  <c r="BU147" i="14608"/>
  <c r="BV147" i="14608"/>
  <c r="BW147" i="14608"/>
  <c r="BX147" i="14608"/>
  <c r="BY147" i="14608"/>
  <c r="BZ147" i="14608"/>
  <c r="CA147" i="14608"/>
  <c r="CB147" i="14608"/>
  <c r="CC147" i="14608"/>
  <c r="CD147" i="14608"/>
  <c r="CE147" i="14608"/>
  <c r="CF147" i="14608"/>
  <c r="CG147" i="14608"/>
  <c r="CH147" i="14608"/>
  <c r="CI147" i="14608"/>
  <c r="CJ147" i="14608"/>
  <c r="CK147" i="14608"/>
  <c r="CL147" i="14608"/>
  <c r="CM147" i="14608"/>
  <c r="CN147" i="14608"/>
  <c r="CO147" i="14608"/>
  <c r="CP147" i="14608"/>
  <c r="CQ147" i="14608"/>
  <c r="CR147" i="14608"/>
  <c r="CS147" i="14608"/>
  <c r="CT147" i="14608"/>
  <c r="CU147" i="14608"/>
  <c r="CV147" i="14608"/>
  <c r="CW147" i="14608"/>
  <c r="CX147" i="14608"/>
  <c r="CY147" i="14608"/>
  <c r="CZ147" i="14608"/>
  <c r="DA147" i="14608"/>
  <c r="DB147" i="14608"/>
  <c r="DC147" i="14608"/>
  <c r="DD147" i="14608"/>
  <c r="DE147" i="14608"/>
  <c r="DF147" i="14608"/>
  <c r="DG147" i="14608"/>
  <c r="DH147" i="14608"/>
  <c r="DI147" i="14608"/>
  <c r="DJ147" i="14608"/>
  <c r="DK147" i="14608"/>
  <c r="DL147" i="14608"/>
  <c r="DM147" i="14608"/>
  <c r="DN147" i="14608"/>
  <c r="DO147" i="14608"/>
  <c r="DP147" i="14608"/>
  <c r="DQ147" i="14608"/>
  <c r="DR147" i="14608"/>
  <c r="DS147" i="14608"/>
  <c r="DT147" i="14608"/>
  <c r="DU147" i="14608"/>
  <c r="DV147" i="14608"/>
  <c r="DW147" i="14608"/>
  <c r="DX147" i="14608"/>
  <c r="DY147" i="14608"/>
  <c r="DZ147" i="14608"/>
  <c r="EA147" i="14608"/>
  <c r="EB147" i="14608"/>
  <c r="EC147" i="14608"/>
  <c r="ED147" i="14608"/>
  <c r="EE147" i="14608"/>
  <c r="EF147" i="14608"/>
  <c r="EG147" i="14608"/>
  <c r="EH147" i="14608"/>
  <c r="EI147" i="14608"/>
  <c r="EJ147" i="14608"/>
  <c r="EK147" i="14608"/>
  <c r="EL147" i="14608"/>
  <c r="EM147" i="14608"/>
  <c r="EN147" i="14608"/>
  <c r="EO147" i="14608"/>
  <c r="EP147" i="14608"/>
  <c r="EQ147" i="14608"/>
  <c r="ER147" i="14608"/>
  <c r="ES147" i="14608"/>
  <c r="ET147" i="14608"/>
  <c r="EU147" i="14608"/>
  <c r="EV147" i="14608"/>
  <c r="EW147" i="14608"/>
  <c r="EX147" i="14608"/>
  <c r="EY147" i="14608"/>
  <c r="EZ147" i="14608"/>
  <c r="FA147" i="14608"/>
  <c r="FB147" i="14608"/>
  <c r="FC147" i="14608"/>
  <c r="FD147" i="14608"/>
  <c r="FE147" i="14608"/>
  <c r="FF147" i="14608"/>
  <c r="FG147" i="14608"/>
  <c r="FH147" i="14608"/>
  <c r="FI147" i="14608"/>
  <c r="FJ147" i="14608"/>
  <c r="FK147" i="14608"/>
  <c r="FL147" i="14608"/>
  <c r="FM147" i="14608"/>
  <c r="FN147" i="14608"/>
  <c r="FO147" i="14608"/>
  <c r="FP147" i="14608"/>
  <c r="FQ147" i="14608"/>
  <c r="FR147" i="14608"/>
  <c r="FS147" i="14608"/>
  <c r="FT147" i="14608"/>
  <c r="FU147" i="14608"/>
  <c r="FV147" i="14608"/>
  <c r="FW147" i="14608"/>
  <c r="FX147" i="14608"/>
  <c r="FY147" i="14608"/>
  <c r="FZ147" i="14608"/>
  <c r="GA147" i="14608"/>
  <c r="GB147" i="14608"/>
  <c r="GC147" i="14608"/>
  <c r="GD147" i="14608"/>
  <c r="GE147" i="14608"/>
  <c r="GF147" i="14608"/>
  <c r="GG147" i="14608"/>
  <c r="GH147" i="14608"/>
  <c r="GI147" i="14608"/>
  <c r="GJ147" i="14608"/>
  <c r="GK147" i="14608"/>
  <c r="GL147" i="14608"/>
  <c r="GM147" i="14608"/>
  <c r="GN147" i="14608"/>
  <c r="GO147" i="14608"/>
  <c r="GP147" i="14608"/>
  <c r="GQ147" i="14608"/>
  <c r="GR147" i="14608"/>
  <c r="GS147" i="14608"/>
  <c r="GT147" i="14608"/>
  <c r="GU147" i="14608"/>
  <c r="GV147" i="14608"/>
  <c r="GW147" i="14608"/>
  <c r="GX147" i="14608"/>
  <c r="GY147" i="14608"/>
  <c r="GZ147" i="14608"/>
  <c r="HA147" i="14608"/>
  <c r="HB147" i="14608"/>
  <c r="HC147" i="14608"/>
  <c r="HD147" i="14608"/>
  <c r="HE147" i="14608"/>
  <c r="HF147" i="14608"/>
  <c r="HG147" i="14608"/>
  <c r="HH147" i="14608"/>
  <c r="HI147" i="14608"/>
  <c r="HJ147" i="14608"/>
  <c r="HK147" i="14608"/>
  <c r="HL147" i="14608"/>
  <c r="HM147" i="14608"/>
  <c r="HN147" i="14608"/>
  <c r="HO147" i="14608"/>
  <c r="HP147" i="14608"/>
  <c r="HQ147" i="14608"/>
  <c r="HR147" i="14608"/>
  <c r="HS147" i="14608"/>
  <c r="HT147" i="14608"/>
  <c r="HU147" i="14608"/>
  <c r="HV147" i="14608"/>
  <c r="HW147" i="14608"/>
  <c r="HX147" i="14608"/>
  <c r="HY147" i="14608"/>
  <c r="HZ147" i="14608"/>
  <c r="IA147" i="14608"/>
  <c r="IB147" i="14608"/>
  <c r="IC147" i="14608"/>
  <c r="ID147" i="14608"/>
  <c r="IE147" i="14608"/>
  <c r="IF147" i="14608"/>
  <c r="IG147" i="14608"/>
  <c r="IH147" i="14608"/>
  <c r="II147" i="14608"/>
  <c r="IJ147" i="14608"/>
  <c r="IK147" i="14608"/>
  <c r="IL147" i="14608"/>
  <c r="IM147" i="14608"/>
  <c r="IN147" i="14608"/>
  <c r="IO147" i="14608"/>
  <c r="IP147" i="14608"/>
  <c r="IQ147" i="14608"/>
  <c r="IR147" i="14608"/>
  <c r="IS147" i="14608"/>
  <c r="IT147" i="14608"/>
  <c r="IU147" i="14608"/>
  <c r="IV147" i="14608"/>
  <c r="A146" i="14608"/>
  <c r="B146" i="14608"/>
  <c r="C146" i="14608"/>
  <c r="D146" i="14608"/>
  <c r="E146" i="14608"/>
  <c r="F146" i="14608"/>
  <c r="G146" i="14608"/>
  <c r="H146" i="14608"/>
  <c r="I146" i="14608"/>
  <c r="J146" i="14608"/>
  <c r="K146" i="14608"/>
  <c r="L146" i="14608"/>
  <c r="M146" i="14608"/>
  <c r="N146" i="14608"/>
  <c r="O146" i="14608"/>
  <c r="P146" i="14608"/>
  <c r="Q146" i="14608"/>
  <c r="R146" i="14608"/>
  <c r="S146" i="14608"/>
  <c r="T146" i="14608"/>
  <c r="U146" i="14608"/>
  <c r="V146" i="14608"/>
  <c r="W146" i="14608"/>
  <c r="X146" i="14608"/>
  <c r="Y146" i="14608"/>
  <c r="Z146" i="14608"/>
  <c r="AA146" i="14608"/>
  <c r="AB146" i="14608"/>
  <c r="AC146" i="14608"/>
  <c r="AD146" i="14608"/>
  <c r="AE146" i="14608"/>
  <c r="AF146" i="14608"/>
  <c r="AG146" i="14608"/>
  <c r="AH146" i="14608"/>
  <c r="AI146" i="14608"/>
  <c r="AJ146" i="14608"/>
  <c r="AK146" i="14608"/>
  <c r="AL146" i="14608"/>
  <c r="AM146" i="14608"/>
  <c r="AN146" i="14608"/>
  <c r="AO146" i="14608"/>
  <c r="AP146" i="14608"/>
  <c r="AQ146" i="14608"/>
  <c r="AR146" i="14608"/>
  <c r="AS146" i="14608"/>
  <c r="AT146" i="14608"/>
  <c r="AU146" i="14608"/>
  <c r="AV146" i="14608"/>
  <c r="AW146" i="14608"/>
  <c r="AX146" i="14608"/>
  <c r="AY146" i="14608"/>
  <c r="AZ146" i="14608"/>
  <c r="BA146" i="14608"/>
  <c r="BB146" i="14608"/>
  <c r="BC146" i="14608"/>
  <c r="BD146" i="14608"/>
  <c r="BE146" i="14608"/>
  <c r="BF146" i="14608"/>
  <c r="BG146" i="14608"/>
  <c r="BH146" i="14608"/>
  <c r="BI146" i="14608"/>
  <c r="BJ146" i="14608"/>
  <c r="BK146" i="14608"/>
  <c r="BL146" i="14608"/>
  <c r="BM146" i="14608"/>
  <c r="BN146" i="14608"/>
  <c r="BO146" i="14608"/>
  <c r="BP146" i="14608"/>
  <c r="BQ146" i="14608"/>
  <c r="BR146" i="14608"/>
  <c r="BS146" i="14608"/>
  <c r="BT146" i="14608"/>
  <c r="BU146" i="14608"/>
  <c r="BV146" i="14608"/>
  <c r="BW146" i="14608"/>
  <c r="BX146" i="14608"/>
  <c r="BY146" i="14608"/>
  <c r="BZ146" i="14608"/>
  <c r="CA146" i="14608"/>
  <c r="CB146" i="14608"/>
  <c r="CC146" i="14608"/>
  <c r="CD146" i="14608"/>
  <c r="CE146" i="14608"/>
  <c r="CF146" i="14608"/>
  <c r="CG146" i="14608"/>
  <c r="CH146" i="14608"/>
  <c r="CI146" i="14608"/>
  <c r="CJ146" i="14608"/>
  <c r="CK146" i="14608"/>
  <c r="CL146" i="14608"/>
  <c r="CM146" i="14608"/>
  <c r="CN146" i="14608"/>
  <c r="CO146" i="14608"/>
  <c r="CP146" i="14608"/>
  <c r="CQ146" i="14608"/>
  <c r="CR146" i="14608"/>
  <c r="CS146" i="14608"/>
  <c r="CT146" i="14608"/>
  <c r="CU146" i="14608"/>
  <c r="CV146" i="14608"/>
  <c r="CW146" i="14608"/>
  <c r="CX146" i="14608"/>
  <c r="CY146" i="14608"/>
  <c r="CZ146" i="14608"/>
  <c r="DA146" i="14608"/>
  <c r="DB146" i="14608"/>
  <c r="DC146" i="14608"/>
  <c r="DD146" i="14608"/>
  <c r="DE146" i="14608"/>
  <c r="DF146" i="14608"/>
  <c r="DG146" i="14608"/>
  <c r="DH146" i="14608"/>
  <c r="DI146" i="14608"/>
  <c r="DJ146" i="14608"/>
  <c r="DK146" i="14608"/>
  <c r="DL146" i="14608"/>
  <c r="DM146" i="14608"/>
  <c r="DN146" i="14608"/>
  <c r="DO146" i="14608"/>
  <c r="DP146" i="14608"/>
  <c r="DQ146" i="14608"/>
  <c r="DR146" i="14608"/>
  <c r="DS146" i="14608"/>
  <c r="DT146" i="14608"/>
  <c r="DU146" i="14608"/>
  <c r="DV146" i="14608"/>
  <c r="DW146" i="14608"/>
  <c r="DX146" i="14608"/>
  <c r="DY146" i="14608"/>
  <c r="DZ146" i="14608"/>
  <c r="EA146" i="14608"/>
  <c r="EB146" i="14608"/>
  <c r="EC146" i="14608"/>
  <c r="ED146" i="14608"/>
  <c r="EE146" i="14608"/>
  <c r="EF146" i="14608"/>
  <c r="EG146" i="14608"/>
  <c r="EH146" i="14608"/>
  <c r="EI146" i="14608"/>
  <c r="EJ146" i="14608"/>
  <c r="EK146" i="14608"/>
  <c r="EL146" i="14608"/>
  <c r="EM146" i="14608"/>
  <c r="EN146" i="14608"/>
  <c r="EO146" i="14608"/>
  <c r="EP146" i="14608"/>
  <c r="EQ146" i="14608"/>
  <c r="ER146" i="14608"/>
  <c r="ES146" i="14608"/>
  <c r="ET146" i="14608"/>
  <c r="EU146" i="14608"/>
  <c r="EV146" i="14608"/>
  <c r="EW146" i="14608"/>
  <c r="EX146" i="14608"/>
  <c r="EY146" i="14608"/>
  <c r="EZ146" i="14608"/>
  <c r="FA146" i="14608"/>
  <c r="FB146" i="14608"/>
  <c r="FC146" i="14608"/>
  <c r="FD146" i="14608"/>
  <c r="FE146" i="14608"/>
  <c r="FF146" i="14608"/>
  <c r="FG146" i="14608"/>
  <c r="FH146" i="14608"/>
  <c r="FI146" i="14608"/>
  <c r="FJ146" i="14608"/>
  <c r="FK146" i="14608"/>
  <c r="FL146" i="14608"/>
  <c r="FM146" i="14608"/>
  <c r="FN146" i="14608"/>
  <c r="FO146" i="14608"/>
  <c r="FP146" i="14608"/>
  <c r="FQ146" i="14608"/>
  <c r="FR146" i="14608"/>
  <c r="FS146" i="14608"/>
  <c r="FT146" i="14608"/>
  <c r="FU146" i="14608"/>
  <c r="FV146" i="14608"/>
  <c r="FW146" i="14608"/>
  <c r="FX146" i="14608"/>
  <c r="FY146" i="14608"/>
  <c r="FZ146" i="14608"/>
  <c r="GA146" i="14608"/>
  <c r="GB146" i="14608"/>
  <c r="GC146" i="14608"/>
  <c r="GD146" i="14608"/>
  <c r="GE146" i="14608"/>
  <c r="GF146" i="14608"/>
  <c r="GG146" i="14608"/>
  <c r="GH146" i="14608"/>
  <c r="GI146" i="14608"/>
  <c r="GJ146" i="14608"/>
  <c r="GK146" i="14608"/>
  <c r="GL146" i="14608"/>
  <c r="GM146" i="14608"/>
  <c r="GN146" i="14608"/>
  <c r="GO146" i="14608"/>
  <c r="GP146" i="14608"/>
  <c r="GQ146" i="14608"/>
  <c r="GR146" i="14608"/>
  <c r="GS146" i="14608"/>
  <c r="GT146" i="14608"/>
  <c r="GU146" i="14608"/>
  <c r="GV146" i="14608"/>
  <c r="GW146" i="14608"/>
  <c r="GX146" i="14608"/>
  <c r="GY146" i="14608"/>
  <c r="GZ146" i="14608"/>
  <c r="HA146" i="14608"/>
  <c r="HB146" i="14608"/>
  <c r="HC146" i="14608"/>
  <c r="HD146" i="14608"/>
  <c r="HE146" i="14608"/>
  <c r="HF146" i="14608"/>
  <c r="HG146" i="14608"/>
  <c r="HH146" i="14608"/>
  <c r="HI146" i="14608"/>
  <c r="HJ146" i="14608"/>
  <c r="HK146" i="14608"/>
  <c r="HL146" i="14608"/>
  <c r="HM146" i="14608"/>
  <c r="HN146" i="14608"/>
  <c r="HO146" i="14608"/>
  <c r="HP146" i="14608"/>
  <c r="HQ146" i="14608"/>
  <c r="HR146" i="14608"/>
  <c r="HS146" i="14608"/>
  <c r="HT146" i="14608"/>
  <c r="HU146" i="14608"/>
  <c r="HV146" i="14608"/>
  <c r="HW146" i="14608"/>
  <c r="HX146" i="14608"/>
  <c r="HY146" i="14608"/>
  <c r="HZ146" i="14608"/>
  <c r="IA146" i="14608"/>
  <c r="IB146" i="14608"/>
  <c r="IC146" i="14608"/>
  <c r="ID146" i="14608"/>
  <c r="IE146" i="14608"/>
  <c r="IF146" i="14608"/>
  <c r="IG146" i="14608"/>
  <c r="IH146" i="14608"/>
  <c r="II146" i="14608"/>
  <c r="IJ146" i="14608"/>
  <c r="IK146" i="14608"/>
  <c r="IL146" i="14608"/>
  <c r="IM146" i="14608"/>
  <c r="IN146" i="14608"/>
  <c r="IO146" i="14608"/>
  <c r="IP146" i="14608"/>
  <c r="IQ146" i="14608"/>
  <c r="IR146" i="14608"/>
  <c r="IS146" i="14608"/>
  <c r="IT146" i="14608"/>
  <c r="IU146" i="14608"/>
  <c r="IV146" i="14608"/>
  <c r="A145" i="14608"/>
  <c r="B145" i="14608"/>
  <c r="C145" i="14608"/>
  <c r="D145" i="14608"/>
  <c r="E145" i="14608"/>
  <c r="F145" i="14608"/>
  <c r="G145" i="14608"/>
  <c r="H145" i="14608"/>
  <c r="I145" i="14608"/>
  <c r="J145" i="14608"/>
  <c r="K145" i="14608"/>
  <c r="L145" i="14608"/>
  <c r="M145" i="14608"/>
  <c r="N145" i="14608"/>
  <c r="O145" i="14608"/>
  <c r="P145" i="14608"/>
  <c r="Q145" i="14608"/>
  <c r="R145" i="14608"/>
  <c r="S145" i="14608"/>
  <c r="T145" i="14608"/>
  <c r="U145" i="14608"/>
  <c r="V145" i="14608"/>
  <c r="W145" i="14608"/>
  <c r="X145" i="14608"/>
  <c r="Y145" i="14608"/>
  <c r="Z145" i="14608"/>
  <c r="AA145" i="14608"/>
  <c r="AB145" i="14608"/>
  <c r="AC145" i="14608"/>
  <c r="AD145" i="14608"/>
  <c r="AE145" i="14608"/>
  <c r="AF145" i="14608"/>
  <c r="AG145" i="14608"/>
  <c r="AH145" i="14608"/>
  <c r="AI145" i="14608"/>
  <c r="AJ145" i="14608"/>
  <c r="AK145" i="14608"/>
  <c r="AL145" i="14608"/>
  <c r="AM145" i="14608"/>
  <c r="AN145" i="14608"/>
  <c r="AO145" i="14608"/>
  <c r="AP145" i="14608"/>
  <c r="AQ145" i="14608"/>
  <c r="AR145" i="14608"/>
  <c r="AS145" i="14608"/>
  <c r="AT145" i="14608"/>
  <c r="AU145" i="14608"/>
  <c r="AV145" i="14608"/>
  <c r="AW145" i="14608"/>
  <c r="AX145" i="14608"/>
  <c r="AY145" i="14608"/>
  <c r="AZ145" i="14608"/>
  <c r="BA145" i="14608"/>
  <c r="BB145" i="14608"/>
  <c r="BC145" i="14608"/>
  <c r="BD145" i="14608"/>
  <c r="BE145" i="14608"/>
  <c r="BF145" i="14608"/>
  <c r="BG145" i="14608"/>
  <c r="BH145" i="14608"/>
  <c r="BI145" i="14608"/>
  <c r="BJ145" i="14608"/>
  <c r="BK145" i="14608"/>
  <c r="BL145" i="14608"/>
  <c r="BM145" i="14608"/>
  <c r="BN145" i="14608"/>
  <c r="BO145" i="14608"/>
  <c r="BP145" i="14608"/>
  <c r="BQ145" i="14608"/>
  <c r="BR145" i="14608"/>
  <c r="BS145" i="14608"/>
  <c r="BT145" i="14608"/>
  <c r="BU145" i="14608"/>
  <c r="BV145" i="14608"/>
  <c r="BW145" i="14608"/>
  <c r="BX145" i="14608"/>
  <c r="BY145" i="14608"/>
  <c r="BZ145" i="14608"/>
  <c r="CA145" i="14608"/>
  <c r="CB145" i="14608"/>
  <c r="CC145" i="14608"/>
  <c r="CD145" i="14608"/>
  <c r="CE145" i="14608"/>
  <c r="CF145" i="14608"/>
  <c r="CG145" i="14608"/>
  <c r="CH145" i="14608"/>
  <c r="CI145" i="14608"/>
  <c r="CJ145" i="14608"/>
  <c r="CK145" i="14608"/>
  <c r="CL145" i="14608"/>
  <c r="CM145" i="14608"/>
  <c r="CN145" i="14608"/>
  <c r="CO145" i="14608"/>
  <c r="CP145" i="14608"/>
  <c r="CQ145" i="14608"/>
  <c r="CR145" i="14608"/>
  <c r="CS145" i="14608"/>
  <c r="CT145" i="14608"/>
  <c r="CU145" i="14608"/>
  <c r="CV145" i="14608"/>
  <c r="CW145" i="14608"/>
  <c r="CX145" i="14608"/>
  <c r="CY145" i="14608"/>
  <c r="CZ145" i="14608"/>
  <c r="DA145" i="14608"/>
  <c r="DB145" i="14608"/>
  <c r="DC145" i="14608"/>
  <c r="DD145" i="14608"/>
  <c r="DE145" i="14608"/>
  <c r="DF145" i="14608"/>
  <c r="DG145" i="14608"/>
  <c r="DH145" i="14608"/>
  <c r="DI145" i="14608"/>
  <c r="DJ145" i="14608"/>
  <c r="DK145" i="14608"/>
  <c r="DL145" i="14608"/>
  <c r="DM145" i="14608"/>
  <c r="DN145" i="14608"/>
  <c r="DO145" i="14608"/>
  <c r="DP145" i="14608"/>
  <c r="DQ145" i="14608"/>
  <c r="DR145" i="14608"/>
  <c r="DS145" i="14608"/>
  <c r="DT145" i="14608"/>
  <c r="DU145" i="14608"/>
  <c r="DV145" i="14608"/>
  <c r="DW145" i="14608"/>
  <c r="DX145" i="14608"/>
  <c r="DY145" i="14608"/>
  <c r="DZ145" i="14608"/>
  <c r="EA145" i="14608"/>
  <c r="EB145" i="14608"/>
  <c r="EC145" i="14608"/>
  <c r="ED145" i="14608"/>
  <c r="EE145" i="14608"/>
  <c r="EF145" i="14608"/>
  <c r="EG145" i="14608"/>
  <c r="EH145" i="14608"/>
  <c r="EI145" i="14608"/>
  <c r="EJ145" i="14608"/>
  <c r="EK145" i="14608"/>
  <c r="EL145" i="14608"/>
  <c r="EM145" i="14608"/>
  <c r="EN145" i="14608"/>
  <c r="EO145" i="14608"/>
  <c r="EP145" i="14608"/>
  <c r="EQ145" i="14608"/>
  <c r="ER145" i="14608"/>
  <c r="ES145" i="14608"/>
  <c r="ET145" i="14608"/>
  <c r="EU145" i="14608"/>
  <c r="EV145" i="14608"/>
  <c r="EW145" i="14608"/>
  <c r="EX145" i="14608"/>
  <c r="EY145" i="14608"/>
  <c r="EZ145" i="14608"/>
  <c r="FA145" i="14608"/>
  <c r="FB145" i="14608"/>
  <c r="FC145" i="14608"/>
  <c r="FD145" i="14608"/>
  <c r="FE145" i="14608"/>
  <c r="FF145" i="14608"/>
  <c r="FG145" i="14608"/>
  <c r="FH145" i="14608"/>
  <c r="FI145" i="14608"/>
  <c r="FJ145" i="14608"/>
  <c r="FK145" i="14608"/>
  <c r="FL145" i="14608"/>
  <c r="FM145" i="14608"/>
  <c r="FN145" i="14608"/>
  <c r="FO145" i="14608"/>
  <c r="FP145" i="14608"/>
  <c r="FQ145" i="14608"/>
  <c r="FR145" i="14608"/>
  <c r="FS145" i="14608"/>
  <c r="FT145" i="14608"/>
  <c r="FU145" i="14608"/>
  <c r="FV145" i="14608"/>
  <c r="FW145" i="14608"/>
  <c r="FX145" i="14608"/>
  <c r="FY145" i="14608"/>
  <c r="FZ145" i="14608"/>
  <c r="GA145" i="14608"/>
  <c r="GB145" i="14608"/>
  <c r="GC145" i="14608"/>
  <c r="GD145" i="14608"/>
  <c r="GE145" i="14608"/>
  <c r="GF145" i="14608"/>
  <c r="GG145" i="14608"/>
  <c r="GH145" i="14608"/>
  <c r="GI145" i="14608"/>
  <c r="GJ145" i="14608"/>
  <c r="GK145" i="14608"/>
  <c r="GL145" i="14608"/>
  <c r="GM145" i="14608"/>
  <c r="GN145" i="14608"/>
  <c r="GO145" i="14608"/>
  <c r="GP145" i="14608"/>
  <c r="GQ145" i="14608"/>
  <c r="GR145" i="14608"/>
  <c r="GS145" i="14608"/>
  <c r="GT145" i="14608"/>
  <c r="GU145" i="14608"/>
  <c r="GV145" i="14608"/>
  <c r="GW145" i="14608"/>
  <c r="GX145" i="14608"/>
  <c r="GY145" i="14608"/>
  <c r="GZ145" i="14608"/>
  <c r="HA145" i="14608"/>
  <c r="HB145" i="14608"/>
  <c r="HC145" i="14608"/>
  <c r="HD145" i="14608"/>
  <c r="HE145" i="14608"/>
  <c r="HF145" i="14608"/>
  <c r="HG145" i="14608"/>
  <c r="HH145" i="14608"/>
  <c r="HI145" i="14608"/>
  <c r="HJ145" i="14608"/>
  <c r="HK145" i="14608"/>
  <c r="HL145" i="14608"/>
  <c r="HM145" i="14608"/>
  <c r="HN145" i="14608"/>
  <c r="HO145" i="14608"/>
  <c r="HP145" i="14608"/>
  <c r="HQ145" i="14608"/>
  <c r="HR145" i="14608"/>
  <c r="HS145" i="14608"/>
  <c r="HT145" i="14608"/>
  <c r="HU145" i="14608"/>
  <c r="HV145" i="14608"/>
  <c r="HW145" i="14608"/>
  <c r="HX145" i="14608"/>
  <c r="HY145" i="14608"/>
  <c r="HZ145" i="14608"/>
  <c r="IA145" i="14608"/>
  <c r="IB145" i="14608"/>
  <c r="IC145" i="14608"/>
  <c r="ID145" i="14608"/>
  <c r="IE145" i="14608"/>
  <c r="IF145" i="14608"/>
  <c r="IG145" i="14608"/>
  <c r="IH145" i="14608"/>
  <c r="II145" i="14608"/>
  <c r="IJ145" i="14608"/>
  <c r="IK145" i="14608"/>
  <c r="IL145" i="14608"/>
  <c r="IM145" i="14608"/>
  <c r="IN145" i="14608"/>
  <c r="IO145" i="14608"/>
  <c r="IP145" i="14608"/>
  <c r="IQ145" i="14608"/>
  <c r="IR145" i="14608"/>
  <c r="IS145" i="14608"/>
  <c r="IT145" i="14608"/>
  <c r="IU145" i="14608"/>
  <c r="IV145" i="14608"/>
  <c r="A144" i="14608"/>
  <c r="B144" i="14608"/>
  <c r="C144" i="14608"/>
  <c r="D144" i="14608"/>
  <c r="E144" i="14608"/>
  <c r="F144" i="14608"/>
  <c r="G144" i="14608"/>
  <c r="H144" i="14608"/>
  <c r="I144" i="14608"/>
  <c r="J144" i="14608"/>
  <c r="K144" i="14608"/>
  <c r="L144" i="14608"/>
  <c r="M144" i="14608"/>
  <c r="N144" i="14608"/>
  <c r="O144" i="14608"/>
  <c r="P144" i="14608"/>
  <c r="Q144" i="14608"/>
  <c r="R144" i="14608"/>
  <c r="S144" i="14608"/>
  <c r="T144" i="14608"/>
  <c r="U144" i="14608"/>
  <c r="V144" i="14608"/>
  <c r="W144" i="14608"/>
  <c r="X144" i="14608"/>
  <c r="Y144" i="14608"/>
  <c r="Z144" i="14608"/>
  <c r="AA144" i="14608"/>
  <c r="AB144" i="14608"/>
  <c r="AC144" i="14608"/>
  <c r="AD144" i="14608"/>
  <c r="AE144" i="14608"/>
  <c r="AF144" i="14608"/>
  <c r="AG144" i="14608"/>
  <c r="AH144" i="14608"/>
  <c r="AI144" i="14608"/>
  <c r="AJ144" i="14608"/>
  <c r="AK144" i="14608"/>
  <c r="AL144" i="14608"/>
  <c r="AM144" i="14608"/>
  <c r="AN144" i="14608"/>
  <c r="AO144" i="14608"/>
  <c r="AP144" i="14608"/>
  <c r="AQ144" i="14608"/>
  <c r="AR144" i="14608"/>
  <c r="AS144" i="14608"/>
  <c r="AT144" i="14608"/>
  <c r="AU144" i="14608"/>
  <c r="AV144" i="14608"/>
  <c r="AW144" i="14608"/>
  <c r="AX144" i="14608"/>
  <c r="AY144" i="14608"/>
  <c r="AZ144" i="14608"/>
  <c r="BA144" i="14608"/>
  <c r="BB144" i="14608"/>
  <c r="BC144" i="14608"/>
  <c r="BD144" i="14608"/>
  <c r="BE144" i="14608"/>
  <c r="BF144" i="14608"/>
  <c r="BG144" i="14608"/>
  <c r="BH144" i="14608"/>
  <c r="BI144" i="14608"/>
  <c r="BJ144" i="14608"/>
  <c r="BK144" i="14608"/>
  <c r="BL144" i="14608"/>
  <c r="BM144" i="14608"/>
  <c r="BN144" i="14608"/>
  <c r="BO144" i="14608"/>
  <c r="BP144" i="14608"/>
  <c r="BQ144" i="14608"/>
  <c r="BR144" i="14608"/>
  <c r="BS144" i="14608"/>
  <c r="BT144" i="14608"/>
  <c r="BU144" i="14608"/>
  <c r="BV144" i="14608"/>
  <c r="BW144" i="14608"/>
  <c r="BX144" i="14608"/>
  <c r="BY144" i="14608"/>
  <c r="BZ144" i="14608"/>
  <c r="CA144" i="14608"/>
  <c r="CB144" i="14608"/>
  <c r="CC144" i="14608"/>
  <c r="CD144" i="14608"/>
  <c r="CE144" i="14608"/>
  <c r="CF144" i="14608"/>
  <c r="CG144" i="14608"/>
  <c r="CH144" i="14608"/>
  <c r="CI144" i="14608"/>
  <c r="CJ144" i="14608"/>
  <c r="CK144" i="14608"/>
  <c r="CL144" i="14608"/>
  <c r="CM144" i="14608"/>
  <c r="CN144" i="14608"/>
  <c r="CO144" i="14608"/>
  <c r="CP144" i="14608"/>
  <c r="CQ144" i="14608"/>
  <c r="CR144" i="14608"/>
  <c r="CS144" i="14608"/>
  <c r="CT144" i="14608"/>
  <c r="CU144" i="14608"/>
  <c r="CV144" i="14608"/>
  <c r="CW144" i="14608"/>
  <c r="CX144" i="14608"/>
  <c r="CY144" i="14608"/>
  <c r="CZ144" i="14608"/>
  <c r="DA144" i="14608"/>
  <c r="DB144" i="14608"/>
  <c r="DC144" i="14608"/>
  <c r="DD144" i="14608"/>
  <c r="DE144" i="14608"/>
  <c r="DF144" i="14608"/>
  <c r="DG144" i="14608"/>
  <c r="DH144" i="14608"/>
  <c r="DI144" i="14608"/>
  <c r="DJ144" i="14608"/>
  <c r="DK144" i="14608"/>
  <c r="DL144" i="14608"/>
  <c r="DM144" i="14608"/>
  <c r="DN144" i="14608"/>
  <c r="DO144" i="14608"/>
  <c r="DP144" i="14608"/>
  <c r="DQ144" i="14608"/>
  <c r="DR144" i="14608"/>
  <c r="DS144" i="14608"/>
  <c r="DT144" i="14608"/>
  <c r="DU144" i="14608"/>
  <c r="DV144" i="14608"/>
  <c r="DW144" i="14608"/>
  <c r="DX144" i="14608"/>
  <c r="DY144" i="14608"/>
  <c r="DZ144" i="14608"/>
  <c r="EA144" i="14608"/>
  <c r="EB144" i="14608"/>
  <c r="EC144" i="14608"/>
  <c r="ED144" i="14608"/>
  <c r="EE144" i="14608"/>
  <c r="EF144" i="14608"/>
  <c r="EG144" i="14608"/>
  <c r="EH144" i="14608"/>
  <c r="EI144" i="14608"/>
  <c r="EJ144" i="14608"/>
  <c r="EK144" i="14608"/>
  <c r="EL144" i="14608"/>
  <c r="EM144" i="14608"/>
  <c r="EN144" i="14608"/>
  <c r="EO144" i="14608"/>
  <c r="EP144" i="14608"/>
  <c r="EQ144" i="14608"/>
  <c r="ER144" i="14608"/>
  <c r="ES144" i="14608"/>
  <c r="ET144" i="14608"/>
  <c r="EU144" i="14608"/>
  <c r="EV144" i="14608"/>
  <c r="EW144" i="14608"/>
  <c r="EX144" i="14608"/>
  <c r="EY144" i="14608"/>
  <c r="EZ144" i="14608"/>
  <c r="FA144" i="14608"/>
  <c r="FB144" i="14608"/>
  <c r="FC144" i="14608"/>
  <c r="FD144" i="14608"/>
  <c r="FE144" i="14608"/>
  <c r="FF144" i="14608"/>
  <c r="FG144" i="14608"/>
  <c r="FH144" i="14608"/>
  <c r="FI144" i="14608"/>
  <c r="FJ144" i="14608"/>
  <c r="FK144" i="14608"/>
  <c r="FL144" i="14608"/>
  <c r="FM144" i="14608"/>
  <c r="FN144" i="14608"/>
  <c r="FO144" i="14608"/>
  <c r="FP144" i="14608"/>
  <c r="FQ144" i="14608"/>
  <c r="FR144" i="14608"/>
  <c r="FS144" i="14608"/>
  <c r="FT144" i="14608"/>
  <c r="FU144" i="14608"/>
  <c r="FV144" i="14608"/>
  <c r="FW144" i="14608"/>
  <c r="FX144" i="14608"/>
  <c r="FY144" i="14608"/>
  <c r="FZ144" i="14608"/>
  <c r="GA144" i="14608"/>
  <c r="GB144" i="14608"/>
  <c r="GC144" i="14608"/>
  <c r="GD144" i="14608"/>
  <c r="GE144" i="14608"/>
  <c r="GF144" i="14608"/>
  <c r="GG144" i="14608"/>
  <c r="GH144" i="14608"/>
  <c r="GI144" i="14608"/>
  <c r="GJ144" i="14608"/>
  <c r="GK144" i="14608"/>
  <c r="GL144" i="14608"/>
  <c r="GM144" i="14608"/>
  <c r="GN144" i="14608"/>
  <c r="GO144" i="14608"/>
  <c r="GP144" i="14608"/>
  <c r="GQ144" i="14608"/>
  <c r="GR144" i="14608"/>
  <c r="GS144" i="14608"/>
  <c r="GT144" i="14608"/>
  <c r="GU144" i="14608"/>
  <c r="GV144" i="14608"/>
  <c r="GW144" i="14608"/>
  <c r="GX144" i="14608"/>
  <c r="GY144" i="14608"/>
  <c r="GZ144" i="14608"/>
  <c r="HA144" i="14608"/>
  <c r="HB144" i="14608"/>
  <c r="HC144" i="14608"/>
  <c r="HD144" i="14608"/>
  <c r="HE144" i="14608"/>
  <c r="HF144" i="14608"/>
  <c r="HG144" i="14608"/>
  <c r="HH144" i="14608"/>
  <c r="HI144" i="14608"/>
  <c r="HJ144" i="14608"/>
  <c r="HK144" i="14608"/>
  <c r="HL144" i="14608"/>
  <c r="HM144" i="14608"/>
  <c r="HN144" i="14608"/>
  <c r="HO144" i="14608"/>
  <c r="HP144" i="14608"/>
  <c r="HQ144" i="14608"/>
  <c r="HR144" i="14608"/>
  <c r="HS144" i="14608"/>
  <c r="HT144" i="14608"/>
  <c r="HU144" i="14608"/>
  <c r="HV144" i="14608"/>
  <c r="HW144" i="14608"/>
  <c r="HX144" i="14608"/>
  <c r="HY144" i="14608"/>
  <c r="HZ144" i="14608"/>
  <c r="IA144" i="14608"/>
  <c r="IB144" i="14608"/>
  <c r="IC144" i="14608"/>
  <c r="ID144" i="14608"/>
  <c r="IE144" i="14608"/>
  <c r="IF144" i="14608"/>
  <c r="IG144" i="14608"/>
  <c r="IH144" i="14608"/>
  <c r="II144" i="14608"/>
  <c r="IJ144" i="14608"/>
  <c r="IK144" i="14608"/>
  <c r="IL144" i="14608"/>
  <c r="IM144" i="14608"/>
  <c r="IN144" i="14608"/>
  <c r="IO144" i="14608"/>
  <c r="IP144" i="14608"/>
  <c r="IQ144" i="14608"/>
  <c r="IR144" i="14608"/>
  <c r="IS144" i="14608"/>
  <c r="IT144" i="14608"/>
  <c r="IU144" i="14608"/>
  <c r="IV144" i="14608"/>
  <c r="A143" i="14608"/>
  <c r="B143" i="14608"/>
  <c r="C143" i="14608"/>
  <c r="D143" i="14608"/>
  <c r="E143" i="14608"/>
  <c r="F143" i="14608"/>
  <c r="G143" i="14608"/>
  <c r="H143" i="14608"/>
  <c r="I143" i="14608"/>
  <c r="J143" i="14608"/>
  <c r="K143" i="14608"/>
  <c r="L143" i="14608"/>
  <c r="M143" i="14608"/>
  <c r="N143" i="14608"/>
  <c r="O143" i="14608"/>
  <c r="P143" i="14608"/>
  <c r="Q143" i="14608"/>
  <c r="R143" i="14608"/>
  <c r="S143" i="14608"/>
  <c r="T143" i="14608"/>
  <c r="U143" i="14608"/>
  <c r="V143" i="14608"/>
  <c r="W143" i="14608"/>
  <c r="X143" i="14608"/>
  <c r="Y143" i="14608"/>
  <c r="Z143" i="14608"/>
  <c r="AA143" i="14608"/>
  <c r="AB143" i="14608"/>
  <c r="AC143" i="14608"/>
  <c r="AD143" i="14608"/>
  <c r="AE143" i="14608"/>
  <c r="AF143" i="14608"/>
  <c r="AG143" i="14608"/>
  <c r="AH143" i="14608"/>
  <c r="AI143" i="14608"/>
  <c r="AJ143" i="14608"/>
  <c r="AK143" i="14608"/>
  <c r="AL143" i="14608"/>
  <c r="AM143" i="14608"/>
  <c r="AN143" i="14608"/>
  <c r="AO143" i="14608"/>
  <c r="AP143" i="14608"/>
  <c r="AQ143" i="14608"/>
  <c r="AR143" i="14608"/>
  <c r="AS143" i="14608"/>
  <c r="AT143" i="14608"/>
  <c r="AU143" i="14608"/>
  <c r="AV143" i="14608"/>
  <c r="AW143" i="14608"/>
  <c r="AX143" i="14608"/>
  <c r="AY143" i="14608"/>
  <c r="AZ143" i="14608"/>
  <c r="BA143" i="14608"/>
  <c r="BB143" i="14608"/>
  <c r="BC143" i="14608"/>
  <c r="BD143" i="14608"/>
  <c r="BE143" i="14608"/>
  <c r="BF143" i="14608"/>
  <c r="BG143" i="14608"/>
  <c r="BH143" i="14608"/>
  <c r="BI143" i="14608"/>
  <c r="BJ143" i="14608"/>
  <c r="BK143" i="14608"/>
  <c r="BL143" i="14608"/>
  <c r="BM143" i="14608"/>
  <c r="BN143" i="14608"/>
  <c r="BO143" i="14608"/>
  <c r="BP143" i="14608"/>
  <c r="BQ143" i="14608"/>
  <c r="BR143" i="14608"/>
  <c r="BS143" i="14608"/>
  <c r="BT143" i="14608"/>
  <c r="BU143" i="14608"/>
  <c r="BV143" i="14608"/>
  <c r="BW143" i="14608"/>
  <c r="BX143" i="14608"/>
  <c r="BY143" i="14608"/>
  <c r="BZ143" i="14608"/>
  <c r="CA143" i="14608"/>
  <c r="CB143" i="14608"/>
  <c r="CC143" i="14608"/>
  <c r="CD143" i="14608"/>
  <c r="CE143" i="14608"/>
  <c r="CF143" i="14608"/>
  <c r="CG143" i="14608"/>
  <c r="CH143" i="14608"/>
  <c r="CI143" i="14608"/>
  <c r="CJ143" i="14608"/>
  <c r="CK143" i="14608"/>
  <c r="CL143" i="14608"/>
  <c r="CM143" i="14608"/>
  <c r="CN143" i="14608"/>
  <c r="CO143" i="14608"/>
  <c r="CP143" i="14608"/>
  <c r="CQ143" i="14608"/>
  <c r="CR143" i="14608"/>
  <c r="CS143" i="14608"/>
  <c r="CT143" i="14608"/>
  <c r="CU143" i="14608"/>
  <c r="CV143" i="14608"/>
  <c r="CW143" i="14608"/>
  <c r="CX143" i="14608"/>
  <c r="CY143" i="14608"/>
  <c r="CZ143" i="14608"/>
  <c r="DA143" i="14608"/>
  <c r="DB143" i="14608"/>
  <c r="DC143" i="14608"/>
  <c r="DD143" i="14608"/>
  <c r="DE143" i="14608"/>
  <c r="DF143" i="14608"/>
  <c r="DG143" i="14608"/>
  <c r="DH143" i="14608"/>
  <c r="DI143" i="14608"/>
  <c r="DJ143" i="14608"/>
  <c r="DK143" i="14608"/>
  <c r="DL143" i="14608"/>
  <c r="DM143" i="14608"/>
  <c r="DN143" i="14608"/>
  <c r="DO143" i="14608"/>
  <c r="DP143" i="14608"/>
  <c r="DQ143" i="14608"/>
  <c r="DR143" i="14608"/>
  <c r="DS143" i="14608"/>
  <c r="DT143" i="14608"/>
  <c r="DU143" i="14608"/>
  <c r="DV143" i="14608"/>
  <c r="DW143" i="14608"/>
  <c r="DX143" i="14608"/>
  <c r="DY143" i="14608"/>
  <c r="DZ143" i="14608"/>
  <c r="EA143" i="14608"/>
  <c r="EB143" i="14608"/>
  <c r="EC143" i="14608"/>
  <c r="ED143" i="14608"/>
  <c r="EE143" i="14608"/>
  <c r="EF143" i="14608"/>
  <c r="EG143" i="14608"/>
  <c r="EH143" i="14608"/>
  <c r="EI143" i="14608"/>
  <c r="EJ143" i="14608"/>
  <c r="EK143" i="14608"/>
  <c r="EL143" i="14608"/>
  <c r="EM143" i="14608"/>
  <c r="EN143" i="14608"/>
  <c r="EO143" i="14608"/>
  <c r="EP143" i="14608"/>
  <c r="EQ143" i="14608"/>
  <c r="ER143" i="14608"/>
  <c r="ES143" i="14608"/>
  <c r="ET143" i="14608"/>
  <c r="EU143" i="14608"/>
  <c r="EV143" i="14608"/>
  <c r="EW143" i="14608"/>
  <c r="EX143" i="14608"/>
  <c r="EY143" i="14608"/>
  <c r="EZ143" i="14608"/>
  <c r="FA143" i="14608"/>
  <c r="FB143" i="14608"/>
  <c r="FC143" i="14608"/>
  <c r="FD143" i="14608"/>
  <c r="FE143" i="14608"/>
  <c r="FF143" i="14608"/>
  <c r="FG143" i="14608"/>
  <c r="FH143" i="14608"/>
  <c r="FI143" i="14608"/>
  <c r="FJ143" i="14608"/>
  <c r="FK143" i="14608"/>
  <c r="FL143" i="14608"/>
  <c r="FM143" i="14608"/>
  <c r="FN143" i="14608"/>
  <c r="FO143" i="14608"/>
  <c r="FP143" i="14608"/>
  <c r="FQ143" i="14608"/>
  <c r="FR143" i="14608"/>
  <c r="FS143" i="14608"/>
  <c r="FT143" i="14608"/>
  <c r="FU143" i="14608"/>
  <c r="FV143" i="14608"/>
  <c r="FW143" i="14608"/>
  <c r="FX143" i="14608"/>
  <c r="FY143" i="14608"/>
  <c r="FZ143" i="14608"/>
  <c r="GA143" i="14608"/>
  <c r="GB143" i="14608"/>
  <c r="GC143" i="14608"/>
  <c r="GD143" i="14608"/>
  <c r="GE143" i="14608"/>
  <c r="GF143" i="14608"/>
  <c r="GG143" i="14608"/>
  <c r="GH143" i="14608"/>
  <c r="GI143" i="14608"/>
  <c r="GJ143" i="14608"/>
  <c r="GK143" i="14608"/>
  <c r="GL143" i="14608"/>
  <c r="GM143" i="14608"/>
  <c r="GN143" i="14608"/>
  <c r="GO143" i="14608"/>
  <c r="GP143" i="14608"/>
  <c r="GQ143" i="14608"/>
  <c r="GR143" i="14608"/>
  <c r="GS143" i="14608"/>
  <c r="GT143" i="14608"/>
  <c r="GU143" i="14608"/>
  <c r="GV143" i="14608"/>
  <c r="GW143" i="14608"/>
  <c r="GX143" i="14608"/>
  <c r="GY143" i="14608"/>
  <c r="GZ143" i="14608"/>
  <c r="HA143" i="14608"/>
  <c r="HB143" i="14608"/>
  <c r="HC143" i="14608"/>
  <c r="HD143" i="14608"/>
  <c r="HE143" i="14608"/>
  <c r="HF143" i="14608"/>
  <c r="HG143" i="14608"/>
  <c r="HH143" i="14608"/>
  <c r="HI143" i="14608"/>
  <c r="HJ143" i="14608"/>
  <c r="HK143" i="14608"/>
  <c r="HL143" i="14608"/>
  <c r="HM143" i="14608"/>
  <c r="HN143" i="14608"/>
  <c r="HO143" i="14608"/>
  <c r="HP143" i="14608"/>
  <c r="HQ143" i="14608"/>
  <c r="HR143" i="14608"/>
  <c r="HS143" i="14608"/>
  <c r="HT143" i="14608"/>
  <c r="HU143" i="14608"/>
  <c r="HV143" i="14608"/>
  <c r="HW143" i="14608"/>
  <c r="HX143" i="14608"/>
  <c r="HY143" i="14608"/>
  <c r="HZ143" i="14608"/>
  <c r="IA143" i="14608"/>
  <c r="IB143" i="14608"/>
  <c r="IC143" i="14608"/>
  <c r="ID143" i="14608"/>
  <c r="IE143" i="14608"/>
  <c r="IF143" i="14608"/>
  <c r="IG143" i="14608"/>
  <c r="IH143" i="14608"/>
  <c r="II143" i="14608"/>
  <c r="IJ143" i="14608"/>
  <c r="IK143" i="14608"/>
  <c r="IL143" i="14608"/>
  <c r="IM143" i="14608"/>
  <c r="IN143" i="14608"/>
  <c r="IO143" i="14608"/>
  <c r="IP143" i="14608"/>
  <c r="IQ143" i="14608"/>
  <c r="IR143" i="14608"/>
  <c r="IS143" i="14608"/>
  <c r="IT143" i="14608"/>
  <c r="IU143" i="14608"/>
  <c r="IV143" i="14608"/>
  <c r="A142" i="14608"/>
  <c r="B142" i="14608"/>
  <c r="C142" i="14608"/>
  <c r="D142" i="14608"/>
  <c r="E142" i="14608"/>
  <c r="F142" i="14608"/>
  <c r="G142" i="14608"/>
  <c r="H142" i="14608"/>
  <c r="I142" i="14608"/>
  <c r="J142" i="14608"/>
  <c r="K142" i="14608"/>
  <c r="L142" i="14608"/>
  <c r="M142" i="14608"/>
  <c r="N142" i="14608"/>
  <c r="O142" i="14608"/>
  <c r="P142" i="14608"/>
  <c r="Q142" i="14608"/>
  <c r="R142" i="14608"/>
  <c r="S142" i="14608"/>
  <c r="T142" i="14608"/>
  <c r="U142" i="14608"/>
  <c r="V142" i="14608"/>
  <c r="W142" i="14608"/>
  <c r="X142" i="14608"/>
  <c r="Y142" i="14608"/>
  <c r="Z142" i="14608"/>
  <c r="AA142" i="14608"/>
  <c r="AB142" i="14608"/>
  <c r="AC142" i="14608"/>
  <c r="AD142" i="14608"/>
  <c r="AE142" i="14608"/>
  <c r="AF142" i="14608"/>
  <c r="AG142" i="14608"/>
  <c r="AH142" i="14608"/>
  <c r="AI142" i="14608"/>
  <c r="AJ142" i="14608"/>
  <c r="AK142" i="14608"/>
  <c r="AL142" i="14608"/>
  <c r="AM142" i="14608"/>
  <c r="AN142" i="14608"/>
  <c r="AO142" i="14608"/>
  <c r="AP142" i="14608"/>
  <c r="AQ142" i="14608"/>
  <c r="AR142" i="14608"/>
  <c r="AS142" i="14608"/>
  <c r="AT142" i="14608"/>
  <c r="AU142" i="14608"/>
  <c r="AV142" i="14608"/>
  <c r="AW142" i="14608"/>
  <c r="AX142" i="14608"/>
  <c r="AY142" i="14608"/>
  <c r="AZ142" i="14608"/>
  <c r="BA142" i="14608"/>
  <c r="BB142" i="14608"/>
  <c r="BC142" i="14608"/>
  <c r="BD142" i="14608"/>
  <c r="BE142" i="14608"/>
  <c r="BF142" i="14608"/>
  <c r="BG142" i="14608"/>
  <c r="BH142" i="14608"/>
  <c r="BI142" i="14608"/>
  <c r="BJ142" i="14608"/>
  <c r="BK142" i="14608"/>
  <c r="BL142" i="14608"/>
  <c r="BM142" i="14608"/>
  <c r="BN142" i="14608"/>
  <c r="BO142" i="14608"/>
  <c r="BP142" i="14608"/>
  <c r="BQ142" i="14608"/>
  <c r="BR142" i="14608"/>
  <c r="BS142" i="14608"/>
  <c r="BT142" i="14608"/>
  <c r="BU142" i="14608"/>
  <c r="BV142" i="14608"/>
  <c r="BW142" i="14608"/>
  <c r="BX142" i="14608"/>
  <c r="BY142" i="14608"/>
  <c r="BZ142" i="14608"/>
  <c r="CA142" i="14608"/>
  <c r="CB142" i="14608"/>
  <c r="CC142" i="14608"/>
  <c r="CD142" i="14608"/>
  <c r="CE142" i="14608"/>
  <c r="CF142" i="14608"/>
  <c r="CG142" i="14608"/>
  <c r="CH142" i="14608"/>
  <c r="CI142" i="14608"/>
  <c r="CJ142" i="14608"/>
  <c r="CK142" i="14608"/>
  <c r="CL142" i="14608"/>
  <c r="CM142" i="14608"/>
  <c r="CN142" i="14608"/>
  <c r="CO142" i="14608"/>
  <c r="CP142" i="14608"/>
  <c r="CQ142" i="14608"/>
  <c r="CR142" i="14608"/>
  <c r="CS142" i="14608"/>
  <c r="CT142" i="14608"/>
  <c r="CU142" i="14608"/>
  <c r="CV142" i="14608"/>
  <c r="CW142" i="14608"/>
  <c r="CX142" i="14608"/>
  <c r="CY142" i="14608"/>
  <c r="CZ142" i="14608"/>
  <c r="DA142" i="14608"/>
  <c r="DB142" i="14608"/>
  <c r="DC142" i="14608"/>
  <c r="DD142" i="14608"/>
  <c r="DE142" i="14608"/>
  <c r="DF142" i="14608"/>
  <c r="DG142" i="14608"/>
  <c r="DH142" i="14608"/>
  <c r="DI142" i="14608"/>
  <c r="DJ142" i="14608"/>
  <c r="DK142" i="14608"/>
  <c r="DL142" i="14608"/>
  <c r="DM142" i="14608"/>
  <c r="DN142" i="14608"/>
  <c r="DO142" i="14608"/>
  <c r="DP142" i="14608"/>
  <c r="DQ142" i="14608"/>
  <c r="DR142" i="14608"/>
  <c r="DS142" i="14608"/>
  <c r="DT142" i="14608"/>
  <c r="DU142" i="14608"/>
  <c r="DV142" i="14608"/>
  <c r="DW142" i="14608"/>
  <c r="DX142" i="14608"/>
  <c r="DY142" i="14608"/>
  <c r="DZ142" i="14608"/>
  <c r="EA142" i="14608"/>
  <c r="EB142" i="14608"/>
  <c r="EC142" i="14608"/>
  <c r="ED142" i="14608"/>
  <c r="EE142" i="14608"/>
  <c r="EF142" i="14608"/>
  <c r="EG142" i="14608"/>
  <c r="EH142" i="14608"/>
  <c r="EI142" i="14608"/>
  <c r="EJ142" i="14608"/>
  <c r="EK142" i="14608"/>
  <c r="EL142" i="14608"/>
  <c r="EM142" i="14608"/>
  <c r="EN142" i="14608"/>
  <c r="EO142" i="14608"/>
  <c r="EP142" i="14608"/>
  <c r="EQ142" i="14608"/>
  <c r="ER142" i="14608"/>
  <c r="ES142" i="14608"/>
  <c r="ET142" i="14608"/>
  <c r="EU142" i="14608"/>
  <c r="EV142" i="14608"/>
  <c r="EW142" i="14608"/>
  <c r="EX142" i="14608"/>
  <c r="EY142" i="14608"/>
  <c r="EZ142" i="14608"/>
  <c r="FA142" i="14608"/>
  <c r="FB142" i="14608"/>
  <c r="FC142" i="14608"/>
  <c r="FD142" i="14608"/>
  <c r="FE142" i="14608"/>
  <c r="FF142" i="14608"/>
  <c r="FG142" i="14608"/>
  <c r="FH142" i="14608"/>
  <c r="FI142" i="14608"/>
  <c r="FJ142" i="14608"/>
  <c r="FK142" i="14608"/>
  <c r="FL142" i="14608"/>
  <c r="FM142" i="14608"/>
  <c r="FN142" i="14608"/>
  <c r="FO142" i="14608"/>
  <c r="FP142" i="14608"/>
  <c r="FQ142" i="14608"/>
  <c r="FR142" i="14608"/>
  <c r="FS142" i="14608"/>
  <c r="FT142" i="14608"/>
  <c r="FU142" i="14608"/>
  <c r="FV142" i="14608"/>
  <c r="FW142" i="14608"/>
  <c r="FX142" i="14608"/>
  <c r="FY142" i="14608"/>
  <c r="FZ142" i="14608"/>
  <c r="GA142" i="14608"/>
  <c r="GB142" i="14608"/>
  <c r="GC142" i="14608"/>
  <c r="GD142" i="14608"/>
  <c r="GE142" i="14608"/>
  <c r="GF142" i="14608"/>
  <c r="GG142" i="14608"/>
  <c r="GH142" i="14608"/>
  <c r="GI142" i="14608"/>
  <c r="GJ142" i="14608"/>
  <c r="GK142" i="14608"/>
  <c r="GL142" i="14608"/>
  <c r="GM142" i="14608"/>
  <c r="GN142" i="14608"/>
  <c r="GO142" i="14608"/>
  <c r="GP142" i="14608"/>
  <c r="GQ142" i="14608"/>
  <c r="GR142" i="14608"/>
  <c r="GS142" i="14608"/>
  <c r="GT142" i="14608"/>
  <c r="GU142" i="14608"/>
  <c r="GV142" i="14608"/>
  <c r="GW142" i="14608"/>
  <c r="GX142" i="14608"/>
  <c r="GY142" i="14608"/>
  <c r="GZ142" i="14608"/>
  <c r="HA142" i="14608"/>
  <c r="HB142" i="14608"/>
  <c r="HC142" i="14608"/>
  <c r="HD142" i="14608"/>
  <c r="HE142" i="14608"/>
  <c r="HF142" i="14608"/>
  <c r="HG142" i="14608"/>
  <c r="HH142" i="14608"/>
  <c r="HI142" i="14608"/>
  <c r="HJ142" i="14608"/>
  <c r="HK142" i="14608"/>
  <c r="HL142" i="14608"/>
  <c r="HM142" i="14608"/>
  <c r="HN142" i="14608"/>
  <c r="HO142" i="14608"/>
  <c r="HP142" i="14608"/>
  <c r="HQ142" i="14608"/>
  <c r="HR142" i="14608"/>
  <c r="HS142" i="14608"/>
  <c r="HT142" i="14608"/>
  <c r="HU142" i="14608"/>
  <c r="HV142" i="14608"/>
  <c r="HW142" i="14608"/>
  <c r="HX142" i="14608"/>
  <c r="HY142" i="14608"/>
  <c r="HZ142" i="14608"/>
  <c r="IA142" i="14608"/>
  <c r="IB142" i="14608"/>
  <c r="IC142" i="14608"/>
  <c r="ID142" i="14608"/>
  <c r="IE142" i="14608"/>
  <c r="IF142" i="14608"/>
  <c r="IG142" i="14608"/>
  <c r="IH142" i="14608"/>
  <c r="II142" i="14608"/>
  <c r="IJ142" i="14608"/>
  <c r="IK142" i="14608"/>
  <c r="IL142" i="14608"/>
  <c r="IM142" i="14608"/>
  <c r="IN142" i="14608"/>
  <c r="IO142" i="14608"/>
  <c r="IP142" i="14608"/>
  <c r="IQ142" i="14608"/>
  <c r="IR142" i="14608"/>
  <c r="IS142" i="14608"/>
  <c r="IT142" i="14608"/>
  <c r="IU142" i="14608"/>
  <c r="IV142" i="14608"/>
  <c r="A141" i="14608"/>
  <c r="B141" i="14608"/>
  <c r="C141" i="14608"/>
  <c r="D141" i="14608"/>
  <c r="E141" i="14608"/>
  <c r="F141" i="14608"/>
  <c r="G141" i="14608"/>
  <c r="H141" i="14608"/>
  <c r="I141" i="14608"/>
  <c r="J141" i="14608"/>
  <c r="K141" i="14608"/>
  <c r="L141" i="14608"/>
  <c r="M141" i="14608"/>
  <c r="N141" i="14608"/>
  <c r="O141" i="14608"/>
  <c r="P141" i="14608"/>
  <c r="Q141" i="14608"/>
  <c r="R141" i="14608"/>
  <c r="S141" i="14608"/>
  <c r="T141" i="14608"/>
  <c r="U141" i="14608"/>
  <c r="V141" i="14608"/>
  <c r="W141" i="14608"/>
  <c r="X141" i="14608"/>
  <c r="Y141" i="14608"/>
  <c r="Z141" i="14608"/>
  <c r="AA141" i="14608"/>
  <c r="AB141" i="14608"/>
  <c r="AC141" i="14608"/>
  <c r="AD141" i="14608"/>
  <c r="AE141" i="14608"/>
  <c r="AF141" i="14608"/>
  <c r="AG141" i="14608"/>
  <c r="AH141" i="14608"/>
  <c r="AI141" i="14608"/>
  <c r="AJ141" i="14608"/>
  <c r="AK141" i="14608"/>
  <c r="AL141" i="14608"/>
  <c r="AM141" i="14608"/>
  <c r="AN141" i="14608"/>
  <c r="AO141" i="14608"/>
  <c r="AP141" i="14608"/>
  <c r="AQ141" i="14608"/>
  <c r="AR141" i="14608"/>
  <c r="AS141" i="14608"/>
  <c r="AT141" i="14608"/>
  <c r="AU141" i="14608"/>
  <c r="AV141" i="14608"/>
  <c r="AW141" i="14608"/>
  <c r="AX141" i="14608"/>
  <c r="AY141" i="14608"/>
  <c r="AZ141" i="14608"/>
  <c r="BA141" i="14608"/>
  <c r="BB141" i="14608"/>
  <c r="BC141" i="14608"/>
  <c r="BD141" i="14608"/>
  <c r="BE141" i="14608"/>
  <c r="BF141" i="14608"/>
  <c r="BG141" i="14608"/>
  <c r="BH141" i="14608"/>
  <c r="BI141" i="14608"/>
  <c r="BJ141" i="14608"/>
  <c r="BK141" i="14608"/>
  <c r="BL141" i="14608"/>
  <c r="BM141" i="14608"/>
  <c r="BN141" i="14608"/>
  <c r="BO141" i="14608"/>
  <c r="BP141" i="14608"/>
  <c r="BQ141" i="14608"/>
  <c r="BR141" i="14608"/>
  <c r="BS141" i="14608"/>
  <c r="BT141" i="14608"/>
  <c r="BU141" i="14608"/>
  <c r="BV141" i="14608"/>
  <c r="BW141" i="14608"/>
  <c r="BX141" i="14608"/>
  <c r="BY141" i="14608"/>
  <c r="BZ141" i="14608"/>
  <c r="CA141" i="14608"/>
  <c r="CB141" i="14608"/>
  <c r="CC141" i="14608"/>
  <c r="CD141" i="14608"/>
  <c r="CE141" i="14608"/>
  <c r="CF141" i="14608"/>
  <c r="CG141" i="14608"/>
  <c r="CH141" i="14608"/>
  <c r="CI141" i="14608"/>
  <c r="CJ141" i="14608"/>
  <c r="CK141" i="14608"/>
  <c r="CL141" i="14608"/>
  <c r="CM141" i="14608"/>
  <c r="CN141" i="14608"/>
  <c r="CO141" i="14608"/>
  <c r="CP141" i="14608"/>
  <c r="CQ141" i="14608"/>
  <c r="CR141" i="14608"/>
  <c r="CS141" i="14608"/>
  <c r="CT141" i="14608"/>
  <c r="CU141" i="14608"/>
  <c r="CV141" i="14608"/>
  <c r="CW141" i="14608"/>
  <c r="CX141" i="14608"/>
  <c r="CY141" i="14608"/>
  <c r="CZ141" i="14608"/>
  <c r="DA141" i="14608"/>
  <c r="DB141" i="14608"/>
  <c r="DC141" i="14608"/>
  <c r="DD141" i="14608"/>
  <c r="DE141" i="14608"/>
  <c r="DF141" i="14608"/>
  <c r="DG141" i="14608"/>
  <c r="DH141" i="14608"/>
  <c r="DI141" i="14608"/>
  <c r="DJ141" i="14608"/>
  <c r="DK141" i="14608"/>
  <c r="DL141" i="14608"/>
  <c r="DM141" i="14608"/>
  <c r="DN141" i="14608"/>
  <c r="DO141" i="14608"/>
  <c r="DP141" i="14608"/>
  <c r="DQ141" i="14608"/>
  <c r="DR141" i="14608"/>
  <c r="DS141" i="14608"/>
  <c r="DT141" i="14608"/>
  <c r="DU141" i="14608"/>
  <c r="DV141" i="14608"/>
  <c r="DW141" i="14608"/>
  <c r="DX141" i="14608"/>
  <c r="DY141" i="14608"/>
  <c r="DZ141" i="14608"/>
  <c r="EA141" i="14608"/>
  <c r="EB141" i="14608"/>
  <c r="EC141" i="14608"/>
  <c r="ED141" i="14608"/>
  <c r="EE141" i="14608"/>
  <c r="EF141" i="14608"/>
  <c r="EG141" i="14608"/>
  <c r="EH141" i="14608"/>
  <c r="EI141" i="14608"/>
  <c r="EJ141" i="14608"/>
  <c r="EK141" i="14608"/>
  <c r="EL141" i="14608"/>
  <c r="EM141" i="14608"/>
  <c r="EN141" i="14608"/>
  <c r="EO141" i="14608"/>
  <c r="EP141" i="14608"/>
  <c r="EQ141" i="14608"/>
  <c r="ER141" i="14608"/>
  <c r="ES141" i="14608"/>
  <c r="ET141" i="14608"/>
  <c r="EU141" i="14608"/>
  <c r="EV141" i="14608"/>
  <c r="EW141" i="14608"/>
  <c r="EX141" i="14608"/>
  <c r="EY141" i="14608"/>
  <c r="EZ141" i="14608"/>
  <c r="FA141" i="14608"/>
  <c r="FB141" i="14608"/>
  <c r="FC141" i="14608"/>
  <c r="FD141" i="14608"/>
  <c r="FE141" i="14608"/>
  <c r="FF141" i="14608"/>
  <c r="FG141" i="14608"/>
  <c r="FH141" i="14608"/>
  <c r="FI141" i="14608"/>
  <c r="FJ141" i="14608"/>
  <c r="FK141" i="14608"/>
  <c r="FL141" i="14608"/>
  <c r="FM141" i="14608"/>
  <c r="FN141" i="14608"/>
  <c r="FO141" i="14608"/>
  <c r="FP141" i="14608"/>
  <c r="FQ141" i="14608"/>
  <c r="FR141" i="14608"/>
  <c r="FS141" i="14608"/>
  <c r="FT141" i="14608"/>
  <c r="FU141" i="14608"/>
  <c r="FV141" i="14608"/>
  <c r="FW141" i="14608"/>
  <c r="FX141" i="14608"/>
  <c r="FY141" i="14608"/>
  <c r="FZ141" i="14608"/>
  <c r="GA141" i="14608"/>
  <c r="GB141" i="14608"/>
  <c r="GC141" i="14608"/>
  <c r="GD141" i="14608"/>
  <c r="GE141" i="14608"/>
  <c r="GF141" i="14608"/>
  <c r="GG141" i="14608"/>
  <c r="GH141" i="14608"/>
  <c r="GI141" i="14608"/>
  <c r="GJ141" i="14608"/>
  <c r="GK141" i="14608"/>
  <c r="GL141" i="14608"/>
  <c r="GM141" i="14608"/>
  <c r="GN141" i="14608"/>
  <c r="GO141" i="14608"/>
  <c r="GP141" i="14608"/>
  <c r="GQ141" i="14608"/>
  <c r="GR141" i="14608"/>
  <c r="GS141" i="14608"/>
  <c r="GT141" i="14608"/>
  <c r="GU141" i="14608"/>
  <c r="GV141" i="14608"/>
  <c r="GW141" i="14608"/>
  <c r="GX141" i="14608"/>
  <c r="GY141" i="14608"/>
  <c r="GZ141" i="14608"/>
  <c r="HA141" i="14608"/>
  <c r="HB141" i="14608"/>
  <c r="HC141" i="14608"/>
  <c r="HD141" i="14608"/>
  <c r="HE141" i="14608"/>
  <c r="HF141" i="14608"/>
  <c r="HG141" i="14608"/>
  <c r="HH141" i="14608"/>
  <c r="HI141" i="14608"/>
  <c r="HJ141" i="14608"/>
  <c r="HK141" i="14608"/>
  <c r="HL141" i="14608"/>
  <c r="HM141" i="14608"/>
  <c r="HN141" i="14608"/>
  <c r="HO141" i="14608"/>
  <c r="HP141" i="14608"/>
  <c r="HQ141" i="14608"/>
  <c r="HR141" i="14608"/>
  <c r="HS141" i="14608"/>
  <c r="HT141" i="14608"/>
  <c r="HU141" i="14608"/>
  <c r="HV141" i="14608"/>
  <c r="HW141" i="14608"/>
  <c r="HX141" i="14608"/>
  <c r="HY141" i="14608"/>
  <c r="HZ141" i="14608"/>
  <c r="IA141" i="14608"/>
  <c r="IB141" i="14608"/>
  <c r="IC141" i="14608"/>
  <c r="ID141" i="14608"/>
  <c r="IE141" i="14608"/>
  <c r="IF141" i="14608"/>
  <c r="IG141" i="14608"/>
  <c r="IH141" i="14608"/>
  <c r="II141" i="14608"/>
  <c r="IJ141" i="14608"/>
  <c r="IK141" i="14608"/>
  <c r="IL141" i="14608"/>
  <c r="IM141" i="14608"/>
  <c r="IN141" i="14608"/>
  <c r="IO141" i="14608"/>
  <c r="IP141" i="14608"/>
  <c r="IQ141" i="14608"/>
  <c r="IR141" i="14608"/>
  <c r="IS141" i="14608"/>
  <c r="IT141" i="14608"/>
  <c r="IU141" i="14608"/>
  <c r="IV141" i="14608"/>
  <c r="A140" i="14608"/>
  <c r="B140" i="14608"/>
  <c r="C140" i="14608"/>
  <c r="D140" i="14608"/>
  <c r="E140" i="14608"/>
  <c r="F140" i="14608"/>
  <c r="G140" i="14608"/>
  <c r="H140" i="14608"/>
  <c r="I140" i="14608"/>
  <c r="J140" i="14608"/>
  <c r="K140" i="14608"/>
  <c r="L140" i="14608"/>
  <c r="M140" i="14608"/>
  <c r="N140" i="14608"/>
  <c r="O140" i="14608"/>
  <c r="P140" i="14608"/>
  <c r="Q140" i="14608"/>
  <c r="R140" i="14608"/>
  <c r="S140" i="14608"/>
  <c r="T140" i="14608"/>
  <c r="U140" i="14608"/>
  <c r="V140" i="14608"/>
  <c r="W140" i="14608"/>
  <c r="X140" i="14608"/>
  <c r="Y140" i="14608"/>
  <c r="Z140" i="14608"/>
  <c r="AA140" i="14608"/>
  <c r="AB140" i="14608"/>
  <c r="AC140" i="14608"/>
  <c r="AD140" i="14608"/>
  <c r="AE140" i="14608"/>
  <c r="AF140" i="14608"/>
  <c r="AG140" i="14608"/>
  <c r="AH140" i="14608"/>
  <c r="AI140" i="14608"/>
  <c r="AJ140" i="14608"/>
  <c r="AK140" i="14608"/>
  <c r="AL140" i="14608"/>
  <c r="AM140" i="14608"/>
  <c r="AN140" i="14608"/>
  <c r="AO140" i="14608"/>
  <c r="AP140" i="14608"/>
  <c r="AQ140" i="14608"/>
  <c r="AR140" i="14608"/>
  <c r="AS140" i="14608"/>
  <c r="AT140" i="14608"/>
  <c r="AU140" i="14608"/>
  <c r="AV140" i="14608"/>
  <c r="AW140" i="14608"/>
  <c r="AX140" i="14608"/>
  <c r="AY140" i="14608"/>
  <c r="AZ140" i="14608"/>
  <c r="BA140" i="14608"/>
  <c r="BB140" i="14608"/>
  <c r="BC140" i="14608"/>
  <c r="BD140" i="14608"/>
  <c r="BE140" i="14608"/>
  <c r="BF140" i="14608"/>
  <c r="BG140" i="14608"/>
  <c r="BH140" i="14608"/>
  <c r="BI140" i="14608"/>
  <c r="BJ140" i="14608"/>
  <c r="BK140" i="14608"/>
  <c r="BL140" i="14608"/>
  <c r="BM140" i="14608"/>
  <c r="BN140" i="14608"/>
  <c r="BO140" i="14608"/>
  <c r="BP140" i="14608"/>
  <c r="BQ140" i="14608"/>
  <c r="BR140" i="14608"/>
  <c r="BS140" i="14608"/>
  <c r="BT140" i="14608"/>
  <c r="BU140" i="14608"/>
  <c r="BV140" i="14608"/>
  <c r="BW140" i="14608"/>
  <c r="BX140" i="14608"/>
  <c r="BY140" i="14608"/>
  <c r="BZ140" i="14608"/>
  <c r="CA140" i="14608"/>
  <c r="CB140" i="14608"/>
  <c r="CC140" i="14608"/>
  <c r="CD140" i="14608"/>
  <c r="CE140" i="14608"/>
  <c r="CF140" i="14608"/>
  <c r="CG140" i="14608"/>
  <c r="CH140" i="14608"/>
  <c r="CI140" i="14608"/>
  <c r="CJ140" i="14608"/>
  <c r="CK140" i="14608"/>
  <c r="CL140" i="14608"/>
  <c r="CM140" i="14608"/>
  <c r="CN140" i="14608"/>
  <c r="CO140" i="14608"/>
  <c r="CP140" i="14608"/>
  <c r="CQ140" i="14608"/>
  <c r="CR140" i="14608"/>
  <c r="CS140" i="14608"/>
  <c r="CT140" i="14608"/>
  <c r="CU140" i="14608"/>
  <c r="CV140" i="14608"/>
  <c r="CW140" i="14608"/>
  <c r="CX140" i="14608"/>
  <c r="CY140" i="14608"/>
  <c r="CZ140" i="14608"/>
  <c r="DA140" i="14608"/>
  <c r="DB140" i="14608"/>
  <c r="DC140" i="14608"/>
  <c r="DD140" i="14608"/>
  <c r="DE140" i="14608"/>
  <c r="DF140" i="14608"/>
  <c r="DG140" i="14608"/>
  <c r="DH140" i="14608"/>
  <c r="DI140" i="14608"/>
  <c r="DJ140" i="14608"/>
  <c r="DK140" i="14608"/>
  <c r="DL140" i="14608"/>
  <c r="DM140" i="14608"/>
  <c r="DN140" i="14608"/>
  <c r="DO140" i="14608"/>
  <c r="DP140" i="14608"/>
  <c r="DQ140" i="14608"/>
  <c r="DR140" i="14608"/>
  <c r="DS140" i="14608"/>
  <c r="DT140" i="14608"/>
  <c r="DU140" i="14608"/>
  <c r="DV140" i="14608"/>
  <c r="DW140" i="14608"/>
  <c r="DX140" i="14608"/>
  <c r="DY140" i="14608"/>
  <c r="DZ140" i="14608"/>
  <c r="EA140" i="14608"/>
  <c r="EB140" i="14608"/>
  <c r="EC140" i="14608"/>
  <c r="ED140" i="14608"/>
  <c r="EE140" i="14608"/>
  <c r="EF140" i="14608"/>
  <c r="EG140" i="14608"/>
  <c r="EH140" i="14608"/>
  <c r="EI140" i="14608"/>
  <c r="EJ140" i="14608"/>
  <c r="EK140" i="14608"/>
  <c r="EL140" i="14608"/>
  <c r="EM140" i="14608"/>
  <c r="EN140" i="14608"/>
  <c r="EO140" i="14608"/>
  <c r="EP140" i="14608"/>
  <c r="EQ140" i="14608"/>
  <c r="ER140" i="14608"/>
  <c r="ES140" i="14608"/>
  <c r="ET140" i="14608"/>
  <c r="EU140" i="14608"/>
  <c r="EV140" i="14608"/>
  <c r="EW140" i="14608"/>
  <c r="EX140" i="14608"/>
  <c r="EY140" i="14608"/>
  <c r="EZ140" i="14608"/>
  <c r="FA140" i="14608"/>
  <c r="FB140" i="14608"/>
  <c r="FC140" i="14608"/>
  <c r="FD140" i="14608"/>
  <c r="FE140" i="14608"/>
  <c r="FF140" i="14608"/>
  <c r="FG140" i="14608"/>
  <c r="FH140" i="14608"/>
  <c r="FI140" i="14608"/>
  <c r="FJ140" i="14608"/>
  <c r="FK140" i="14608"/>
  <c r="FL140" i="14608"/>
  <c r="FM140" i="14608"/>
  <c r="FN140" i="14608"/>
  <c r="FO140" i="14608"/>
  <c r="FP140" i="14608"/>
  <c r="FQ140" i="14608"/>
  <c r="FR140" i="14608"/>
  <c r="FS140" i="14608"/>
  <c r="FT140" i="14608"/>
  <c r="FU140" i="14608"/>
  <c r="FV140" i="14608"/>
  <c r="FW140" i="14608"/>
  <c r="FX140" i="14608"/>
  <c r="FY140" i="14608"/>
  <c r="FZ140" i="14608"/>
  <c r="GA140" i="14608"/>
  <c r="GB140" i="14608"/>
  <c r="GC140" i="14608"/>
  <c r="GD140" i="14608"/>
  <c r="GE140" i="14608"/>
  <c r="GF140" i="14608"/>
  <c r="GG140" i="14608"/>
  <c r="GH140" i="14608"/>
  <c r="GI140" i="14608"/>
  <c r="GJ140" i="14608"/>
  <c r="GK140" i="14608"/>
  <c r="GL140" i="14608"/>
  <c r="GM140" i="14608"/>
  <c r="GN140" i="14608"/>
  <c r="GO140" i="14608"/>
  <c r="GP140" i="14608"/>
  <c r="GQ140" i="14608"/>
  <c r="GR140" i="14608"/>
  <c r="GS140" i="14608"/>
  <c r="GT140" i="14608"/>
  <c r="GU140" i="14608"/>
  <c r="GV140" i="14608"/>
  <c r="GW140" i="14608"/>
  <c r="GX140" i="14608"/>
  <c r="GY140" i="14608"/>
  <c r="GZ140" i="14608"/>
  <c r="HA140" i="14608"/>
  <c r="HB140" i="14608"/>
  <c r="HC140" i="14608"/>
  <c r="HD140" i="14608"/>
  <c r="HE140" i="14608"/>
  <c r="HF140" i="14608"/>
  <c r="HG140" i="14608"/>
  <c r="HH140" i="14608"/>
  <c r="HI140" i="14608"/>
  <c r="HJ140" i="14608"/>
  <c r="HK140" i="14608"/>
  <c r="HL140" i="14608"/>
  <c r="HM140" i="14608"/>
  <c r="HN140" i="14608"/>
  <c r="HO140" i="14608"/>
  <c r="HP140" i="14608"/>
  <c r="HQ140" i="14608"/>
  <c r="HR140" i="14608"/>
  <c r="HS140" i="14608"/>
  <c r="HT140" i="14608"/>
  <c r="HU140" i="14608"/>
  <c r="HV140" i="14608"/>
  <c r="HW140" i="14608"/>
  <c r="HX140" i="14608"/>
  <c r="HY140" i="14608"/>
  <c r="HZ140" i="14608"/>
  <c r="IA140" i="14608"/>
  <c r="IB140" i="14608"/>
  <c r="IC140" i="14608"/>
  <c r="ID140" i="14608"/>
  <c r="IE140" i="14608"/>
  <c r="IF140" i="14608"/>
  <c r="IG140" i="14608"/>
  <c r="IH140" i="14608"/>
  <c r="II140" i="14608"/>
  <c r="IJ140" i="14608"/>
  <c r="IK140" i="14608"/>
  <c r="IL140" i="14608"/>
  <c r="IM140" i="14608"/>
  <c r="IN140" i="14608"/>
  <c r="IO140" i="14608"/>
  <c r="IP140" i="14608"/>
  <c r="IQ140" i="14608"/>
  <c r="IR140" i="14608"/>
  <c r="IS140" i="14608"/>
  <c r="IT140" i="14608"/>
  <c r="IU140" i="14608"/>
  <c r="IV140" i="14608"/>
  <c r="A139" i="14608"/>
  <c r="B139" i="14608"/>
  <c r="C139" i="14608"/>
  <c r="D139" i="14608"/>
  <c r="E139" i="14608"/>
  <c r="F139" i="14608"/>
  <c r="G139" i="14608"/>
  <c r="H139" i="14608"/>
  <c r="I139" i="14608"/>
  <c r="J139" i="14608"/>
  <c r="K139" i="14608"/>
  <c r="L139" i="14608"/>
  <c r="M139" i="14608"/>
  <c r="N139" i="14608"/>
  <c r="O139" i="14608"/>
  <c r="P139" i="14608"/>
  <c r="Q139" i="14608"/>
  <c r="R139" i="14608"/>
  <c r="S139" i="14608"/>
  <c r="T139" i="14608"/>
  <c r="U139" i="14608"/>
  <c r="V139" i="14608"/>
  <c r="W139" i="14608"/>
  <c r="X139" i="14608"/>
  <c r="Y139" i="14608"/>
  <c r="Z139" i="14608"/>
  <c r="AA139" i="14608"/>
  <c r="AB139" i="14608"/>
  <c r="AC139" i="14608"/>
  <c r="AD139" i="14608"/>
  <c r="AE139" i="14608"/>
  <c r="AF139" i="14608"/>
  <c r="AG139" i="14608"/>
  <c r="AH139" i="14608"/>
  <c r="AI139" i="14608"/>
  <c r="AJ139" i="14608"/>
  <c r="AK139" i="14608"/>
  <c r="AL139" i="14608"/>
  <c r="AM139" i="14608"/>
  <c r="AN139" i="14608"/>
  <c r="AO139" i="14608"/>
  <c r="AP139" i="14608"/>
  <c r="AQ139" i="14608"/>
  <c r="AR139" i="14608"/>
  <c r="AS139" i="14608"/>
  <c r="AT139" i="14608"/>
  <c r="AU139" i="14608"/>
  <c r="AV139" i="14608"/>
  <c r="AW139" i="14608"/>
  <c r="AX139" i="14608"/>
  <c r="AY139" i="14608"/>
  <c r="AZ139" i="14608"/>
  <c r="BA139" i="14608"/>
  <c r="BB139" i="14608"/>
  <c r="BC139" i="14608"/>
  <c r="BD139" i="14608"/>
  <c r="BE139" i="14608"/>
  <c r="BF139" i="14608"/>
  <c r="BG139" i="14608"/>
  <c r="BH139" i="14608"/>
  <c r="BI139" i="14608"/>
  <c r="BJ139" i="14608"/>
  <c r="BK139" i="14608"/>
  <c r="BL139" i="14608"/>
  <c r="BM139" i="14608"/>
  <c r="BN139" i="14608"/>
  <c r="BO139" i="14608"/>
  <c r="BP139" i="14608"/>
  <c r="BQ139" i="14608"/>
  <c r="BR139" i="14608"/>
  <c r="BS139" i="14608"/>
  <c r="BT139" i="14608"/>
  <c r="BU139" i="14608"/>
  <c r="BV139" i="14608"/>
  <c r="BW139" i="14608"/>
  <c r="BX139" i="14608"/>
  <c r="BY139" i="14608"/>
  <c r="BZ139" i="14608"/>
  <c r="CA139" i="14608"/>
  <c r="CB139" i="14608"/>
  <c r="CC139" i="14608"/>
  <c r="CD139" i="14608"/>
  <c r="CE139" i="14608"/>
  <c r="CF139" i="14608"/>
  <c r="CG139" i="14608"/>
  <c r="CH139" i="14608"/>
  <c r="CI139" i="14608"/>
  <c r="CJ139" i="14608"/>
  <c r="CK139" i="14608"/>
  <c r="CL139" i="14608"/>
  <c r="CM139" i="14608"/>
  <c r="CN139" i="14608"/>
  <c r="CO139" i="14608"/>
  <c r="CP139" i="14608"/>
  <c r="CQ139" i="14608"/>
  <c r="CR139" i="14608"/>
  <c r="CS139" i="14608"/>
  <c r="CT139" i="14608"/>
  <c r="CU139" i="14608"/>
  <c r="CV139" i="14608"/>
  <c r="CW139" i="14608"/>
  <c r="CX139" i="14608"/>
  <c r="CY139" i="14608"/>
  <c r="CZ139" i="14608"/>
  <c r="DA139" i="14608"/>
  <c r="DB139" i="14608"/>
  <c r="DC139" i="14608"/>
  <c r="DD139" i="14608"/>
  <c r="DE139" i="14608"/>
  <c r="DF139" i="14608"/>
  <c r="DG139" i="14608"/>
  <c r="DH139" i="14608"/>
  <c r="DI139" i="14608"/>
  <c r="DJ139" i="14608"/>
  <c r="DK139" i="14608"/>
  <c r="DL139" i="14608"/>
  <c r="DM139" i="14608"/>
  <c r="DN139" i="14608"/>
  <c r="DO139" i="14608"/>
  <c r="DP139" i="14608"/>
  <c r="DQ139" i="14608"/>
  <c r="DR139" i="14608"/>
  <c r="DS139" i="14608"/>
  <c r="DT139" i="14608"/>
  <c r="DU139" i="14608"/>
  <c r="DV139" i="14608"/>
  <c r="DW139" i="14608"/>
  <c r="DX139" i="14608"/>
  <c r="DY139" i="14608"/>
  <c r="DZ139" i="14608"/>
  <c r="EA139" i="14608"/>
  <c r="EB139" i="14608"/>
  <c r="EC139" i="14608"/>
  <c r="ED139" i="14608"/>
  <c r="EE139" i="14608"/>
  <c r="EF139" i="14608"/>
  <c r="EG139" i="14608"/>
  <c r="EH139" i="14608"/>
  <c r="EI139" i="14608"/>
  <c r="EJ139" i="14608"/>
  <c r="EK139" i="14608"/>
  <c r="EL139" i="14608"/>
  <c r="EM139" i="14608"/>
  <c r="EN139" i="14608"/>
  <c r="EO139" i="14608"/>
  <c r="EP139" i="14608"/>
  <c r="EQ139" i="14608"/>
  <c r="ER139" i="14608"/>
  <c r="ES139" i="14608"/>
  <c r="ET139" i="14608"/>
  <c r="EU139" i="14608"/>
  <c r="EV139" i="14608"/>
  <c r="EW139" i="14608"/>
  <c r="EX139" i="14608"/>
  <c r="EY139" i="14608"/>
  <c r="EZ139" i="14608"/>
  <c r="FA139" i="14608"/>
  <c r="FB139" i="14608"/>
  <c r="FC139" i="14608"/>
  <c r="FD139" i="14608"/>
  <c r="FE139" i="14608"/>
  <c r="FF139" i="14608"/>
  <c r="FG139" i="14608"/>
  <c r="FH139" i="14608"/>
  <c r="FI139" i="14608"/>
  <c r="FJ139" i="14608"/>
  <c r="FK139" i="14608"/>
  <c r="FL139" i="14608"/>
  <c r="FM139" i="14608"/>
  <c r="FN139" i="14608"/>
  <c r="FO139" i="14608"/>
  <c r="FP139" i="14608"/>
  <c r="FQ139" i="14608"/>
  <c r="FR139" i="14608"/>
  <c r="FS139" i="14608"/>
  <c r="FT139" i="14608"/>
  <c r="FU139" i="14608"/>
  <c r="FV139" i="14608"/>
  <c r="FW139" i="14608"/>
  <c r="FX139" i="14608"/>
  <c r="FY139" i="14608"/>
  <c r="FZ139" i="14608"/>
  <c r="GA139" i="14608"/>
  <c r="GB139" i="14608"/>
  <c r="GC139" i="14608"/>
  <c r="GD139" i="14608"/>
  <c r="GE139" i="14608"/>
  <c r="GF139" i="14608"/>
  <c r="GG139" i="14608"/>
  <c r="GH139" i="14608"/>
  <c r="GI139" i="14608"/>
  <c r="GJ139" i="14608"/>
  <c r="GK139" i="14608"/>
  <c r="GL139" i="14608"/>
  <c r="GM139" i="14608"/>
  <c r="GN139" i="14608"/>
  <c r="GO139" i="14608"/>
  <c r="GP139" i="14608"/>
  <c r="GQ139" i="14608"/>
  <c r="GR139" i="14608"/>
  <c r="GS139" i="14608"/>
  <c r="GT139" i="14608"/>
  <c r="GU139" i="14608"/>
  <c r="GV139" i="14608"/>
  <c r="GW139" i="14608"/>
  <c r="GX139" i="14608"/>
  <c r="GY139" i="14608"/>
  <c r="GZ139" i="14608"/>
  <c r="HA139" i="14608"/>
  <c r="HB139" i="14608"/>
  <c r="HC139" i="14608"/>
  <c r="HD139" i="14608"/>
  <c r="HE139" i="14608"/>
  <c r="HF139" i="14608"/>
  <c r="HG139" i="14608"/>
  <c r="HH139" i="14608"/>
  <c r="HI139" i="14608"/>
  <c r="HJ139" i="14608"/>
  <c r="HK139" i="14608"/>
  <c r="HL139" i="14608"/>
  <c r="HM139" i="14608"/>
  <c r="HN139" i="14608"/>
  <c r="HO139" i="14608"/>
  <c r="HP139" i="14608"/>
  <c r="HQ139" i="14608"/>
  <c r="HR139" i="14608"/>
  <c r="HS139" i="14608"/>
  <c r="HT139" i="14608"/>
  <c r="HU139" i="14608"/>
  <c r="HV139" i="14608"/>
  <c r="HW139" i="14608"/>
  <c r="HX139" i="14608"/>
  <c r="HY139" i="14608"/>
  <c r="HZ139" i="14608"/>
  <c r="IA139" i="14608"/>
  <c r="IB139" i="14608"/>
  <c r="IC139" i="14608"/>
  <c r="ID139" i="14608"/>
  <c r="IE139" i="14608"/>
  <c r="IF139" i="14608"/>
  <c r="IG139" i="14608"/>
  <c r="IH139" i="14608"/>
  <c r="II139" i="14608"/>
  <c r="IJ139" i="14608"/>
  <c r="IK139" i="14608"/>
  <c r="IL139" i="14608"/>
  <c r="IM139" i="14608"/>
  <c r="IN139" i="14608"/>
  <c r="IO139" i="14608"/>
  <c r="IP139" i="14608"/>
  <c r="IQ139" i="14608"/>
  <c r="IR139" i="14608"/>
  <c r="IS139" i="14608"/>
  <c r="IT139" i="14608"/>
  <c r="IU139" i="14608"/>
  <c r="IV139" i="14608"/>
  <c r="A138" i="14608"/>
  <c r="B138" i="14608"/>
  <c r="C138" i="14608"/>
  <c r="D138" i="14608"/>
  <c r="E138" i="14608"/>
  <c r="F138" i="14608"/>
  <c r="G138" i="14608"/>
  <c r="H138" i="14608"/>
  <c r="I138" i="14608"/>
  <c r="J138" i="14608"/>
  <c r="K138" i="14608"/>
  <c r="L138" i="14608"/>
  <c r="M138" i="14608"/>
  <c r="N138" i="14608"/>
  <c r="O138" i="14608"/>
  <c r="P138" i="14608"/>
  <c r="Q138" i="14608"/>
  <c r="R138" i="14608"/>
  <c r="S138" i="14608"/>
  <c r="T138" i="14608"/>
  <c r="U138" i="14608"/>
  <c r="V138" i="14608"/>
  <c r="W138" i="14608"/>
  <c r="X138" i="14608"/>
  <c r="Y138" i="14608"/>
  <c r="Z138" i="14608"/>
  <c r="AA138" i="14608"/>
  <c r="AB138" i="14608"/>
  <c r="AC138" i="14608"/>
  <c r="AD138" i="14608"/>
  <c r="AE138" i="14608"/>
  <c r="AF138" i="14608"/>
  <c r="AG138" i="14608"/>
  <c r="AH138" i="14608"/>
  <c r="AI138" i="14608"/>
  <c r="AJ138" i="14608"/>
  <c r="AK138" i="14608"/>
  <c r="AL138" i="14608"/>
  <c r="AM138" i="14608"/>
  <c r="AN138" i="14608"/>
  <c r="AO138" i="14608"/>
  <c r="AP138" i="14608"/>
  <c r="AQ138" i="14608"/>
  <c r="AR138" i="14608"/>
  <c r="AS138" i="14608"/>
  <c r="AT138" i="14608"/>
  <c r="AU138" i="14608"/>
  <c r="AV138" i="14608"/>
  <c r="AW138" i="14608"/>
  <c r="AX138" i="14608"/>
  <c r="AY138" i="14608"/>
  <c r="AZ138" i="14608"/>
  <c r="BA138" i="14608"/>
  <c r="BB138" i="14608"/>
  <c r="BC138" i="14608"/>
  <c r="BD138" i="14608"/>
  <c r="BE138" i="14608"/>
  <c r="BF138" i="14608"/>
  <c r="BG138" i="14608"/>
  <c r="BH138" i="14608"/>
  <c r="BI138" i="14608"/>
  <c r="BJ138" i="14608"/>
  <c r="BK138" i="14608"/>
  <c r="BL138" i="14608"/>
  <c r="BM138" i="14608"/>
  <c r="BN138" i="14608"/>
  <c r="BO138" i="14608"/>
  <c r="BP138" i="14608"/>
  <c r="BQ138" i="14608"/>
  <c r="BR138" i="14608"/>
  <c r="BS138" i="14608"/>
  <c r="BT138" i="14608"/>
  <c r="BU138" i="14608"/>
  <c r="BV138" i="14608"/>
  <c r="BW138" i="14608"/>
  <c r="BX138" i="14608"/>
  <c r="BY138" i="14608"/>
  <c r="BZ138" i="14608"/>
  <c r="CA138" i="14608"/>
  <c r="CB138" i="14608"/>
  <c r="CC138" i="14608"/>
  <c r="CD138" i="14608"/>
  <c r="CE138" i="14608"/>
  <c r="CF138" i="14608"/>
  <c r="CG138" i="14608"/>
  <c r="CH138" i="14608"/>
  <c r="CI138" i="14608"/>
  <c r="CJ138" i="14608"/>
  <c r="CK138" i="14608"/>
  <c r="CL138" i="14608"/>
  <c r="CM138" i="14608"/>
  <c r="CN138" i="14608"/>
  <c r="CO138" i="14608"/>
  <c r="CP138" i="14608"/>
  <c r="CQ138" i="14608"/>
  <c r="CR138" i="14608"/>
  <c r="CS138" i="14608"/>
  <c r="CT138" i="14608"/>
  <c r="CU138" i="14608"/>
  <c r="CV138" i="14608"/>
  <c r="CW138" i="14608"/>
  <c r="CX138" i="14608"/>
  <c r="CY138" i="14608"/>
  <c r="CZ138" i="14608"/>
  <c r="DA138" i="14608"/>
  <c r="DB138" i="14608"/>
  <c r="DC138" i="14608"/>
  <c r="DD138" i="14608"/>
  <c r="DE138" i="14608"/>
  <c r="DF138" i="14608"/>
  <c r="DG138" i="14608"/>
  <c r="DH138" i="14608"/>
  <c r="DI138" i="14608"/>
  <c r="DJ138" i="14608"/>
  <c r="DK138" i="14608"/>
  <c r="DL138" i="14608"/>
  <c r="DM138" i="14608"/>
  <c r="DN138" i="14608"/>
  <c r="DO138" i="14608"/>
  <c r="DP138" i="14608"/>
  <c r="DQ138" i="14608"/>
  <c r="DR138" i="14608"/>
  <c r="DS138" i="14608"/>
  <c r="DT138" i="14608"/>
  <c r="DU138" i="14608"/>
  <c r="DV138" i="14608"/>
  <c r="DW138" i="14608"/>
  <c r="DX138" i="14608"/>
  <c r="DY138" i="14608"/>
  <c r="DZ138" i="14608"/>
  <c r="EA138" i="14608"/>
  <c r="EB138" i="14608"/>
  <c r="EC138" i="14608"/>
  <c r="ED138" i="14608"/>
  <c r="EE138" i="14608"/>
  <c r="EF138" i="14608"/>
  <c r="EG138" i="14608"/>
  <c r="EH138" i="14608"/>
  <c r="EI138" i="14608"/>
  <c r="EJ138" i="14608"/>
  <c r="EK138" i="14608"/>
  <c r="EL138" i="14608"/>
  <c r="EM138" i="14608"/>
  <c r="EN138" i="14608"/>
  <c r="EO138" i="14608"/>
  <c r="EP138" i="14608"/>
  <c r="EQ138" i="14608"/>
  <c r="ER138" i="14608"/>
  <c r="ES138" i="14608"/>
  <c r="ET138" i="14608"/>
  <c r="EU138" i="14608"/>
  <c r="EV138" i="14608"/>
  <c r="EW138" i="14608"/>
  <c r="EX138" i="14608"/>
  <c r="EY138" i="14608"/>
  <c r="EZ138" i="14608"/>
  <c r="FA138" i="14608"/>
  <c r="FB138" i="14608"/>
  <c r="FC138" i="14608"/>
  <c r="FD138" i="14608"/>
  <c r="FE138" i="14608"/>
  <c r="FF138" i="14608"/>
  <c r="FG138" i="14608"/>
  <c r="FH138" i="14608"/>
  <c r="FI138" i="14608"/>
  <c r="FJ138" i="14608"/>
  <c r="FK138" i="14608"/>
  <c r="FL138" i="14608"/>
  <c r="FM138" i="14608"/>
  <c r="FN138" i="14608"/>
  <c r="FO138" i="14608"/>
  <c r="FP138" i="14608"/>
  <c r="FQ138" i="14608"/>
  <c r="FR138" i="14608"/>
  <c r="FS138" i="14608"/>
  <c r="FT138" i="14608"/>
  <c r="FU138" i="14608"/>
  <c r="FV138" i="14608"/>
  <c r="FW138" i="14608"/>
  <c r="FX138" i="14608"/>
  <c r="FY138" i="14608"/>
  <c r="FZ138" i="14608"/>
  <c r="GA138" i="14608"/>
  <c r="GB138" i="14608"/>
  <c r="GC138" i="14608"/>
  <c r="GD138" i="14608"/>
  <c r="GE138" i="14608"/>
  <c r="GF138" i="14608"/>
  <c r="GG138" i="14608"/>
  <c r="GH138" i="14608"/>
  <c r="GI138" i="14608"/>
  <c r="GJ138" i="14608"/>
  <c r="GK138" i="14608"/>
  <c r="GL138" i="14608"/>
  <c r="GM138" i="14608"/>
  <c r="GN138" i="14608"/>
  <c r="GO138" i="14608"/>
  <c r="GP138" i="14608"/>
  <c r="GQ138" i="14608"/>
  <c r="GR138" i="14608"/>
  <c r="GS138" i="14608"/>
  <c r="GT138" i="14608"/>
  <c r="GU138" i="14608"/>
  <c r="GV138" i="14608"/>
  <c r="GW138" i="14608"/>
  <c r="GX138" i="14608"/>
  <c r="GY138" i="14608"/>
  <c r="GZ138" i="14608"/>
  <c r="HA138" i="14608"/>
  <c r="HB138" i="14608"/>
  <c r="HC138" i="14608"/>
  <c r="HD138" i="14608"/>
  <c r="HE138" i="14608"/>
  <c r="HF138" i="14608"/>
  <c r="HG138" i="14608"/>
  <c r="HH138" i="14608"/>
  <c r="HI138" i="14608"/>
  <c r="HJ138" i="14608"/>
  <c r="HK138" i="14608"/>
  <c r="HL138" i="14608"/>
  <c r="HM138" i="14608"/>
  <c r="HN138" i="14608"/>
  <c r="HO138" i="14608"/>
  <c r="HP138" i="14608"/>
  <c r="HQ138" i="14608"/>
  <c r="HR138" i="14608"/>
  <c r="HS138" i="14608"/>
  <c r="HT138" i="14608"/>
  <c r="HU138" i="14608"/>
  <c r="HV138" i="14608"/>
  <c r="HW138" i="14608"/>
  <c r="HX138" i="14608"/>
  <c r="HY138" i="14608"/>
  <c r="HZ138" i="14608"/>
  <c r="IA138" i="14608"/>
  <c r="IB138" i="14608"/>
  <c r="IC138" i="14608"/>
  <c r="ID138" i="14608"/>
  <c r="IE138" i="14608"/>
  <c r="IF138" i="14608"/>
  <c r="IG138" i="14608"/>
  <c r="IH138" i="14608"/>
  <c r="II138" i="14608"/>
  <c r="IJ138" i="14608"/>
  <c r="IK138" i="14608"/>
  <c r="IL138" i="14608"/>
  <c r="IM138" i="14608"/>
  <c r="IN138" i="14608"/>
  <c r="IO138" i="14608"/>
  <c r="IP138" i="14608"/>
  <c r="IQ138" i="14608"/>
  <c r="IR138" i="14608"/>
  <c r="IS138" i="14608"/>
  <c r="IT138" i="14608"/>
  <c r="IU138" i="14608"/>
  <c r="IV138" i="14608"/>
  <c r="A137" i="14608"/>
  <c r="B137" i="14608"/>
  <c r="C137" i="14608"/>
  <c r="D137" i="14608"/>
  <c r="E137" i="14608"/>
  <c r="F137" i="14608"/>
  <c r="G137" i="14608"/>
  <c r="H137" i="14608"/>
  <c r="I137" i="14608"/>
  <c r="J137" i="14608"/>
  <c r="K137" i="14608"/>
  <c r="L137" i="14608"/>
  <c r="M137" i="14608"/>
  <c r="N137" i="14608"/>
  <c r="O137" i="14608"/>
  <c r="P137" i="14608"/>
  <c r="Q137" i="14608"/>
  <c r="R137" i="14608"/>
  <c r="S137" i="14608"/>
  <c r="T137" i="14608"/>
  <c r="U137" i="14608"/>
  <c r="V137" i="14608"/>
  <c r="W137" i="14608"/>
  <c r="X137" i="14608"/>
  <c r="Y137" i="14608"/>
  <c r="Z137" i="14608"/>
  <c r="AA137" i="14608"/>
  <c r="AB137" i="14608"/>
  <c r="AC137" i="14608"/>
  <c r="AD137" i="14608"/>
  <c r="AE137" i="14608"/>
  <c r="AF137" i="14608"/>
  <c r="AG137" i="14608"/>
  <c r="AH137" i="14608"/>
  <c r="AI137" i="14608"/>
  <c r="AJ137" i="14608"/>
  <c r="AK137" i="14608"/>
  <c r="AL137" i="14608"/>
  <c r="AM137" i="14608"/>
  <c r="AN137" i="14608"/>
  <c r="AO137" i="14608"/>
  <c r="AP137" i="14608"/>
  <c r="AQ137" i="14608"/>
  <c r="AR137" i="14608"/>
  <c r="AS137" i="14608"/>
  <c r="AT137" i="14608"/>
  <c r="AU137" i="14608"/>
  <c r="AV137" i="14608"/>
  <c r="AW137" i="14608"/>
  <c r="AX137" i="14608"/>
  <c r="AY137" i="14608"/>
  <c r="AZ137" i="14608"/>
  <c r="BA137" i="14608"/>
  <c r="BB137" i="14608"/>
  <c r="BC137" i="14608"/>
  <c r="BD137" i="14608"/>
  <c r="BE137" i="14608"/>
  <c r="BF137" i="14608"/>
  <c r="BG137" i="14608"/>
  <c r="BH137" i="14608"/>
  <c r="BI137" i="14608"/>
  <c r="BJ137" i="14608"/>
  <c r="BK137" i="14608"/>
  <c r="BL137" i="14608"/>
  <c r="BM137" i="14608"/>
  <c r="BN137" i="14608"/>
  <c r="BO137" i="14608"/>
  <c r="BP137" i="14608"/>
  <c r="BQ137" i="14608"/>
  <c r="BR137" i="14608"/>
  <c r="BS137" i="14608"/>
  <c r="BT137" i="14608"/>
  <c r="BU137" i="14608"/>
  <c r="BV137" i="14608"/>
  <c r="BW137" i="14608"/>
  <c r="BX137" i="14608"/>
  <c r="BY137" i="14608"/>
  <c r="BZ137" i="14608"/>
  <c r="CA137" i="14608"/>
  <c r="CB137" i="14608"/>
  <c r="CC137" i="14608"/>
  <c r="CD137" i="14608"/>
  <c r="CE137" i="14608"/>
  <c r="CF137" i="14608"/>
  <c r="CG137" i="14608"/>
  <c r="CH137" i="14608"/>
  <c r="CI137" i="14608"/>
  <c r="CJ137" i="14608"/>
  <c r="CK137" i="14608"/>
  <c r="CL137" i="14608"/>
  <c r="CM137" i="14608"/>
  <c r="CN137" i="14608"/>
  <c r="CO137" i="14608"/>
  <c r="CP137" i="14608"/>
  <c r="CQ137" i="14608"/>
  <c r="CR137" i="14608"/>
  <c r="CS137" i="14608"/>
  <c r="CT137" i="14608"/>
  <c r="CU137" i="14608"/>
  <c r="CV137" i="14608"/>
  <c r="CW137" i="14608"/>
  <c r="CX137" i="14608"/>
  <c r="CY137" i="14608"/>
  <c r="CZ137" i="14608"/>
  <c r="DA137" i="14608"/>
  <c r="DB137" i="14608"/>
  <c r="DC137" i="14608"/>
  <c r="DD137" i="14608"/>
  <c r="DE137" i="14608"/>
  <c r="DF137" i="14608"/>
  <c r="DG137" i="14608"/>
  <c r="DH137" i="14608"/>
  <c r="DI137" i="14608"/>
  <c r="DJ137" i="14608"/>
  <c r="DK137" i="14608"/>
  <c r="DL137" i="14608"/>
  <c r="DM137" i="14608"/>
  <c r="DN137" i="14608"/>
  <c r="DO137" i="14608"/>
  <c r="DP137" i="14608"/>
  <c r="DQ137" i="14608"/>
  <c r="DR137" i="14608"/>
  <c r="DS137" i="14608"/>
  <c r="DT137" i="14608"/>
  <c r="DU137" i="14608"/>
  <c r="DV137" i="14608"/>
  <c r="DW137" i="14608"/>
  <c r="DX137" i="14608"/>
  <c r="DY137" i="14608"/>
  <c r="DZ137" i="14608"/>
  <c r="EA137" i="14608"/>
  <c r="EB137" i="14608"/>
  <c r="EC137" i="14608"/>
  <c r="ED137" i="14608"/>
  <c r="EE137" i="14608"/>
  <c r="EF137" i="14608"/>
  <c r="EG137" i="14608"/>
  <c r="EH137" i="14608"/>
  <c r="EI137" i="14608"/>
  <c r="EJ137" i="14608"/>
  <c r="EK137" i="14608"/>
  <c r="EL137" i="14608"/>
  <c r="EM137" i="14608"/>
  <c r="EN137" i="14608"/>
  <c r="EO137" i="14608"/>
  <c r="EP137" i="14608"/>
  <c r="EQ137" i="14608"/>
  <c r="ER137" i="14608"/>
  <c r="ES137" i="14608"/>
  <c r="ET137" i="14608"/>
  <c r="EU137" i="14608"/>
  <c r="EV137" i="14608"/>
  <c r="EW137" i="14608"/>
  <c r="EX137" i="14608"/>
  <c r="EY137" i="14608"/>
  <c r="EZ137" i="14608"/>
  <c r="FA137" i="14608"/>
  <c r="FB137" i="14608"/>
  <c r="FC137" i="14608"/>
  <c r="FD137" i="14608"/>
  <c r="FE137" i="14608"/>
  <c r="FF137" i="14608"/>
  <c r="FG137" i="14608"/>
  <c r="FH137" i="14608"/>
  <c r="FI137" i="14608"/>
  <c r="FJ137" i="14608"/>
  <c r="FK137" i="14608"/>
  <c r="FL137" i="14608"/>
  <c r="FM137" i="14608"/>
  <c r="FN137" i="14608"/>
  <c r="FO137" i="14608"/>
  <c r="FP137" i="14608"/>
  <c r="FQ137" i="14608"/>
  <c r="FR137" i="14608"/>
  <c r="FS137" i="14608"/>
  <c r="FT137" i="14608"/>
  <c r="FU137" i="14608"/>
  <c r="FV137" i="14608"/>
  <c r="FW137" i="14608"/>
  <c r="FX137" i="14608"/>
  <c r="FY137" i="14608"/>
  <c r="FZ137" i="14608"/>
  <c r="GA137" i="14608"/>
  <c r="GB137" i="14608"/>
  <c r="GC137" i="14608"/>
  <c r="GD137" i="14608"/>
  <c r="GE137" i="14608"/>
  <c r="GF137" i="14608"/>
  <c r="GG137" i="14608"/>
  <c r="GH137" i="14608"/>
  <c r="GI137" i="14608"/>
  <c r="GJ137" i="14608"/>
  <c r="GK137" i="14608"/>
  <c r="GL137" i="14608"/>
  <c r="GM137" i="14608"/>
  <c r="GN137" i="14608"/>
  <c r="GO137" i="14608"/>
  <c r="GP137" i="14608"/>
  <c r="GQ137" i="14608"/>
  <c r="GR137" i="14608"/>
  <c r="GS137" i="14608"/>
  <c r="GT137" i="14608"/>
  <c r="GU137" i="14608"/>
  <c r="GV137" i="14608"/>
  <c r="GW137" i="14608"/>
  <c r="GX137" i="14608"/>
  <c r="GY137" i="14608"/>
  <c r="GZ137" i="14608"/>
  <c r="HA137" i="14608"/>
  <c r="HB137" i="14608"/>
  <c r="HC137" i="14608"/>
  <c r="HD137" i="14608"/>
  <c r="HE137" i="14608"/>
  <c r="HF137" i="14608"/>
  <c r="HG137" i="14608"/>
  <c r="HH137" i="14608"/>
  <c r="HI137" i="14608"/>
  <c r="HJ137" i="14608"/>
  <c r="HK137" i="14608"/>
  <c r="HL137" i="14608"/>
  <c r="HM137" i="14608"/>
  <c r="HN137" i="14608"/>
  <c r="HO137" i="14608"/>
  <c r="HP137" i="14608"/>
  <c r="HQ137" i="14608"/>
  <c r="HR137" i="14608"/>
  <c r="HS137" i="14608"/>
  <c r="HT137" i="14608"/>
  <c r="HU137" i="14608"/>
  <c r="HV137" i="14608"/>
  <c r="HW137" i="14608"/>
  <c r="HX137" i="14608"/>
  <c r="HY137" i="14608"/>
  <c r="HZ137" i="14608"/>
  <c r="IA137" i="14608"/>
  <c r="IB137" i="14608"/>
  <c r="IC137" i="14608"/>
  <c r="ID137" i="14608"/>
  <c r="IE137" i="14608"/>
  <c r="IF137" i="14608"/>
  <c r="IG137" i="14608"/>
  <c r="IH137" i="14608"/>
  <c r="II137" i="14608"/>
  <c r="IJ137" i="14608"/>
  <c r="IK137" i="14608"/>
  <c r="IL137" i="14608"/>
  <c r="IM137" i="14608"/>
  <c r="IN137" i="14608"/>
  <c r="IO137" i="14608"/>
  <c r="IP137" i="14608"/>
  <c r="IQ137" i="14608"/>
  <c r="IR137" i="14608"/>
  <c r="IS137" i="14608"/>
  <c r="IT137" i="14608"/>
  <c r="IU137" i="14608"/>
  <c r="IV137" i="14608"/>
  <c r="A136" i="14608"/>
  <c r="B136" i="14608"/>
  <c r="C136" i="14608"/>
  <c r="D136" i="14608"/>
  <c r="E136" i="14608"/>
  <c r="F136" i="14608"/>
  <c r="G136" i="14608"/>
  <c r="H136" i="14608"/>
  <c r="I136" i="14608"/>
  <c r="J136" i="14608"/>
  <c r="K136" i="14608"/>
  <c r="L136" i="14608"/>
  <c r="M136" i="14608"/>
  <c r="N136" i="14608"/>
  <c r="O136" i="14608"/>
  <c r="P136" i="14608"/>
  <c r="Q136" i="14608"/>
  <c r="R136" i="14608"/>
  <c r="S136" i="14608"/>
  <c r="T136" i="14608"/>
  <c r="U136" i="14608"/>
  <c r="V136" i="14608"/>
  <c r="W136" i="14608"/>
  <c r="X136" i="14608"/>
  <c r="Y136" i="14608"/>
  <c r="Z136" i="14608"/>
  <c r="AA136" i="14608"/>
  <c r="AB136" i="14608"/>
  <c r="AC136" i="14608"/>
  <c r="AD136" i="14608"/>
  <c r="AE136" i="14608"/>
  <c r="AF136" i="14608"/>
  <c r="AG136" i="14608"/>
  <c r="AH136" i="14608"/>
  <c r="AI136" i="14608"/>
  <c r="AJ136" i="14608"/>
  <c r="AK136" i="14608"/>
  <c r="AL136" i="14608"/>
  <c r="AM136" i="14608"/>
  <c r="AN136" i="14608"/>
  <c r="AO136" i="14608"/>
  <c r="AP136" i="14608"/>
  <c r="AQ136" i="14608"/>
  <c r="AR136" i="14608"/>
  <c r="AS136" i="14608"/>
  <c r="AT136" i="14608"/>
  <c r="AU136" i="14608"/>
  <c r="AV136" i="14608"/>
  <c r="AW136" i="14608"/>
  <c r="AX136" i="14608"/>
  <c r="AY136" i="14608"/>
  <c r="AZ136" i="14608"/>
  <c r="BA136" i="14608"/>
  <c r="BB136" i="14608"/>
  <c r="BC136" i="14608"/>
  <c r="BD136" i="14608"/>
  <c r="BE136" i="14608"/>
  <c r="BF136" i="14608"/>
  <c r="BG136" i="14608"/>
  <c r="BH136" i="14608"/>
  <c r="BI136" i="14608"/>
  <c r="BJ136" i="14608"/>
  <c r="BK136" i="14608"/>
  <c r="BL136" i="14608"/>
  <c r="BM136" i="14608"/>
  <c r="BN136" i="14608"/>
  <c r="BO136" i="14608"/>
  <c r="BP136" i="14608"/>
  <c r="BQ136" i="14608"/>
  <c r="BR136" i="14608"/>
  <c r="BS136" i="14608"/>
  <c r="BT136" i="14608"/>
  <c r="BU136" i="14608"/>
  <c r="BV136" i="14608"/>
  <c r="BW136" i="14608"/>
  <c r="BX136" i="14608"/>
  <c r="BY136" i="14608"/>
  <c r="BZ136" i="14608"/>
  <c r="CA136" i="14608"/>
  <c r="CB136" i="14608"/>
  <c r="CC136" i="14608"/>
  <c r="CD136" i="14608"/>
  <c r="CE136" i="14608"/>
  <c r="CF136" i="14608"/>
  <c r="CG136" i="14608"/>
  <c r="CH136" i="14608"/>
  <c r="CI136" i="14608"/>
  <c r="CJ136" i="14608"/>
  <c r="CK136" i="14608"/>
  <c r="CL136" i="14608"/>
  <c r="CM136" i="14608"/>
  <c r="CN136" i="14608"/>
  <c r="CO136" i="14608"/>
  <c r="CP136" i="14608"/>
  <c r="CQ136" i="14608"/>
  <c r="CR136" i="14608"/>
  <c r="CS136" i="14608"/>
  <c r="CT136" i="14608"/>
  <c r="CU136" i="14608"/>
  <c r="CV136" i="14608"/>
  <c r="CW136" i="14608"/>
  <c r="CX136" i="14608"/>
  <c r="CY136" i="14608"/>
  <c r="CZ136" i="14608"/>
  <c r="DA136" i="14608"/>
  <c r="DB136" i="14608"/>
  <c r="DC136" i="14608"/>
  <c r="DD136" i="14608"/>
  <c r="DE136" i="14608"/>
  <c r="DF136" i="14608"/>
  <c r="DG136" i="14608"/>
  <c r="DH136" i="14608"/>
  <c r="DI136" i="14608"/>
  <c r="DJ136" i="14608"/>
  <c r="DK136" i="14608"/>
  <c r="DL136" i="14608"/>
  <c r="DM136" i="14608"/>
  <c r="DN136" i="14608"/>
  <c r="DO136" i="14608"/>
  <c r="DP136" i="14608"/>
  <c r="DQ136" i="14608"/>
  <c r="DR136" i="14608"/>
  <c r="DS136" i="14608"/>
  <c r="DT136" i="14608"/>
  <c r="DU136" i="14608"/>
  <c r="DV136" i="14608"/>
  <c r="DW136" i="14608"/>
  <c r="DX136" i="14608"/>
  <c r="DY136" i="14608"/>
  <c r="DZ136" i="14608"/>
  <c r="EA136" i="14608"/>
  <c r="EB136" i="14608"/>
  <c r="EC136" i="14608"/>
  <c r="ED136" i="14608"/>
  <c r="EE136" i="14608"/>
  <c r="EF136" i="14608"/>
  <c r="EG136" i="14608"/>
  <c r="EH136" i="14608"/>
  <c r="EI136" i="14608"/>
  <c r="EJ136" i="14608"/>
  <c r="EK136" i="14608"/>
  <c r="EL136" i="14608"/>
  <c r="EM136" i="14608"/>
  <c r="EN136" i="14608"/>
  <c r="EO136" i="14608"/>
  <c r="EP136" i="14608"/>
  <c r="EQ136" i="14608"/>
  <c r="ER136" i="14608"/>
  <c r="ES136" i="14608"/>
  <c r="ET136" i="14608"/>
  <c r="EU136" i="14608"/>
  <c r="EV136" i="14608"/>
  <c r="EW136" i="14608"/>
  <c r="EX136" i="14608"/>
  <c r="EY136" i="14608"/>
  <c r="EZ136" i="14608"/>
  <c r="FA136" i="14608"/>
  <c r="FB136" i="14608"/>
  <c r="FC136" i="14608"/>
  <c r="FD136" i="14608"/>
  <c r="FE136" i="14608"/>
  <c r="FF136" i="14608"/>
  <c r="FG136" i="14608"/>
  <c r="FH136" i="14608"/>
  <c r="FI136" i="14608"/>
  <c r="FJ136" i="14608"/>
  <c r="FK136" i="14608"/>
  <c r="FL136" i="14608"/>
  <c r="FM136" i="14608"/>
  <c r="FN136" i="14608"/>
  <c r="FO136" i="14608"/>
  <c r="FP136" i="14608"/>
  <c r="FQ136" i="14608"/>
  <c r="FR136" i="14608"/>
  <c r="FS136" i="14608"/>
  <c r="FT136" i="14608"/>
  <c r="FU136" i="14608"/>
  <c r="FV136" i="14608"/>
  <c r="FW136" i="14608"/>
  <c r="FX136" i="14608"/>
  <c r="FY136" i="14608"/>
  <c r="FZ136" i="14608"/>
  <c r="GA136" i="14608"/>
  <c r="GB136" i="14608"/>
  <c r="GC136" i="14608"/>
  <c r="GD136" i="14608"/>
  <c r="GE136" i="14608"/>
  <c r="GF136" i="14608"/>
  <c r="GG136" i="14608"/>
  <c r="GH136" i="14608"/>
  <c r="GI136" i="14608"/>
  <c r="GJ136" i="14608"/>
  <c r="GK136" i="14608"/>
  <c r="GL136" i="14608"/>
  <c r="GM136" i="14608"/>
  <c r="GN136" i="14608"/>
  <c r="GO136" i="14608"/>
  <c r="GP136" i="14608"/>
  <c r="GQ136" i="14608"/>
  <c r="GR136" i="14608"/>
  <c r="GS136" i="14608"/>
  <c r="GT136" i="14608"/>
  <c r="GU136" i="14608"/>
  <c r="GV136" i="14608"/>
  <c r="GW136" i="14608"/>
  <c r="GX136" i="14608"/>
  <c r="GY136" i="14608"/>
  <c r="GZ136" i="14608"/>
  <c r="HA136" i="14608"/>
  <c r="HB136" i="14608"/>
  <c r="HC136" i="14608"/>
  <c r="HD136" i="14608"/>
  <c r="HE136" i="14608"/>
  <c r="HF136" i="14608"/>
  <c r="HG136" i="14608"/>
  <c r="HH136" i="14608"/>
  <c r="HI136" i="14608"/>
  <c r="HJ136" i="14608"/>
  <c r="HK136" i="14608"/>
  <c r="HL136" i="14608"/>
  <c r="HM136" i="14608"/>
  <c r="HN136" i="14608"/>
  <c r="HO136" i="14608"/>
  <c r="HP136" i="14608"/>
  <c r="HQ136" i="14608"/>
  <c r="HR136" i="14608"/>
  <c r="HS136" i="14608"/>
  <c r="HT136" i="14608"/>
  <c r="HU136" i="14608"/>
  <c r="HV136" i="14608"/>
  <c r="HW136" i="14608"/>
  <c r="HX136" i="14608"/>
  <c r="HY136" i="14608"/>
  <c r="HZ136" i="14608"/>
  <c r="IA136" i="14608"/>
  <c r="IB136" i="14608"/>
  <c r="IC136" i="14608"/>
  <c r="ID136" i="14608"/>
  <c r="IE136" i="14608"/>
  <c r="IF136" i="14608"/>
  <c r="IG136" i="14608"/>
  <c r="IH136" i="14608"/>
  <c r="II136" i="14608"/>
  <c r="IJ136" i="14608"/>
  <c r="IK136" i="14608"/>
  <c r="IL136" i="14608"/>
  <c r="IM136" i="14608"/>
  <c r="IN136" i="14608"/>
  <c r="IO136" i="14608"/>
  <c r="IP136" i="14608"/>
  <c r="IQ136" i="14608"/>
  <c r="IR136" i="14608"/>
  <c r="IS136" i="14608"/>
  <c r="IT136" i="14608"/>
  <c r="IU136" i="14608"/>
  <c r="IV136" i="14608"/>
  <c r="A135" i="14608"/>
  <c r="B135" i="14608"/>
  <c r="C135" i="14608"/>
  <c r="D135" i="14608"/>
  <c r="E135" i="14608"/>
  <c r="F135" i="14608"/>
  <c r="G135" i="14608"/>
  <c r="H135" i="14608"/>
  <c r="I135" i="14608"/>
  <c r="J135" i="14608"/>
  <c r="K135" i="14608"/>
  <c r="L135" i="14608"/>
  <c r="M135" i="14608"/>
  <c r="N135" i="14608"/>
  <c r="O135" i="14608"/>
  <c r="P135" i="14608"/>
  <c r="Q135" i="14608"/>
  <c r="R135" i="14608"/>
  <c r="S135" i="14608"/>
  <c r="T135" i="14608"/>
  <c r="U135" i="14608"/>
  <c r="V135" i="14608"/>
  <c r="W135" i="14608"/>
  <c r="X135" i="14608"/>
  <c r="Y135" i="14608"/>
  <c r="Z135" i="14608"/>
  <c r="AA135" i="14608"/>
  <c r="AB135" i="14608"/>
  <c r="AC135" i="14608"/>
  <c r="AD135" i="14608"/>
  <c r="AE135" i="14608"/>
  <c r="AF135" i="14608"/>
  <c r="AG135" i="14608"/>
  <c r="AH135" i="14608"/>
  <c r="AI135" i="14608"/>
  <c r="AJ135" i="14608"/>
  <c r="AK135" i="14608"/>
  <c r="AL135" i="14608"/>
  <c r="AM135" i="14608"/>
  <c r="AN135" i="14608"/>
  <c r="AO135" i="14608"/>
  <c r="AP135" i="14608"/>
  <c r="AQ135" i="14608"/>
  <c r="AR135" i="14608"/>
  <c r="AS135" i="14608"/>
  <c r="AT135" i="14608"/>
  <c r="AU135" i="14608"/>
  <c r="AV135" i="14608"/>
  <c r="AW135" i="14608"/>
  <c r="AX135" i="14608"/>
  <c r="AY135" i="14608"/>
  <c r="AZ135" i="14608"/>
  <c r="BA135" i="14608"/>
  <c r="BB135" i="14608"/>
  <c r="BC135" i="14608"/>
  <c r="BD135" i="14608"/>
  <c r="BE135" i="14608"/>
  <c r="BF135" i="14608"/>
  <c r="BG135" i="14608"/>
  <c r="BH135" i="14608"/>
  <c r="BI135" i="14608"/>
  <c r="BJ135" i="14608"/>
  <c r="BK135" i="14608"/>
  <c r="BL135" i="14608"/>
  <c r="BM135" i="14608"/>
  <c r="BN135" i="14608"/>
  <c r="BO135" i="14608"/>
  <c r="BP135" i="14608"/>
  <c r="BQ135" i="14608"/>
  <c r="BR135" i="14608"/>
  <c r="BS135" i="14608"/>
  <c r="BT135" i="14608"/>
  <c r="BU135" i="14608"/>
  <c r="BV135" i="14608"/>
  <c r="BW135" i="14608"/>
  <c r="BX135" i="14608"/>
  <c r="BY135" i="14608"/>
  <c r="BZ135" i="14608"/>
  <c r="CA135" i="14608"/>
  <c r="CB135" i="14608"/>
  <c r="CC135" i="14608"/>
  <c r="CD135" i="14608"/>
  <c r="CE135" i="14608"/>
  <c r="CF135" i="14608"/>
  <c r="CG135" i="14608"/>
  <c r="CH135" i="14608"/>
  <c r="CI135" i="14608"/>
  <c r="CJ135" i="14608"/>
  <c r="CK135" i="14608"/>
  <c r="CL135" i="14608"/>
  <c r="CM135" i="14608"/>
  <c r="CN135" i="14608"/>
  <c r="CO135" i="14608"/>
  <c r="CP135" i="14608"/>
  <c r="CQ135" i="14608"/>
  <c r="CR135" i="14608"/>
  <c r="CS135" i="14608"/>
  <c r="CT135" i="14608"/>
  <c r="CU135" i="14608"/>
  <c r="CV135" i="14608"/>
  <c r="CW135" i="14608"/>
  <c r="CX135" i="14608"/>
  <c r="CY135" i="14608"/>
  <c r="CZ135" i="14608"/>
  <c r="DA135" i="14608"/>
  <c r="DB135" i="14608"/>
  <c r="DC135" i="14608"/>
  <c r="DD135" i="14608"/>
  <c r="DE135" i="14608"/>
  <c r="DF135" i="14608"/>
  <c r="DG135" i="14608"/>
  <c r="DH135" i="14608"/>
  <c r="DI135" i="14608"/>
  <c r="DJ135" i="14608"/>
  <c r="DK135" i="14608"/>
  <c r="DL135" i="14608"/>
  <c r="DM135" i="14608"/>
  <c r="DN135" i="14608"/>
  <c r="DO135" i="14608"/>
  <c r="DP135" i="14608"/>
  <c r="DQ135" i="14608"/>
  <c r="DR135" i="14608"/>
  <c r="DS135" i="14608"/>
  <c r="DT135" i="14608"/>
  <c r="DU135" i="14608"/>
  <c r="DV135" i="14608"/>
  <c r="DW135" i="14608"/>
  <c r="DX135" i="14608"/>
  <c r="DY135" i="14608"/>
  <c r="DZ135" i="14608"/>
  <c r="EA135" i="14608"/>
  <c r="EB135" i="14608"/>
  <c r="EC135" i="14608"/>
  <c r="ED135" i="14608"/>
  <c r="EE135" i="14608"/>
  <c r="EF135" i="14608"/>
  <c r="EG135" i="14608"/>
  <c r="EH135" i="14608"/>
  <c r="EI135" i="14608"/>
  <c r="EJ135" i="14608"/>
  <c r="EK135" i="14608"/>
  <c r="EL135" i="14608"/>
  <c r="EM135" i="14608"/>
  <c r="EN135" i="14608"/>
  <c r="EO135" i="14608"/>
  <c r="EP135" i="14608"/>
  <c r="EQ135" i="14608"/>
  <c r="ER135" i="14608"/>
  <c r="ES135" i="14608"/>
  <c r="ET135" i="14608"/>
  <c r="EU135" i="14608"/>
  <c r="EV135" i="14608"/>
  <c r="EW135" i="14608"/>
  <c r="EX135" i="14608"/>
  <c r="EY135" i="14608"/>
  <c r="EZ135" i="14608"/>
  <c r="FA135" i="14608"/>
  <c r="FB135" i="14608"/>
  <c r="FC135" i="14608"/>
  <c r="FD135" i="14608"/>
  <c r="FE135" i="14608"/>
  <c r="FF135" i="14608"/>
  <c r="FG135" i="14608"/>
  <c r="FH135" i="14608"/>
  <c r="FI135" i="14608"/>
  <c r="FJ135" i="14608"/>
  <c r="FK135" i="14608"/>
  <c r="FL135" i="14608"/>
  <c r="FM135" i="14608"/>
  <c r="FN135" i="14608"/>
  <c r="FO135" i="14608"/>
  <c r="FP135" i="14608"/>
  <c r="FQ135" i="14608"/>
  <c r="FR135" i="14608"/>
  <c r="FS135" i="14608"/>
  <c r="FT135" i="14608"/>
  <c r="FU135" i="14608"/>
  <c r="FV135" i="14608"/>
  <c r="FW135" i="14608"/>
  <c r="FX135" i="14608"/>
  <c r="FY135" i="14608"/>
  <c r="FZ135" i="14608"/>
  <c r="GA135" i="14608"/>
  <c r="GB135" i="14608"/>
  <c r="GC135" i="14608"/>
  <c r="GD135" i="14608"/>
  <c r="GE135" i="14608"/>
  <c r="GF135" i="14608"/>
  <c r="GG135" i="14608"/>
  <c r="GH135" i="14608"/>
  <c r="GI135" i="14608"/>
  <c r="GJ135" i="14608"/>
  <c r="GK135" i="14608"/>
  <c r="GL135" i="14608"/>
  <c r="GM135" i="14608"/>
  <c r="GN135" i="14608"/>
  <c r="GO135" i="14608"/>
  <c r="GP135" i="14608"/>
  <c r="GQ135" i="14608"/>
  <c r="GR135" i="14608"/>
  <c r="GS135" i="14608"/>
  <c r="GT135" i="14608"/>
  <c r="GU135" i="14608"/>
  <c r="GV135" i="14608"/>
  <c r="GW135" i="14608"/>
  <c r="GX135" i="14608"/>
  <c r="GY135" i="14608"/>
  <c r="GZ135" i="14608"/>
  <c r="HA135" i="14608"/>
  <c r="HB135" i="14608"/>
  <c r="HC135" i="14608"/>
  <c r="HD135" i="14608"/>
  <c r="HE135" i="14608"/>
  <c r="HF135" i="14608"/>
  <c r="HG135" i="14608"/>
  <c r="HH135" i="14608"/>
  <c r="HI135" i="14608"/>
  <c r="HJ135" i="14608"/>
  <c r="HK135" i="14608"/>
  <c r="HL135" i="14608"/>
  <c r="HM135" i="14608"/>
  <c r="HN135" i="14608"/>
  <c r="HO135" i="14608"/>
  <c r="HP135" i="14608"/>
  <c r="HQ135" i="14608"/>
  <c r="HR135" i="14608"/>
  <c r="HS135" i="14608"/>
  <c r="HT135" i="14608"/>
  <c r="HU135" i="14608"/>
  <c r="HV135" i="14608"/>
  <c r="HW135" i="14608"/>
  <c r="HX135" i="14608"/>
  <c r="HY135" i="14608"/>
  <c r="HZ135" i="14608"/>
  <c r="IA135" i="14608"/>
  <c r="IB135" i="14608"/>
  <c r="IC135" i="14608"/>
  <c r="ID135" i="14608"/>
  <c r="IE135" i="14608"/>
  <c r="IF135" i="14608"/>
  <c r="IG135" i="14608"/>
  <c r="IH135" i="14608"/>
  <c r="II135" i="14608"/>
  <c r="IJ135" i="14608"/>
  <c r="IK135" i="14608"/>
  <c r="IL135" i="14608"/>
  <c r="IM135" i="14608"/>
  <c r="IN135" i="14608"/>
  <c r="IO135" i="14608"/>
  <c r="IP135" i="14608"/>
  <c r="IQ135" i="14608"/>
  <c r="IR135" i="14608"/>
  <c r="IS135" i="14608"/>
  <c r="IT135" i="14608"/>
  <c r="IU135" i="14608"/>
  <c r="IV135" i="14608"/>
  <c r="A134" i="14608"/>
  <c r="B134" i="14608"/>
  <c r="C134" i="14608"/>
  <c r="D134" i="14608"/>
  <c r="E134" i="14608"/>
  <c r="F134" i="14608"/>
  <c r="G134" i="14608"/>
  <c r="H134" i="14608"/>
  <c r="I134" i="14608"/>
  <c r="J134" i="14608"/>
  <c r="K134" i="14608"/>
  <c r="L134" i="14608"/>
  <c r="M134" i="14608"/>
  <c r="N134" i="14608"/>
  <c r="O134" i="14608"/>
  <c r="P134" i="14608"/>
  <c r="Q134" i="14608"/>
  <c r="R134" i="14608"/>
  <c r="S134" i="14608"/>
  <c r="T134" i="14608"/>
  <c r="U134" i="14608"/>
  <c r="V134" i="14608"/>
  <c r="W134" i="14608"/>
  <c r="X134" i="14608"/>
  <c r="Y134" i="14608"/>
  <c r="Z134" i="14608"/>
  <c r="AA134" i="14608"/>
  <c r="AB134" i="14608"/>
  <c r="AC134" i="14608"/>
  <c r="AD134" i="14608"/>
  <c r="AE134" i="14608"/>
  <c r="AF134" i="14608"/>
  <c r="AG134" i="14608"/>
  <c r="AH134" i="14608"/>
  <c r="AI134" i="14608"/>
  <c r="AJ134" i="14608"/>
  <c r="AK134" i="14608"/>
  <c r="AL134" i="14608"/>
  <c r="AM134" i="14608"/>
  <c r="AN134" i="14608"/>
  <c r="AO134" i="14608"/>
  <c r="AP134" i="14608"/>
  <c r="AQ134" i="14608"/>
  <c r="AR134" i="14608"/>
  <c r="AS134" i="14608"/>
  <c r="AT134" i="14608"/>
  <c r="AU134" i="14608"/>
  <c r="AV134" i="14608"/>
  <c r="AW134" i="14608"/>
  <c r="AX134" i="14608"/>
  <c r="AY134" i="14608"/>
  <c r="AZ134" i="14608"/>
  <c r="BA134" i="14608"/>
  <c r="BB134" i="14608"/>
  <c r="BC134" i="14608"/>
  <c r="BD134" i="14608"/>
  <c r="BE134" i="14608"/>
  <c r="BF134" i="14608"/>
  <c r="BG134" i="14608"/>
  <c r="BH134" i="14608"/>
  <c r="BI134" i="14608"/>
  <c r="BJ134" i="14608"/>
  <c r="BK134" i="14608"/>
  <c r="BL134" i="14608"/>
  <c r="BM134" i="14608"/>
  <c r="BN134" i="14608"/>
  <c r="BO134" i="14608"/>
  <c r="BP134" i="14608"/>
  <c r="BQ134" i="14608"/>
  <c r="BR134" i="14608"/>
  <c r="BS134" i="14608"/>
  <c r="BT134" i="14608"/>
  <c r="BU134" i="14608"/>
  <c r="BV134" i="14608"/>
  <c r="BW134" i="14608"/>
  <c r="BX134" i="14608"/>
  <c r="BY134" i="14608"/>
  <c r="BZ134" i="14608"/>
  <c r="CA134" i="14608"/>
  <c r="CB134" i="14608"/>
  <c r="CC134" i="14608"/>
  <c r="CD134" i="14608"/>
  <c r="CE134" i="14608"/>
  <c r="CF134" i="14608"/>
  <c r="CG134" i="14608"/>
  <c r="CH134" i="14608"/>
  <c r="CI134" i="14608"/>
  <c r="CJ134" i="14608"/>
  <c r="CK134" i="14608"/>
  <c r="CL134" i="14608"/>
  <c r="CM134" i="14608"/>
  <c r="CN134" i="14608"/>
  <c r="CO134" i="14608"/>
  <c r="CP134" i="14608"/>
  <c r="CQ134" i="14608"/>
  <c r="CR134" i="14608"/>
  <c r="CS134" i="14608"/>
  <c r="CT134" i="14608"/>
  <c r="CU134" i="14608"/>
  <c r="CV134" i="14608"/>
  <c r="CW134" i="14608"/>
  <c r="CX134" i="14608"/>
  <c r="CY134" i="14608"/>
  <c r="CZ134" i="14608"/>
  <c r="DA134" i="14608"/>
  <c r="DB134" i="14608"/>
  <c r="DC134" i="14608"/>
  <c r="DD134" i="14608"/>
  <c r="DE134" i="14608"/>
  <c r="DF134" i="14608"/>
  <c r="DG134" i="14608"/>
  <c r="DH134" i="14608"/>
  <c r="DI134" i="14608"/>
  <c r="DJ134" i="14608"/>
  <c r="DK134" i="14608"/>
  <c r="DL134" i="14608"/>
  <c r="DM134" i="14608"/>
  <c r="DN134" i="14608"/>
  <c r="DO134" i="14608"/>
  <c r="DP134" i="14608"/>
  <c r="DQ134" i="14608"/>
  <c r="DR134" i="14608"/>
  <c r="DS134" i="14608"/>
  <c r="DT134" i="14608"/>
  <c r="DU134" i="14608"/>
  <c r="DV134" i="14608"/>
  <c r="DW134" i="14608"/>
  <c r="DX134" i="14608"/>
  <c r="DY134" i="14608"/>
  <c r="DZ134" i="14608"/>
  <c r="EA134" i="14608"/>
  <c r="EB134" i="14608"/>
  <c r="EC134" i="14608"/>
  <c r="ED134" i="14608"/>
  <c r="EE134" i="14608"/>
  <c r="EF134" i="14608"/>
  <c r="EG134" i="14608"/>
  <c r="EH134" i="14608"/>
  <c r="EI134" i="14608"/>
  <c r="EJ134" i="14608"/>
  <c r="EK134" i="14608"/>
  <c r="EL134" i="14608"/>
  <c r="EM134" i="14608"/>
  <c r="EN134" i="14608"/>
  <c r="EO134" i="14608"/>
  <c r="EP134" i="14608"/>
  <c r="EQ134" i="14608"/>
  <c r="ER134" i="14608"/>
  <c r="ES134" i="14608"/>
  <c r="ET134" i="14608"/>
  <c r="EU134" i="14608"/>
  <c r="EV134" i="14608"/>
  <c r="EW134" i="14608"/>
  <c r="EX134" i="14608"/>
  <c r="EY134" i="14608"/>
  <c r="EZ134" i="14608"/>
  <c r="FA134" i="14608"/>
  <c r="FB134" i="14608"/>
  <c r="FC134" i="14608"/>
  <c r="FD134" i="14608"/>
  <c r="FE134" i="14608"/>
  <c r="FF134" i="14608"/>
  <c r="FG134" i="14608"/>
  <c r="FH134" i="14608"/>
  <c r="FI134" i="14608"/>
  <c r="FJ134" i="14608"/>
  <c r="FK134" i="14608"/>
  <c r="FL134" i="14608"/>
  <c r="FM134" i="14608"/>
  <c r="FN134" i="14608"/>
  <c r="FO134" i="14608"/>
  <c r="FP134" i="14608"/>
  <c r="FQ134" i="14608"/>
  <c r="FR134" i="14608"/>
  <c r="FS134" i="14608"/>
  <c r="FT134" i="14608"/>
  <c r="FU134" i="14608"/>
  <c r="FV134" i="14608"/>
  <c r="FW134" i="14608"/>
  <c r="FX134" i="14608"/>
  <c r="FY134" i="14608"/>
  <c r="FZ134" i="14608"/>
  <c r="GA134" i="14608"/>
  <c r="GB134" i="14608"/>
  <c r="GC134" i="14608"/>
  <c r="GD134" i="14608"/>
  <c r="GE134" i="14608"/>
  <c r="GF134" i="14608"/>
  <c r="GG134" i="14608"/>
  <c r="GH134" i="14608"/>
  <c r="GI134" i="14608"/>
  <c r="GJ134" i="14608"/>
  <c r="GK134" i="14608"/>
  <c r="GL134" i="14608"/>
  <c r="GM134" i="14608"/>
  <c r="GN134" i="14608"/>
  <c r="GO134" i="14608"/>
  <c r="GP134" i="14608"/>
  <c r="GQ134" i="14608"/>
  <c r="GR134" i="14608"/>
  <c r="GS134" i="14608"/>
  <c r="GT134" i="14608"/>
  <c r="GU134" i="14608"/>
  <c r="GV134" i="14608"/>
  <c r="GW134" i="14608"/>
  <c r="GX134" i="14608"/>
  <c r="GY134" i="14608"/>
  <c r="GZ134" i="14608"/>
  <c r="HA134" i="14608"/>
  <c r="HB134" i="14608"/>
  <c r="HC134" i="14608"/>
  <c r="HD134" i="14608"/>
  <c r="HE134" i="14608"/>
  <c r="HF134" i="14608"/>
  <c r="HG134" i="14608"/>
  <c r="HH134" i="14608"/>
  <c r="HI134" i="14608"/>
  <c r="HJ134" i="14608"/>
  <c r="HK134" i="14608"/>
  <c r="HL134" i="14608"/>
  <c r="HM134" i="14608"/>
  <c r="HN134" i="14608"/>
  <c r="HO134" i="14608"/>
  <c r="HP134" i="14608"/>
  <c r="HQ134" i="14608"/>
  <c r="HR134" i="14608"/>
  <c r="HS134" i="14608"/>
  <c r="HT134" i="14608"/>
  <c r="HU134" i="14608"/>
  <c r="HV134" i="14608"/>
  <c r="HW134" i="14608"/>
  <c r="HX134" i="14608"/>
  <c r="HY134" i="14608"/>
  <c r="HZ134" i="14608"/>
  <c r="IA134" i="14608"/>
  <c r="IB134" i="14608"/>
  <c r="IC134" i="14608"/>
  <c r="ID134" i="14608"/>
  <c r="IE134" i="14608"/>
  <c r="IF134" i="14608"/>
  <c r="IG134" i="14608"/>
  <c r="IH134" i="14608"/>
  <c r="II134" i="14608"/>
  <c r="IJ134" i="14608"/>
  <c r="IK134" i="14608"/>
  <c r="IL134" i="14608"/>
  <c r="IM134" i="14608"/>
  <c r="IN134" i="14608"/>
  <c r="IO134" i="14608"/>
  <c r="IP134" i="14608"/>
  <c r="IQ134" i="14608"/>
  <c r="IR134" i="14608"/>
  <c r="IS134" i="14608"/>
  <c r="IT134" i="14608"/>
  <c r="IU134" i="14608"/>
  <c r="IV134" i="14608"/>
  <c r="A133" i="14608"/>
  <c r="B133" i="14608"/>
  <c r="C133" i="14608"/>
  <c r="D133" i="14608"/>
  <c r="E133" i="14608"/>
  <c r="F133" i="14608"/>
  <c r="G133" i="14608"/>
  <c r="H133" i="14608"/>
  <c r="I133" i="14608"/>
  <c r="J133" i="14608"/>
  <c r="K133" i="14608"/>
  <c r="L133" i="14608"/>
  <c r="M133" i="14608"/>
  <c r="N133" i="14608"/>
  <c r="O133" i="14608"/>
  <c r="P133" i="14608"/>
  <c r="Q133" i="14608"/>
  <c r="R133" i="14608"/>
  <c r="S133" i="14608"/>
  <c r="T133" i="14608"/>
  <c r="U133" i="14608"/>
  <c r="V133" i="14608"/>
  <c r="W133" i="14608"/>
  <c r="X133" i="14608"/>
  <c r="Y133" i="14608"/>
  <c r="Z133" i="14608"/>
  <c r="AA133" i="14608"/>
  <c r="AB133" i="14608"/>
  <c r="AC133" i="14608"/>
  <c r="AD133" i="14608"/>
  <c r="AE133" i="14608"/>
  <c r="AF133" i="14608"/>
  <c r="AG133" i="14608"/>
  <c r="AH133" i="14608"/>
  <c r="AI133" i="14608"/>
  <c r="AJ133" i="14608"/>
  <c r="AK133" i="14608"/>
  <c r="AL133" i="14608"/>
  <c r="AM133" i="14608"/>
  <c r="AN133" i="14608"/>
  <c r="AO133" i="14608"/>
  <c r="AP133" i="14608"/>
  <c r="AQ133" i="14608"/>
  <c r="AR133" i="14608"/>
  <c r="AS133" i="14608"/>
  <c r="AT133" i="14608"/>
  <c r="AU133" i="14608"/>
  <c r="AV133" i="14608"/>
  <c r="AW133" i="14608"/>
  <c r="AX133" i="14608"/>
  <c r="AY133" i="14608"/>
  <c r="AZ133" i="14608"/>
  <c r="BA133" i="14608"/>
  <c r="BB133" i="14608"/>
  <c r="BC133" i="14608"/>
  <c r="BD133" i="14608"/>
  <c r="BE133" i="14608"/>
  <c r="BF133" i="14608"/>
  <c r="BG133" i="14608"/>
  <c r="BH133" i="14608"/>
  <c r="BI133" i="14608"/>
  <c r="BJ133" i="14608"/>
  <c r="BK133" i="14608"/>
  <c r="BL133" i="14608"/>
  <c r="BM133" i="14608"/>
  <c r="BN133" i="14608"/>
  <c r="BO133" i="14608"/>
  <c r="BP133" i="14608"/>
  <c r="BQ133" i="14608"/>
  <c r="BR133" i="14608"/>
  <c r="BS133" i="14608"/>
  <c r="BT133" i="14608"/>
  <c r="BU133" i="14608"/>
  <c r="BV133" i="14608"/>
  <c r="BW133" i="14608"/>
  <c r="BX133" i="14608"/>
  <c r="BY133" i="14608"/>
  <c r="BZ133" i="14608"/>
  <c r="CA133" i="14608"/>
  <c r="CB133" i="14608"/>
  <c r="CC133" i="14608"/>
  <c r="CD133" i="14608"/>
  <c r="CE133" i="14608"/>
  <c r="CF133" i="14608"/>
  <c r="CG133" i="14608"/>
  <c r="CH133" i="14608"/>
  <c r="CI133" i="14608"/>
  <c r="CJ133" i="14608"/>
  <c r="CK133" i="14608"/>
  <c r="CL133" i="14608"/>
  <c r="CM133" i="14608"/>
  <c r="CN133" i="14608"/>
  <c r="CO133" i="14608"/>
  <c r="CP133" i="14608"/>
  <c r="CQ133" i="14608"/>
  <c r="CR133" i="14608"/>
  <c r="CS133" i="14608"/>
  <c r="CT133" i="14608"/>
  <c r="CU133" i="14608"/>
  <c r="CV133" i="14608"/>
  <c r="CW133" i="14608"/>
  <c r="CX133" i="14608"/>
  <c r="CY133" i="14608"/>
  <c r="CZ133" i="14608"/>
  <c r="DA133" i="14608"/>
  <c r="DB133" i="14608"/>
  <c r="DC133" i="14608"/>
  <c r="DD133" i="14608"/>
  <c r="DE133" i="14608"/>
  <c r="DF133" i="14608"/>
  <c r="DG133" i="14608"/>
  <c r="DH133" i="14608"/>
  <c r="DI133" i="14608"/>
  <c r="DJ133" i="14608"/>
  <c r="DK133" i="14608"/>
  <c r="DL133" i="14608"/>
  <c r="DM133" i="14608"/>
  <c r="DN133" i="14608"/>
  <c r="DO133" i="14608"/>
  <c r="DP133" i="14608"/>
  <c r="DQ133" i="14608"/>
  <c r="DR133" i="14608"/>
  <c r="DS133" i="14608"/>
  <c r="DT133" i="14608"/>
  <c r="DU133" i="14608"/>
  <c r="DV133" i="14608"/>
  <c r="DW133" i="14608"/>
  <c r="DX133" i="14608"/>
  <c r="DY133" i="14608"/>
  <c r="DZ133" i="14608"/>
  <c r="EA133" i="14608"/>
  <c r="EB133" i="14608"/>
  <c r="EC133" i="14608"/>
  <c r="ED133" i="14608"/>
  <c r="EE133" i="14608"/>
  <c r="EF133" i="14608"/>
  <c r="EG133" i="14608"/>
  <c r="EH133" i="14608"/>
  <c r="EI133" i="14608"/>
  <c r="EJ133" i="14608"/>
  <c r="EK133" i="14608"/>
  <c r="EL133" i="14608"/>
  <c r="EM133" i="14608"/>
  <c r="EN133" i="14608"/>
  <c r="EO133" i="14608"/>
  <c r="EP133" i="14608"/>
  <c r="EQ133" i="14608"/>
  <c r="ER133" i="14608"/>
  <c r="ES133" i="14608"/>
  <c r="ET133" i="14608"/>
  <c r="EU133" i="14608"/>
  <c r="EV133" i="14608"/>
  <c r="EW133" i="14608"/>
  <c r="EX133" i="14608"/>
  <c r="EY133" i="14608"/>
  <c r="EZ133" i="14608"/>
  <c r="FA133" i="14608"/>
  <c r="FB133" i="14608"/>
  <c r="FC133" i="14608"/>
  <c r="FD133" i="14608"/>
  <c r="FE133" i="14608"/>
  <c r="FF133" i="14608"/>
  <c r="FG133" i="14608"/>
  <c r="FH133" i="14608"/>
  <c r="FI133" i="14608"/>
  <c r="FJ133" i="14608"/>
  <c r="FK133" i="14608"/>
  <c r="FL133" i="14608"/>
  <c r="FM133" i="14608"/>
  <c r="FN133" i="14608"/>
  <c r="FO133" i="14608"/>
  <c r="FP133" i="14608"/>
  <c r="FQ133" i="14608"/>
  <c r="FR133" i="14608"/>
  <c r="FS133" i="14608"/>
  <c r="FT133" i="14608"/>
  <c r="FU133" i="14608"/>
  <c r="FV133" i="14608"/>
  <c r="FW133" i="14608"/>
  <c r="FX133" i="14608"/>
  <c r="FY133" i="14608"/>
  <c r="FZ133" i="14608"/>
  <c r="GA133" i="14608"/>
  <c r="GB133" i="14608"/>
  <c r="GC133" i="14608"/>
  <c r="GD133" i="14608"/>
  <c r="GE133" i="14608"/>
  <c r="GF133" i="14608"/>
  <c r="GG133" i="14608"/>
  <c r="GH133" i="14608"/>
  <c r="GI133" i="14608"/>
  <c r="GJ133" i="14608"/>
  <c r="GK133" i="14608"/>
  <c r="GL133" i="14608"/>
  <c r="GM133" i="14608"/>
  <c r="GN133" i="14608"/>
  <c r="GO133" i="14608"/>
  <c r="GP133" i="14608"/>
  <c r="GQ133" i="14608"/>
  <c r="GR133" i="14608"/>
  <c r="GS133" i="14608"/>
  <c r="GT133" i="14608"/>
  <c r="GU133" i="14608"/>
  <c r="GV133" i="14608"/>
  <c r="GW133" i="14608"/>
  <c r="GX133" i="14608"/>
  <c r="GY133" i="14608"/>
  <c r="GZ133" i="14608"/>
  <c r="HA133" i="14608"/>
  <c r="HB133" i="14608"/>
  <c r="HC133" i="14608"/>
  <c r="HD133" i="14608"/>
  <c r="HE133" i="14608"/>
  <c r="HF133" i="14608"/>
  <c r="HG133" i="14608"/>
  <c r="HH133" i="14608"/>
  <c r="HI133" i="14608"/>
  <c r="HJ133" i="14608"/>
  <c r="HK133" i="14608"/>
  <c r="HL133" i="14608"/>
  <c r="HM133" i="14608"/>
  <c r="HN133" i="14608"/>
  <c r="HO133" i="14608"/>
  <c r="HP133" i="14608"/>
  <c r="HQ133" i="14608"/>
  <c r="HR133" i="14608"/>
  <c r="HS133" i="14608"/>
  <c r="HT133" i="14608"/>
  <c r="HU133" i="14608"/>
  <c r="HV133" i="14608"/>
  <c r="HW133" i="14608"/>
  <c r="HX133" i="14608"/>
  <c r="HY133" i="14608"/>
  <c r="HZ133" i="14608"/>
  <c r="IA133" i="14608"/>
  <c r="IB133" i="14608"/>
  <c r="IC133" i="14608"/>
  <c r="ID133" i="14608"/>
  <c r="IE133" i="14608"/>
  <c r="IF133" i="14608"/>
  <c r="IG133" i="14608"/>
  <c r="IH133" i="14608"/>
  <c r="II133" i="14608"/>
  <c r="IJ133" i="14608"/>
  <c r="IK133" i="14608"/>
  <c r="IL133" i="14608"/>
  <c r="IM133" i="14608"/>
  <c r="IN133" i="14608"/>
  <c r="IO133" i="14608"/>
  <c r="IP133" i="14608"/>
  <c r="IQ133" i="14608"/>
  <c r="IR133" i="14608"/>
  <c r="IS133" i="14608"/>
  <c r="IT133" i="14608"/>
  <c r="IU133" i="14608"/>
  <c r="IV133" i="14608"/>
  <c r="A132" i="14608"/>
  <c r="B132" i="14608"/>
  <c r="C132" i="14608"/>
  <c r="D132" i="14608"/>
  <c r="E132" i="14608"/>
  <c r="F132" i="14608"/>
  <c r="G132" i="14608"/>
  <c r="H132" i="14608"/>
  <c r="I132" i="14608"/>
  <c r="J132" i="14608"/>
  <c r="K132" i="14608"/>
  <c r="L132" i="14608"/>
  <c r="M132" i="14608"/>
  <c r="N132" i="14608"/>
  <c r="O132" i="14608"/>
  <c r="P132" i="14608"/>
  <c r="Q132" i="14608"/>
  <c r="R132" i="14608"/>
  <c r="S132" i="14608"/>
  <c r="T132" i="14608"/>
  <c r="U132" i="14608"/>
  <c r="V132" i="14608"/>
  <c r="W132" i="14608"/>
  <c r="X132" i="14608"/>
  <c r="Y132" i="14608"/>
  <c r="Z132" i="14608"/>
  <c r="AA132" i="14608"/>
  <c r="AB132" i="14608"/>
  <c r="AC132" i="14608"/>
  <c r="AD132" i="14608"/>
  <c r="AE132" i="14608"/>
  <c r="AF132" i="14608"/>
  <c r="AG132" i="14608"/>
  <c r="AH132" i="14608"/>
  <c r="AI132" i="14608"/>
  <c r="AJ132" i="14608"/>
  <c r="AK132" i="14608"/>
  <c r="AL132" i="14608"/>
  <c r="AM132" i="14608"/>
  <c r="AN132" i="14608"/>
  <c r="AO132" i="14608"/>
  <c r="AP132" i="14608"/>
  <c r="AQ132" i="14608"/>
  <c r="AR132" i="14608"/>
  <c r="AS132" i="14608"/>
  <c r="AT132" i="14608"/>
  <c r="AU132" i="14608"/>
  <c r="AV132" i="14608"/>
  <c r="AW132" i="14608"/>
  <c r="AX132" i="14608"/>
  <c r="AY132" i="14608"/>
  <c r="AZ132" i="14608"/>
  <c r="BA132" i="14608"/>
  <c r="BB132" i="14608"/>
  <c r="BC132" i="14608"/>
  <c r="BD132" i="14608"/>
  <c r="BE132" i="14608"/>
  <c r="BF132" i="14608"/>
  <c r="BG132" i="14608"/>
  <c r="BH132" i="14608"/>
  <c r="BI132" i="14608"/>
  <c r="BJ132" i="14608"/>
  <c r="BK132" i="14608"/>
  <c r="BL132" i="14608"/>
  <c r="BM132" i="14608"/>
  <c r="BN132" i="14608"/>
  <c r="BO132" i="14608"/>
  <c r="BP132" i="14608"/>
  <c r="BQ132" i="14608"/>
  <c r="BR132" i="14608"/>
  <c r="BS132" i="14608"/>
  <c r="BT132" i="14608"/>
  <c r="BU132" i="14608"/>
  <c r="BV132" i="14608"/>
  <c r="BW132" i="14608"/>
  <c r="BX132" i="14608"/>
  <c r="BY132" i="14608"/>
  <c r="BZ132" i="14608"/>
  <c r="CA132" i="14608"/>
  <c r="CB132" i="14608"/>
  <c r="CC132" i="14608"/>
  <c r="CD132" i="14608"/>
  <c r="CE132" i="14608"/>
  <c r="CF132" i="14608"/>
  <c r="CG132" i="14608"/>
  <c r="CH132" i="14608"/>
  <c r="CI132" i="14608"/>
  <c r="CJ132" i="14608"/>
  <c r="CK132" i="14608"/>
  <c r="CL132" i="14608"/>
  <c r="CM132" i="14608"/>
  <c r="CN132" i="14608"/>
  <c r="CO132" i="14608"/>
  <c r="CP132" i="14608"/>
  <c r="CQ132" i="14608"/>
  <c r="CR132" i="14608"/>
  <c r="CS132" i="14608"/>
  <c r="CT132" i="14608"/>
  <c r="CU132" i="14608"/>
  <c r="CV132" i="14608"/>
  <c r="CW132" i="14608"/>
  <c r="CX132" i="14608"/>
  <c r="CY132" i="14608"/>
  <c r="CZ132" i="14608"/>
  <c r="DA132" i="14608"/>
  <c r="DB132" i="14608"/>
  <c r="DC132" i="14608"/>
  <c r="DD132" i="14608"/>
  <c r="DE132" i="14608"/>
  <c r="DF132" i="14608"/>
  <c r="DG132" i="14608"/>
  <c r="DH132" i="14608"/>
  <c r="DI132" i="14608"/>
  <c r="DJ132" i="14608"/>
  <c r="DK132" i="14608"/>
  <c r="DL132" i="14608"/>
  <c r="DM132" i="14608"/>
  <c r="DN132" i="14608"/>
  <c r="DO132" i="14608"/>
  <c r="DP132" i="14608"/>
  <c r="DQ132" i="14608"/>
  <c r="DR132" i="14608"/>
  <c r="DS132" i="14608"/>
  <c r="DT132" i="14608"/>
  <c r="DU132" i="14608"/>
  <c r="DV132" i="14608"/>
  <c r="DW132" i="14608"/>
  <c r="DX132" i="14608"/>
  <c r="DY132" i="14608"/>
  <c r="DZ132" i="14608"/>
  <c r="EA132" i="14608"/>
  <c r="EB132" i="14608"/>
  <c r="EC132" i="14608"/>
  <c r="ED132" i="14608"/>
  <c r="EE132" i="14608"/>
  <c r="EF132" i="14608"/>
  <c r="EG132" i="14608"/>
  <c r="EH132" i="14608"/>
  <c r="EI132" i="14608"/>
  <c r="EJ132" i="14608"/>
  <c r="EK132" i="14608"/>
  <c r="EL132" i="14608"/>
  <c r="EM132" i="14608"/>
  <c r="EN132" i="14608"/>
  <c r="EO132" i="14608"/>
  <c r="EP132" i="14608"/>
  <c r="EQ132" i="14608"/>
  <c r="ER132" i="14608"/>
  <c r="ES132" i="14608"/>
  <c r="ET132" i="14608"/>
  <c r="EU132" i="14608"/>
  <c r="EV132" i="14608"/>
  <c r="EW132" i="14608"/>
  <c r="EX132" i="14608"/>
  <c r="EY132" i="14608"/>
  <c r="EZ132" i="14608"/>
  <c r="FA132" i="14608"/>
  <c r="FB132" i="14608"/>
  <c r="FC132" i="14608"/>
  <c r="FD132" i="14608"/>
  <c r="FE132" i="14608"/>
  <c r="FF132" i="14608"/>
  <c r="FG132" i="14608"/>
  <c r="FH132" i="14608"/>
  <c r="FI132" i="14608"/>
  <c r="FJ132" i="14608"/>
  <c r="FK132" i="14608"/>
  <c r="FL132" i="14608"/>
  <c r="FM132" i="14608"/>
  <c r="FN132" i="14608"/>
  <c r="FO132" i="14608"/>
  <c r="FP132" i="14608"/>
  <c r="FQ132" i="14608"/>
  <c r="FR132" i="14608"/>
  <c r="FS132" i="14608"/>
  <c r="FT132" i="14608"/>
  <c r="FU132" i="14608"/>
  <c r="FV132" i="14608"/>
  <c r="FW132" i="14608"/>
  <c r="FX132" i="14608"/>
  <c r="FY132" i="14608"/>
  <c r="FZ132" i="14608"/>
  <c r="GA132" i="14608"/>
  <c r="GB132" i="14608"/>
  <c r="GC132" i="14608"/>
  <c r="GD132" i="14608"/>
  <c r="GE132" i="14608"/>
  <c r="GF132" i="14608"/>
  <c r="GG132" i="14608"/>
  <c r="GH132" i="14608"/>
  <c r="GI132" i="14608"/>
  <c r="GJ132" i="14608"/>
  <c r="GK132" i="14608"/>
  <c r="GL132" i="14608"/>
  <c r="GM132" i="14608"/>
  <c r="GN132" i="14608"/>
  <c r="GO132" i="14608"/>
  <c r="GP132" i="14608"/>
  <c r="GQ132" i="14608"/>
  <c r="GR132" i="14608"/>
  <c r="GS132" i="14608"/>
  <c r="GT132" i="14608"/>
  <c r="GU132" i="14608"/>
  <c r="GV132" i="14608"/>
  <c r="GW132" i="14608"/>
  <c r="GX132" i="14608"/>
  <c r="GY132" i="14608"/>
  <c r="GZ132" i="14608"/>
  <c r="HA132" i="14608"/>
  <c r="HB132" i="14608"/>
  <c r="HC132" i="14608"/>
  <c r="HD132" i="14608"/>
  <c r="HE132" i="14608"/>
  <c r="HF132" i="14608"/>
  <c r="HG132" i="14608"/>
  <c r="HH132" i="14608"/>
  <c r="HI132" i="14608"/>
  <c r="HJ132" i="14608"/>
  <c r="HK132" i="14608"/>
  <c r="HL132" i="14608"/>
  <c r="HM132" i="14608"/>
  <c r="HN132" i="14608"/>
  <c r="HO132" i="14608"/>
  <c r="HP132" i="14608"/>
  <c r="HQ132" i="14608"/>
  <c r="HR132" i="14608"/>
  <c r="HS132" i="14608"/>
  <c r="HT132" i="14608"/>
  <c r="HU132" i="14608"/>
  <c r="HV132" i="14608"/>
  <c r="HW132" i="14608"/>
  <c r="HX132" i="14608"/>
  <c r="HY132" i="14608"/>
  <c r="HZ132" i="14608"/>
  <c r="IA132" i="14608"/>
  <c r="IB132" i="14608"/>
  <c r="IC132" i="14608"/>
  <c r="ID132" i="14608"/>
  <c r="IE132" i="14608"/>
  <c r="IF132" i="14608"/>
  <c r="IG132" i="14608"/>
  <c r="IH132" i="14608"/>
  <c r="II132" i="14608"/>
  <c r="IJ132" i="14608"/>
  <c r="IK132" i="14608"/>
  <c r="IL132" i="14608"/>
  <c r="IM132" i="14608"/>
  <c r="IN132" i="14608"/>
  <c r="IO132" i="14608"/>
  <c r="IP132" i="14608"/>
  <c r="IQ132" i="14608"/>
  <c r="IR132" i="14608"/>
  <c r="IS132" i="14608"/>
  <c r="IT132" i="14608"/>
  <c r="IU132" i="14608"/>
  <c r="IV132" i="14608"/>
  <c r="A131" i="14608"/>
  <c r="B131" i="14608"/>
  <c r="C131" i="14608"/>
  <c r="D131" i="14608"/>
  <c r="E131" i="14608"/>
  <c r="F131" i="14608"/>
  <c r="G131" i="14608"/>
  <c r="H131" i="14608"/>
  <c r="I131" i="14608"/>
  <c r="J131" i="14608"/>
  <c r="K131" i="14608"/>
  <c r="L131" i="14608"/>
  <c r="M131" i="14608"/>
  <c r="N131" i="14608"/>
  <c r="O131" i="14608"/>
  <c r="P131" i="14608"/>
  <c r="Q131" i="14608"/>
  <c r="R131" i="14608"/>
  <c r="S131" i="14608"/>
  <c r="T131" i="14608"/>
  <c r="U131" i="14608"/>
  <c r="V131" i="14608"/>
  <c r="W131" i="14608"/>
  <c r="X131" i="14608"/>
  <c r="Y131" i="14608"/>
  <c r="Z131" i="14608"/>
  <c r="AA131" i="14608"/>
  <c r="AB131" i="14608"/>
  <c r="AC131" i="14608"/>
  <c r="AD131" i="14608"/>
  <c r="AE131" i="14608"/>
  <c r="AF131" i="14608"/>
  <c r="AG131" i="14608"/>
  <c r="AH131" i="14608"/>
  <c r="AI131" i="14608"/>
  <c r="AJ131" i="14608"/>
  <c r="AK131" i="14608"/>
  <c r="AL131" i="14608"/>
  <c r="AM131" i="14608"/>
  <c r="AN131" i="14608"/>
  <c r="AO131" i="14608"/>
  <c r="AP131" i="14608"/>
  <c r="AQ131" i="14608"/>
  <c r="AR131" i="14608"/>
  <c r="AS131" i="14608"/>
  <c r="AT131" i="14608"/>
  <c r="AU131" i="14608"/>
  <c r="AV131" i="14608"/>
  <c r="AW131" i="14608"/>
  <c r="AX131" i="14608"/>
  <c r="AY131" i="14608"/>
  <c r="AZ131" i="14608"/>
  <c r="BA131" i="14608"/>
  <c r="BB131" i="14608"/>
  <c r="BC131" i="14608"/>
  <c r="BD131" i="14608"/>
  <c r="BE131" i="14608"/>
  <c r="BF131" i="14608"/>
  <c r="BG131" i="14608"/>
  <c r="BH131" i="14608"/>
  <c r="BI131" i="14608"/>
  <c r="BJ131" i="14608"/>
  <c r="BK131" i="14608"/>
  <c r="BL131" i="14608"/>
  <c r="BM131" i="14608"/>
  <c r="BN131" i="14608"/>
  <c r="BO131" i="14608"/>
  <c r="BP131" i="14608"/>
  <c r="BQ131" i="14608"/>
  <c r="BR131" i="14608"/>
  <c r="BS131" i="14608"/>
  <c r="BT131" i="14608"/>
  <c r="BU131" i="14608"/>
  <c r="BV131" i="14608"/>
  <c r="BW131" i="14608"/>
  <c r="BX131" i="14608"/>
  <c r="BY131" i="14608"/>
  <c r="BZ131" i="14608"/>
  <c r="CA131" i="14608"/>
  <c r="CB131" i="14608"/>
  <c r="CC131" i="14608"/>
  <c r="CD131" i="14608"/>
  <c r="CE131" i="14608"/>
  <c r="CF131" i="14608"/>
  <c r="CG131" i="14608"/>
  <c r="CH131" i="14608"/>
  <c r="CI131" i="14608"/>
  <c r="CJ131" i="14608"/>
  <c r="CK131" i="14608"/>
  <c r="CL131" i="14608"/>
  <c r="CM131" i="14608"/>
  <c r="CN131" i="14608"/>
  <c r="CO131" i="14608"/>
  <c r="CP131" i="14608"/>
  <c r="CQ131" i="14608"/>
  <c r="CR131" i="14608"/>
  <c r="CS131" i="14608"/>
  <c r="CT131" i="14608"/>
  <c r="CU131" i="14608"/>
  <c r="CV131" i="14608"/>
  <c r="CW131" i="14608"/>
  <c r="CX131" i="14608"/>
  <c r="CY131" i="14608"/>
  <c r="CZ131" i="14608"/>
  <c r="DA131" i="14608"/>
  <c r="DB131" i="14608"/>
  <c r="DC131" i="14608"/>
  <c r="DD131" i="14608"/>
  <c r="DE131" i="14608"/>
  <c r="DF131" i="14608"/>
  <c r="DG131" i="14608"/>
  <c r="DH131" i="14608"/>
  <c r="DI131" i="14608"/>
  <c r="DJ131" i="14608"/>
  <c r="DK131" i="14608"/>
  <c r="DL131" i="14608"/>
  <c r="DM131" i="14608"/>
  <c r="DN131" i="14608"/>
  <c r="DO131" i="14608"/>
  <c r="DP131" i="14608"/>
  <c r="DQ131" i="14608"/>
  <c r="DR131" i="14608"/>
  <c r="DS131" i="14608"/>
  <c r="DT131" i="14608"/>
  <c r="DU131" i="14608"/>
  <c r="DV131" i="14608"/>
  <c r="DW131" i="14608"/>
  <c r="DX131" i="14608"/>
  <c r="DY131" i="14608"/>
  <c r="DZ131" i="14608"/>
  <c r="EA131" i="14608"/>
  <c r="EB131" i="14608"/>
  <c r="EC131" i="14608"/>
  <c r="ED131" i="14608"/>
  <c r="EE131" i="14608"/>
  <c r="EF131" i="14608"/>
  <c r="EG131" i="14608"/>
  <c r="EH131" i="14608"/>
  <c r="EI131" i="14608"/>
  <c r="EJ131" i="14608"/>
  <c r="EK131" i="14608"/>
  <c r="EL131" i="14608"/>
  <c r="EM131" i="14608"/>
  <c r="EN131" i="14608"/>
  <c r="EO131" i="14608"/>
  <c r="EP131" i="14608"/>
  <c r="EQ131" i="14608"/>
  <c r="ER131" i="14608"/>
  <c r="ES131" i="14608"/>
  <c r="ET131" i="14608"/>
  <c r="EU131" i="14608"/>
  <c r="EV131" i="14608"/>
  <c r="EW131" i="14608"/>
  <c r="EX131" i="14608"/>
  <c r="EY131" i="14608"/>
  <c r="EZ131" i="14608"/>
  <c r="FA131" i="14608"/>
  <c r="FB131" i="14608"/>
  <c r="FC131" i="14608"/>
  <c r="FD131" i="14608"/>
  <c r="FE131" i="14608"/>
  <c r="FF131" i="14608"/>
  <c r="FG131" i="14608"/>
  <c r="FH131" i="14608"/>
  <c r="FI131" i="14608"/>
  <c r="FJ131" i="14608"/>
  <c r="FK131" i="14608"/>
  <c r="FL131" i="14608"/>
  <c r="FM131" i="14608"/>
  <c r="FN131" i="14608"/>
  <c r="FO131" i="14608"/>
  <c r="FP131" i="14608"/>
  <c r="FQ131" i="14608"/>
  <c r="FR131" i="14608"/>
  <c r="FS131" i="14608"/>
  <c r="FT131" i="14608"/>
  <c r="FU131" i="14608"/>
  <c r="FV131" i="14608"/>
  <c r="FW131" i="14608"/>
  <c r="FX131" i="14608"/>
  <c r="FY131" i="14608"/>
  <c r="FZ131" i="14608"/>
  <c r="GA131" i="14608"/>
  <c r="GB131" i="14608"/>
  <c r="GC131" i="14608"/>
  <c r="GD131" i="14608"/>
  <c r="GE131" i="14608"/>
  <c r="GF131" i="14608"/>
  <c r="GG131" i="14608"/>
  <c r="GH131" i="14608"/>
  <c r="GI131" i="14608"/>
  <c r="GJ131" i="14608"/>
  <c r="GK131" i="14608"/>
  <c r="GL131" i="14608"/>
  <c r="GM131" i="14608"/>
  <c r="GN131" i="14608"/>
  <c r="GO131" i="14608"/>
  <c r="GP131" i="14608"/>
  <c r="GQ131" i="14608"/>
  <c r="GR131" i="14608"/>
  <c r="GS131" i="14608"/>
  <c r="GT131" i="14608"/>
  <c r="GU131" i="14608"/>
  <c r="GV131" i="14608"/>
  <c r="GW131" i="14608"/>
  <c r="GX131" i="14608"/>
  <c r="GY131" i="14608"/>
  <c r="GZ131" i="14608"/>
  <c r="HA131" i="14608"/>
  <c r="HB131" i="14608"/>
  <c r="HC131" i="14608"/>
  <c r="HD131" i="14608"/>
  <c r="HE131" i="14608"/>
  <c r="HF131" i="14608"/>
  <c r="HG131" i="14608"/>
  <c r="HH131" i="14608"/>
  <c r="HI131" i="14608"/>
  <c r="HJ131" i="14608"/>
  <c r="HK131" i="14608"/>
  <c r="HL131" i="14608"/>
  <c r="HM131" i="14608"/>
  <c r="HN131" i="14608"/>
  <c r="HO131" i="14608"/>
  <c r="HP131" i="14608"/>
  <c r="HQ131" i="14608"/>
  <c r="HR131" i="14608"/>
  <c r="HS131" i="14608"/>
  <c r="HT131" i="14608"/>
  <c r="HU131" i="14608"/>
  <c r="HV131" i="14608"/>
  <c r="HW131" i="14608"/>
  <c r="HX131" i="14608"/>
  <c r="HY131" i="14608"/>
  <c r="HZ131" i="14608"/>
  <c r="IA131" i="14608"/>
  <c r="IB131" i="14608"/>
  <c r="IC131" i="14608"/>
  <c r="ID131" i="14608"/>
  <c r="IE131" i="14608"/>
  <c r="IF131" i="14608"/>
  <c r="IG131" i="14608"/>
  <c r="IH131" i="14608"/>
  <c r="II131" i="14608"/>
  <c r="IJ131" i="14608"/>
  <c r="IK131" i="14608"/>
  <c r="IL131" i="14608"/>
  <c r="IM131" i="14608"/>
  <c r="IN131" i="14608"/>
  <c r="IO131" i="14608"/>
  <c r="IP131" i="14608"/>
  <c r="IQ131" i="14608"/>
  <c r="IR131" i="14608"/>
  <c r="IS131" i="14608"/>
  <c r="IT131" i="14608"/>
  <c r="IU131" i="14608"/>
  <c r="IV131" i="14608"/>
  <c r="A130" i="14608"/>
  <c r="B130" i="14608"/>
  <c r="C130" i="14608"/>
  <c r="D130" i="14608"/>
  <c r="E130" i="14608"/>
  <c r="F130" i="14608"/>
  <c r="G130" i="14608"/>
  <c r="H130" i="14608"/>
  <c r="I130" i="14608"/>
  <c r="J130" i="14608"/>
  <c r="K130" i="14608"/>
  <c r="L130" i="14608"/>
  <c r="M130" i="14608"/>
  <c r="N130" i="14608"/>
  <c r="O130" i="14608"/>
  <c r="P130" i="14608"/>
  <c r="Q130" i="14608"/>
  <c r="R130" i="14608"/>
  <c r="S130" i="14608"/>
  <c r="T130" i="14608"/>
  <c r="U130" i="14608"/>
  <c r="V130" i="14608"/>
  <c r="W130" i="14608"/>
  <c r="X130" i="14608"/>
  <c r="Y130" i="14608"/>
  <c r="Z130" i="14608"/>
  <c r="AA130" i="14608"/>
  <c r="AB130" i="14608"/>
  <c r="AC130" i="14608"/>
  <c r="AD130" i="14608"/>
  <c r="AE130" i="14608"/>
  <c r="AF130" i="14608"/>
  <c r="AG130" i="14608"/>
  <c r="AH130" i="14608"/>
  <c r="AI130" i="14608"/>
  <c r="AJ130" i="14608"/>
  <c r="AK130" i="14608"/>
  <c r="AL130" i="14608"/>
  <c r="AM130" i="14608"/>
  <c r="AN130" i="14608"/>
  <c r="AO130" i="14608"/>
  <c r="AP130" i="14608"/>
  <c r="AQ130" i="14608"/>
  <c r="AR130" i="14608"/>
  <c r="AS130" i="14608"/>
  <c r="AT130" i="14608"/>
  <c r="AU130" i="14608"/>
  <c r="AV130" i="14608"/>
  <c r="AW130" i="14608"/>
  <c r="AX130" i="14608"/>
  <c r="AY130" i="14608"/>
  <c r="AZ130" i="14608"/>
  <c r="BA130" i="14608"/>
  <c r="BB130" i="14608"/>
  <c r="BC130" i="14608"/>
  <c r="BD130" i="14608"/>
  <c r="BE130" i="14608"/>
  <c r="BF130" i="14608"/>
  <c r="BG130" i="14608"/>
  <c r="BH130" i="14608"/>
  <c r="BI130" i="14608"/>
  <c r="BJ130" i="14608"/>
  <c r="BK130" i="14608"/>
  <c r="BL130" i="14608"/>
  <c r="BM130" i="14608"/>
  <c r="BN130" i="14608"/>
  <c r="BO130" i="14608"/>
  <c r="BP130" i="14608"/>
  <c r="BQ130" i="14608"/>
  <c r="BR130" i="14608"/>
  <c r="BS130" i="14608"/>
  <c r="BT130" i="14608"/>
  <c r="BU130" i="14608"/>
  <c r="BV130" i="14608"/>
  <c r="BW130" i="14608"/>
  <c r="BX130" i="14608"/>
  <c r="BY130" i="14608"/>
  <c r="BZ130" i="14608"/>
  <c r="CA130" i="14608"/>
  <c r="CB130" i="14608"/>
  <c r="CC130" i="14608"/>
  <c r="CD130" i="14608"/>
  <c r="CE130" i="14608"/>
  <c r="CF130" i="14608"/>
  <c r="CG130" i="14608"/>
  <c r="CH130" i="14608"/>
  <c r="CI130" i="14608"/>
  <c r="CJ130" i="14608"/>
  <c r="CK130" i="14608"/>
  <c r="CL130" i="14608"/>
  <c r="CM130" i="14608"/>
  <c r="CN130" i="14608"/>
  <c r="CO130" i="14608"/>
  <c r="CP130" i="14608"/>
  <c r="CQ130" i="14608"/>
  <c r="CR130" i="14608"/>
  <c r="CS130" i="14608"/>
  <c r="CT130" i="14608"/>
  <c r="CU130" i="14608"/>
  <c r="CV130" i="14608"/>
  <c r="CW130" i="14608"/>
  <c r="CX130" i="14608"/>
  <c r="CY130" i="14608"/>
  <c r="CZ130" i="14608"/>
  <c r="DA130" i="14608"/>
  <c r="DB130" i="14608"/>
  <c r="DC130" i="14608"/>
  <c r="DD130" i="14608"/>
  <c r="DE130" i="14608"/>
  <c r="DF130" i="14608"/>
  <c r="DG130" i="14608"/>
  <c r="DH130" i="14608"/>
  <c r="DI130" i="14608"/>
  <c r="DJ130" i="14608"/>
  <c r="DK130" i="14608"/>
  <c r="DL130" i="14608"/>
  <c r="DM130" i="14608"/>
  <c r="DN130" i="14608"/>
  <c r="DO130" i="14608"/>
  <c r="DP130" i="14608"/>
  <c r="DQ130" i="14608"/>
  <c r="DR130" i="14608"/>
  <c r="DS130" i="14608"/>
  <c r="DT130" i="14608"/>
  <c r="DU130" i="14608"/>
  <c r="DV130" i="14608"/>
  <c r="DW130" i="14608"/>
  <c r="DX130" i="14608"/>
  <c r="DY130" i="14608"/>
  <c r="DZ130" i="14608"/>
  <c r="EA130" i="14608"/>
  <c r="EB130" i="14608"/>
  <c r="EC130" i="14608"/>
  <c r="ED130" i="14608"/>
  <c r="EE130" i="14608"/>
  <c r="EF130" i="14608"/>
  <c r="EG130" i="14608"/>
  <c r="EH130" i="14608"/>
  <c r="EI130" i="14608"/>
  <c r="EJ130" i="14608"/>
  <c r="EK130" i="14608"/>
  <c r="EL130" i="14608"/>
  <c r="EM130" i="14608"/>
  <c r="EN130" i="14608"/>
  <c r="EO130" i="14608"/>
  <c r="EP130" i="14608"/>
  <c r="EQ130" i="14608"/>
  <c r="ER130" i="14608"/>
  <c r="ES130" i="14608"/>
  <c r="ET130" i="14608"/>
  <c r="EU130" i="14608"/>
  <c r="EV130" i="14608"/>
  <c r="EW130" i="14608"/>
  <c r="EX130" i="14608"/>
  <c r="EY130" i="14608"/>
  <c r="EZ130" i="14608"/>
  <c r="FA130" i="14608"/>
  <c r="FB130" i="14608"/>
  <c r="FC130" i="14608"/>
  <c r="FD130" i="14608"/>
  <c r="FE130" i="14608"/>
  <c r="FF130" i="14608"/>
  <c r="FG130" i="14608"/>
  <c r="FH130" i="14608"/>
  <c r="FI130" i="14608"/>
  <c r="FJ130" i="14608"/>
  <c r="FK130" i="14608"/>
  <c r="FL130" i="14608"/>
  <c r="FM130" i="14608"/>
  <c r="FN130" i="14608"/>
  <c r="FO130" i="14608"/>
  <c r="FP130" i="14608"/>
  <c r="FQ130" i="14608"/>
  <c r="FR130" i="14608"/>
  <c r="FS130" i="14608"/>
  <c r="FT130" i="14608"/>
  <c r="FU130" i="14608"/>
  <c r="FV130" i="14608"/>
  <c r="FW130" i="14608"/>
  <c r="FX130" i="14608"/>
  <c r="FY130" i="14608"/>
  <c r="FZ130" i="14608"/>
  <c r="GA130" i="14608"/>
  <c r="GB130" i="14608"/>
  <c r="GC130" i="14608"/>
  <c r="GD130" i="14608"/>
  <c r="GE130" i="14608"/>
  <c r="GF130" i="14608"/>
  <c r="GG130" i="14608"/>
  <c r="GH130" i="14608"/>
  <c r="GI130" i="14608"/>
  <c r="GJ130" i="14608"/>
  <c r="GK130" i="14608"/>
  <c r="GL130" i="14608"/>
  <c r="GM130" i="14608"/>
  <c r="GN130" i="14608"/>
  <c r="GO130" i="14608"/>
  <c r="GP130" i="14608"/>
  <c r="GQ130" i="14608"/>
  <c r="GR130" i="14608"/>
  <c r="GS130" i="14608"/>
  <c r="GT130" i="14608"/>
  <c r="GU130" i="14608"/>
  <c r="GV130" i="14608"/>
  <c r="GW130" i="14608"/>
  <c r="GX130" i="14608"/>
  <c r="GY130" i="14608"/>
  <c r="GZ130" i="14608"/>
  <c r="HA130" i="14608"/>
  <c r="HB130" i="14608"/>
  <c r="HC130" i="14608"/>
  <c r="HD130" i="14608"/>
  <c r="HE130" i="14608"/>
  <c r="HF130" i="14608"/>
  <c r="HG130" i="14608"/>
  <c r="HH130" i="14608"/>
  <c r="HI130" i="14608"/>
  <c r="HJ130" i="14608"/>
  <c r="HK130" i="14608"/>
  <c r="HL130" i="14608"/>
  <c r="HM130" i="14608"/>
  <c r="HN130" i="14608"/>
  <c r="HO130" i="14608"/>
  <c r="HP130" i="14608"/>
  <c r="HQ130" i="14608"/>
  <c r="HR130" i="14608"/>
  <c r="HS130" i="14608"/>
  <c r="HT130" i="14608"/>
  <c r="HU130" i="14608"/>
  <c r="HV130" i="14608"/>
  <c r="HW130" i="14608"/>
  <c r="HX130" i="14608"/>
  <c r="HY130" i="14608"/>
  <c r="HZ130" i="14608"/>
  <c r="IA130" i="14608"/>
  <c r="IB130" i="14608"/>
  <c r="IC130" i="14608"/>
  <c r="ID130" i="14608"/>
  <c r="IE130" i="14608"/>
  <c r="IF130" i="14608"/>
  <c r="IG130" i="14608"/>
  <c r="IH130" i="14608"/>
  <c r="II130" i="14608"/>
  <c r="IJ130" i="14608"/>
  <c r="IK130" i="14608"/>
  <c r="IL130" i="14608"/>
  <c r="IM130" i="14608"/>
  <c r="IN130" i="14608"/>
  <c r="IO130" i="14608"/>
  <c r="IP130" i="14608"/>
  <c r="IQ130" i="14608"/>
  <c r="IR130" i="14608"/>
  <c r="IS130" i="14608"/>
  <c r="IT130" i="14608"/>
  <c r="IU130" i="14608"/>
  <c r="IV130" i="14608"/>
  <c r="A129" i="14608"/>
  <c r="B129" i="14608"/>
  <c r="C129" i="14608"/>
  <c r="D129" i="14608"/>
  <c r="E129" i="14608"/>
  <c r="F129" i="14608"/>
  <c r="G129" i="14608"/>
  <c r="H129" i="14608"/>
  <c r="I129" i="14608"/>
  <c r="J129" i="14608"/>
  <c r="K129" i="14608"/>
  <c r="L129" i="14608"/>
  <c r="M129" i="14608"/>
  <c r="N129" i="14608"/>
  <c r="O129" i="14608"/>
  <c r="P129" i="14608"/>
  <c r="Q129" i="14608"/>
  <c r="R129" i="14608"/>
  <c r="S129" i="14608"/>
  <c r="T129" i="14608"/>
  <c r="U129" i="14608"/>
  <c r="V129" i="14608"/>
  <c r="W129" i="14608"/>
  <c r="X129" i="14608"/>
  <c r="Y129" i="14608"/>
  <c r="Z129" i="14608"/>
  <c r="AA129" i="14608"/>
  <c r="AB129" i="14608"/>
  <c r="AC129" i="14608"/>
  <c r="AD129" i="14608"/>
  <c r="AE129" i="14608"/>
  <c r="AF129" i="14608"/>
  <c r="AG129" i="14608"/>
  <c r="AH129" i="14608"/>
  <c r="AI129" i="14608"/>
  <c r="AJ129" i="14608"/>
  <c r="AK129" i="14608"/>
  <c r="AL129" i="14608"/>
  <c r="AM129" i="14608"/>
  <c r="AN129" i="14608"/>
  <c r="AO129" i="14608"/>
  <c r="AP129" i="14608"/>
  <c r="AQ129" i="14608"/>
  <c r="AR129" i="14608"/>
  <c r="AS129" i="14608"/>
  <c r="AT129" i="14608"/>
  <c r="AU129" i="14608"/>
  <c r="AV129" i="14608"/>
  <c r="AW129" i="14608"/>
  <c r="AX129" i="14608"/>
  <c r="AY129" i="14608"/>
  <c r="AZ129" i="14608"/>
  <c r="BA129" i="14608"/>
  <c r="BB129" i="14608"/>
  <c r="BC129" i="14608"/>
  <c r="BD129" i="14608"/>
  <c r="BE129" i="14608"/>
  <c r="BF129" i="14608"/>
  <c r="BG129" i="14608"/>
  <c r="BH129" i="14608"/>
  <c r="BI129" i="14608"/>
  <c r="BJ129" i="14608"/>
  <c r="BK129" i="14608"/>
  <c r="BL129" i="14608"/>
  <c r="BM129" i="14608"/>
  <c r="BN129" i="14608"/>
  <c r="BO129" i="14608"/>
  <c r="BP129" i="14608"/>
  <c r="BQ129" i="14608"/>
  <c r="BR129" i="14608"/>
  <c r="BS129" i="14608"/>
  <c r="BT129" i="14608"/>
  <c r="BU129" i="14608"/>
  <c r="BV129" i="14608"/>
  <c r="BW129" i="14608"/>
  <c r="BX129" i="14608"/>
  <c r="BY129" i="14608"/>
  <c r="BZ129" i="14608"/>
  <c r="CA129" i="14608"/>
  <c r="CB129" i="14608"/>
  <c r="CC129" i="14608"/>
  <c r="CD129" i="14608"/>
  <c r="CE129" i="14608"/>
  <c r="CF129" i="14608"/>
  <c r="CG129" i="14608"/>
  <c r="CH129" i="14608"/>
  <c r="CI129" i="14608"/>
  <c r="CJ129" i="14608"/>
  <c r="CK129" i="14608"/>
  <c r="CL129" i="14608"/>
  <c r="CM129" i="14608"/>
  <c r="CN129" i="14608"/>
  <c r="CO129" i="14608"/>
  <c r="CP129" i="14608"/>
  <c r="CQ129" i="14608"/>
  <c r="CR129" i="14608"/>
  <c r="CS129" i="14608"/>
  <c r="CT129" i="14608"/>
  <c r="CU129" i="14608"/>
  <c r="CV129" i="14608"/>
  <c r="CW129" i="14608"/>
  <c r="CX129" i="14608"/>
  <c r="CY129" i="14608"/>
  <c r="CZ129" i="14608"/>
  <c r="DA129" i="14608"/>
  <c r="DB129" i="14608"/>
  <c r="DC129" i="14608"/>
  <c r="DD129" i="14608"/>
  <c r="DE129" i="14608"/>
  <c r="DF129" i="14608"/>
  <c r="DG129" i="14608"/>
  <c r="DH129" i="14608"/>
  <c r="DI129" i="14608"/>
  <c r="DJ129" i="14608"/>
  <c r="DK129" i="14608"/>
  <c r="DL129" i="14608"/>
  <c r="DM129" i="14608"/>
  <c r="DN129" i="14608"/>
  <c r="DO129" i="14608"/>
  <c r="DP129" i="14608"/>
  <c r="DQ129" i="14608"/>
  <c r="DR129" i="14608"/>
  <c r="DS129" i="14608"/>
  <c r="DT129" i="14608"/>
  <c r="DU129" i="14608"/>
  <c r="DV129" i="14608"/>
  <c r="DW129" i="14608"/>
  <c r="DX129" i="14608"/>
  <c r="DY129" i="14608"/>
  <c r="DZ129" i="14608"/>
  <c r="EA129" i="14608"/>
  <c r="EB129" i="14608"/>
  <c r="EC129" i="14608"/>
  <c r="ED129" i="14608"/>
  <c r="EE129" i="14608"/>
  <c r="EF129" i="14608"/>
  <c r="EG129" i="14608"/>
  <c r="EH129" i="14608"/>
  <c r="EI129" i="14608"/>
  <c r="EJ129" i="14608"/>
  <c r="EK129" i="14608"/>
  <c r="EL129" i="14608"/>
  <c r="EM129" i="14608"/>
  <c r="EN129" i="14608"/>
  <c r="EO129" i="14608"/>
  <c r="EP129" i="14608"/>
  <c r="EQ129" i="14608"/>
  <c r="ER129" i="14608"/>
  <c r="ES129" i="14608"/>
  <c r="ET129" i="14608"/>
  <c r="EU129" i="14608"/>
  <c r="EV129" i="14608"/>
  <c r="EW129" i="14608"/>
  <c r="EX129" i="14608"/>
  <c r="EY129" i="14608"/>
  <c r="EZ129" i="14608"/>
  <c r="FA129" i="14608"/>
  <c r="FB129" i="14608"/>
  <c r="FC129" i="14608"/>
  <c r="FD129" i="14608"/>
  <c r="FE129" i="14608"/>
  <c r="FF129" i="14608"/>
  <c r="FG129" i="14608"/>
  <c r="FH129" i="14608"/>
  <c r="FI129" i="14608"/>
  <c r="FJ129" i="14608"/>
  <c r="FK129" i="14608"/>
  <c r="FL129" i="14608"/>
  <c r="FM129" i="14608"/>
  <c r="FN129" i="14608"/>
  <c r="FO129" i="14608"/>
  <c r="FP129" i="14608"/>
  <c r="FQ129" i="14608"/>
  <c r="FR129" i="14608"/>
  <c r="FS129" i="14608"/>
  <c r="FT129" i="14608"/>
  <c r="FU129" i="14608"/>
  <c r="FV129" i="14608"/>
  <c r="FW129" i="14608"/>
  <c r="FX129" i="14608"/>
  <c r="FY129" i="14608"/>
  <c r="FZ129" i="14608"/>
  <c r="GA129" i="14608"/>
  <c r="GB129" i="14608"/>
  <c r="GC129" i="14608"/>
  <c r="GD129" i="14608"/>
  <c r="GE129" i="14608"/>
  <c r="GF129" i="14608"/>
  <c r="GG129" i="14608"/>
  <c r="GH129" i="14608"/>
  <c r="GI129" i="14608"/>
  <c r="GJ129" i="14608"/>
  <c r="GK129" i="14608"/>
  <c r="GL129" i="14608"/>
  <c r="GM129" i="14608"/>
  <c r="GN129" i="14608"/>
  <c r="GO129" i="14608"/>
  <c r="GP129" i="14608"/>
  <c r="GQ129" i="14608"/>
  <c r="GR129" i="14608"/>
  <c r="GS129" i="14608"/>
  <c r="GT129" i="14608"/>
  <c r="GU129" i="14608"/>
  <c r="GV129" i="14608"/>
  <c r="GW129" i="14608"/>
  <c r="GX129" i="14608"/>
  <c r="GY129" i="14608"/>
  <c r="GZ129" i="14608"/>
  <c r="HA129" i="14608"/>
  <c r="HB129" i="14608"/>
  <c r="HC129" i="14608"/>
  <c r="HD129" i="14608"/>
  <c r="HE129" i="14608"/>
  <c r="HF129" i="14608"/>
  <c r="HG129" i="14608"/>
  <c r="HH129" i="14608"/>
  <c r="HI129" i="14608"/>
  <c r="HJ129" i="14608"/>
  <c r="HK129" i="14608"/>
  <c r="HL129" i="14608"/>
  <c r="HM129" i="14608"/>
  <c r="HN129" i="14608"/>
  <c r="HO129" i="14608"/>
  <c r="HP129" i="14608"/>
  <c r="HQ129" i="14608"/>
  <c r="HR129" i="14608"/>
  <c r="HS129" i="14608"/>
  <c r="HT129" i="14608"/>
  <c r="HU129" i="14608"/>
  <c r="HV129" i="14608"/>
  <c r="HW129" i="14608"/>
  <c r="HX129" i="14608"/>
  <c r="HY129" i="14608"/>
  <c r="HZ129" i="14608"/>
  <c r="IA129" i="14608"/>
  <c r="IB129" i="14608"/>
  <c r="IC129" i="14608"/>
  <c r="ID129" i="14608"/>
  <c r="IE129" i="14608"/>
  <c r="IF129" i="14608"/>
  <c r="IG129" i="14608"/>
  <c r="IH129" i="14608"/>
  <c r="II129" i="14608"/>
  <c r="IJ129" i="14608"/>
  <c r="IK129" i="14608"/>
  <c r="IL129" i="14608"/>
  <c r="IM129" i="14608"/>
  <c r="IN129" i="14608"/>
  <c r="IO129" i="14608"/>
  <c r="IP129" i="14608"/>
  <c r="IQ129" i="14608"/>
  <c r="IR129" i="14608"/>
  <c r="IS129" i="14608"/>
  <c r="IT129" i="14608"/>
  <c r="IU129" i="14608"/>
  <c r="IV129" i="14608"/>
  <c r="A128" i="14608"/>
  <c r="B128" i="14608"/>
  <c r="C128" i="14608"/>
  <c r="D128" i="14608"/>
  <c r="E128" i="14608"/>
  <c r="F128" i="14608"/>
  <c r="G128" i="14608"/>
  <c r="H128" i="14608"/>
  <c r="I128" i="14608"/>
  <c r="J128" i="14608"/>
  <c r="K128" i="14608"/>
  <c r="L128" i="14608"/>
  <c r="M128" i="14608"/>
  <c r="N128" i="14608"/>
  <c r="O128" i="14608"/>
  <c r="P128" i="14608"/>
  <c r="Q128" i="14608"/>
  <c r="R128" i="14608"/>
  <c r="S128" i="14608"/>
  <c r="T128" i="14608"/>
  <c r="U128" i="14608"/>
  <c r="V128" i="14608"/>
  <c r="W128" i="14608"/>
  <c r="X128" i="14608"/>
  <c r="Y128" i="14608"/>
  <c r="Z128" i="14608"/>
  <c r="AA128" i="14608"/>
  <c r="AB128" i="14608"/>
  <c r="AC128" i="14608"/>
  <c r="AD128" i="14608"/>
  <c r="AE128" i="14608"/>
  <c r="AF128" i="14608"/>
  <c r="AG128" i="14608"/>
  <c r="AH128" i="14608"/>
  <c r="AI128" i="14608"/>
  <c r="AJ128" i="14608"/>
  <c r="AK128" i="14608"/>
  <c r="AL128" i="14608"/>
  <c r="AM128" i="14608"/>
  <c r="AN128" i="14608"/>
  <c r="AO128" i="14608"/>
  <c r="AP128" i="14608"/>
  <c r="AQ128" i="14608"/>
  <c r="AR128" i="14608"/>
  <c r="AS128" i="14608"/>
  <c r="AT128" i="14608"/>
  <c r="AU128" i="14608"/>
  <c r="AV128" i="14608"/>
  <c r="AW128" i="14608"/>
  <c r="AX128" i="14608"/>
  <c r="AY128" i="14608"/>
  <c r="AZ128" i="14608"/>
  <c r="BA128" i="14608"/>
  <c r="BB128" i="14608"/>
  <c r="BC128" i="14608"/>
  <c r="BD128" i="14608"/>
  <c r="BE128" i="14608"/>
  <c r="BF128" i="14608"/>
  <c r="BG128" i="14608"/>
  <c r="BH128" i="14608"/>
  <c r="BI128" i="14608"/>
  <c r="BJ128" i="14608"/>
  <c r="BK128" i="14608"/>
  <c r="BL128" i="14608"/>
  <c r="BM128" i="14608"/>
  <c r="BN128" i="14608"/>
  <c r="BO128" i="14608"/>
  <c r="BP128" i="14608"/>
  <c r="BQ128" i="14608"/>
  <c r="BR128" i="14608"/>
  <c r="BS128" i="14608"/>
  <c r="BT128" i="14608"/>
  <c r="BU128" i="14608"/>
  <c r="BV128" i="14608"/>
  <c r="BW128" i="14608"/>
  <c r="BX128" i="14608"/>
  <c r="BY128" i="14608"/>
  <c r="BZ128" i="14608"/>
  <c r="CA128" i="14608"/>
  <c r="CB128" i="14608"/>
  <c r="CC128" i="14608"/>
  <c r="CD128" i="14608"/>
  <c r="CE128" i="14608"/>
  <c r="CF128" i="14608"/>
  <c r="CG128" i="14608"/>
  <c r="CH128" i="14608"/>
  <c r="CI128" i="14608"/>
  <c r="CJ128" i="14608"/>
  <c r="CK128" i="14608"/>
  <c r="CL128" i="14608"/>
  <c r="CM128" i="14608"/>
  <c r="CN128" i="14608"/>
  <c r="CO128" i="14608"/>
  <c r="CP128" i="14608"/>
  <c r="CQ128" i="14608"/>
  <c r="CR128" i="14608"/>
  <c r="CS128" i="14608"/>
  <c r="CT128" i="14608"/>
  <c r="CU128" i="14608"/>
  <c r="CV128" i="14608"/>
  <c r="CW128" i="14608"/>
  <c r="CX128" i="14608"/>
  <c r="CY128" i="14608"/>
  <c r="CZ128" i="14608"/>
  <c r="DA128" i="14608"/>
  <c r="DB128" i="14608"/>
  <c r="DC128" i="14608"/>
  <c r="DD128" i="14608"/>
  <c r="DE128" i="14608"/>
  <c r="DF128" i="14608"/>
  <c r="DG128" i="14608"/>
  <c r="DH128" i="14608"/>
  <c r="DI128" i="14608"/>
  <c r="DJ128" i="14608"/>
  <c r="DK128" i="14608"/>
  <c r="DL128" i="14608"/>
  <c r="DM128" i="14608"/>
  <c r="DN128" i="14608"/>
  <c r="DO128" i="14608"/>
  <c r="DP128" i="14608"/>
  <c r="DQ128" i="14608"/>
  <c r="DR128" i="14608"/>
  <c r="DS128" i="14608"/>
  <c r="DT128" i="14608"/>
  <c r="DU128" i="14608"/>
  <c r="DV128" i="14608"/>
  <c r="DW128" i="14608"/>
  <c r="DX128" i="14608"/>
  <c r="DY128" i="14608"/>
  <c r="DZ128" i="14608"/>
  <c r="EA128" i="14608"/>
  <c r="EB128" i="14608"/>
  <c r="EC128" i="14608"/>
  <c r="ED128" i="14608"/>
  <c r="EE128" i="14608"/>
  <c r="EF128" i="14608"/>
  <c r="EG128" i="14608"/>
  <c r="EH128" i="14608"/>
  <c r="EI128" i="14608"/>
  <c r="EJ128" i="14608"/>
  <c r="EK128" i="14608"/>
  <c r="EL128" i="14608"/>
  <c r="EM128" i="14608"/>
  <c r="EN128" i="14608"/>
  <c r="EO128" i="14608"/>
  <c r="EP128" i="14608"/>
  <c r="EQ128" i="14608"/>
  <c r="ER128" i="14608"/>
  <c r="ES128" i="14608"/>
  <c r="ET128" i="14608"/>
  <c r="EU128" i="14608"/>
  <c r="EV128" i="14608"/>
  <c r="EW128" i="14608"/>
  <c r="EX128" i="14608"/>
  <c r="EY128" i="14608"/>
  <c r="EZ128" i="14608"/>
  <c r="FA128" i="14608"/>
  <c r="FB128" i="14608"/>
  <c r="FC128" i="14608"/>
  <c r="FD128" i="14608"/>
  <c r="FE128" i="14608"/>
  <c r="FF128" i="14608"/>
  <c r="FG128" i="14608"/>
  <c r="FH128" i="14608"/>
  <c r="FI128" i="14608"/>
  <c r="FJ128" i="14608"/>
  <c r="FK128" i="14608"/>
  <c r="FL128" i="14608"/>
  <c r="FM128" i="14608"/>
  <c r="FN128" i="14608"/>
  <c r="FO128" i="14608"/>
  <c r="FP128" i="14608"/>
  <c r="FQ128" i="14608"/>
  <c r="FR128" i="14608"/>
  <c r="FS128" i="14608"/>
  <c r="FT128" i="14608"/>
  <c r="FU128" i="14608"/>
  <c r="FV128" i="14608"/>
  <c r="FW128" i="14608"/>
  <c r="FX128" i="14608"/>
  <c r="FY128" i="14608"/>
  <c r="FZ128" i="14608"/>
  <c r="GA128" i="14608"/>
  <c r="GB128" i="14608"/>
  <c r="GC128" i="14608"/>
  <c r="GD128" i="14608"/>
  <c r="GE128" i="14608"/>
  <c r="GF128" i="14608"/>
  <c r="GG128" i="14608"/>
  <c r="GH128" i="14608"/>
  <c r="GI128" i="14608"/>
  <c r="GJ128" i="14608"/>
  <c r="GK128" i="14608"/>
  <c r="GL128" i="14608"/>
  <c r="GM128" i="14608"/>
  <c r="GN128" i="14608"/>
  <c r="GO128" i="14608"/>
  <c r="GP128" i="14608"/>
  <c r="GQ128" i="14608"/>
  <c r="GR128" i="14608"/>
  <c r="GS128" i="14608"/>
  <c r="GT128" i="14608"/>
  <c r="GU128" i="14608"/>
  <c r="GV128" i="14608"/>
  <c r="GW128" i="14608"/>
  <c r="GX128" i="14608"/>
  <c r="GY128" i="14608"/>
  <c r="GZ128" i="14608"/>
  <c r="HA128" i="14608"/>
  <c r="HB128" i="14608"/>
  <c r="HC128" i="14608"/>
  <c r="HD128" i="14608"/>
  <c r="HE128" i="14608"/>
  <c r="HF128" i="14608"/>
  <c r="HG128" i="14608"/>
  <c r="HH128" i="14608"/>
  <c r="HI128" i="14608"/>
  <c r="HJ128" i="14608"/>
  <c r="HK128" i="14608"/>
  <c r="HL128" i="14608"/>
  <c r="HM128" i="14608"/>
  <c r="HN128" i="14608"/>
  <c r="HO128" i="14608"/>
  <c r="HP128" i="14608"/>
  <c r="HQ128" i="14608"/>
  <c r="HR128" i="14608"/>
  <c r="HS128" i="14608"/>
  <c r="HT128" i="14608"/>
  <c r="HU128" i="14608"/>
  <c r="HV128" i="14608"/>
  <c r="HW128" i="14608"/>
  <c r="HX128" i="14608"/>
  <c r="HY128" i="14608"/>
  <c r="HZ128" i="14608"/>
  <c r="IA128" i="14608"/>
  <c r="IB128" i="14608"/>
  <c r="IC128" i="14608"/>
  <c r="ID128" i="14608"/>
  <c r="IE128" i="14608"/>
  <c r="IF128" i="14608"/>
  <c r="IG128" i="14608"/>
  <c r="IH128" i="14608"/>
  <c r="II128" i="14608"/>
  <c r="IJ128" i="14608"/>
  <c r="IK128" i="14608"/>
  <c r="IL128" i="14608"/>
  <c r="IM128" i="14608"/>
  <c r="IN128" i="14608"/>
  <c r="IO128" i="14608"/>
  <c r="IP128" i="14608"/>
  <c r="IQ128" i="14608"/>
  <c r="IR128" i="14608"/>
  <c r="IS128" i="14608"/>
  <c r="IT128" i="14608"/>
  <c r="IU128" i="14608"/>
  <c r="IV128" i="14608"/>
  <c r="A127" i="14608"/>
  <c r="B127" i="14608"/>
  <c r="C127" i="14608"/>
  <c r="D127" i="14608"/>
  <c r="E127" i="14608"/>
  <c r="F127" i="14608"/>
  <c r="G127" i="14608"/>
  <c r="H127" i="14608"/>
  <c r="I127" i="14608"/>
  <c r="J127" i="14608"/>
  <c r="K127" i="14608"/>
  <c r="L127" i="14608"/>
  <c r="M127" i="14608"/>
  <c r="N127" i="14608"/>
  <c r="O127" i="14608"/>
  <c r="P127" i="14608"/>
  <c r="Q127" i="14608"/>
  <c r="R127" i="14608"/>
  <c r="S127" i="14608"/>
  <c r="T127" i="14608"/>
  <c r="U127" i="14608"/>
  <c r="V127" i="14608"/>
  <c r="W127" i="14608"/>
  <c r="X127" i="14608"/>
  <c r="Y127" i="14608"/>
  <c r="Z127" i="14608"/>
  <c r="AA127" i="14608"/>
  <c r="AB127" i="14608"/>
  <c r="AC127" i="14608"/>
  <c r="AD127" i="14608"/>
  <c r="AE127" i="14608"/>
  <c r="AF127" i="14608"/>
  <c r="AG127" i="14608"/>
  <c r="AH127" i="14608"/>
  <c r="AI127" i="14608"/>
  <c r="AJ127" i="14608"/>
  <c r="AK127" i="14608"/>
  <c r="AL127" i="14608"/>
  <c r="AM127" i="14608"/>
  <c r="AN127" i="14608"/>
  <c r="AO127" i="14608"/>
  <c r="AP127" i="14608"/>
  <c r="AQ127" i="14608"/>
  <c r="AR127" i="14608"/>
  <c r="AS127" i="14608"/>
  <c r="AT127" i="14608"/>
  <c r="AU127" i="14608"/>
  <c r="AV127" i="14608"/>
  <c r="AW127" i="14608"/>
  <c r="AX127" i="14608"/>
  <c r="AY127" i="14608"/>
  <c r="AZ127" i="14608"/>
  <c r="BA127" i="14608"/>
  <c r="BB127" i="14608"/>
  <c r="BC127" i="14608"/>
  <c r="BD127" i="14608"/>
  <c r="BE127" i="14608"/>
  <c r="BF127" i="14608"/>
  <c r="BG127" i="14608"/>
  <c r="BH127" i="14608"/>
  <c r="BI127" i="14608"/>
  <c r="BJ127" i="14608"/>
  <c r="BK127" i="14608"/>
  <c r="BL127" i="14608"/>
  <c r="BM127" i="14608"/>
  <c r="BN127" i="14608"/>
  <c r="BO127" i="14608"/>
  <c r="BP127" i="14608"/>
  <c r="BQ127" i="14608"/>
  <c r="BR127" i="14608"/>
  <c r="BS127" i="14608"/>
  <c r="BT127" i="14608"/>
  <c r="BU127" i="14608"/>
  <c r="BV127" i="14608"/>
  <c r="BW127" i="14608"/>
  <c r="BX127" i="14608"/>
  <c r="BY127" i="14608"/>
  <c r="BZ127" i="14608"/>
  <c r="CA127" i="14608"/>
  <c r="CB127" i="14608"/>
  <c r="CC127" i="14608"/>
  <c r="CD127" i="14608"/>
  <c r="CE127" i="14608"/>
  <c r="CF127" i="14608"/>
  <c r="CG127" i="14608"/>
  <c r="CH127" i="14608"/>
  <c r="CI127" i="14608"/>
  <c r="CJ127" i="14608"/>
  <c r="CK127" i="14608"/>
  <c r="CL127" i="14608"/>
  <c r="CM127" i="14608"/>
  <c r="CN127" i="14608"/>
  <c r="CO127" i="14608"/>
  <c r="CP127" i="14608"/>
  <c r="CQ127" i="14608"/>
  <c r="CR127" i="14608"/>
  <c r="CS127" i="14608"/>
  <c r="CT127" i="14608"/>
  <c r="CU127" i="14608"/>
  <c r="CV127" i="14608"/>
  <c r="CW127" i="14608"/>
  <c r="CX127" i="14608"/>
  <c r="CY127" i="14608"/>
  <c r="CZ127" i="14608"/>
  <c r="DA127" i="14608"/>
  <c r="DB127" i="14608"/>
  <c r="DC127" i="14608"/>
  <c r="DD127" i="14608"/>
  <c r="DE127" i="14608"/>
  <c r="DF127" i="14608"/>
  <c r="DG127" i="14608"/>
  <c r="DH127" i="14608"/>
  <c r="DI127" i="14608"/>
  <c r="DJ127" i="14608"/>
  <c r="DK127" i="14608"/>
  <c r="DL127" i="14608"/>
  <c r="DM127" i="14608"/>
  <c r="DN127" i="14608"/>
  <c r="DO127" i="14608"/>
  <c r="DP127" i="14608"/>
  <c r="DQ127" i="14608"/>
  <c r="DR127" i="14608"/>
  <c r="DS127" i="14608"/>
  <c r="DT127" i="14608"/>
  <c r="DU127" i="14608"/>
  <c r="DV127" i="14608"/>
  <c r="DW127" i="14608"/>
  <c r="DX127" i="14608"/>
  <c r="DY127" i="14608"/>
  <c r="DZ127" i="14608"/>
  <c r="EA127" i="14608"/>
  <c r="EB127" i="14608"/>
  <c r="EC127" i="14608"/>
  <c r="ED127" i="14608"/>
  <c r="EE127" i="14608"/>
  <c r="EF127" i="14608"/>
  <c r="EG127" i="14608"/>
  <c r="EH127" i="14608"/>
  <c r="EI127" i="14608"/>
  <c r="EJ127" i="14608"/>
  <c r="EK127" i="14608"/>
  <c r="EL127" i="14608"/>
  <c r="EM127" i="14608"/>
  <c r="EN127" i="14608"/>
  <c r="EO127" i="14608"/>
  <c r="EP127" i="14608"/>
  <c r="EQ127" i="14608"/>
  <c r="ER127" i="14608"/>
  <c r="ES127" i="14608"/>
  <c r="ET127" i="14608"/>
  <c r="EU127" i="14608"/>
  <c r="EV127" i="14608"/>
  <c r="EW127" i="14608"/>
  <c r="EX127" i="14608"/>
  <c r="EY127" i="14608"/>
  <c r="EZ127" i="14608"/>
  <c r="FA127" i="14608"/>
  <c r="FB127" i="14608"/>
  <c r="FC127" i="14608"/>
  <c r="FD127" i="14608"/>
  <c r="FE127" i="14608"/>
  <c r="FF127" i="14608"/>
  <c r="FG127" i="14608"/>
  <c r="FH127" i="14608"/>
  <c r="FI127" i="14608"/>
  <c r="FJ127" i="14608"/>
  <c r="FK127" i="14608"/>
  <c r="FL127" i="14608"/>
  <c r="FM127" i="14608"/>
  <c r="FN127" i="14608"/>
  <c r="FO127" i="14608"/>
  <c r="FP127" i="14608"/>
  <c r="FQ127" i="14608"/>
  <c r="FR127" i="14608"/>
  <c r="FS127" i="14608"/>
  <c r="FT127" i="14608"/>
  <c r="FU127" i="14608"/>
  <c r="FV127" i="14608"/>
  <c r="FW127" i="14608"/>
  <c r="FX127" i="14608"/>
  <c r="FY127" i="14608"/>
  <c r="FZ127" i="14608"/>
  <c r="GA127" i="14608"/>
  <c r="GB127" i="14608"/>
  <c r="GC127" i="14608"/>
  <c r="GD127" i="14608"/>
  <c r="GE127" i="14608"/>
  <c r="GF127" i="14608"/>
  <c r="GG127" i="14608"/>
  <c r="GH127" i="14608"/>
  <c r="GI127" i="14608"/>
  <c r="GJ127" i="14608"/>
  <c r="GK127" i="14608"/>
  <c r="GL127" i="14608"/>
  <c r="GM127" i="14608"/>
  <c r="GN127" i="14608"/>
  <c r="GO127" i="14608"/>
  <c r="GP127" i="14608"/>
  <c r="GQ127" i="14608"/>
  <c r="GR127" i="14608"/>
  <c r="GS127" i="14608"/>
  <c r="GT127" i="14608"/>
  <c r="GU127" i="14608"/>
  <c r="GV127" i="14608"/>
  <c r="GW127" i="14608"/>
  <c r="GX127" i="14608"/>
  <c r="GY127" i="14608"/>
  <c r="GZ127" i="14608"/>
  <c r="HA127" i="14608"/>
  <c r="HB127" i="14608"/>
  <c r="HC127" i="14608"/>
  <c r="HD127" i="14608"/>
  <c r="HE127" i="14608"/>
  <c r="HF127" i="14608"/>
  <c r="HG127" i="14608"/>
  <c r="HH127" i="14608"/>
  <c r="HI127" i="14608"/>
  <c r="HJ127" i="14608"/>
  <c r="HK127" i="14608"/>
  <c r="HL127" i="14608"/>
  <c r="HM127" i="14608"/>
  <c r="HN127" i="14608"/>
  <c r="HO127" i="14608"/>
  <c r="HP127" i="14608"/>
  <c r="HQ127" i="14608"/>
  <c r="HR127" i="14608"/>
  <c r="HS127" i="14608"/>
  <c r="HT127" i="14608"/>
  <c r="HU127" i="14608"/>
  <c r="HV127" i="14608"/>
  <c r="HW127" i="14608"/>
  <c r="HX127" i="14608"/>
  <c r="HY127" i="14608"/>
  <c r="HZ127" i="14608"/>
  <c r="IA127" i="14608"/>
  <c r="IB127" i="14608"/>
  <c r="IC127" i="14608"/>
  <c r="ID127" i="14608"/>
  <c r="IE127" i="14608"/>
  <c r="IF127" i="14608"/>
  <c r="IG127" i="14608"/>
  <c r="IH127" i="14608"/>
  <c r="II127" i="14608"/>
  <c r="IJ127" i="14608"/>
  <c r="IK127" i="14608"/>
  <c r="IL127" i="14608"/>
  <c r="IM127" i="14608"/>
  <c r="IN127" i="14608"/>
  <c r="IO127" i="14608"/>
  <c r="IP127" i="14608"/>
  <c r="IQ127" i="14608"/>
  <c r="IR127" i="14608"/>
  <c r="IS127" i="14608"/>
  <c r="IT127" i="14608"/>
  <c r="IU127" i="14608"/>
  <c r="IV127" i="14608"/>
  <c r="A126" i="14608"/>
  <c r="B126" i="14608"/>
  <c r="C126" i="14608"/>
  <c r="D126" i="14608"/>
  <c r="E126" i="14608"/>
  <c r="F126" i="14608"/>
  <c r="G126" i="14608"/>
  <c r="H126" i="14608"/>
  <c r="I126" i="14608"/>
  <c r="J126" i="14608"/>
  <c r="K126" i="14608"/>
  <c r="L126" i="14608"/>
  <c r="M126" i="14608"/>
  <c r="N126" i="14608"/>
  <c r="O126" i="14608"/>
  <c r="P126" i="14608"/>
  <c r="Q126" i="14608"/>
  <c r="R126" i="14608"/>
  <c r="S126" i="14608"/>
  <c r="T126" i="14608"/>
  <c r="U126" i="14608"/>
  <c r="V126" i="14608"/>
  <c r="W126" i="14608"/>
  <c r="X126" i="14608"/>
  <c r="Y126" i="14608"/>
  <c r="Z126" i="14608"/>
  <c r="AA126" i="14608"/>
  <c r="AB126" i="14608"/>
  <c r="AC126" i="14608"/>
  <c r="AD126" i="14608"/>
  <c r="AE126" i="14608"/>
  <c r="AF126" i="14608"/>
  <c r="AG126" i="14608"/>
  <c r="AH126" i="14608"/>
  <c r="AI126" i="14608"/>
  <c r="AJ126" i="14608"/>
  <c r="AK126" i="14608"/>
  <c r="AL126" i="14608"/>
  <c r="AM126" i="14608"/>
  <c r="AN126" i="14608"/>
  <c r="AO126" i="14608"/>
  <c r="AP126" i="14608"/>
  <c r="AQ126" i="14608"/>
  <c r="AR126" i="14608"/>
  <c r="AS126" i="14608"/>
  <c r="AT126" i="14608"/>
  <c r="AU126" i="14608"/>
  <c r="AV126" i="14608"/>
  <c r="AW126" i="14608"/>
  <c r="AX126" i="14608"/>
  <c r="AY126" i="14608"/>
  <c r="AZ126" i="14608"/>
  <c r="BA126" i="14608"/>
  <c r="BB126" i="14608"/>
  <c r="BC126" i="14608"/>
  <c r="BD126" i="14608"/>
  <c r="BE126" i="14608"/>
  <c r="BF126" i="14608"/>
  <c r="BG126" i="14608"/>
  <c r="BH126" i="14608"/>
  <c r="BI126" i="14608"/>
  <c r="BJ126" i="14608"/>
  <c r="BK126" i="14608"/>
  <c r="BL126" i="14608"/>
  <c r="BM126" i="14608"/>
  <c r="BN126" i="14608"/>
  <c r="BO126" i="14608"/>
  <c r="BP126" i="14608"/>
  <c r="BQ126" i="14608"/>
  <c r="BR126" i="14608"/>
  <c r="BS126" i="14608"/>
  <c r="BT126" i="14608"/>
  <c r="BU126" i="14608"/>
  <c r="BV126" i="14608"/>
  <c r="BW126" i="14608"/>
  <c r="BX126" i="14608"/>
  <c r="BY126" i="14608"/>
  <c r="BZ126" i="14608"/>
  <c r="CA126" i="14608"/>
  <c r="CB126" i="14608"/>
  <c r="CC126" i="14608"/>
  <c r="CD126" i="14608"/>
  <c r="CE126" i="14608"/>
  <c r="CF126" i="14608"/>
  <c r="CG126" i="14608"/>
  <c r="CH126" i="14608"/>
  <c r="CI126" i="14608"/>
  <c r="CJ126" i="14608"/>
  <c r="CK126" i="14608"/>
  <c r="CL126" i="14608"/>
  <c r="CM126" i="14608"/>
  <c r="CN126" i="14608"/>
  <c r="CO126" i="14608"/>
  <c r="CP126" i="14608"/>
  <c r="CQ126" i="14608"/>
  <c r="CR126" i="14608"/>
  <c r="CS126" i="14608"/>
  <c r="CT126" i="14608"/>
  <c r="CU126" i="14608"/>
  <c r="CV126" i="14608"/>
  <c r="CW126" i="14608"/>
  <c r="CX126" i="14608"/>
  <c r="CY126" i="14608"/>
  <c r="CZ126" i="14608"/>
  <c r="DA126" i="14608"/>
  <c r="DB126" i="14608"/>
  <c r="DC126" i="14608"/>
  <c r="DD126" i="14608"/>
  <c r="DE126" i="14608"/>
  <c r="DF126" i="14608"/>
  <c r="DG126" i="14608"/>
  <c r="DH126" i="14608"/>
  <c r="DI126" i="14608"/>
  <c r="DJ126" i="14608"/>
  <c r="DK126" i="14608"/>
  <c r="DL126" i="14608"/>
  <c r="DM126" i="14608"/>
  <c r="DN126" i="14608"/>
  <c r="DO126" i="14608"/>
  <c r="DP126" i="14608"/>
  <c r="DQ126" i="14608"/>
  <c r="DR126" i="14608"/>
  <c r="DS126" i="14608"/>
  <c r="DT126" i="14608"/>
  <c r="DU126" i="14608"/>
  <c r="DV126" i="14608"/>
  <c r="DW126" i="14608"/>
  <c r="DX126" i="14608"/>
  <c r="DY126" i="14608"/>
  <c r="DZ126" i="14608"/>
  <c r="EA126" i="14608"/>
  <c r="EB126" i="14608"/>
  <c r="EC126" i="14608"/>
  <c r="ED126" i="14608"/>
  <c r="EE126" i="14608"/>
  <c r="EF126" i="14608"/>
  <c r="EG126" i="14608"/>
  <c r="EH126" i="14608"/>
  <c r="EI126" i="14608"/>
  <c r="EJ126" i="14608"/>
  <c r="EK126" i="14608"/>
  <c r="EL126" i="14608"/>
  <c r="EM126" i="14608"/>
  <c r="EN126" i="14608"/>
  <c r="EO126" i="14608"/>
  <c r="EP126" i="14608"/>
  <c r="EQ126" i="14608"/>
  <c r="ER126" i="14608"/>
  <c r="ES126" i="14608"/>
  <c r="ET126" i="14608"/>
  <c r="EU126" i="14608"/>
  <c r="EV126" i="14608"/>
  <c r="EW126" i="14608"/>
  <c r="EX126" i="14608"/>
  <c r="EY126" i="14608"/>
  <c r="EZ126" i="14608"/>
  <c r="FA126" i="14608"/>
  <c r="FB126" i="14608"/>
  <c r="FC126" i="14608"/>
  <c r="FD126" i="14608"/>
  <c r="FE126" i="14608"/>
  <c r="FF126" i="14608"/>
  <c r="FG126" i="14608"/>
  <c r="FH126" i="14608"/>
  <c r="FI126" i="14608"/>
  <c r="FJ126" i="14608"/>
  <c r="FK126" i="14608"/>
  <c r="FL126" i="14608"/>
  <c r="FM126" i="14608"/>
  <c r="FN126" i="14608"/>
  <c r="FO126" i="14608"/>
  <c r="FP126" i="14608"/>
  <c r="FQ126" i="14608"/>
  <c r="FR126" i="14608"/>
  <c r="FS126" i="14608"/>
  <c r="FT126" i="14608"/>
  <c r="FU126" i="14608"/>
  <c r="FV126" i="14608"/>
  <c r="FW126" i="14608"/>
  <c r="FX126" i="14608"/>
  <c r="FY126" i="14608"/>
  <c r="FZ126" i="14608"/>
  <c r="GA126" i="14608"/>
  <c r="GB126" i="14608"/>
  <c r="GC126" i="14608"/>
  <c r="GD126" i="14608"/>
  <c r="GE126" i="14608"/>
  <c r="GF126" i="14608"/>
  <c r="GG126" i="14608"/>
  <c r="GH126" i="14608"/>
  <c r="GI126" i="14608"/>
  <c r="GJ126" i="14608"/>
  <c r="GK126" i="14608"/>
  <c r="GL126" i="14608"/>
  <c r="GM126" i="14608"/>
  <c r="GN126" i="14608"/>
  <c r="GO126" i="14608"/>
  <c r="GP126" i="14608"/>
  <c r="GQ126" i="14608"/>
  <c r="GR126" i="14608"/>
  <c r="GS126" i="14608"/>
  <c r="GT126" i="14608"/>
  <c r="GU126" i="14608"/>
  <c r="GV126" i="14608"/>
  <c r="GW126" i="14608"/>
  <c r="GX126" i="14608"/>
  <c r="GY126" i="14608"/>
  <c r="GZ126" i="14608"/>
  <c r="HA126" i="14608"/>
  <c r="HB126" i="14608"/>
  <c r="HC126" i="14608"/>
  <c r="HD126" i="14608"/>
  <c r="HE126" i="14608"/>
  <c r="HF126" i="14608"/>
  <c r="HG126" i="14608"/>
  <c r="HH126" i="14608"/>
  <c r="HI126" i="14608"/>
  <c r="HJ126" i="14608"/>
  <c r="HK126" i="14608"/>
  <c r="HL126" i="14608"/>
  <c r="HM126" i="14608"/>
  <c r="HN126" i="14608"/>
  <c r="HO126" i="14608"/>
  <c r="HP126" i="14608"/>
  <c r="HQ126" i="14608"/>
  <c r="HR126" i="14608"/>
  <c r="HS126" i="14608"/>
  <c r="HT126" i="14608"/>
  <c r="HU126" i="14608"/>
  <c r="HV126" i="14608"/>
  <c r="HW126" i="14608"/>
  <c r="HX126" i="14608"/>
  <c r="HY126" i="14608"/>
  <c r="HZ126" i="14608"/>
  <c r="IA126" i="14608"/>
  <c r="IB126" i="14608"/>
  <c r="IC126" i="14608"/>
  <c r="ID126" i="14608"/>
  <c r="IE126" i="14608"/>
  <c r="IF126" i="14608"/>
  <c r="IG126" i="14608"/>
  <c r="IH126" i="14608"/>
  <c r="II126" i="14608"/>
  <c r="IJ126" i="14608"/>
  <c r="IK126" i="14608"/>
  <c r="IL126" i="14608"/>
  <c r="IM126" i="14608"/>
  <c r="IN126" i="14608"/>
  <c r="IO126" i="14608"/>
  <c r="IP126" i="14608"/>
  <c r="IQ126" i="14608"/>
  <c r="IR126" i="14608"/>
  <c r="IS126" i="14608"/>
  <c r="IT126" i="14608"/>
  <c r="IU126" i="14608"/>
  <c r="IV126" i="14608"/>
  <c r="A125" i="14608"/>
  <c r="B125" i="14608"/>
  <c r="C125" i="14608"/>
  <c r="D125" i="14608"/>
  <c r="E125" i="14608"/>
  <c r="F125" i="14608"/>
  <c r="G125" i="14608"/>
  <c r="H125" i="14608"/>
  <c r="I125" i="14608"/>
  <c r="J125" i="14608"/>
  <c r="K125" i="14608"/>
  <c r="L125" i="14608"/>
  <c r="M125" i="14608"/>
  <c r="N125" i="14608"/>
  <c r="O125" i="14608"/>
  <c r="P125" i="14608"/>
  <c r="Q125" i="14608"/>
  <c r="R125" i="14608"/>
  <c r="S125" i="14608"/>
  <c r="T125" i="14608"/>
  <c r="U125" i="14608"/>
  <c r="V125" i="14608"/>
  <c r="W125" i="14608"/>
  <c r="X125" i="14608"/>
  <c r="Y125" i="14608"/>
  <c r="Z125" i="14608"/>
  <c r="AA125" i="14608"/>
  <c r="AB125" i="14608"/>
  <c r="AC125" i="14608"/>
  <c r="AD125" i="14608"/>
  <c r="AE125" i="14608"/>
  <c r="AF125" i="14608"/>
  <c r="AG125" i="14608"/>
  <c r="AH125" i="14608"/>
  <c r="AI125" i="14608"/>
  <c r="AJ125" i="14608"/>
  <c r="AK125" i="14608"/>
  <c r="AL125" i="14608"/>
  <c r="AM125" i="14608"/>
  <c r="AN125" i="14608"/>
  <c r="AO125" i="14608"/>
  <c r="AP125" i="14608"/>
  <c r="AQ125" i="14608"/>
  <c r="AR125" i="14608"/>
  <c r="AS125" i="14608"/>
  <c r="AT125" i="14608"/>
  <c r="AU125" i="14608"/>
  <c r="AV125" i="14608"/>
  <c r="AW125" i="14608"/>
  <c r="AX125" i="14608"/>
  <c r="AY125" i="14608"/>
  <c r="AZ125" i="14608"/>
  <c r="BA125" i="14608"/>
  <c r="BB125" i="14608"/>
  <c r="BC125" i="14608"/>
  <c r="BD125" i="14608"/>
  <c r="BE125" i="14608"/>
  <c r="BF125" i="14608"/>
  <c r="BG125" i="14608"/>
  <c r="BH125" i="14608"/>
  <c r="BI125" i="14608"/>
  <c r="BJ125" i="14608"/>
  <c r="BK125" i="14608"/>
  <c r="BL125" i="14608"/>
  <c r="BM125" i="14608"/>
  <c r="BN125" i="14608"/>
  <c r="BO125" i="14608"/>
  <c r="BP125" i="14608"/>
  <c r="BQ125" i="14608"/>
  <c r="BR125" i="14608"/>
  <c r="BS125" i="14608"/>
  <c r="BT125" i="14608"/>
  <c r="BU125" i="14608"/>
  <c r="BV125" i="14608"/>
  <c r="BW125" i="14608"/>
  <c r="BX125" i="14608"/>
  <c r="BY125" i="14608"/>
  <c r="BZ125" i="14608"/>
  <c r="CA125" i="14608"/>
  <c r="CB125" i="14608"/>
  <c r="CC125" i="14608"/>
  <c r="CD125" i="14608"/>
  <c r="CE125" i="14608"/>
  <c r="CF125" i="14608"/>
  <c r="CG125" i="14608"/>
  <c r="CH125" i="14608"/>
  <c r="CI125" i="14608"/>
  <c r="CJ125" i="14608"/>
  <c r="CK125" i="14608"/>
  <c r="CL125" i="14608"/>
  <c r="CM125" i="14608"/>
  <c r="CN125" i="14608"/>
  <c r="CO125" i="14608"/>
  <c r="CP125" i="14608"/>
  <c r="CQ125" i="14608"/>
  <c r="CR125" i="14608"/>
  <c r="CS125" i="14608"/>
  <c r="CT125" i="14608"/>
  <c r="CU125" i="14608"/>
  <c r="CV125" i="14608"/>
  <c r="CW125" i="14608"/>
  <c r="CX125" i="14608"/>
  <c r="CY125" i="14608"/>
  <c r="CZ125" i="14608"/>
  <c r="DA125" i="14608"/>
  <c r="DB125" i="14608"/>
  <c r="DC125" i="14608"/>
  <c r="DD125" i="14608"/>
  <c r="DE125" i="14608"/>
  <c r="DF125" i="14608"/>
  <c r="DG125" i="14608"/>
  <c r="DH125" i="14608"/>
  <c r="DI125" i="14608"/>
  <c r="DJ125" i="14608"/>
  <c r="DK125" i="14608"/>
  <c r="DL125" i="14608"/>
  <c r="DM125" i="14608"/>
  <c r="DN125" i="14608"/>
  <c r="DO125" i="14608"/>
  <c r="DP125" i="14608"/>
  <c r="DQ125" i="14608"/>
  <c r="DR125" i="14608"/>
  <c r="DS125" i="14608"/>
  <c r="DT125" i="14608"/>
  <c r="DU125" i="14608"/>
  <c r="DV125" i="14608"/>
  <c r="DW125" i="14608"/>
  <c r="DX125" i="14608"/>
  <c r="DY125" i="14608"/>
  <c r="DZ125" i="14608"/>
  <c r="EA125" i="14608"/>
  <c r="EB125" i="14608"/>
  <c r="EC125" i="14608"/>
  <c r="ED125" i="14608"/>
  <c r="EE125" i="14608"/>
  <c r="EF125" i="14608"/>
  <c r="EG125" i="14608"/>
  <c r="EH125" i="14608"/>
  <c r="EI125" i="14608"/>
  <c r="EJ125" i="14608"/>
  <c r="EK125" i="14608"/>
  <c r="EL125" i="14608"/>
  <c r="EM125" i="14608"/>
  <c r="EN125" i="14608"/>
  <c r="EO125" i="14608"/>
  <c r="EP125" i="14608"/>
  <c r="EQ125" i="14608"/>
  <c r="ER125" i="14608"/>
  <c r="ES125" i="14608"/>
  <c r="ET125" i="14608"/>
  <c r="EU125" i="14608"/>
  <c r="EV125" i="14608"/>
  <c r="EW125" i="14608"/>
  <c r="EX125" i="14608"/>
  <c r="EY125" i="14608"/>
  <c r="EZ125" i="14608"/>
  <c r="FA125" i="14608"/>
  <c r="FB125" i="14608"/>
  <c r="FC125" i="14608"/>
  <c r="FD125" i="14608"/>
  <c r="FE125" i="14608"/>
  <c r="FF125" i="14608"/>
  <c r="FG125" i="14608"/>
  <c r="FH125" i="14608"/>
  <c r="FI125" i="14608"/>
  <c r="FJ125" i="14608"/>
  <c r="FK125" i="14608"/>
  <c r="FL125" i="14608"/>
  <c r="FM125" i="14608"/>
  <c r="FN125" i="14608"/>
  <c r="FO125" i="14608"/>
  <c r="FP125" i="14608"/>
  <c r="FQ125" i="14608"/>
  <c r="FR125" i="14608"/>
  <c r="FS125" i="14608"/>
  <c r="FT125" i="14608"/>
  <c r="FU125" i="14608"/>
  <c r="FV125" i="14608"/>
  <c r="FW125" i="14608"/>
  <c r="FX125" i="14608"/>
  <c r="FY125" i="14608"/>
  <c r="FZ125" i="14608"/>
  <c r="GA125" i="14608"/>
  <c r="GB125" i="14608"/>
  <c r="GC125" i="14608"/>
  <c r="GD125" i="14608"/>
  <c r="GE125" i="14608"/>
  <c r="GF125" i="14608"/>
  <c r="GG125" i="14608"/>
  <c r="GH125" i="14608"/>
  <c r="GI125" i="14608"/>
  <c r="GJ125" i="14608"/>
  <c r="GK125" i="14608"/>
  <c r="GL125" i="14608"/>
  <c r="GM125" i="14608"/>
  <c r="GN125" i="14608"/>
  <c r="GO125" i="14608"/>
  <c r="GP125" i="14608"/>
  <c r="GQ125" i="14608"/>
  <c r="GR125" i="14608"/>
  <c r="GS125" i="14608"/>
  <c r="GT125" i="14608"/>
  <c r="GU125" i="14608"/>
  <c r="GV125" i="14608"/>
  <c r="GW125" i="14608"/>
  <c r="GX125" i="14608"/>
  <c r="GY125" i="14608"/>
  <c r="GZ125" i="14608"/>
  <c r="HA125" i="14608"/>
  <c r="HB125" i="14608"/>
  <c r="HC125" i="14608"/>
  <c r="HD125" i="14608"/>
  <c r="HE125" i="14608"/>
  <c r="HF125" i="14608"/>
  <c r="HG125" i="14608"/>
  <c r="HH125" i="14608"/>
  <c r="HI125" i="14608"/>
  <c r="HJ125" i="14608"/>
  <c r="HK125" i="14608"/>
  <c r="HL125" i="14608"/>
  <c r="HM125" i="14608"/>
  <c r="HN125" i="14608"/>
  <c r="HO125" i="14608"/>
  <c r="HP125" i="14608"/>
  <c r="HQ125" i="14608"/>
  <c r="HR125" i="14608"/>
  <c r="HS125" i="14608"/>
  <c r="HT125" i="14608"/>
  <c r="HU125" i="14608"/>
  <c r="HV125" i="14608"/>
  <c r="HW125" i="14608"/>
  <c r="HX125" i="14608"/>
  <c r="HY125" i="14608"/>
  <c r="HZ125" i="14608"/>
  <c r="IA125" i="14608"/>
  <c r="IB125" i="14608"/>
  <c r="IC125" i="14608"/>
  <c r="ID125" i="14608"/>
  <c r="IE125" i="14608"/>
  <c r="IF125" i="14608"/>
  <c r="IG125" i="14608"/>
  <c r="IH125" i="14608"/>
  <c r="II125" i="14608"/>
  <c r="IJ125" i="14608"/>
  <c r="IK125" i="14608"/>
  <c r="IL125" i="14608"/>
  <c r="IM125" i="14608"/>
  <c r="IN125" i="14608"/>
  <c r="IO125" i="14608"/>
  <c r="IP125" i="14608"/>
  <c r="IQ125" i="14608"/>
  <c r="IR125" i="14608"/>
  <c r="IS125" i="14608"/>
  <c r="IT125" i="14608"/>
  <c r="IU125" i="14608"/>
  <c r="IV125" i="14608"/>
  <c r="A124" i="14608"/>
  <c r="B124" i="14608"/>
  <c r="C124" i="14608"/>
  <c r="D124" i="14608"/>
  <c r="E124" i="14608"/>
  <c r="F124" i="14608"/>
  <c r="G124" i="14608"/>
  <c r="H124" i="14608"/>
  <c r="I124" i="14608"/>
  <c r="J124" i="14608"/>
  <c r="K124" i="14608"/>
  <c r="L124" i="14608"/>
  <c r="M124" i="14608"/>
  <c r="N124" i="14608"/>
  <c r="O124" i="14608"/>
  <c r="P124" i="14608"/>
  <c r="Q124" i="14608"/>
  <c r="R124" i="14608"/>
  <c r="S124" i="14608"/>
  <c r="T124" i="14608"/>
  <c r="U124" i="14608"/>
  <c r="V124" i="14608"/>
  <c r="W124" i="14608"/>
  <c r="X124" i="14608"/>
  <c r="Y124" i="14608"/>
  <c r="Z124" i="14608"/>
  <c r="AA124" i="14608"/>
  <c r="AB124" i="14608"/>
  <c r="AC124" i="14608"/>
  <c r="AD124" i="14608"/>
  <c r="AE124" i="14608"/>
  <c r="AF124" i="14608"/>
  <c r="AG124" i="14608"/>
  <c r="AH124" i="14608"/>
  <c r="AI124" i="14608"/>
  <c r="AJ124" i="14608"/>
  <c r="AK124" i="14608"/>
  <c r="AL124" i="14608"/>
  <c r="AM124" i="14608"/>
  <c r="AN124" i="14608"/>
  <c r="AO124" i="14608"/>
  <c r="AP124" i="14608"/>
  <c r="AQ124" i="14608"/>
  <c r="AR124" i="14608"/>
  <c r="AS124" i="14608"/>
  <c r="AT124" i="14608"/>
  <c r="AU124" i="14608"/>
  <c r="AV124" i="14608"/>
  <c r="AW124" i="14608"/>
  <c r="AX124" i="14608"/>
  <c r="AY124" i="14608"/>
  <c r="AZ124" i="14608"/>
  <c r="BA124" i="14608"/>
  <c r="BB124" i="14608"/>
  <c r="BC124" i="14608"/>
  <c r="BD124" i="14608"/>
  <c r="BE124" i="14608"/>
  <c r="BF124" i="14608"/>
  <c r="BG124" i="14608"/>
  <c r="BH124" i="14608"/>
  <c r="BI124" i="14608"/>
  <c r="BJ124" i="14608"/>
  <c r="BK124" i="14608"/>
  <c r="BL124" i="14608"/>
  <c r="BM124" i="14608"/>
  <c r="BN124" i="14608"/>
  <c r="BO124" i="14608"/>
  <c r="BP124" i="14608"/>
  <c r="BQ124" i="14608"/>
  <c r="BR124" i="14608"/>
  <c r="BS124" i="14608"/>
  <c r="BT124" i="14608"/>
  <c r="BU124" i="14608"/>
  <c r="BV124" i="14608"/>
  <c r="BW124" i="14608"/>
  <c r="BX124" i="14608"/>
  <c r="BY124" i="14608"/>
  <c r="BZ124" i="14608"/>
  <c r="CA124" i="14608"/>
  <c r="CB124" i="14608"/>
  <c r="CC124" i="14608"/>
  <c r="CD124" i="14608"/>
  <c r="CE124" i="14608"/>
  <c r="CF124" i="14608"/>
  <c r="CG124" i="14608"/>
  <c r="CH124" i="14608"/>
  <c r="CI124" i="14608"/>
  <c r="CJ124" i="14608"/>
  <c r="CK124" i="14608"/>
  <c r="CL124" i="14608"/>
  <c r="CM124" i="14608"/>
  <c r="CN124" i="14608"/>
  <c r="CO124" i="14608"/>
  <c r="CP124" i="14608"/>
  <c r="CQ124" i="14608"/>
  <c r="CR124" i="14608"/>
  <c r="CS124" i="14608"/>
  <c r="CT124" i="14608"/>
  <c r="CU124" i="14608"/>
  <c r="CV124" i="14608"/>
  <c r="CW124" i="14608"/>
  <c r="CX124" i="14608"/>
  <c r="CY124" i="14608"/>
  <c r="CZ124" i="14608"/>
  <c r="DA124" i="14608"/>
  <c r="DB124" i="14608"/>
  <c r="DC124" i="14608"/>
  <c r="DD124" i="14608"/>
  <c r="DE124" i="14608"/>
  <c r="DF124" i="14608"/>
  <c r="DG124" i="14608"/>
  <c r="DH124" i="14608"/>
  <c r="DI124" i="14608"/>
  <c r="DJ124" i="14608"/>
  <c r="DK124" i="14608"/>
  <c r="DL124" i="14608"/>
  <c r="DM124" i="14608"/>
  <c r="DN124" i="14608"/>
  <c r="DO124" i="14608"/>
  <c r="DP124" i="14608"/>
  <c r="DQ124" i="14608"/>
  <c r="DR124" i="14608"/>
  <c r="DS124" i="14608"/>
  <c r="DT124" i="14608"/>
  <c r="DU124" i="14608"/>
  <c r="DV124" i="14608"/>
  <c r="DW124" i="14608"/>
  <c r="DX124" i="14608"/>
  <c r="DY124" i="14608"/>
  <c r="DZ124" i="14608"/>
  <c r="EA124" i="14608"/>
  <c r="EB124" i="14608"/>
  <c r="EC124" i="14608"/>
  <c r="ED124" i="14608"/>
  <c r="EE124" i="14608"/>
  <c r="EF124" i="14608"/>
  <c r="EG124" i="14608"/>
  <c r="EH124" i="14608"/>
  <c r="EI124" i="14608"/>
  <c r="EJ124" i="14608"/>
  <c r="EK124" i="14608"/>
  <c r="EL124" i="14608"/>
  <c r="EM124" i="14608"/>
  <c r="EN124" i="14608"/>
  <c r="EO124" i="14608"/>
  <c r="EP124" i="14608"/>
  <c r="EQ124" i="14608"/>
  <c r="ER124" i="14608"/>
  <c r="ES124" i="14608"/>
  <c r="ET124" i="14608"/>
  <c r="EU124" i="14608"/>
  <c r="EV124" i="14608"/>
  <c r="EW124" i="14608"/>
  <c r="EX124" i="14608"/>
  <c r="EY124" i="14608"/>
  <c r="EZ124" i="14608"/>
  <c r="FA124" i="14608"/>
  <c r="FB124" i="14608"/>
  <c r="FC124" i="14608"/>
  <c r="FD124" i="14608"/>
  <c r="FE124" i="14608"/>
  <c r="FF124" i="14608"/>
  <c r="FG124" i="14608"/>
  <c r="FH124" i="14608"/>
  <c r="FI124" i="14608"/>
  <c r="FJ124" i="14608"/>
  <c r="FK124" i="14608"/>
  <c r="FL124" i="14608"/>
  <c r="FM124" i="14608"/>
  <c r="FN124" i="14608"/>
  <c r="FO124" i="14608"/>
  <c r="FP124" i="14608"/>
  <c r="FQ124" i="14608"/>
  <c r="FR124" i="14608"/>
  <c r="FS124" i="14608"/>
  <c r="FT124" i="14608"/>
  <c r="FU124" i="14608"/>
  <c r="FV124" i="14608"/>
  <c r="FW124" i="14608"/>
  <c r="FX124" i="14608"/>
  <c r="FY124" i="14608"/>
  <c r="FZ124" i="14608"/>
  <c r="GA124" i="14608"/>
  <c r="GB124" i="14608"/>
  <c r="GC124" i="14608"/>
  <c r="GD124" i="14608"/>
  <c r="GE124" i="14608"/>
  <c r="GF124" i="14608"/>
  <c r="GG124" i="14608"/>
  <c r="GH124" i="14608"/>
  <c r="GI124" i="14608"/>
  <c r="GJ124" i="14608"/>
  <c r="GK124" i="14608"/>
  <c r="GL124" i="14608"/>
  <c r="GM124" i="14608"/>
  <c r="GN124" i="14608"/>
  <c r="GO124" i="14608"/>
  <c r="GP124" i="14608"/>
  <c r="GQ124" i="14608"/>
  <c r="GR124" i="14608"/>
  <c r="GS124" i="14608"/>
  <c r="GT124" i="14608"/>
  <c r="GU124" i="14608"/>
  <c r="GV124" i="14608"/>
  <c r="GW124" i="14608"/>
  <c r="GX124" i="14608"/>
  <c r="GY124" i="14608"/>
  <c r="GZ124" i="14608"/>
  <c r="HA124" i="14608"/>
  <c r="HB124" i="14608"/>
  <c r="HC124" i="14608"/>
  <c r="HD124" i="14608"/>
  <c r="HE124" i="14608"/>
  <c r="HF124" i="14608"/>
  <c r="HG124" i="14608"/>
  <c r="HH124" i="14608"/>
  <c r="HI124" i="14608"/>
  <c r="HJ124" i="14608"/>
  <c r="HK124" i="14608"/>
  <c r="HL124" i="14608"/>
  <c r="HM124" i="14608"/>
  <c r="HN124" i="14608"/>
  <c r="HO124" i="14608"/>
  <c r="HP124" i="14608"/>
  <c r="HQ124" i="14608"/>
  <c r="HR124" i="14608"/>
  <c r="HS124" i="14608"/>
  <c r="HT124" i="14608"/>
  <c r="HU124" i="14608"/>
  <c r="HV124" i="14608"/>
  <c r="HW124" i="14608"/>
  <c r="HX124" i="14608"/>
  <c r="HY124" i="14608"/>
  <c r="HZ124" i="14608"/>
  <c r="IA124" i="14608"/>
  <c r="IB124" i="14608"/>
  <c r="IC124" i="14608"/>
  <c r="ID124" i="14608"/>
  <c r="IE124" i="14608"/>
  <c r="IF124" i="14608"/>
  <c r="IG124" i="14608"/>
  <c r="IH124" i="14608"/>
  <c r="II124" i="14608"/>
  <c r="IJ124" i="14608"/>
  <c r="IK124" i="14608"/>
  <c r="IL124" i="14608"/>
  <c r="IM124" i="14608"/>
  <c r="IN124" i="14608"/>
  <c r="IO124" i="14608"/>
  <c r="IP124" i="14608"/>
  <c r="IQ124" i="14608"/>
  <c r="IR124" i="14608"/>
  <c r="IS124" i="14608"/>
  <c r="IT124" i="14608"/>
  <c r="IU124" i="14608"/>
  <c r="IV124" i="14608"/>
  <c r="A123" i="14608"/>
  <c r="B123" i="14608"/>
  <c r="C123" i="14608"/>
  <c r="D123" i="14608"/>
  <c r="E123" i="14608"/>
  <c r="F123" i="14608"/>
  <c r="G123" i="14608"/>
  <c r="H123" i="14608"/>
  <c r="I123" i="14608"/>
  <c r="J123" i="14608"/>
  <c r="K123" i="14608"/>
  <c r="L123" i="14608"/>
  <c r="M123" i="14608"/>
  <c r="N123" i="14608"/>
  <c r="O123" i="14608"/>
  <c r="P123" i="14608"/>
  <c r="Q123" i="14608"/>
  <c r="R123" i="14608"/>
  <c r="S123" i="14608"/>
  <c r="T123" i="14608"/>
  <c r="U123" i="14608"/>
  <c r="V123" i="14608"/>
  <c r="W123" i="14608"/>
  <c r="X123" i="14608"/>
  <c r="Y123" i="14608"/>
  <c r="Z123" i="14608"/>
  <c r="AA123" i="14608"/>
  <c r="AB123" i="14608"/>
  <c r="AC123" i="14608"/>
  <c r="AD123" i="14608"/>
  <c r="AE123" i="14608"/>
  <c r="AF123" i="14608"/>
  <c r="AG123" i="14608"/>
  <c r="AH123" i="14608"/>
  <c r="AI123" i="14608"/>
  <c r="AJ123" i="14608"/>
  <c r="AK123" i="14608"/>
  <c r="AL123" i="14608"/>
  <c r="AM123" i="14608"/>
  <c r="AN123" i="14608"/>
  <c r="AO123" i="14608"/>
  <c r="AP123" i="14608"/>
  <c r="AQ123" i="14608"/>
  <c r="AR123" i="14608"/>
  <c r="AS123" i="14608"/>
  <c r="AT123" i="14608"/>
  <c r="AU123" i="14608"/>
  <c r="AV123" i="14608"/>
  <c r="AW123" i="14608"/>
  <c r="AX123" i="14608"/>
  <c r="AY123" i="14608"/>
  <c r="AZ123" i="14608"/>
  <c r="BA123" i="14608"/>
  <c r="BB123" i="14608"/>
  <c r="BC123" i="14608"/>
  <c r="BD123" i="14608"/>
  <c r="BE123" i="14608"/>
  <c r="BF123" i="14608"/>
  <c r="BG123" i="14608"/>
  <c r="BH123" i="14608"/>
  <c r="BI123" i="14608"/>
  <c r="BJ123" i="14608"/>
  <c r="BK123" i="14608"/>
  <c r="BL123" i="14608"/>
  <c r="BM123" i="14608"/>
  <c r="BN123" i="14608"/>
  <c r="BO123" i="14608"/>
  <c r="BP123" i="14608"/>
  <c r="BQ123" i="14608"/>
  <c r="BR123" i="14608"/>
  <c r="BS123" i="14608"/>
  <c r="BT123" i="14608"/>
  <c r="BU123" i="14608"/>
  <c r="BV123" i="14608"/>
  <c r="BW123" i="14608"/>
  <c r="BX123" i="14608"/>
  <c r="BY123" i="14608"/>
  <c r="BZ123" i="14608"/>
  <c r="CA123" i="14608"/>
  <c r="CB123" i="14608"/>
  <c r="CC123" i="14608"/>
  <c r="CD123" i="14608"/>
  <c r="CE123" i="14608"/>
  <c r="CF123" i="14608"/>
  <c r="CG123" i="14608"/>
  <c r="CH123" i="14608"/>
  <c r="CI123" i="14608"/>
  <c r="CJ123" i="14608"/>
  <c r="CK123" i="14608"/>
  <c r="CL123" i="14608"/>
  <c r="CM123" i="14608"/>
  <c r="CN123" i="14608"/>
  <c r="CO123" i="14608"/>
  <c r="CP123" i="14608"/>
  <c r="CQ123" i="14608"/>
  <c r="CR123" i="14608"/>
  <c r="CS123" i="14608"/>
  <c r="CT123" i="14608"/>
  <c r="CU123" i="14608"/>
  <c r="CV123" i="14608"/>
  <c r="CW123" i="14608"/>
  <c r="CX123" i="14608"/>
  <c r="CY123" i="14608"/>
  <c r="CZ123" i="14608"/>
  <c r="DA123" i="14608"/>
  <c r="DB123" i="14608"/>
  <c r="DC123" i="14608"/>
  <c r="DD123" i="14608"/>
  <c r="DE123" i="14608"/>
  <c r="DF123" i="14608"/>
  <c r="DG123" i="14608"/>
  <c r="DH123" i="14608"/>
  <c r="DI123" i="14608"/>
  <c r="DJ123" i="14608"/>
  <c r="DK123" i="14608"/>
  <c r="DL123" i="14608"/>
  <c r="DM123" i="14608"/>
  <c r="DN123" i="14608"/>
  <c r="DO123" i="14608"/>
  <c r="DP123" i="14608"/>
  <c r="DQ123" i="14608"/>
  <c r="DR123" i="14608"/>
  <c r="DS123" i="14608"/>
  <c r="DT123" i="14608"/>
  <c r="DU123" i="14608"/>
  <c r="DV123" i="14608"/>
  <c r="DW123" i="14608"/>
  <c r="DX123" i="14608"/>
  <c r="DY123" i="14608"/>
  <c r="DZ123" i="14608"/>
  <c r="EA123" i="14608"/>
  <c r="EB123" i="14608"/>
  <c r="EC123" i="14608"/>
  <c r="ED123" i="14608"/>
  <c r="EE123" i="14608"/>
  <c r="EF123" i="14608"/>
  <c r="EG123" i="14608"/>
  <c r="EH123" i="14608"/>
  <c r="EI123" i="14608"/>
  <c r="EJ123" i="14608"/>
  <c r="EK123" i="14608"/>
  <c r="EL123" i="14608"/>
  <c r="EM123" i="14608"/>
  <c r="EN123" i="14608"/>
  <c r="EO123" i="14608"/>
  <c r="EP123" i="14608"/>
  <c r="EQ123" i="14608"/>
  <c r="ER123" i="14608"/>
  <c r="ES123" i="14608"/>
  <c r="ET123" i="14608"/>
  <c r="EU123" i="14608"/>
  <c r="EV123" i="14608"/>
  <c r="EW123" i="14608"/>
  <c r="EX123" i="14608"/>
  <c r="EY123" i="14608"/>
  <c r="EZ123" i="14608"/>
  <c r="FA123" i="14608"/>
  <c r="FB123" i="14608"/>
  <c r="FC123" i="14608"/>
  <c r="FD123" i="14608"/>
  <c r="FE123" i="14608"/>
  <c r="FF123" i="14608"/>
  <c r="FG123" i="14608"/>
  <c r="FH123" i="14608"/>
  <c r="FI123" i="14608"/>
  <c r="FJ123" i="14608"/>
  <c r="FK123" i="14608"/>
  <c r="FL123" i="14608"/>
  <c r="FM123" i="14608"/>
  <c r="FN123" i="14608"/>
  <c r="FO123" i="14608"/>
  <c r="FP123" i="14608"/>
  <c r="FQ123" i="14608"/>
  <c r="FR123" i="14608"/>
  <c r="FS123" i="14608"/>
  <c r="FT123" i="14608"/>
  <c r="FU123" i="14608"/>
  <c r="FV123" i="14608"/>
  <c r="FW123" i="14608"/>
  <c r="FX123" i="14608"/>
  <c r="FY123" i="14608"/>
  <c r="FZ123" i="14608"/>
  <c r="GA123" i="14608"/>
  <c r="GB123" i="14608"/>
  <c r="GC123" i="14608"/>
  <c r="GD123" i="14608"/>
  <c r="GE123" i="14608"/>
  <c r="GF123" i="14608"/>
  <c r="GG123" i="14608"/>
  <c r="GH123" i="14608"/>
  <c r="GI123" i="14608"/>
  <c r="GJ123" i="14608"/>
  <c r="GK123" i="14608"/>
  <c r="GL123" i="14608"/>
  <c r="GM123" i="14608"/>
  <c r="GN123" i="14608"/>
  <c r="GO123" i="14608"/>
  <c r="GP123" i="14608"/>
  <c r="GQ123" i="14608"/>
  <c r="GR123" i="14608"/>
  <c r="GS123" i="14608"/>
  <c r="GT123" i="14608"/>
  <c r="GU123" i="14608"/>
  <c r="GV123" i="14608"/>
  <c r="GW123" i="14608"/>
  <c r="GX123" i="14608"/>
  <c r="GY123" i="14608"/>
  <c r="GZ123" i="14608"/>
  <c r="HA123" i="14608"/>
  <c r="HB123" i="14608"/>
  <c r="HC123" i="14608"/>
  <c r="HD123" i="14608"/>
  <c r="HE123" i="14608"/>
  <c r="HF123" i="14608"/>
  <c r="HG123" i="14608"/>
  <c r="HH123" i="14608"/>
  <c r="HI123" i="14608"/>
  <c r="HJ123" i="14608"/>
  <c r="HK123" i="14608"/>
  <c r="HL123" i="14608"/>
  <c r="HM123" i="14608"/>
  <c r="HN123" i="14608"/>
  <c r="HO123" i="14608"/>
  <c r="HP123" i="14608"/>
  <c r="HQ123" i="14608"/>
  <c r="HR123" i="14608"/>
  <c r="HS123" i="14608"/>
  <c r="HT123" i="14608"/>
  <c r="HU123" i="14608"/>
  <c r="HV123" i="14608"/>
  <c r="HW123" i="14608"/>
  <c r="HX123" i="14608"/>
  <c r="HY123" i="14608"/>
  <c r="HZ123" i="14608"/>
  <c r="IA123" i="14608"/>
  <c r="IB123" i="14608"/>
  <c r="IC123" i="14608"/>
  <c r="ID123" i="14608"/>
  <c r="IE123" i="14608"/>
  <c r="IF123" i="14608"/>
  <c r="IG123" i="14608"/>
  <c r="IH123" i="14608"/>
  <c r="II123" i="14608"/>
  <c r="IJ123" i="14608"/>
  <c r="IK123" i="14608"/>
  <c r="IL123" i="14608"/>
  <c r="IM123" i="14608"/>
  <c r="IN123" i="14608"/>
  <c r="IO123" i="14608"/>
  <c r="IP123" i="14608"/>
  <c r="IQ123" i="14608"/>
  <c r="IR123" i="14608"/>
  <c r="IS123" i="14608"/>
  <c r="IT123" i="14608"/>
  <c r="IU123" i="14608"/>
  <c r="IV123" i="14608"/>
  <c r="A122" i="14608"/>
  <c r="B122" i="14608"/>
  <c r="C122" i="14608"/>
  <c r="D122" i="14608"/>
  <c r="E122" i="14608"/>
  <c r="F122" i="14608"/>
  <c r="G122" i="14608"/>
  <c r="H122" i="14608"/>
  <c r="I122" i="14608"/>
  <c r="J122" i="14608"/>
  <c r="K122" i="14608"/>
  <c r="L122" i="14608"/>
  <c r="M122" i="14608"/>
  <c r="N122" i="14608"/>
  <c r="O122" i="14608"/>
  <c r="P122" i="14608"/>
  <c r="Q122" i="14608"/>
  <c r="R122" i="14608"/>
  <c r="S122" i="14608"/>
  <c r="T122" i="14608"/>
  <c r="U122" i="14608"/>
  <c r="V122" i="14608"/>
  <c r="W122" i="14608"/>
  <c r="X122" i="14608"/>
  <c r="Y122" i="14608"/>
  <c r="Z122" i="14608"/>
  <c r="AA122" i="14608"/>
  <c r="AB122" i="14608"/>
  <c r="AC122" i="14608"/>
  <c r="AD122" i="14608"/>
  <c r="AE122" i="14608"/>
  <c r="AF122" i="14608"/>
  <c r="AG122" i="14608"/>
  <c r="AH122" i="14608"/>
  <c r="AI122" i="14608"/>
  <c r="AJ122" i="14608"/>
  <c r="AK122" i="14608"/>
  <c r="AL122" i="14608"/>
  <c r="AM122" i="14608"/>
  <c r="AN122" i="14608"/>
  <c r="AO122" i="14608"/>
  <c r="AP122" i="14608"/>
  <c r="AQ122" i="14608"/>
  <c r="AR122" i="14608"/>
  <c r="AS122" i="14608"/>
  <c r="AT122" i="14608"/>
  <c r="AU122" i="14608"/>
  <c r="AV122" i="14608"/>
  <c r="AW122" i="14608"/>
  <c r="AX122" i="14608"/>
  <c r="AY122" i="14608"/>
  <c r="AZ122" i="14608"/>
  <c r="BA122" i="14608"/>
  <c r="BB122" i="14608"/>
  <c r="BC122" i="14608"/>
  <c r="BD122" i="14608"/>
  <c r="BE122" i="14608"/>
  <c r="BF122" i="14608"/>
  <c r="BG122" i="14608"/>
  <c r="BH122" i="14608"/>
  <c r="BI122" i="14608"/>
  <c r="BJ122" i="14608"/>
  <c r="BK122" i="14608"/>
  <c r="BL122" i="14608"/>
  <c r="BM122" i="14608"/>
  <c r="BN122" i="14608"/>
  <c r="BO122" i="14608"/>
  <c r="BP122" i="14608"/>
  <c r="BQ122" i="14608"/>
  <c r="BR122" i="14608"/>
  <c r="BS122" i="14608"/>
  <c r="BT122" i="14608"/>
  <c r="BU122" i="14608"/>
  <c r="BV122" i="14608"/>
  <c r="BW122" i="14608"/>
  <c r="BX122" i="14608"/>
  <c r="BY122" i="14608"/>
  <c r="BZ122" i="14608"/>
  <c r="CA122" i="14608"/>
  <c r="CB122" i="14608"/>
  <c r="CC122" i="14608"/>
  <c r="CD122" i="14608"/>
  <c r="CE122" i="14608"/>
  <c r="CF122" i="14608"/>
  <c r="CG122" i="14608"/>
  <c r="CH122" i="14608"/>
  <c r="CI122" i="14608"/>
  <c r="CJ122" i="14608"/>
  <c r="CK122" i="14608"/>
  <c r="CL122" i="14608"/>
  <c r="CM122" i="14608"/>
  <c r="CN122" i="14608"/>
  <c r="CO122" i="14608"/>
  <c r="CP122" i="14608"/>
  <c r="CQ122" i="14608"/>
  <c r="CR122" i="14608"/>
  <c r="CS122" i="14608"/>
  <c r="CT122" i="14608"/>
  <c r="CU122" i="14608"/>
  <c r="CV122" i="14608"/>
  <c r="CW122" i="14608"/>
  <c r="CX122" i="14608"/>
  <c r="CY122" i="14608"/>
  <c r="CZ122" i="14608"/>
  <c r="DA122" i="14608"/>
  <c r="DB122" i="14608"/>
  <c r="DC122" i="14608"/>
  <c r="DD122" i="14608"/>
  <c r="DE122" i="14608"/>
  <c r="DF122" i="14608"/>
  <c r="DG122" i="14608"/>
  <c r="DH122" i="14608"/>
  <c r="DI122" i="14608"/>
  <c r="DJ122" i="14608"/>
  <c r="DK122" i="14608"/>
  <c r="DL122" i="14608"/>
  <c r="DM122" i="14608"/>
  <c r="DN122" i="14608"/>
  <c r="DO122" i="14608"/>
  <c r="DP122" i="14608"/>
  <c r="DQ122" i="14608"/>
  <c r="DR122" i="14608"/>
  <c r="DS122" i="14608"/>
  <c r="DT122" i="14608"/>
  <c r="DU122" i="14608"/>
  <c r="DV122" i="14608"/>
  <c r="DW122" i="14608"/>
  <c r="DX122" i="14608"/>
  <c r="DY122" i="14608"/>
  <c r="DZ122" i="14608"/>
  <c r="EA122" i="14608"/>
  <c r="EB122" i="14608"/>
  <c r="EC122" i="14608"/>
  <c r="ED122" i="14608"/>
  <c r="EE122" i="14608"/>
  <c r="EF122" i="14608"/>
  <c r="EG122" i="14608"/>
  <c r="EH122" i="14608"/>
  <c r="EI122" i="14608"/>
  <c r="EJ122" i="14608"/>
  <c r="EK122" i="14608"/>
  <c r="EL122" i="14608"/>
  <c r="EM122" i="14608"/>
  <c r="EN122" i="14608"/>
  <c r="EO122" i="14608"/>
  <c r="EP122" i="14608"/>
  <c r="EQ122" i="14608"/>
  <c r="ER122" i="14608"/>
  <c r="ES122" i="14608"/>
  <c r="ET122" i="14608"/>
  <c r="EU122" i="14608"/>
  <c r="EV122" i="14608"/>
  <c r="EW122" i="14608"/>
  <c r="EX122" i="14608"/>
  <c r="EY122" i="14608"/>
  <c r="EZ122" i="14608"/>
  <c r="FA122" i="14608"/>
  <c r="FB122" i="14608"/>
  <c r="FC122" i="14608"/>
  <c r="FD122" i="14608"/>
  <c r="FE122" i="14608"/>
  <c r="FF122" i="14608"/>
  <c r="FG122" i="14608"/>
  <c r="FH122" i="14608"/>
  <c r="FI122" i="14608"/>
  <c r="FJ122" i="14608"/>
  <c r="FK122" i="14608"/>
  <c r="FL122" i="14608"/>
  <c r="FM122" i="14608"/>
  <c r="FN122" i="14608"/>
  <c r="FO122" i="14608"/>
  <c r="FP122" i="14608"/>
  <c r="FQ122" i="14608"/>
  <c r="FR122" i="14608"/>
  <c r="FS122" i="14608"/>
  <c r="FT122" i="14608"/>
  <c r="FU122" i="14608"/>
  <c r="FV122" i="14608"/>
  <c r="FW122" i="14608"/>
  <c r="FX122" i="14608"/>
  <c r="FY122" i="14608"/>
  <c r="FZ122" i="14608"/>
  <c r="GA122" i="14608"/>
  <c r="GB122" i="14608"/>
  <c r="GC122" i="14608"/>
  <c r="GD122" i="14608"/>
  <c r="GE122" i="14608"/>
  <c r="GF122" i="14608"/>
  <c r="GG122" i="14608"/>
  <c r="GH122" i="14608"/>
  <c r="GI122" i="14608"/>
  <c r="GJ122" i="14608"/>
  <c r="GK122" i="14608"/>
  <c r="GL122" i="14608"/>
  <c r="GM122" i="14608"/>
  <c r="GN122" i="14608"/>
  <c r="GO122" i="14608"/>
  <c r="GP122" i="14608"/>
  <c r="GQ122" i="14608"/>
  <c r="GR122" i="14608"/>
  <c r="GS122" i="14608"/>
  <c r="GT122" i="14608"/>
  <c r="GU122" i="14608"/>
  <c r="GV122" i="14608"/>
  <c r="GW122" i="14608"/>
  <c r="GX122" i="14608"/>
  <c r="GY122" i="14608"/>
  <c r="GZ122" i="14608"/>
  <c r="HA122" i="14608"/>
  <c r="HB122" i="14608"/>
  <c r="HC122" i="14608"/>
  <c r="HD122" i="14608"/>
  <c r="HE122" i="14608"/>
  <c r="HF122" i="14608"/>
  <c r="HG122" i="14608"/>
  <c r="HH122" i="14608"/>
  <c r="HI122" i="14608"/>
  <c r="HJ122" i="14608"/>
  <c r="HK122" i="14608"/>
  <c r="HL122" i="14608"/>
  <c r="HM122" i="14608"/>
  <c r="HN122" i="14608"/>
  <c r="HO122" i="14608"/>
  <c r="HP122" i="14608"/>
  <c r="HQ122" i="14608"/>
  <c r="HR122" i="14608"/>
  <c r="HS122" i="14608"/>
  <c r="HT122" i="14608"/>
  <c r="HU122" i="14608"/>
  <c r="HV122" i="14608"/>
  <c r="HW122" i="14608"/>
  <c r="HX122" i="14608"/>
  <c r="HY122" i="14608"/>
  <c r="HZ122" i="14608"/>
  <c r="IA122" i="14608"/>
  <c r="IB122" i="14608"/>
  <c r="IC122" i="14608"/>
  <c r="ID122" i="14608"/>
  <c r="IE122" i="14608"/>
  <c r="IF122" i="14608"/>
  <c r="IG122" i="14608"/>
  <c r="IH122" i="14608"/>
  <c r="II122" i="14608"/>
  <c r="IJ122" i="14608"/>
  <c r="IK122" i="14608"/>
  <c r="IL122" i="14608"/>
  <c r="IM122" i="14608"/>
  <c r="IN122" i="14608"/>
  <c r="IO122" i="14608"/>
  <c r="IP122" i="14608"/>
  <c r="IQ122" i="14608"/>
  <c r="IR122" i="14608"/>
  <c r="IS122" i="14608"/>
  <c r="IT122" i="14608"/>
  <c r="IU122" i="14608"/>
  <c r="IV122" i="14608"/>
  <c r="A121" i="14608"/>
  <c r="B121" i="14608"/>
  <c r="C121" i="14608"/>
  <c r="D121" i="14608"/>
  <c r="E121" i="14608"/>
  <c r="F121" i="14608"/>
  <c r="G121" i="14608"/>
  <c r="H121" i="14608"/>
  <c r="I121" i="14608"/>
  <c r="J121" i="14608"/>
  <c r="K121" i="14608"/>
  <c r="L121" i="14608"/>
  <c r="M121" i="14608"/>
  <c r="N121" i="14608"/>
  <c r="O121" i="14608"/>
  <c r="P121" i="14608"/>
  <c r="Q121" i="14608"/>
  <c r="R121" i="14608"/>
  <c r="S121" i="14608"/>
  <c r="T121" i="14608"/>
  <c r="U121" i="14608"/>
  <c r="V121" i="14608"/>
  <c r="W121" i="14608"/>
  <c r="X121" i="14608"/>
  <c r="Y121" i="14608"/>
  <c r="Z121" i="14608"/>
  <c r="AA121" i="14608"/>
  <c r="AB121" i="14608"/>
  <c r="AC121" i="14608"/>
  <c r="AD121" i="14608"/>
  <c r="AE121" i="14608"/>
  <c r="AF121" i="14608"/>
  <c r="AG121" i="14608"/>
  <c r="AH121" i="14608"/>
  <c r="AI121" i="14608"/>
  <c r="AJ121" i="14608"/>
  <c r="AK121" i="14608"/>
  <c r="AL121" i="14608"/>
  <c r="AM121" i="14608"/>
  <c r="AN121" i="14608"/>
  <c r="AO121" i="14608"/>
  <c r="AP121" i="14608"/>
  <c r="AQ121" i="14608"/>
  <c r="AR121" i="14608"/>
  <c r="AS121" i="14608"/>
  <c r="AT121" i="14608"/>
  <c r="AU121" i="14608"/>
  <c r="AV121" i="14608"/>
  <c r="AW121" i="14608"/>
  <c r="AX121" i="14608"/>
  <c r="AY121" i="14608"/>
  <c r="AZ121" i="14608"/>
  <c r="BA121" i="14608"/>
  <c r="BB121" i="14608"/>
  <c r="BC121" i="14608"/>
  <c r="BD121" i="14608"/>
  <c r="BE121" i="14608"/>
  <c r="BF121" i="14608"/>
  <c r="BG121" i="14608"/>
  <c r="BH121" i="14608"/>
  <c r="BI121" i="14608"/>
  <c r="BJ121" i="14608"/>
  <c r="BK121" i="14608"/>
  <c r="BL121" i="14608"/>
  <c r="BM121" i="14608"/>
  <c r="BN121" i="14608"/>
  <c r="BO121" i="14608"/>
  <c r="BP121" i="14608"/>
  <c r="BQ121" i="14608"/>
  <c r="BR121" i="14608"/>
  <c r="BS121" i="14608"/>
  <c r="BT121" i="14608"/>
  <c r="BU121" i="14608"/>
  <c r="BV121" i="14608"/>
  <c r="BW121" i="14608"/>
  <c r="BX121" i="14608"/>
  <c r="BY121" i="14608"/>
  <c r="BZ121" i="14608"/>
  <c r="CA121" i="14608"/>
  <c r="CB121" i="14608"/>
  <c r="CC121" i="14608"/>
  <c r="CD121" i="14608"/>
  <c r="CE121" i="14608"/>
  <c r="CF121" i="14608"/>
  <c r="CG121" i="14608"/>
  <c r="CH121" i="14608"/>
  <c r="CI121" i="14608"/>
  <c r="CJ121" i="14608"/>
  <c r="CK121" i="14608"/>
  <c r="CL121" i="14608"/>
  <c r="CM121" i="14608"/>
  <c r="CN121" i="14608"/>
  <c r="CO121" i="14608"/>
  <c r="CP121" i="14608"/>
  <c r="CQ121" i="14608"/>
  <c r="CR121" i="14608"/>
  <c r="CS121" i="14608"/>
  <c r="CT121" i="14608"/>
  <c r="CU121" i="14608"/>
  <c r="CV121" i="14608"/>
  <c r="CW121" i="14608"/>
  <c r="CX121" i="14608"/>
  <c r="CY121" i="14608"/>
  <c r="CZ121" i="14608"/>
  <c r="DA121" i="14608"/>
  <c r="DB121" i="14608"/>
  <c r="DC121" i="14608"/>
  <c r="DD121" i="14608"/>
  <c r="DE121" i="14608"/>
  <c r="DF121" i="14608"/>
  <c r="DG121" i="14608"/>
  <c r="DH121" i="14608"/>
  <c r="DI121" i="14608"/>
  <c r="DJ121" i="14608"/>
  <c r="DK121" i="14608"/>
  <c r="DL121" i="14608"/>
  <c r="DM121" i="14608"/>
  <c r="DN121" i="14608"/>
  <c r="DO121" i="14608"/>
  <c r="DP121" i="14608"/>
  <c r="DQ121" i="14608"/>
  <c r="DR121" i="14608"/>
  <c r="DS121" i="14608"/>
  <c r="DT121" i="14608"/>
  <c r="DU121" i="14608"/>
  <c r="DV121" i="14608"/>
  <c r="DW121" i="14608"/>
  <c r="DX121" i="14608"/>
  <c r="DY121" i="14608"/>
  <c r="DZ121" i="14608"/>
  <c r="EA121" i="14608"/>
  <c r="EB121" i="14608"/>
  <c r="EC121" i="14608"/>
  <c r="ED121" i="14608"/>
  <c r="EE121" i="14608"/>
  <c r="EF121" i="14608"/>
  <c r="EG121" i="14608"/>
  <c r="EH121" i="14608"/>
  <c r="EI121" i="14608"/>
  <c r="EJ121" i="14608"/>
  <c r="EK121" i="14608"/>
  <c r="EL121" i="14608"/>
  <c r="EM121" i="14608"/>
  <c r="EN121" i="14608"/>
  <c r="EO121" i="14608"/>
  <c r="EP121" i="14608"/>
  <c r="EQ121" i="14608"/>
  <c r="ER121" i="14608"/>
  <c r="ES121" i="14608"/>
  <c r="ET121" i="14608"/>
  <c r="EU121" i="14608"/>
  <c r="EV121" i="14608"/>
  <c r="EW121" i="14608"/>
  <c r="EX121" i="14608"/>
  <c r="EY121" i="14608"/>
  <c r="EZ121" i="14608"/>
  <c r="FA121" i="14608"/>
  <c r="FB121" i="14608"/>
  <c r="FC121" i="14608"/>
  <c r="FD121" i="14608"/>
  <c r="FE121" i="14608"/>
  <c r="FF121" i="14608"/>
  <c r="FG121" i="14608"/>
  <c r="FH121" i="14608"/>
  <c r="FI121" i="14608"/>
  <c r="FJ121" i="14608"/>
  <c r="FK121" i="14608"/>
  <c r="FL121" i="14608"/>
  <c r="FM121" i="14608"/>
  <c r="FN121" i="14608"/>
  <c r="FO121" i="14608"/>
  <c r="FP121" i="14608"/>
  <c r="FQ121" i="14608"/>
  <c r="FR121" i="14608"/>
  <c r="FS121" i="14608"/>
  <c r="FT121" i="14608"/>
  <c r="FU121" i="14608"/>
  <c r="FV121" i="14608"/>
  <c r="FW121" i="14608"/>
  <c r="FX121" i="14608"/>
  <c r="FY121" i="14608"/>
  <c r="FZ121" i="14608"/>
  <c r="GA121" i="14608"/>
  <c r="GB121" i="14608"/>
  <c r="GC121" i="14608"/>
  <c r="GD121" i="14608"/>
  <c r="GE121" i="14608"/>
  <c r="GF121" i="14608"/>
  <c r="GG121" i="14608"/>
  <c r="GH121" i="14608"/>
  <c r="GI121" i="14608"/>
  <c r="GJ121" i="14608"/>
  <c r="GK121" i="14608"/>
  <c r="GL121" i="14608"/>
  <c r="GM121" i="14608"/>
  <c r="GN121" i="14608"/>
  <c r="GO121" i="14608"/>
  <c r="GP121" i="14608"/>
  <c r="GQ121" i="14608"/>
  <c r="GR121" i="14608"/>
  <c r="GS121" i="14608"/>
  <c r="GT121" i="14608"/>
  <c r="GU121" i="14608"/>
  <c r="GV121" i="14608"/>
  <c r="GW121" i="14608"/>
  <c r="GX121" i="14608"/>
  <c r="GY121" i="14608"/>
  <c r="GZ121" i="14608"/>
  <c r="HA121" i="14608"/>
  <c r="HB121" i="14608"/>
  <c r="HC121" i="14608"/>
  <c r="HD121" i="14608"/>
  <c r="HE121" i="14608"/>
  <c r="HF121" i="14608"/>
  <c r="HG121" i="14608"/>
  <c r="HH121" i="14608"/>
  <c r="HI121" i="14608"/>
  <c r="HJ121" i="14608"/>
  <c r="HK121" i="14608"/>
  <c r="HL121" i="14608"/>
  <c r="HM121" i="14608"/>
  <c r="HN121" i="14608"/>
  <c r="HO121" i="14608"/>
  <c r="HP121" i="14608"/>
  <c r="HQ121" i="14608"/>
  <c r="HR121" i="14608"/>
  <c r="HS121" i="14608"/>
  <c r="HT121" i="14608"/>
  <c r="HU121" i="14608"/>
  <c r="HV121" i="14608"/>
  <c r="HW121" i="14608"/>
  <c r="HX121" i="14608"/>
  <c r="HY121" i="14608"/>
  <c r="HZ121" i="14608"/>
  <c r="IA121" i="14608"/>
  <c r="IB121" i="14608"/>
  <c r="IC121" i="14608"/>
  <c r="ID121" i="14608"/>
  <c r="IE121" i="14608"/>
  <c r="IF121" i="14608"/>
  <c r="IG121" i="14608"/>
  <c r="IH121" i="14608"/>
  <c r="II121" i="14608"/>
  <c r="IJ121" i="14608"/>
  <c r="IK121" i="14608"/>
  <c r="IL121" i="14608"/>
  <c r="IM121" i="14608"/>
  <c r="IN121" i="14608"/>
  <c r="IO121" i="14608"/>
  <c r="IP121" i="14608"/>
  <c r="IQ121" i="14608"/>
  <c r="IR121" i="14608"/>
  <c r="IS121" i="14608"/>
  <c r="IT121" i="14608"/>
  <c r="IU121" i="14608"/>
  <c r="IV121" i="14608"/>
  <c r="A120" i="14608"/>
  <c r="B120" i="14608"/>
  <c r="C120" i="14608"/>
  <c r="D120" i="14608"/>
  <c r="E120" i="14608"/>
  <c r="F120" i="14608"/>
  <c r="G120" i="14608"/>
  <c r="H120" i="14608"/>
  <c r="I120" i="14608"/>
  <c r="J120" i="14608"/>
  <c r="K120" i="14608"/>
  <c r="L120" i="14608"/>
  <c r="M120" i="14608"/>
  <c r="N120" i="14608"/>
  <c r="O120" i="14608"/>
  <c r="P120" i="14608"/>
  <c r="Q120" i="14608"/>
  <c r="R120" i="14608"/>
  <c r="S120" i="14608"/>
  <c r="T120" i="14608"/>
  <c r="U120" i="14608"/>
  <c r="V120" i="14608"/>
  <c r="W120" i="14608"/>
  <c r="X120" i="14608"/>
  <c r="Y120" i="14608"/>
  <c r="Z120" i="14608"/>
  <c r="AA120" i="14608"/>
  <c r="AB120" i="14608"/>
  <c r="AC120" i="14608"/>
  <c r="AD120" i="14608"/>
  <c r="AE120" i="14608"/>
  <c r="AF120" i="14608"/>
  <c r="AG120" i="14608"/>
  <c r="AH120" i="14608"/>
  <c r="AI120" i="14608"/>
  <c r="AJ120" i="14608"/>
  <c r="AK120" i="14608"/>
  <c r="AL120" i="14608"/>
  <c r="AM120" i="14608"/>
  <c r="AN120" i="14608"/>
  <c r="AO120" i="14608"/>
  <c r="AP120" i="14608"/>
  <c r="AQ120" i="14608"/>
  <c r="AR120" i="14608"/>
  <c r="AS120" i="14608"/>
  <c r="AT120" i="14608"/>
  <c r="AU120" i="14608"/>
  <c r="AV120" i="14608"/>
  <c r="AW120" i="14608"/>
  <c r="AX120" i="14608"/>
  <c r="AY120" i="14608"/>
  <c r="AZ120" i="14608"/>
  <c r="BA120" i="14608"/>
  <c r="BB120" i="14608"/>
  <c r="BC120" i="14608"/>
  <c r="BD120" i="14608"/>
  <c r="BE120" i="14608"/>
  <c r="BF120" i="14608"/>
  <c r="BG120" i="14608"/>
  <c r="BH120" i="14608"/>
  <c r="BI120" i="14608"/>
  <c r="BJ120" i="14608"/>
  <c r="BK120" i="14608"/>
  <c r="BL120" i="14608"/>
  <c r="BM120" i="14608"/>
  <c r="BN120" i="14608"/>
  <c r="BO120" i="14608"/>
  <c r="BP120" i="14608"/>
  <c r="BQ120" i="14608"/>
  <c r="BR120" i="14608"/>
  <c r="BS120" i="14608"/>
  <c r="BT120" i="14608"/>
  <c r="BU120" i="14608"/>
  <c r="BV120" i="14608"/>
  <c r="BW120" i="14608"/>
  <c r="BX120" i="14608"/>
  <c r="BY120" i="14608"/>
  <c r="BZ120" i="14608"/>
  <c r="CA120" i="14608"/>
  <c r="CB120" i="14608"/>
  <c r="CC120" i="14608"/>
  <c r="CD120" i="14608"/>
  <c r="CE120" i="14608"/>
  <c r="CF120" i="14608"/>
  <c r="CG120" i="14608"/>
  <c r="CH120" i="14608"/>
  <c r="CI120" i="14608"/>
  <c r="CJ120" i="14608"/>
  <c r="CK120" i="14608"/>
  <c r="CL120" i="14608"/>
  <c r="CM120" i="14608"/>
  <c r="CN120" i="14608"/>
  <c r="CO120" i="14608"/>
  <c r="CP120" i="14608"/>
  <c r="CQ120" i="14608"/>
  <c r="CR120" i="14608"/>
  <c r="CS120" i="14608"/>
  <c r="CT120" i="14608"/>
  <c r="CU120" i="14608"/>
  <c r="CV120" i="14608"/>
  <c r="CW120" i="14608"/>
  <c r="CX120" i="14608"/>
  <c r="CY120" i="14608"/>
  <c r="CZ120" i="14608"/>
  <c r="DA120" i="14608"/>
  <c r="DB120" i="14608"/>
  <c r="DC120" i="14608"/>
  <c r="DD120" i="14608"/>
  <c r="DE120" i="14608"/>
  <c r="DF120" i="14608"/>
  <c r="DG120" i="14608"/>
  <c r="DH120" i="14608"/>
  <c r="DI120" i="14608"/>
  <c r="DJ120" i="14608"/>
  <c r="DK120" i="14608"/>
  <c r="DL120" i="14608"/>
  <c r="DM120" i="14608"/>
  <c r="DN120" i="14608"/>
  <c r="DO120" i="14608"/>
  <c r="DP120" i="14608"/>
  <c r="DQ120" i="14608"/>
  <c r="DR120" i="14608"/>
  <c r="DS120" i="14608"/>
  <c r="DT120" i="14608"/>
  <c r="DU120" i="14608"/>
  <c r="DV120" i="14608"/>
  <c r="DW120" i="14608"/>
  <c r="DX120" i="14608"/>
  <c r="DY120" i="14608"/>
  <c r="DZ120" i="14608"/>
  <c r="EA120" i="14608"/>
  <c r="EB120" i="14608"/>
  <c r="EC120" i="14608"/>
  <c r="ED120" i="14608"/>
  <c r="EE120" i="14608"/>
  <c r="EF120" i="14608"/>
  <c r="EG120" i="14608"/>
  <c r="EH120" i="14608"/>
  <c r="EI120" i="14608"/>
  <c r="EJ120" i="14608"/>
  <c r="EK120" i="14608"/>
  <c r="EL120" i="14608"/>
  <c r="EM120" i="14608"/>
  <c r="EN120" i="14608"/>
  <c r="EO120" i="14608"/>
  <c r="EP120" i="14608"/>
  <c r="EQ120" i="14608"/>
  <c r="ER120" i="14608"/>
  <c r="ES120" i="14608"/>
  <c r="ET120" i="14608"/>
  <c r="EU120" i="14608"/>
  <c r="EV120" i="14608"/>
  <c r="EW120" i="14608"/>
  <c r="EX120" i="14608"/>
  <c r="EY120" i="14608"/>
  <c r="EZ120" i="14608"/>
  <c r="FA120" i="14608"/>
  <c r="FB120" i="14608"/>
  <c r="FC120" i="14608"/>
  <c r="FD120" i="14608"/>
  <c r="FE120" i="14608"/>
  <c r="FF120" i="14608"/>
  <c r="FG120" i="14608"/>
  <c r="FH120" i="14608"/>
  <c r="FI120" i="14608"/>
  <c r="FJ120" i="14608"/>
  <c r="FK120" i="14608"/>
  <c r="FL120" i="14608"/>
  <c r="FM120" i="14608"/>
  <c r="FN120" i="14608"/>
  <c r="FO120" i="14608"/>
  <c r="FP120" i="14608"/>
  <c r="FQ120" i="14608"/>
  <c r="FR120" i="14608"/>
  <c r="FS120" i="14608"/>
  <c r="FT120" i="14608"/>
  <c r="FU120" i="14608"/>
  <c r="FV120" i="14608"/>
  <c r="FW120" i="14608"/>
  <c r="FX120" i="14608"/>
  <c r="FY120" i="14608"/>
  <c r="FZ120" i="14608"/>
  <c r="GA120" i="14608"/>
  <c r="GB120" i="14608"/>
  <c r="GC120" i="14608"/>
  <c r="GD120" i="14608"/>
  <c r="GE120" i="14608"/>
  <c r="GF120" i="14608"/>
  <c r="GG120" i="14608"/>
  <c r="GH120" i="14608"/>
  <c r="GI120" i="14608"/>
  <c r="GJ120" i="14608"/>
  <c r="GK120" i="14608"/>
  <c r="GL120" i="14608"/>
  <c r="GM120" i="14608"/>
  <c r="GN120" i="14608"/>
  <c r="GO120" i="14608"/>
  <c r="GP120" i="14608"/>
  <c r="GQ120" i="14608"/>
  <c r="GR120" i="14608"/>
  <c r="GS120" i="14608"/>
  <c r="GT120" i="14608"/>
  <c r="GU120" i="14608"/>
  <c r="GV120" i="14608"/>
  <c r="GW120" i="14608"/>
  <c r="GX120" i="14608"/>
  <c r="GY120" i="14608"/>
  <c r="GZ120" i="14608"/>
  <c r="HA120" i="14608"/>
  <c r="HB120" i="14608"/>
  <c r="HC120" i="14608"/>
  <c r="HD120" i="14608"/>
  <c r="HE120" i="14608"/>
  <c r="HF120" i="14608"/>
  <c r="HG120" i="14608"/>
  <c r="HH120" i="14608"/>
  <c r="HI120" i="14608"/>
  <c r="HJ120" i="14608"/>
  <c r="HK120" i="14608"/>
  <c r="HL120" i="14608"/>
  <c r="HM120" i="14608"/>
  <c r="HN120" i="14608"/>
  <c r="HO120" i="14608"/>
  <c r="HP120" i="14608"/>
  <c r="HQ120" i="14608"/>
  <c r="HR120" i="14608"/>
  <c r="HS120" i="14608"/>
  <c r="HT120" i="14608"/>
  <c r="HU120" i="14608"/>
  <c r="HV120" i="14608"/>
  <c r="HW120" i="14608"/>
  <c r="HX120" i="14608"/>
  <c r="HY120" i="14608"/>
  <c r="HZ120" i="14608"/>
  <c r="IA120" i="14608"/>
  <c r="IB120" i="14608"/>
  <c r="IC120" i="14608"/>
  <c r="ID120" i="14608"/>
  <c r="IE120" i="14608"/>
  <c r="IF120" i="14608"/>
  <c r="IG120" i="14608"/>
  <c r="IH120" i="14608"/>
  <c r="II120" i="14608"/>
  <c r="IJ120" i="14608"/>
  <c r="IK120" i="14608"/>
  <c r="IL120" i="14608"/>
  <c r="IM120" i="14608"/>
  <c r="IN120" i="14608"/>
  <c r="IO120" i="14608"/>
  <c r="IP120" i="14608"/>
  <c r="IQ120" i="14608"/>
  <c r="IR120" i="14608"/>
  <c r="IS120" i="14608"/>
  <c r="IT120" i="14608"/>
  <c r="IU120" i="14608"/>
  <c r="IV120" i="14608"/>
  <c r="A119" i="14608"/>
  <c r="B119" i="14608"/>
  <c r="C119" i="14608"/>
  <c r="D119" i="14608"/>
  <c r="E119" i="14608"/>
  <c r="F119" i="14608"/>
  <c r="G119" i="14608"/>
  <c r="H119" i="14608"/>
  <c r="I119" i="14608"/>
  <c r="J119" i="14608"/>
  <c r="K119" i="14608"/>
  <c r="L119" i="14608"/>
  <c r="M119" i="14608"/>
  <c r="N119" i="14608"/>
  <c r="O119" i="14608"/>
  <c r="P119" i="14608"/>
  <c r="Q119" i="14608"/>
  <c r="R119" i="14608"/>
  <c r="S119" i="14608"/>
  <c r="T119" i="14608"/>
  <c r="U119" i="14608"/>
  <c r="V119" i="14608"/>
  <c r="W119" i="14608"/>
  <c r="X119" i="14608"/>
  <c r="Y119" i="14608"/>
  <c r="Z119" i="14608"/>
  <c r="AA119" i="14608"/>
  <c r="AB119" i="14608"/>
  <c r="AC119" i="14608"/>
  <c r="AD119" i="14608"/>
  <c r="AE119" i="14608"/>
  <c r="AF119" i="14608"/>
  <c r="AG119" i="14608"/>
  <c r="AH119" i="14608"/>
  <c r="AI119" i="14608"/>
  <c r="AJ119" i="14608"/>
  <c r="AK119" i="14608"/>
  <c r="AL119" i="14608"/>
  <c r="AM119" i="14608"/>
  <c r="AN119" i="14608"/>
  <c r="AO119" i="14608"/>
  <c r="AP119" i="14608"/>
  <c r="AQ119" i="14608"/>
  <c r="AR119" i="14608"/>
  <c r="AS119" i="14608"/>
  <c r="AT119" i="14608"/>
  <c r="AU119" i="14608"/>
  <c r="AV119" i="14608"/>
  <c r="AW119" i="14608"/>
  <c r="AX119" i="14608"/>
  <c r="AY119" i="14608"/>
  <c r="AZ119" i="14608"/>
  <c r="BA119" i="14608"/>
  <c r="BB119" i="14608"/>
  <c r="BC119" i="14608"/>
  <c r="BD119" i="14608"/>
  <c r="BE119" i="14608"/>
  <c r="BF119" i="14608"/>
  <c r="BG119" i="14608"/>
  <c r="BH119" i="14608"/>
  <c r="BI119" i="14608"/>
  <c r="BJ119" i="14608"/>
  <c r="BK119" i="14608"/>
  <c r="BL119" i="14608"/>
  <c r="BM119" i="14608"/>
  <c r="BN119" i="14608"/>
  <c r="BO119" i="14608"/>
  <c r="BP119" i="14608"/>
  <c r="BQ119" i="14608"/>
  <c r="BR119" i="14608"/>
  <c r="BS119" i="14608"/>
  <c r="BT119" i="14608"/>
  <c r="BU119" i="14608"/>
  <c r="BV119" i="14608"/>
  <c r="BW119" i="14608"/>
  <c r="BX119" i="14608"/>
  <c r="BY119" i="14608"/>
  <c r="BZ119" i="14608"/>
  <c r="CA119" i="14608"/>
  <c r="CB119" i="14608"/>
  <c r="CC119" i="14608"/>
  <c r="CD119" i="14608"/>
  <c r="CE119" i="14608"/>
  <c r="CF119" i="14608"/>
  <c r="CG119" i="14608"/>
  <c r="CH119" i="14608"/>
  <c r="CI119" i="14608"/>
  <c r="CJ119" i="14608"/>
  <c r="CK119" i="14608"/>
  <c r="CL119" i="14608"/>
  <c r="CM119" i="14608"/>
  <c r="CN119" i="14608"/>
  <c r="CO119" i="14608"/>
  <c r="CP119" i="14608"/>
  <c r="CQ119" i="14608"/>
  <c r="CR119" i="14608"/>
  <c r="CS119" i="14608"/>
  <c r="CT119" i="14608"/>
  <c r="CU119" i="14608"/>
  <c r="CV119" i="14608"/>
  <c r="CW119" i="14608"/>
  <c r="CX119" i="14608"/>
  <c r="CY119" i="14608"/>
  <c r="CZ119" i="14608"/>
  <c r="DA119" i="14608"/>
  <c r="DB119" i="14608"/>
  <c r="DC119" i="14608"/>
  <c r="DD119" i="14608"/>
  <c r="DE119" i="14608"/>
  <c r="DF119" i="14608"/>
  <c r="DG119" i="14608"/>
  <c r="DH119" i="14608"/>
  <c r="DI119" i="14608"/>
  <c r="DJ119" i="14608"/>
  <c r="DK119" i="14608"/>
  <c r="DL119" i="14608"/>
  <c r="DM119" i="14608"/>
  <c r="DN119" i="14608"/>
  <c r="DO119" i="14608"/>
  <c r="DP119" i="14608"/>
  <c r="DQ119" i="14608"/>
  <c r="DR119" i="14608"/>
  <c r="DS119" i="14608"/>
  <c r="DT119" i="14608"/>
  <c r="DU119" i="14608"/>
  <c r="DV119" i="14608"/>
  <c r="DW119" i="14608"/>
  <c r="DX119" i="14608"/>
  <c r="DY119" i="14608"/>
  <c r="DZ119" i="14608"/>
  <c r="EA119" i="14608"/>
  <c r="EB119" i="14608"/>
  <c r="EC119" i="14608"/>
  <c r="ED119" i="14608"/>
  <c r="EE119" i="14608"/>
  <c r="EF119" i="14608"/>
  <c r="EG119" i="14608"/>
  <c r="EH119" i="14608"/>
  <c r="EI119" i="14608"/>
  <c r="EJ119" i="14608"/>
  <c r="EK119" i="14608"/>
  <c r="EL119" i="14608"/>
  <c r="EM119" i="14608"/>
  <c r="EN119" i="14608"/>
  <c r="EO119" i="14608"/>
  <c r="EP119" i="14608"/>
  <c r="EQ119" i="14608"/>
  <c r="ER119" i="14608"/>
  <c r="ES119" i="14608"/>
  <c r="ET119" i="14608"/>
  <c r="EU119" i="14608"/>
  <c r="EV119" i="14608"/>
  <c r="EW119" i="14608"/>
  <c r="EX119" i="14608"/>
  <c r="EY119" i="14608"/>
  <c r="EZ119" i="14608"/>
  <c r="FA119" i="14608"/>
  <c r="FB119" i="14608"/>
  <c r="FC119" i="14608"/>
  <c r="FD119" i="14608"/>
  <c r="FE119" i="14608"/>
  <c r="FF119" i="14608"/>
  <c r="FG119" i="14608"/>
  <c r="FH119" i="14608"/>
  <c r="FI119" i="14608"/>
  <c r="FJ119" i="14608"/>
  <c r="FK119" i="14608"/>
  <c r="FL119" i="14608"/>
  <c r="FM119" i="14608"/>
  <c r="FN119" i="14608"/>
  <c r="FO119" i="14608"/>
  <c r="FP119" i="14608"/>
  <c r="FQ119" i="14608"/>
  <c r="FR119" i="14608"/>
  <c r="FS119" i="14608"/>
  <c r="FT119" i="14608"/>
  <c r="FU119" i="14608"/>
  <c r="FV119" i="14608"/>
  <c r="FW119" i="14608"/>
  <c r="FX119" i="14608"/>
  <c r="FY119" i="14608"/>
  <c r="FZ119" i="14608"/>
  <c r="GA119" i="14608"/>
  <c r="GB119" i="14608"/>
  <c r="GC119" i="14608"/>
  <c r="GD119" i="14608"/>
  <c r="GE119" i="14608"/>
  <c r="GF119" i="14608"/>
  <c r="GG119" i="14608"/>
  <c r="GH119" i="14608"/>
  <c r="GI119" i="14608"/>
  <c r="GJ119" i="14608"/>
  <c r="GK119" i="14608"/>
  <c r="GL119" i="14608"/>
  <c r="GM119" i="14608"/>
  <c r="GN119" i="14608"/>
  <c r="GO119" i="14608"/>
  <c r="GP119" i="14608"/>
  <c r="GQ119" i="14608"/>
  <c r="GR119" i="14608"/>
  <c r="GS119" i="14608"/>
  <c r="GT119" i="14608"/>
  <c r="GU119" i="14608"/>
  <c r="GV119" i="14608"/>
  <c r="GW119" i="14608"/>
  <c r="GX119" i="14608"/>
  <c r="GY119" i="14608"/>
  <c r="GZ119" i="14608"/>
  <c r="HA119" i="14608"/>
  <c r="HB119" i="14608"/>
  <c r="HC119" i="14608"/>
  <c r="HD119" i="14608"/>
  <c r="HE119" i="14608"/>
  <c r="HF119" i="14608"/>
  <c r="HG119" i="14608"/>
  <c r="HH119" i="14608"/>
  <c r="HI119" i="14608"/>
  <c r="HJ119" i="14608"/>
  <c r="HK119" i="14608"/>
  <c r="HL119" i="14608"/>
  <c r="HM119" i="14608"/>
  <c r="HN119" i="14608"/>
  <c r="HO119" i="14608"/>
  <c r="HP119" i="14608"/>
  <c r="HQ119" i="14608"/>
  <c r="HR119" i="14608"/>
  <c r="HS119" i="14608"/>
  <c r="HT119" i="14608"/>
  <c r="HU119" i="14608"/>
  <c r="HV119" i="14608"/>
  <c r="HW119" i="14608"/>
  <c r="HX119" i="14608"/>
  <c r="HY119" i="14608"/>
  <c r="HZ119" i="14608"/>
  <c r="IA119" i="14608"/>
  <c r="IB119" i="14608"/>
  <c r="IC119" i="14608"/>
  <c r="ID119" i="14608"/>
  <c r="IE119" i="14608"/>
  <c r="IF119" i="14608"/>
  <c r="IG119" i="14608"/>
  <c r="IH119" i="14608"/>
  <c r="II119" i="14608"/>
  <c r="IJ119" i="14608"/>
  <c r="IK119" i="14608"/>
  <c r="IL119" i="14608"/>
  <c r="IM119" i="14608"/>
  <c r="IN119" i="14608"/>
  <c r="IO119" i="14608"/>
  <c r="IP119" i="14608"/>
  <c r="IQ119" i="14608"/>
  <c r="IR119" i="14608"/>
  <c r="IS119" i="14608"/>
  <c r="IT119" i="14608"/>
  <c r="IU119" i="14608"/>
  <c r="IV119" i="14608"/>
  <c r="A118" i="14608"/>
  <c r="B118" i="14608"/>
  <c r="C118" i="14608"/>
  <c r="D118" i="14608"/>
  <c r="E118" i="14608"/>
  <c r="F118" i="14608"/>
  <c r="G118" i="14608"/>
  <c r="H118" i="14608"/>
  <c r="I118" i="14608"/>
  <c r="J118" i="14608"/>
  <c r="K118" i="14608"/>
  <c r="L118" i="14608"/>
  <c r="M118" i="14608"/>
  <c r="N118" i="14608"/>
  <c r="O118" i="14608"/>
  <c r="P118" i="14608"/>
  <c r="Q118" i="14608"/>
  <c r="R118" i="14608"/>
  <c r="S118" i="14608"/>
  <c r="T118" i="14608"/>
  <c r="U118" i="14608"/>
  <c r="V118" i="14608"/>
  <c r="W118" i="14608"/>
  <c r="X118" i="14608"/>
  <c r="Y118" i="14608"/>
  <c r="Z118" i="14608"/>
  <c r="AA118" i="14608"/>
  <c r="AB118" i="14608"/>
  <c r="AC118" i="14608"/>
  <c r="AD118" i="14608"/>
  <c r="AE118" i="14608"/>
  <c r="AF118" i="14608"/>
  <c r="AG118" i="14608"/>
  <c r="AH118" i="14608"/>
  <c r="AI118" i="14608"/>
  <c r="AJ118" i="14608"/>
  <c r="AK118" i="14608"/>
  <c r="AL118" i="14608"/>
  <c r="AM118" i="14608"/>
  <c r="AN118" i="14608"/>
  <c r="AO118" i="14608"/>
  <c r="AP118" i="14608"/>
  <c r="AQ118" i="14608"/>
  <c r="AR118" i="14608"/>
  <c r="AS118" i="14608"/>
  <c r="AT118" i="14608"/>
  <c r="AU118" i="14608"/>
  <c r="AV118" i="14608"/>
  <c r="AW118" i="14608"/>
  <c r="AX118" i="14608"/>
  <c r="AY118" i="14608"/>
  <c r="AZ118" i="14608"/>
  <c r="BA118" i="14608"/>
  <c r="BB118" i="14608"/>
  <c r="BC118" i="14608"/>
  <c r="BD118" i="14608"/>
  <c r="BE118" i="14608"/>
  <c r="BF118" i="14608"/>
  <c r="BG118" i="14608"/>
  <c r="BH118" i="14608"/>
  <c r="BI118" i="14608"/>
  <c r="BJ118" i="14608"/>
  <c r="BK118" i="14608"/>
  <c r="BL118" i="14608"/>
  <c r="BM118" i="14608"/>
  <c r="BN118" i="14608"/>
  <c r="BO118" i="14608"/>
  <c r="BP118" i="14608"/>
  <c r="BQ118" i="14608"/>
  <c r="BR118" i="14608"/>
  <c r="BS118" i="14608"/>
  <c r="BT118" i="14608"/>
  <c r="BU118" i="14608"/>
  <c r="BV118" i="14608"/>
  <c r="BW118" i="14608"/>
  <c r="BX118" i="14608"/>
  <c r="BY118" i="14608"/>
  <c r="BZ118" i="14608"/>
  <c r="CA118" i="14608"/>
  <c r="CB118" i="14608"/>
  <c r="CC118" i="14608"/>
  <c r="CD118" i="14608"/>
  <c r="CE118" i="14608"/>
  <c r="CF118" i="14608"/>
  <c r="CG118" i="14608"/>
  <c r="CH118" i="14608"/>
  <c r="CI118" i="14608"/>
  <c r="CJ118" i="14608"/>
  <c r="CK118" i="14608"/>
  <c r="CL118" i="14608"/>
  <c r="CM118" i="14608"/>
  <c r="CN118" i="14608"/>
  <c r="CO118" i="14608"/>
  <c r="CP118" i="14608"/>
  <c r="CQ118" i="14608"/>
  <c r="CR118" i="14608"/>
  <c r="CS118" i="14608"/>
  <c r="CT118" i="14608"/>
  <c r="CU118" i="14608"/>
  <c r="CV118" i="14608"/>
  <c r="CW118" i="14608"/>
  <c r="CX118" i="14608"/>
  <c r="CY118" i="14608"/>
  <c r="CZ118" i="14608"/>
  <c r="DA118" i="14608"/>
  <c r="DB118" i="14608"/>
  <c r="DC118" i="14608"/>
  <c r="DD118" i="14608"/>
  <c r="DE118" i="14608"/>
  <c r="DF118" i="14608"/>
  <c r="DG118" i="14608"/>
  <c r="DH118" i="14608"/>
  <c r="DI118" i="14608"/>
  <c r="DJ118" i="14608"/>
  <c r="DK118" i="14608"/>
  <c r="DL118" i="14608"/>
  <c r="DM118" i="14608"/>
  <c r="DN118" i="14608"/>
  <c r="DO118" i="14608"/>
  <c r="DP118" i="14608"/>
  <c r="DQ118" i="14608"/>
  <c r="DR118" i="14608"/>
  <c r="DS118" i="14608"/>
  <c r="DT118" i="14608"/>
  <c r="DU118" i="14608"/>
  <c r="DV118" i="14608"/>
  <c r="DW118" i="14608"/>
  <c r="DX118" i="14608"/>
  <c r="DY118" i="14608"/>
  <c r="DZ118" i="14608"/>
  <c r="EA118" i="14608"/>
  <c r="EB118" i="14608"/>
  <c r="EC118" i="14608"/>
  <c r="ED118" i="14608"/>
  <c r="EE118" i="14608"/>
  <c r="EF118" i="14608"/>
  <c r="EG118" i="14608"/>
  <c r="EH118" i="14608"/>
  <c r="EI118" i="14608"/>
  <c r="EJ118" i="14608"/>
  <c r="EK118" i="14608"/>
  <c r="EL118" i="14608"/>
  <c r="EM118" i="14608"/>
  <c r="EN118" i="14608"/>
  <c r="EO118" i="14608"/>
  <c r="EP118" i="14608"/>
  <c r="EQ118" i="14608"/>
  <c r="ER118" i="14608"/>
  <c r="ES118" i="14608"/>
  <c r="ET118" i="14608"/>
  <c r="EU118" i="14608"/>
  <c r="EV118" i="14608"/>
  <c r="EW118" i="14608"/>
  <c r="EX118" i="14608"/>
  <c r="EY118" i="14608"/>
  <c r="EZ118" i="14608"/>
  <c r="FA118" i="14608"/>
  <c r="FB118" i="14608"/>
  <c r="FC118" i="14608"/>
  <c r="FD118" i="14608"/>
  <c r="FE118" i="14608"/>
  <c r="FF118" i="14608"/>
  <c r="FG118" i="14608"/>
  <c r="FH118" i="14608"/>
  <c r="FI118" i="14608"/>
  <c r="FJ118" i="14608"/>
  <c r="FK118" i="14608"/>
  <c r="FL118" i="14608"/>
  <c r="FM118" i="14608"/>
  <c r="FN118" i="14608"/>
  <c r="FO118" i="14608"/>
  <c r="FP118" i="14608"/>
  <c r="FQ118" i="14608"/>
  <c r="FR118" i="14608"/>
  <c r="FS118" i="14608"/>
  <c r="FT118" i="14608"/>
  <c r="FU118" i="14608"/>
  <c r="FV118" i="14608"/>
  <c r="FW118" i="14608"/>
  <c r="FX118" i="14608"/>
  <c r="FY118" i="14608"/>
  <c r="FZ118" i="14608"/>
  <c r="GA118" i="14608"/>
  <c r="GB118" i="14608"/>
  <c r="GC118" i="14608"/>
  <c r="GD118" i="14608"/>
  <c r="GE118" i="14608"/>
  <c r="GF118" i="14608"/>
  <c r="GG118" i="14608"/>
  <c r="GH118" i="14608"/>
  <c r="GI118" i="14608"/>
  <c r="GJ118" i="14608"/>
  <c r="GK118" i="14608"/>
  <c r="GL118" i="14608"/>
  <c r="GM118" i="14608"/>
  <c r="GN118" i="14608"/>
  <c r="GO118" i="14608"/>
  <c r="GP118" i="14608"/>
  <c r="GQ118" i="14608"/>
  <c r="GR118" i="14608"/>
  <c r="GS118" i="14608"/>
  <c r="GT118" i="14608"/>
  <c r="GU118" i="14608"/>
  <c r="GV118" i="14608"/>
  <c r="GW118" i="14608"/>
  <c r="GX118" i="14608"/>
  <c r="GY118" i="14608"/>
  <c r="GZ118" i="14608"/>
  <c r="HA118" i="14608"/>
  <c r="HB118" i="14608"/>
  <c r="HC118" i="14608"/>
  <c r="HD118" i="14608"/>
  <c r="HE118" i="14608"/>
  <c r="HF118" i="14608"/>
  <c r="HG118" i="14608"/>
  <c r="HH118" i="14608"/>
  <c r="HI118" i="14608"/>
  <c r="HJ118" i="14608"/>
  <c r="HK118" i="14608"/>
  <c r="HL118" i="14608"/>
  <c r="HM118" i="14608"/>
  <c r="HN118" i="14608"/>
  <c r="HO118" i="14608"/>
  <c r="HP118" i="14608"/>
  <c r="HQ118" i="14608"/>
  <c r="HR118" i="14608"/>
  <c r="HS118" i="14608"/>
  <c r="HT118" i="14608"/>
  <c r="HU118" i="14608"/>
  <c r="HV118" i="14608"/>
  <c r="HW118" i="14608"/>
  <c r="HX118" i="14608"/>
  <c r="HY118" i="14608"/>
  <c r="HZ118" i="14608"/>
  <c r="IA118" i="14608"/>
  <c r="IB118" i="14608"/>
  <c r="IC118" i="14608"/>
  <c r="ID118" i="14608"/>
  <c r="IE118" i="14608"/>
  <c r="IF118" i="14608"/>
  <c r="IG118" i="14608"/>
  <c r="IH118" i="14608"/>
  <c r="II118" i="14608"/>
  <c r="IJ118" i="14608"/>
  <c r="IK118" i="14608"/>
  <c r="IL118" i="14608"/>
  <c r="IM118" i="14608"/>
  <c r="IN118" i="14608"/>
  <c r="IO118" i="14608"/>
  <c r="IP118" i="14608"/>
  <c r="IQ118" i="14608"/>
  <c r="IR118" i="14608"/>
  <c r="IS118" i="14608"/>
  <c r="IT118" i="14608"/>
  <c r="IU118" i="14608"/>
  <c r="IV118" i="14608"/>
  <c r="A117" i="14608"/>
  <c r="B117" i="14608"/>
  <c r="C117" i="14608"/>
  <c r="D117" i="14608"/>
  <c r="E117" i="14608"/>
  <c r="F117" i="14608"/>
  <c r="G117" i="14608"/>
  <c r="H117" i="14608"/>
  <c r="I117" i="14608"/>
  <c r="J117" i="14608"/>
  <c r="K117" i="14608"/>
  <c r="L117" i="14608"/>
  <c r="M117" i="14608"/>
  <c r="N117" i="14608"/>
  <c r="O117" i="14608"/>
  <c r="P117" i="14608"/>
  <c r="Q117" i="14608"/>
  <c r="R117" i="14608"/>
  <c r="S117" i="14608"/>
  <c r="T117" i="14608"/>
  <c r="U117" i="14608"/>
  <c r="V117" i="14608"/>
  <c r="W117" i="14608"/>
  <c r="X117" i="14608"/>
  <c r="Y117" i="14608"/>
  <c r="Z117" i="14608"/>
  <c r="AA117" i="14608"/>
  <c r="AB117" i="14608"/>
  <c r="AC117" i="14608"/>
  <c r="AD117" i="14608"/>
  <c r="AE117" i="14608"/>
  <c r="AF117" i="14608"/>
  <c r="AG117" i="14608"/>
  <c r="AH117" i="14608"/>
  <c r="AI117" i="14608"/>
  <c r="AJ117" i="14608"/>
  <c r="AK117" i="14608"/>
  <c r="AL117" i="14608"/>
  <c r="AM117" i="14608"/>
  <c r="AN117" i="14608"/>
  <c r="AO117" i="14608"/>
  <c r="AP117" i="14608"/>
  <c r="AQ117" i="14608"/>
  <c r="AR117" i="14608"/>
  <c r="AS117" i="14608"/>
  <c r="AT117" i="14608"/>
  <c r="AU117" i="14608"/>
  <c r="AV117" i="14608"/>
  <c r="AW117" i="14608"/>
  <c r="AX117" i="14608"/>
  <c r="AY117" i="14608"/>
  <c r="AZ117" i="14608"/>
  <c r="BA117" i="14608"/>
  <c r="BB117" i="14608"/>
  <c r="BC117" i="14608"/>
  <c r="BD117" i="14608"/>
  <c r="BE117" i="14608"/>
  <c r="BF117" i="14608"/>
  <c r="BG117" i="14608"/>
  <c r="BH117" i="14608"/>
  <c r="BI117" i="14608"/>
  <c r="BJ117" i="14608"/>
  <c r="BK117" i="14608"/>
  <c r="BL117" i="14608"/>
  <c r="BM117" i="14608"/>
  <c r="BN117" i="14608"/>
  <c r="BO117" i="14608"/>
  <c r="BP117" i="14608"/>
  <c r="BQ117" i="14608"/>
  <c r="BR117" i="14608"/>
  <c r="BS117" i="14608"/>
  <c r="BT117" i="14608"/>
  <c r="BU117" i="14608"/>
  <c r="BV117" i="14608"/>
  <c r="BW117" i="14608"/>
  <c r="BX117" i="14608"/>
  <c r="BY117" i="14608"/>
  <c r="BZ117" i="14608"/>
  <c r="CA117" i="14608"/>
  <c r="CB117" i="14608"/>
  <c r="CC117" i="14608"/>
  <c r="CD117" i="14608"/>
  <c r="CE117" i="14608"/>
  <c r="CF117" i="14608"/>
  <c r="CG117" i="14608"/>
  <c r="CH117" i="14608"/>
  <c r="CI117" i="14608"/>
  <c r="CJ117" i="14608"/>
  <c r="CK117" i="14608"/>
  <c r="CL117" i="14608"/>
  <c r="CM117" i="14608"/>
  <c r="CN117" i="14608"/>
  <c r="CO117" i="14608"/>
  <c r="CP117" i="14608"/>
  <c r="CQ117" i="14608"/>
  <c r="CR117" i="14608"/>
  <c r="CS117" i="14608"/>
  <c r="CT117" i="14608"/>
  <c r="CU117" i="14608"/>
  <c r="CV117" i="14608"/>
  <c r="CW117" i="14608"/>
  <c r="CX117" i="14608"/>
  <c r="CY117" i="14608"/>
  <c r="CZ117" i="14608"/>
  <c r="DA117" i="14608"/>
  <c r="DB117" i="14608"/>
  <c r="DC117" i="14608"/>
  <c r="DD117" i="14608"/>
  <c r="DE117" i="14608"/>
  <c r="DF117" i="14608"/>
  <c r="DG117" i="14608"/>
  <c r="DH117" i="14608"/>
  <c r="DI117" i="14608"/>
  <c r="DJ117" i="14608"/>
  <c r="DK117" i="14608"/>
  <c r="DL117" i="14608"/>
  <c r="DM117" i="14608"/>
  <c r="DN117" i="14608"/>
  <c r="DO117" i="14608"/>
  <c r="DP117" i="14608"/>
  <c r="DQ117" i="14608"/>
  <c r="DR117" i="14608"/>
  <c r="DS117" i="14608"/>
  <c r="DT117" i="14608"/>
  <c r="DU117" i="14608"/>
  <c r="DV117" i="14608"/>
  <c r="DW117" i="14608"/>
  <c r="DX117" i="14608"/>
  <c r="DY117" i="14608"/>
  <c r="DZ117" i="14608"/>
  <c r="EA117" i="14608"/>
  <c r="EB117" i="14608"/>
  <c r="EC117" i="14608"/>
  <c r="ED117" i="14608"/>
  <c r="EE117" i="14608"/>
  <c r="EF117" i="14608"/>
  <c r="EG117" i="14608"/>
  <c r="EH117" i="14608"/>
  <c r="EI117" i="14608"/>
  <c r="EJ117" i="14608"/>
  <c r="EK117" i="14608"/>
  <c r="EL117" i="14608"/>
  <c r="EM117" i="14608"/>
  <c r="EN117" i="14608"/>
  <c r="EO117" i="14608"/>
  <c r="EP117" i="14608"/>
  <c r="EQ117" i="14608"/>
  <c r="ER117" i="14608"/>
  <c r="ES117" i="14608"/>
  <c r="ET117" i="14608"/>
  <c r="EU117" i="14608"/>
  <c r="EV117" i="14608"/>
  <c r="EW117" i="14608"/>
  <c r="EX117" i="14608"/>
  <c r="EY117" i="14608"/>
  <c r="EZ117" i="14608"/>
  <c r="FA117" i="14608"/>
  <c r="FB117" i="14608"/>
  <c r="FC117" i="14608"/>
  <c r="FD117" i="14608"/>
  <c r="FE117" i="14608"/>
  <c r="FF117" i="14608"/>
  <c r="FG117" i="14608"/>
  <c r="FH117" i="14608"/>
  <c r="FI117" i="14608"/>
  <c r="FJ117" i="14608"/>
  <c r="FK117" i="14608"/>
  <c r="FL117" i="14608"/>
  <c r="FM117" i="14608"/>
  <c r="FN117" i="14608"/>
  <c r="FO117" i="14608"/>
  <c r="FP117" i="14608"/>
  <c r="FQ117" i="14608"/>
  <c r="FR117" i="14608"/>
  <c r="FS117" i="14608"/>
  <c r="FT117" i="14608"/>
  <c r="FU117" i="14608"/>
  <c r="FV117" i="14608"/>
  <c r="FW117" i="14608"/>
  <c r="FX117" i="14608"/>
  <c r="FY117" i="14608"/>
  <c r="FZ117" i="14608"/>
  <c r="GA117" i="14608"/>
  <c r="GB117" i="14608"/>
  <c r="GC117" i="14608"/>
  <c r="GD117" i="14608"/>
  <c r="GE117" i="14608"/>
  <c r="GF117" i="14608"/>
  <c r="GG117" i="14608"/>
  <c r="GH117" i="14608"/>
  <c r="GI117" i="14608"/>
  <c r="GJ117" i="14608"/>
  <c r="GK117" i="14608"/>
  <c r="GL117" i="14608"/>
  <c r="GM117" i="14608"/>
  <c r="GN117" i="14608"/>
  <c r="GO117" i="14608"/>
  <c r="GP117" i="14608"/>
  <c r="GQ117" i="14608"/>
  <c r="GR117" i="14608"/>
  <c r="GS117" i="14608"/>
  <c r="GT117" i="14608"/>
  <c r="GU117" i="14608"/>
  <c r="GV117" i="14608"/>
  <c r="GW117" i="14608"/>
  <c r="GX117" i="14608"/>
  <c r="GY117" i="14608"/>
  <c r="GZ117" i="14608"/>
  <c r="HA117" i="14608"/>
  <c r="HB117" i="14608"/>
  <c r="HC117" i="14608"/>
  <c r="HD117" i="14608"/>
  <c r="HE117" i="14608"/>
  <c r="HF117" i="14608"/>
  <c r="HG117" i="14608"/>
  <c r="HH117" i="14608"/>
  <c r="HI117" i="14608"/>
  <c r="HJ117" i="14608"/>
  <c r="HK117" i="14608"/>
  <c r="HL117" i="14608"/>
  <c r="HM117" i="14608"/>
  <c r="HN117" i="14608"/>
  <c r="HO117" i="14608"/>
  <c r="HP117" i="14608"/>
  <c r="HQ117" i="14608"/>
  <c r="HR117" i="14608"/>
  <c r="HS117" i="14608"/>
  <c r="HT117" i="14608"/>
  <c r="HU117" i="14608"/>
  <c r="HV117" i="14608"/>
  <c r="HW117" i="14608"/>
  <c r="HX117" i="14608"/>
  <c r="HY117" i="14608"/>
  <c r="HZ117" i="14608"/>
  <c r="IA117" i="14608"/>
  <c r="IB117" i="14608"/>
  <c r="IC117" i="14608"/>
  <c r="ID117" i="14608"/>
  <c r="IE117" i="14608"/>
  <c r="IF117" i="14608"/>
  <c r="IG117" i="14608"/>
  <c r="IH117" i="14608"/>
  <c r="II117" i="14608"/>
  <c r="IJ117" i="14608"/>
  <c r="IK117" i="14608"/>
  <c r="IL117" i="14608"/>
  <c r="IM117" i="14608"/>
  <c r="IN117" i="14608"/>
  <c r="IO117" i="14608"/>
  <c r="IP117" i="14608"/>
  <c r="IQ117" i="14608"/>
  <c r="IR117" i="14608"/>
  <c r="IS117" i="14608"/>
  <c r="IT117" i="14608"/>
  <c r="IU117" i="14608"/>
  <c r="IV117" i="14608"/>
  <c r="A116" i="14608"/>
  <c r="B116" i="14608"/>
  <c r="C116" i="14608"/>
  <c r="D116" i="14608"/>
  <c r="E116" i="14608"/>
  <c r="F116" i="14608"/>
  <c r="G116" i="14608"/>
  <c r="H116" i="14608"/>
  <c r="I116" i="14608"/>
  <c r="J116" i="14608"/>
  <c r="K116" i="14608"/>
  <c r="L116" i="14608"/>
  <c r="M116" i="14608"/>
  <c r="N116" i="14608"/>
  <c r="O116" i="14608"/>
  <c r="P116" i="14608"/>
  <c r="Q116" i="14608"/>
  <c r="R116" i="14608"/>
  <c r="S116" i="14608"/>
  <c r="T116" i="14608"/>
  <c r="U116" i="14608"/>
  <c r="V116" i="14608"/>
  <c r="W116" i="14608"/>
  <c r="X116" i="14608"/>
  <c r="Y116" i="14608"/>
  <c r="Z116" i="14608"/>
  <c r="AA116" i="14608"/>
  <c r="AB116" i="14608"/>
  <c r="AC116" i="14608"/>
  <c r="AD116" i="14608"/>
  <c r="AE116" i="14608"/>
  <c r="AF116" i="14608"/>
  <c r="AG116" i="14608"/>
  <c r="AH116" i="14608"/>
  <c r="AI116" i="14608"/>
  <c r="AJ116" i="14608"/>
  <c r="AK116" i="14608"/>
  <c r="AL116" i="14608"/>
  <c r="AM116" i="14608"/>
  <c r="AN116" i="14608"/>
  <c r="AO116" i="14608"/>
  <c r="AP116" i="14608"/>
  <c r="AQ116" i="14608"/>
  <c r="AR116" i="14608"/>
  <c r="AS116" i="14608"/>
  <c r="AT116" i="14608"/>
  <c r="AU116" i="14608"/>
  <c r="AV116" i="14608"/>
  <c r="AW116" i="14608"/>
  <c r="AX116" i="14608"/>
  <c r="AY116" i="14608"/>
  <c r="AZ116" i="14608"/>
  <c r="BA116" i="14608"/>
  <c r="BB116" i="14608"/>
  <c r="BC116" i="14608"/>
  <c r="BD116" i="14608"/>
  <c r="BE116" i="14608"/>
  <c r="BF116" i="14608"/>
  <c r="BG116" i="14608"/>
  <c r="BH116" i="14608"/>
  <c r="BI116" i="14608"/>
  <c r="BJ116" i="14608"/>
  <c r="BK116" i="14608"/>
  <c r="BL116" i="14608"/>
  <c r="BM116" i="14608"/>
  <c r="BN116" i="14608"/>
  <c r="BO116" i="14608"/>
  <c r="BP116" i="14608"/>
  <c r="BQ116" i="14608"/>
  <c r="BR116" i="14608"/>
  <c r="BS116" i="14608"/>
  <c r="BT116" i="14608"/>
  <c r="BU116" i="14608"/>
  <c r="BV116" i="14608"/>
  <c r="BW116" i="14608"/>
  <c r="BX116" i="14608"/>
  <c r="BY116" i="14608"/>
  <c r="BZ116" i="14608"/>
  <c r="CA116" i="14608"/>
  <c r="CB116" i="14608"/>
  <c r="CC116" i="14608"/>
  <c r="CD116" i="14608"/>
  <c r="CE116" i="14608"/>
  <c r="CF116" i="14608"/>
  <c r="CG116" i="14608"/>
  <c r="CH116" i="14608"/>
  <c r="CI116" i="14608"/>
  <c r="CJ116" i="14608"/>
  <c r="CK116" i="14608"/>
  <c r="CL116" i="14608"/>
  <c r="CM116" i="14608"/>
  <c r="CN116" i="14608"/>
  <c r="CO116" i="14608"/>
  <c r="CP116" i="14608"/>
  <c r="CQ116" i="14608"/>
  <c r="CR116" i="14608"/>
  <c r="CS116" i="14608"/>
  <c r="CT116" i="14608"/>
  <c r="CU116" i="14608"/>
  <c r="CV116" i="14608"/>
  <c r="CW116" i="14608"/>
  <c r="CX116" i="14608"/>
  <c r="CY116" i="14608"/>
  <c r="CZ116" i="14608"/>
  <c r="DA116" i="14608"/>
  <c r="DB116" i="14608"/>
  <c r="DC116" i="14608"/>
  <c r="DD116" i="14608"/>
  <c r="DE116" i="14608"/>
  <c r="DF116" i="14608"/>
  <c r="DG116" i="14608"/>
  <c r="DH116" i="14608"/>
  <c r="DI116" i="14608"/>
  <c r="DJ116" i="14608"/>
  <c r="DK116" i="14608"/>
  <c r="DL116" i="14608"/>
  <c r="DM116" i="14608"/>
  <c r="DN116" i="14608"/>
  <c r="DO116" i="14608"/>
  <c r="DP116" i="14608"/>
  <c r="DQ116" i="14608"/>
  <c r="DR116" i="14608"/>
  <c r="DS116" i="14608"/>
  <c r="DT116" i="14608"/>
  <c r="DU116" i="14608"/>
  <c r="DV116" i="14608"/>
  <c r="DW116" i="14608"/>
  <c r="DX116" i="14608"/>
  <c r="DY116" i="14608"/>
  <c r="DZ116" i="14608"/>
  <c r="EA116" i="14608"/>
  <c r="EB116" i="14608"/>
  <c r="EC116" i="14608"/>
  <c r="ED116" i="14608"/>
  <c r="EE116" i="14608"/>
  <c r="EF116" i="14608"/>
  <c r="EG116" i="14608"/>
  <c r="EH116" i="14608"/>
  <c r="EI116" i="14608"/>
  <c r="EJ116" i="14608"/>
  <c r="EK116" i="14608"/>
  <c r="EL116" i="14608"/>
  <c r="EM116" i="14608"/>
  <c r="EN116" i="14608"/>
  <c r="EO116" i="14608"/>
  <c r="EP116" i="14608"/>
  <c r="EQ116" i="14608"/>
  <c r="ER116" i="14608"/>
  <c r="ES116" i="14608"/>
  <c r="ET116" i="14608"/>
  <c r="EU116" i="14608"/>
  <c r="EV116" i="14608"/>
  <c r="EW116" i="14608"/>
  <c r="EX116" i="14608"/>
  <c r="EY116" i="14608"/>
  <c r="EZ116" i="14608"/>
  <c r="FA116" i="14608"/>
  <c r="FB116" i="14608"/>
  <c r="FC116" i="14608"/>
  <c r="FD116" i="14608"/>
  <c r="FE116" i="14608"/>
  <c r="FF116" i="14608"/>
  <c r="FG116" i="14608"/>
  <c r="FH116" i="14608"/>
  <c r="FI116" i="14608"/>
  <c r="FJ116" i="14608"/>
  <c r="FK116" i="14608"/>
  <c r="FL116" i="14608"/>
  <c r="FM116" i="14608"/>
  <c r="FN116" i="14608"/>
  <c r="FO116" i="14608"/>
  <c r="FP116" i="14608"/>
  <c r="FQ116" i="14608"/>
  <c r="FR116" i="14608"/>
  <c r="FS116" i="14608"/>
  <c r="FT116" i="14608"/>
  <c r="FU116" i="14608"/>
  <c r="FV116" i="14608"/>
  <c r="FW116" i="14608"/>
  <c r="FX116" i="14608"/>
  <c r="FY116" i="14608"/>
  <c r="FZ116" i="14608"/>
  <c r="GA116" i="14608"/>
  <c r="GB116" i="14608"/>
  <c r="GC116" i="14608"/>
  <c r="GD116" i="14608"/>
  <c r="GE116" i="14608"/>
  <c r="GF116" i="14608"/>
  <c r="GG116" i="14608"/>
  <c r="GH116" i="14608"/>
  <c r="GI116" i="14608"/>
  <c r="GJ116" i="14608"/>
  <c r="GK116" i="14608"/>
  <c r="GL116" i="14608"/>
  <c r="GM116" i="14608"/>
  <c r="GN116" i="14608"/>
  <c r="GO116" i="14608"/>
  <c r="GP116" i="14608"/>
  <c r="GQ116" i="14608"/>
  <c r="GR116" i="14608"/>
  <c r="GS116" i="14608"/>
  <c r="GT116" i="14608"/>
  <c r="GU116" i="14608"/>
  <c r="GV116" i="14608"/>
  <c r="GW116" i="14608"/>
  <c r="GX116" i="14608"/>
  <c r="GY116" i="14608"/>
  <c r="GZ116" i="14608"/>
  <c r="HA116" i="14608"/>
  <c r="HB116" i="14608"/>
  <c r="HC116" i="14608"/>
  <c r="HD116" i="14608"/>
  <c r="HE116" i="14608"/>
  <c r="HF116" i="14608"/>
  <c r="HG116" i="14608"/>
  <c r="HH116" i="14608"/>
  <c r="HI116" i="14608"/>
  <c r="HJ116" i="14608"/>
  <c r="HK116" i="14608"/>
  <c r="HL116" i="14608"/>
  <c r="HM116" i="14608"/>
  <c r="HN116" i="14608"/>
  <c r="HO116" i="14608"/>
  <c r="HP116" i="14608"/>
  <c r="HQ116" i="14608"/>
  <c r="HR116" i="14608"/>
  <c r="HS116" i="14608"/>
  <c r="HT116" i="14608"/>
  <c r="HU116" i="14608"/>
  <c r="HV116" i="14608"/>
  <c r="HW116" i="14608"/>
  <c r="HX116" i="14608"/>
  <c r="HY116" i="14608"/>
  <c r="HZ116" i="14608"/>
  <c r="IA116" i="14608"/>
  <c r="IB116" i="14608"/>
  <c r="IC116" i="14608"/>
  <c r="ID116" i="14608"/>
  <c r="IE116" i="14608"/>
  <c r="IF116" i="14608"/>
  <c r="IG116" i="14608"/>
  <c r="IH116" i="14608"/>
  <c r="II116" i="14608"/>
  <c r="IJ116" i="14608"/>
  <c r="IK116" i="14608"/>
  <c r="IL116" i="14608"/>
  <c r="IM116" i="14608"/>
  <c r="IN116" i="14608"/>
  <c r="IO116" i="14608"/>
  <c r="IP116" i="14608"/>
  <c r="IQ116" i="14608"/>
  <c r="IR116" i="14608"/>
  <c r="IS116" i="14608"/>
  <c r="IT116" i="14608"/>
  <c r="IU116" i="14608"/>
  <c r="IV116" i="14608"/>
  <c r="A115" i="14608"/>
  <c r="B115" i="14608"/>
  <c r="C115" i="14608"/>
  <c r="D115" i="14608"/>
  <c r="E115" i="14608"/>
  <c r="F115" i="14608"/>
  <c r="G115" i="14608"/>
  <c r="H115" i="14608"/>
  <c r="I115" i="14608"/>
  <c r="J115" i="14608"/>
  <c r="K115" i="14608"/>
  <c r="L115" i="14608"/>
  <c r="M115" i="14608"/>
  <c r="N115" i="14608"/>
  <c r="O115" i="14608"/>
  <c r="P115" i="14608"/>
  <c r="Q115" i="14608"/>
  <c r="R115" i="14608"/>
  <c r="S115" i="14608"/>
  <c r="T115" i="14608"/>
  <c r="U115" i="14608"/>
  <c r="V115" i="14608"/>
  <c r="W115" i="14608"/>
  <c r="X115" i="14608"/>
  <c r="Y115" i="14608"/>
  <c r="Z115" i="14608"/>
  <c r="AA115" i="14608"/>
  <c r="AB115" i="14608"/>
  <c r="AC115" i="14608"/>
  <c r="AD115" i="14608"/>
  <c r="AE115" i="14608"/>
  <c r="AF115" i="14608"/>
  <c r="AG115" i="14608"/>
  <c r="AH115" i="14608"/>
  <c r="AI115" i="14608"/>
  <c r="AJ115" i="14608"/>
  <c r="AK115" i="14608"/>
  <c r="AL115" i="14608"/>
  <c r="AM115" i="14608"/>
  <c r="AN115" i="14608"/>
  <c r="AO115" i="14608"/>
  <c r="AP115" i="14608"/>
  <c r="AQ115" i="14608"/>
  <c r="AR115" i="14608"/>
  <c r="AS115" i="14608"/>
  <c r="AT115" i="14608"/>
  <c r="AU115" i="14608"/>
  <c r="AV115" i="14608"/>
  <c r="AW115" i="14608"/>
  <c r="AX115" i="14608"/>
  <c r="AY115" i="14608"/>
  <c r="AZ115" i="14608"/>
  <c r="BA115" i="14608"/>
  <c r="BB115" i="14608"/>
  <c r="BC115" i="14608"/>
  <c r="BD115" i="14608"/>
  <c r="BE115" i="14608"/>
  <c r="BF115" i="14608"/>
  <c r="BG115" i="14608"/>
  <c r="BH115" i="14608"/>
  <c r="BI115" i="14608"/>
  <c r="BJ115" i="14608"/>
  <c r="BK115" i="14608"/>
  <c r="BL115" i="14608"/>
  <c r="BM115" i="14608"/>
  <c r="BN115" i="14608"/>
  <c r="BO115" i="14608"/>
  <c r="BP115" i="14608"/>
  <c r="BQ115" i="14608"/>
  <c r="BR115" i="14608"/>
  <c r="BS115" i="14608"/>
  <c r="BT115" i="14608"/>
  <c r="BU115" i="14608"/>
  <c r="BV115" i="14608"/>
  <c r="BW115" i="14608"/>
  <c r="BX115" i="14608"/>
  <c r="BY115" i="14608"/>
  <c r="BZ115" i="14608"/>
  <c r="CA115" i="14608"/>
  <c r="CB115" i="14608"/>
  <c r="CC115" i="14608"/>
  <c r="CD115" i="14608"/>
  <c r="CE115" i="14608"/>
  <c r="CF115" i="14608"/>
  <c r="CG115" i="14608"/>
  <c r="CH115" i="14608"/>
  <c r="CI115" i="14608"/>
  <c r="CJ115" i="14608"/>
  <c r="CK115" i="14608"/>
  <c r="CL115" i="14608"/>
  <c r="CM115" i="14608"/>
  <c r="CN115" i="14608"/>
  <c r="CO115" i="14608"/>
  <c r="CP115" i="14608"/>
  <c r="CQ115" i="14608"/>
  <c r="CR115" i="14608"/>
  <c r="CS115" i="14608"/>
  <c r="CT115" i="14608"/>
  <c r="CU115" i="14608"/>
  <c r="CV115" i="14608"/>
  <c r="CW115" i="14608"/>
  <c r="CX115" i="14608"/>
  <c r="CY115" i="14608"/>
  <c r="CZ115" i="14608"/>
  <c r="DA115" i="14608"/>
  <c r="DB115" i="14608"/>
  <c r="DC115" i="14608"/>
  <c r="DD115" i="14608"/>
  <c r="DE115" i="14608"/>
  <c r="DF115" i="14608"/>
  <c r="DG115" i="14608"/>
  <c r="DH115" i="14608"/>
  <c r="DI115" i="14608"/>
  <c r="DJ115" i="14608"/>
  <c r="DK115" i="14608"/>
  <c r="DL115" i="14608"/>
  <c r="DM115" i="14608"/>
  <c r="DN115" i="14608"/>
  <c r="DO115" i="14608"/>
  <c r="DP115" i="14608"/>
  <c r="DQ115" i="14608"/>
  <c r="DR115" i="14608"/>
  <c r="DS115" i="14608"/>
  <c r="DT115" i="14608"/>
  <c r="DU115" i="14608"/>
  <c r="DV115" i="14608"/>
  <c r="DW115" i="14608"/>
  <c r="DX115" i="14608"/>
  <c r="DY115" i="14608"/>
  <c r="DZ115" i="14608"/>
  <c r="EA115" i="14608"/>
  <c r="EB115" i="14608"/>
  <c r="EC115" i="14608"/>
  <c r="ED115" i="14608"/>
  <c r="EE115" i="14608"/>
  <c r="EF115" i="14608"/>
  <c r="EG115" i="14608"/>
  <c r="EH115" i="14608"/>
  <c r="EI115" i="14608"/>
  <c r="EJ115" i="14608"/>
  <c r="EK115" i="14608"/>
  <c r="EL115" i="14608"/>
  <c r="EM115" i="14608"/>
  <c r="EN115" i="14608"/>
  <c r="EO115" i="14608"/>
  <c r="EP115" i="14608"/>
  <c r="EQ115" i="14608"/>
  <c r="ER115" i="14608"/>
  <c r="ES115" i="14608"/>
  <c r="ET115" i="14608"/>
  <c r="EU115" i="14608"/>
  <c r="EV115" i="14608"/>
  <c r="EW115" i="14608"/>
  <c r="EX115" i="14608"/>
  <c r="EY115" i="14608"/>
  <c r="EZ115" i="14608"/>
  <c r="FA115" i="14608"/>
  <c r="FB115" i="14608"/>
  <c r="FC115" i="14608"/>
  <c r="FD115" i="14608"/>
  <c r="FE115" i="14608"/>
  <c r="FF115" i="14608"/>
  <c r="FG115" i="14608"/>
  <c r="FH115" i="14608"/>
  <c r="FI115" i="14608"/>
  <c r="FJ115" i="14608"/>
  <c r="FK115" i="14608"/>
  <c r="FL115" i="14608"/>
  <c r="FM115" i="14608"/>
  <c r="FN115" i="14608"/>
  <c r="FO115" i="14608"/>
  <c r="FP115" i="14608"/>
  <c r="FQ115" i="14608"/>
  <c r="FR115" i="14608"/>
  <c r="FS115" i="14608"/>
  <c r="FT115" i="14608"/>
  <c r="FU115" i="14608"/>
  <c r="FV115" i="14608"/>
  <c r="FW115" i="14608"/>
  <c r="FX115" i="14608"/>
  <c r="FY115" i="14608"/>
  <c r="FZ115" i="14608"/>
  <c r="GA115" i="14608"/>
  <c r="GB115" i="14608"/>
  <c r="GC115" i="14608"/>
  <c r="GD115" i="14608"/>
  <c r="GE115" i="14608"/>
  <c r="GF115" i="14608"/>
  <c r="GG115" i="14608"/>
  <c r="GH115" i="14608"/>
  <c r="GI115" i="14608"/>
  <c r="GJ115" i="14608"/>
  <c r="GK115" i="14608"/>
  <c r="GL115" i="14608"/>
  <c r="GM115" i="14608"/>
  <c r="GN115" i="14608"/>
  <c r="GO115" i="14608"/>
  <c r="GP115" i="14608"/>
  <c r="GQ115" i="14608"/>
  <c r="GR115" i="14608"/>
  <c r="GS115" i="14608"/>
  <c r="GT115" i="14608"/>
  <c r="GU115" i="14608"/>
  <c r="GV115" i="14608"/>
  <c r="GW115" i="14608"/>
  <c r="GX115" i="14608"/>
  <c r="GY115" i="14608"/>
  <c r="GZ115" i="14608"/>
  <c r="HA115" i="14608"/>
  <c r="HB115" i="14608"/>
  <c r="HC115" i="14608"/>
  <c r="HD115" i="14608"/>
  <c r="HE115" i="14608"/>
  <c r="HF115" i="14608"/>
  <c r="HG115" i="14608"/>
  <c r="HH115" i="14608"/>
  <c r="HI115" i="14608"/>
  <c r="HJ115" i="14608"/>
  <c r="HK115" i="14608"/>
  <c r="HL115" i="14608"/>
  <c r="HM115" i="14608"/>
  <c r="HN115" i="14608"/>
  <c r="HO115" i="14608"/>
  <c r="HP115" i="14608"/>
  <c r="HQ115" i="14608"/>
  <c r="HR115" i="14608"/>
  <c r="HS115" i="14608"/>
  <c r="HT115" i="14608"/>
  <c r="HU115" i="14608"/>
  <c r="HV115" i="14608"/>
  <c r="HW115" i="14608"/>
  <c r="HX115" i="14608"/>
  <c r="HY115" i="14608"/>
  <c r="HZ115" i="14608"/>
  <c r="IA115" i="14608"/>
  <c r="IB115" i="14608"/>
  <c r="IC115" i="14608"/>
  <c r="ID115" i="14608"/>
  <c r="IE115" i="14608"/>
  <c r="IF115" i="14608"/>
  <c r="IG115" i="14608"/>
  <c r="IH115" i="14608"/>
  <c r="II115" i="14608"/>
  <c r="IJ115" i="14608"/>
  <c r="IK115" i="14608"/>
  <c r="IL115" i="14608"/>
  <c r="IM115" i="14608"/>
  <c r="IN115" i="14608"/>
  <c r="IO115" i="14608"/>
  <c r="IP115" i="14608"/>
  <c r="IQ115" i="14608"/>
  <c r="IR115" i="14608"/>
  <c r="IS115" i="14608"/>
  <c r="IT115" i="14608"/>
  <c r="IU115" i="14608"/>
  <c r="IV115" i="14608"/>
  <c r="A114" i="14608"/>
  <c r="B114" i="14608"/>
  <c r="C114" i="14608"/>
  <c r="D114" i="14608"/>
  <c r="E114" i="14608"/>
  <c r="F114" i="14608"/>
  <c r="G114" i="14608"/>
  <c r="H114" i="14608"/>
  <c r="I114" i="14608"/>
  <c r="J114" i="14608"/>
  <c r="K114" i="14608"/>
  <c r="L114" i="14608"/>
  <c r="M114" i="14608"/>
  <c r="N114" i="14608"/>
  <c r="O114" i="14608"/>
  <c r="P114" i="14608"/>
  <c r="Q114" i="14608"/>
  <c r="R114" i="14608"/>
  <c r="S114" i="14608"/>
  <c r="T114" i="14608"/>
  <c r="U114" i="14608"/>
  <c r="V114" i="14608"/>
  <c r="W114" i="14608"/>
  <c r="X114" i="14608"/>
  <c r="Y114" i="14608"/>
  <c r="Z114" i="14608"/>
  <c r="AA114" i="14608"/>
  <c r="AB114" i="14608"/>
  <c r="AC114" i="14608"/>
  <c r="AD114" i="14608"/>
  <c r="AE114" i="14608"/>
  <c r="AF114" i="14608"/>
  <c r="AG114" i="14608"/>
  <c r="AH114" i="14608"/>
  <c r="AI114" i="14608"/>
  <c r="AJ114" i="14608"/>
  <c r="AK114" i="14608"/>
  <c r="AL114" i="14608"/>
  <c r="AM114" i="14608"/>
  <c r="AN114" i="14608"/>
  <c r="AO114" i="14608"/>
  <c r="AP114" i="14608"/>
  <c r="AQ114" i="14608"/>
  <c r="AR114" i="14608"/>
  <c r="AS114" i="14608"/>
  <c r="AT114" i="14608"/>
  <c r="AU114" i="14608"/>
  <c r="AV114" i="14608"/>
  <c r="AW114" i="14608"/>
  <c r="AX114" i="14608"/>
  <c r="AY114" i="14608"/>
  <c r="AZ114" i="14608"/>
  <c r="BA114" i="14608"/>
  <c r="BB114" i="14608"/>
  <c r="BC114" i="14608"/>
  <c r="BD114" i="14608"/>
  <c r="BE114" i="14608"/>
  <c r="BF114" i="14608"/>
  <c r="BG114" i="14608"/>
  <c r="BH114" i="14608"/>
  <c r="BI114" i="14608"/>
  <c r="BJ114" i="14608"/>
  <c r="BK114" i="14608"/>
  <c r="BL114" i="14608"/>
  <c r="BM114" i="14608"/>
  <c r="BN114" i="14608"/>
  <c r="BO114" i="14608"/>
  <c r="BP114" i="14608"/>
  <c r="BQ114" i="14608"/>
  <c r="BR114" i="14608"/>
  <c r="BS114" i="14608"/>
  <c r="BT114" i="14608"/>
  <c r="BU114" i="14608"/>
  <c r="BV114" i="14608"/>
  <c r="BW114" i="14608"/>
  <c r="BX114" i="14608"/>
  <c r="BY114" i="14608"/>
  <c r="BZ114" i="14608"/>
  <c r="CA114" i="14608"/>
  <c r="CB114" i="14608"/>
  <c r="CC114" i="14608"/>
  <c r="CD114" i="14608"/>
  <c r="CE114" i="14608"/>
  <c r="CF114" i="14608"/>
  <c r="CG114" i="14608"/>
  <c r="CH114" i="14608"/>
  <c r="CI114" i="14608"/>
  <c r="CJ114" i="14608"/>
  <c r="CK114" i="14608"/>
  <c r="CL114" i="14608"/>
  <c r="CM114" i="14608"/>
  <c r="CN114" i="14608"/>
  <c r="CO114" i="14608"/>
  <c r="CP114" i="14608"/>
  <c r="CQ114" i="14608"/>
  <c r="CR114" i="14608"/>
  <c r="CS114" i="14608"/>
  <c r="CT114" i="14608"/>
  <c r="CU114" i="14608"/>
  <c r="CV114" i="14608"/>
  <c r="CW114" i="14608"/>
  <c r="CX114" i="14608"/>
  <c r="CY114" i="14608"/>
  <c r="CZ114" i="14608"/>
  <c r="DA114" i="14608"/>
  <c r="DB114" i="14608"/>
  <c r="DC114" i="14608"/>
  <c r="DD114" i="14608"/>
  <c r="DE114" i="14608"/>
  <c r="DF114" i="14608"/>
  <c r="DG114" i="14608"/>
  <c r="DH114" i="14608"/>
  <c r="DI114" i="14608"/>
  <c r="DJ114" i="14608"/>
  <c r="DK114" i="14608"/>
  <c r="DL114" i="14608"/>
  <c r="DM114" i="14608"/>
  <c r="DN114" i="14608"/>
  <c r="DO114" i="14608"/>
  <c r="DP114" i="14608"/>
  <c r="DQ114" i="14608"/>
  <c r="DR114" i="14608"/>
  <c r="DS114" i="14608"/>
  <c r="DT114" i="14608"/>
  <c r="DU114" i="14608"/>
  <c r="DV114" i="14608"/>
  <c r="DW114" i="14608"/>
  <c r="DX114" i="14608"/>
  <c r="DY114" i="14608"/>
  <c r="DZ114" i="14608"/>
  <c r="EA114" i="14608"/>
  <c r="EB114" i="14608"/>
  <c r="EC114" i="14608"/>
  <c r="ED114" i="14608"/>
  <c r="EE114" i="14608"/>
  <c r="EF114" i="14608"/>
  <c r="EG114" i="14608"/>
  <c r="EH114" i="14608"/>
  <c r="EI114" i="14608"/>
  <c r="EJ114" i="14608"/>
  <c r="EK114" i="14608"/>
  <c r="EL114" i="14608"/>
  <c r="EM114" i="14608"/>
  <c r="EN114" i="14608"/>
  <c r="EO114" i="14608"/>
  <c r="EP114" i="14608"/>
  <c r="EQ114" i="14608"/>
  <c r="ER114" i="14608"/>
  <c r="ES114" i="14608"/>
  <c r="ET114" i="14608"/>
  <c r="EU114" i="14608"/>
  <c r="EV114" i="14608"/>
  <c r="EW114" i="14608"/>
  <c r="EX114" i="14608"/>
  <c r="EY114" i="14608"/>
  <c r="EZ114" i="14608"/>
  <c r="FA114" i="14608"/>
  <c r="FB114" i="14608"/>
  <c r="FC114" i="14608"/>
  <c r="FD114" i="14608"/>
  <c r="FE114" i="14608"/>
  <c r="FF114" i="14608"/>
  <c r="FG114" i="14608"/>
  <c r="FH114" i="14608"/>
  <c r="FI114" i="14608"/>
  <c r="FJ114" i="14608"/>
  <c r="FK114" i="14608"/>
  <c r="FL114" i="14608"/>
  <c r="FM114" i="14608"/>
  <c r="FN114" i="14608"/>
  <c r="FO114" i="14608"/>
  <c r="FP114" i="14608"/>
  <c r="FQ114" i="14608"/>
  <c r="FR114" i="14608"/>
  <c r="FS114" i="14608"/>
  <c r="FT114" i="14608"/>
  <c r="FU114" i="14608"/>
  <c r="FV114" i="14608"/>
  <c r="FW114" i="14608"/>
  <c r="FX114" i="14608"/>
  <c r="FY114" i="14608"/>
  <c r="FZ114" i="14608"/>
  <c r="GA114" i="14608"/>
  <c r="GB114" i="14608"/>
  <c r="GC114" i="14608"/>
  <c r="GD114" i="14608"/>
  <c r="GE114" i="14608"/>
  <c r="GF114" i="14608"/>
  <c r="GG114" i="14608"/>
  <c r="GH114" i="14608"/>
  <c r="GI114" i="14608"/>
  <c r="GJ114" i="14608"/>
  <c r="GK114" i="14608"/>
  <c r="GL114" i="14608"/>
  <c r="GM114" i="14608"/>
  <c r="GN114" i="14608"/>
  <c r="GO114" i="14608"/>
  <c r="GP114" i="14608"/>
  <c r="GQ114" i="14608"/>
  <c r="GR114" i="14608"/>
  <c r="GS114" i="14608"/>
  <c r="GT114" i="14608"/>
  <c r="GU114" i="14608"/>
  <c r="GV114" i="14608"/>
  <c r="GW114" i="14608"/>
  <c r="GX114" i="14608"/>
  <c r="GY114" i="14608"/>
  <c r="GZ114" i="14608"/>
  <c r="HA114" i="14608"/>
  <c r="HB114" i="14608"/>
  <c r="HC114" i="14608"/>
  <c r="HD114" i="14608"/>
  <c r="HE114" i="14608"/>
  <c r="HF114" i="14608"/>
  <c r="HG114" i="14608"/>
  <c r="HH114" i="14608"/>
  <c r="HI114" i="14608"/>
  <c r="HJ114" i="14608"/>
  <c r="HK114" i="14608"/>
  <c r="HL114" i="14608"/>
  <c r="HM114" i="14608"/>
  <c r="HN114" i="14608"/>
  <c r="HO114" i="14608"/>
  <c r="HP114" i="14608"/>
  <c r="HQ114" i="14608"/>
  <c r="HR114" i="14608"/>
  <c r="HS114" i="14608"/>
  <c r="HT114" i="14608"/>
  <c r="HU114" i="14608"/>
  <c r="HV114" i="14608"/>
  <c r="HW114" i="14608"/>
  <c r="HX114" i="14608"/>
  <c r="HY114" i="14608"/>
  <c r="HZ114" i="14608"/>
  <c r="IA114" i="14608"/>
  <c r="IB114" i="14608"/>
  <c r="IC114" i="14608"/>
  <c r="ID114" i="14608"/>
  <c r="IE114" i="14608"/>
  <c r="IF114" i="14608"/>
  <c r="IG114" i="14608"/>
  <c r="IH114" i="14608"/>
  <c r="II114" i="14608"/>
  <c r="IJ114" i="14608"/>
  <c r="IK114" i="14608"/>
  <c r="IL114" i="14608"/>
  <c r="IM114" i="14608"/>
  <c r="IN114" i="14608"/>
  <c r="IO114" i="14608"/>
  <c r="IP114" i="14608"/>
  <c r="IQ114" i="14608"/>
  <c r="IR114" i="14608"/>
  <c r="IS114" i="14608"/>
  <c r="IT114" i="14608"/>
  <c r="IU114" i="14608"/>
  <c r="IV114" i="14608"/>
  <c r="A113" i="14608"/>
  <c r="B113" i="14608"/>
  <c r="C113" i="14608"/>
  <c r="D113" i="14608"/>
  <c r="E113" i="14608"/>
  <c r="F113" i="14608"/>
  <c r="G113" i="14608"/>
  <c r="H113" i="14608"/>
  <c r="I113" i="14608"/>
  <c r="J113" i="14608"/>
  <c r="K113" i="14608"/>
  <c r="L113" i="14608"/>
  <c r="M113" i="14608"/>
  <c r="N113" i="14608"/>
  <c r="O113" i="14608"/>
  <c r="P113" i="14608"/>
  <c r="Q113" i="14608"/>
  <c r="R113" i="14608"/>
  <c r="S113" i="14608"/>
  <c r="T113" i="14608"/>
  <c r="U113" i="14608"/>
  <c r="V113" i="14608"/>
  <c r="W113" i="14608"/>
  <c r="X113" i="14608"/>
  <c r="Y113" i="14608"/>
  <c r="Z113" i="14608"/>
  <c r="AA113" i="14608"/>
  <c r="AB113" i="14608"/>
  <c r="AC113" i="14608"/>
  <c r="AD113" i="14608"/>
  <c r="AE113" i="14608"/>
  <c r="AF113" i="14608"/>
  <c r="AG113" i="14608"/>
  <c r="AH113" i="14608"/>
  <c r="AI113" i="14608"/>
  <c r="AJ113" i="14608"/>
  <c r="AK113" i="14608"/>
  <c r="AL113" i="14608"/>
  <c r="AM113" i="14608"/>
  <c r="AN113" i="14608"/>
  <c r="AO113" i="14608"/>
  <c r="AP113" i="14608"/>
  <c r="AQ113" i="14608"/>
  <c r="AR113" i="14608"/>
  <c r="AS113" i="14608"/>
  <c r="AT113" i="14608"/>
  <c r="AU113" i="14608"/>
  <c r="AV113" i="14608"/>
  <c r="AW113" i="14608"/>
  <c r="AX113" i="14608"/>
  <c r="AY113" i="14608"/>
  <c r="AZ113" i="14608"/>
  <c r="BA113" i="14608"/>
  <c r="BB113" i="14608"/>
  <c r="BC113" i="14608"/>
  <c r="BD113" i="14608"/>
  <c r="BE113" i="14608"/>
  <c r="BF113" i="14608"/>
  <c r="BG113" i="14608"/>
  <c r="BH113" i="14608"/>
  <c r="BI113" i="14608"/>
  <c r="BJ113" i="14608"/>
  <c r="BK113" i="14608"/>
  <c r="BL113" i="14608"/>
  <c r="BM113" i="14608"/>
  <c r="BN113" i="14608"/>
  <c r="BO113" i="14608"/>
  <c r="BP113" i="14608"/>
  <c r="BQ113" i="14608"/>
  <c r="BR113" i="14608"/>
  <c r="BS113" i="14608"/>
  <c r="BT113" i="14608"/>
  <c r="BU113" i="14608"/>
  <c r="BV113" i="14608"/>
  <c r="BW113" i="14608"/>
  <c r="BX113" i="14608"/>
  <c r="BY113" i="14608"/>
  <c r="BZ113" i="14608"/>
  <c r="CA113" i="14608"/>
  <c r="CB113" i="14608"/>
  <c r="CC113" i="14608"/>
  <c r="CD113" i="14608"/>
  <c r="CE113" i="14608"/>
  <c r="CF113" i="14608"/>
  <c r="CG113" i="14608"/>
  <c r="CH113" i="14608"/>
  <c r="CI113" i="14608"/>
  <c r="CJ113" i="14608"/>
  <c r="CK113" i="14608"/>
  <c r="CL113" i="14608"/>
  <c r="CM113" i="14608"/>
  <c r="CN113" i="14608"/>
  <c r="CO113" i="14608"/>
  <c r="CP113" i="14608"/>
  <c r="CQ113" i="14608"/>
  <c r="CR113" i="14608"/>
  <c r="CS113" i="14608"/>
  <c r="CT113" i="14608"/>
  <c r="CU113" i="14608"/>
  <c r="CV113" i="14608"/>
  <c r="CW113" i="14608"/>
  <c r="CX113" i="14608"/>
  <c r="CY113" i="14608"/>
  <c r="CZ113" i="14608"/>
  <c r="DA113" i="14608"/>
  <c r="DB113" i="14608"/>
  <c r="DC113" i="14608"/>
  <c r="DD113" i="14608"/>
  <c r="DE113" i="14608"/>
  <c r="DF113" i="14608"/>
  <c r="DG113" i="14608"/>
  <c r="DH113" i="14608"/>
  <c r="DI113" i="14608"/>
  <c r="DJ113" i="14608"/>
  <c r="DK113" i="14608"/>
  <c r="DL113" i="14608"/>
  <c r="DM113" i="14608"/>
  <c r="DN113" i="14608"/>
  <c r="DO113" i="14608"/>
  <c r="DP113" i="14608"/>
  <c r="DQ113" i="14608"/>
  <c r="DR113" i="14608"/>
  <c r="DS113" i="14608"/>
  <c r="DT113" i="14608"/>
  <c r="DU113" i="14608"/>
  <c r="DV113" i="14608"/>
  <c r="DW113" i="14608"/>
  <c r="DX113" i="14608"/>
  <c r="DY113" i="14608"/>
  <c r="DZ113" i="14608"/>
  <c r="EA113" i="14608"/>
  <c r="EB113" i="14608"/>
  <c r="EC113" i="14608"/>
  <c r="ED113" i="14608"/>
  <c r="EE113" i="14608"/>
  <c r="EF113" i="14608"/>
  <c r="EG113" i="14608"/>
  <c r="EH113" i="14608"/>
  <c r="EI113" i="14608"/>
  <c r="EJ113" i="14608"/>
  <c r="EK113" i="14608"/>
  <c r="EL113" i="14608"/>
  <c r="EM113" i="14608"/>
  <c r="EN113" i="14608"/>
  <c r="EO113" i="14608"/>
  <c r="EP113" i="14608"/>
  <c r="EQ113" i="14608"/>
  <c r="ER113" i="14608"/>
  <c r="ES113" i="14608"/>
  <c r="ET113" i="14608"/>
  <c r="EU113" i="14608"/>
  <c r="EV113" i="14608"/>
  <c r="EW113" i="14608"/>
  <c r="EX113" i="14608"/>
  <c r="EY113" i="14608"/>
  <c r="EZ113" i="14608"/>
  <c r="FA113" i="14608"/>
  <c r="FB113" i="14608"/>
  <c r="FC113" i="14608"/>
  <c r="FD113" i="14608"/>
  <c r="FE113" i="14608"/>
  <c r="FF113" i="14608"/>
  <c r="FG113" i="14608"/>
  <c r="FH113" i="14608"/>
  <c r="FI113" i="14608"/>
  <c r="FJ113" i="14608"/>
  <c r="FK113" i="14608"/>
  <c r="FL113" i="14608"/>
  <c r="FM113" i="14608"/>
  <c r="FN113" i="14608"/>
  <c r="FO113" i="14608"/>
  <c r="FP113" i="14608"/>
  <c r="FQ113" i="14608"/>
  <c r="FR113" i="14608"/>
  <c r="FS113" i="14608"/>
  <c r="FT113" i="14608"/>
  <c r="FU113" i="14608"/>
  <c r="FV113" i="14608"/>
  <c r="FW113" i="14608"/>
  <c r="FX113" i="14608"/>
  <c r="FY113" i="14608"/>
  <c r="FZ113" i="14608"/>
  <c r="GA113" i="14608"/>
  <c r="GB113" i="14608"/>
  <c r="GC113" i="14608"/>
  <c r="GD113" i="14608"/>
  <c r="GE113" i="14608"/>
  <c r="GF113" i="14608"/>
  <c r="GG113" i="14608"/>
  <c r="GH113" i="14608"/>
  <c r="GI113" i="14608"/>
  <c r="GJ113" i="14608"/>
  <c r="GK113" i="14608"/>
  <c r="GL113" i="14608"/>
  <c r="GM113" i="14608"/>
  <c r="GN113" i="14608"/>
  <c r="GO113" i="14608"/>
  <c r="GP113" i="14608"/>
  <c r="GQ113" i="14608"/>
  <c r="GR113" i="14608"/>
  <c r="GS113" i="14608"/>
  <c r="GT113" i="14608"/>
  <c r="GU113" i="14608"/>
  <c r="GV113" i="14608"/>
  <c r="GW113" i="14608"/>
  <c r="GX113" i="14608"/>
  <c r="GY113" i="14608"/>
  <c r="GZ113" i="14608"/>
  <c r="HA113" i="14608"/>
  <c r="HB113" i="14608"/>
  <c r="HC113" i="14608"/>
  <c r="HD113" i="14608"/>
  <c r="HE113" i="14608"/>
  <c r="HF113" i="14608"/>
  <c r="HG113" i="14608"/>
  <c r="HH113" i="14608"/>
  <c r="HI113" i="14608"/>
  <c r="HJ113" i="14608"/>
  <c r="HK113" i="14608"/>
  <c r="HL113" i="14608"/>
  <c r="HM113" i="14608"/>
  <c r="HN113" i="14608"/>
  <c r="HO113" i="14608"/>
  <c r="HP113" i="14608"/>
  <c r="HQ113" i="14608"/>
  <c r="HR113" i="14608"/>
  <c r="HS113" i="14608"/>
  <c r="HT113" i="14608"/>
  <c r="HU113" i="14608"/>
  <c r="HV113" i="14608"/>
  <c r="HW113" i="14608"/>
  <c r="HX113" i="14608"/>
  <c r="HY113" i="14608"/>
  <c r="HZ113" i="14608"/>
  <c r="IA113" i="14608"/>
  <c r="IB113" i="14608"/>
  <c r="IC113" i="14608"/>
  <c r="ID113" i="14608"/>
  <c r="IE113" i="14608"/>
  <c r="IF113" i="14608"/>
  <c r="IG113" i="14608"/>
  <c r="IH113" i="14608"/>
  <c r="II113" i="14608"/>
  <c r="IJ113" i="14608"/>
  <c r="IK113" i="14608"/>
  <c r="IL113" i="14608"/>
  <c r="IM113" i="14608"/>
  <c r="IN113" i="14608"/>
  <c r="IO113" i="14608"/>
  <c r="IP113" i="14608"/>
  <c r="IQ113" i="14608"/>
  <c r="IR113" i="14608"/>
  <c r="IS113" i="14608"/>
  <c r="IT113" i="14608"/>
  <c r="IU113" i="14608"/>
  <c r="IV113" i="14608"/>
  <c r="A112" i="14608"/>
  <c r="B112" i="14608"/>
  <c r="C112" i="14608"/>
  <c r="D112" i="14608"/>
  <c r="E112" i="14608"/>
  <c r="F112" i="14608"/>
  <c r="G112" i="14608"/>
  <c r="H112" i="14608"/>
  <c r="I112" i="14608"/>
  <c r="J112" i="14608"/>
  <c r="K112" i="14608"/>
  <c r="L112" i="14608"/>
  <c r="M112" i="14608"/>
  <c r="N112" i="14608"/>
  <c r="O112" i="14608"/>
  <c r="P112" i="14608"/>
  <c r="Q112" i="14608"/>
  <c r="R112" i="14608"/>
  <c r="S112" i="14608"/>
  <c r="T112" i="14608"/>
  <c r="U112" i="14608"/>
  <c r="V112" i="14608"/>
  <c r="W112" i="14608"/>
  <c r="X112" i="14608"/>
  <c r="Y112" i="14608"/>
  <c r="Z112" i="14608"/>
  <c r="AA112" i="14608"/>
  <c r="AB112" i="14608"/>
  <c r="AC112" i="14608"/>
  <c r="AD112" i="14608"/>
  <c r="AE112" i="14608"/>
  <c r="AF112" i="14608"/>
  <c r="AG112" i="14608"/>
  <c r="AH112" i="14608"/>
  <c r="AI112" i="14608"/>
  <c r="AJ112" i="14608"/>
  <c r="AK112" i="14608"/>
  <c r="AL112" i="14608"/>
  <c r="AM112" i="14608"/>
  <c r="AN112" i="14608"/>
  <c r="AO112" i="14608"/>
  <c r="AP112" i="14608"/>
  <c r="AQ112" i="14608"/>
  <c r="AR112" i="14608"/>
  <c r="AS112" i="14608"/>
  <c r="AT112" i="14608"/>
  <c r="AU112" i="14608"/>
  <c r="AV112" i="14608"/>
  <c r="AW112" i="14608"/>
  <c r="AX112" i="14608"/>
  <c r="AY112" i="14608"/>
  <c r="AZ112" i="14608"/>
  <c r="BA112" i="14608"/>
  <c r="BB112" i="14608"/>
  <c r="BC112" i="14608"/>
  <c r="BD112" i="14608"/>
  <c r="BE112" i="14608"/>
  <c r="BF112" i="14608"/>
  <c r="BG112" i="14608"/>
  <c r="BH112" i="14608"/>
  <c r="BI112" i="14608"/>
  <c r="BJ112" i="14608"/>
  <c r="BK112" i="14608"/>
  <c r="BL112" i="14608"/>
  <c r="BM112" i="14608"/>
  <c r="BN112" i="14608"/>
  <c r="BO112" i="14608"/>
  <c r="BP112" i="14608"/>
  <c r="BQ112" i="14608"/>
  <c r="BR112" i="14608"/>
  <c r="BS112" i="14608"/>
  <c r="BT112" i="14608"/>
  <c r="BU112" i="14608"/>
  <c r="BV112" i="14608"/>
  <c r="BW112" i="14608"/>
  <c r="BX112" i="14608"/>
  <c r="BY112" i="14608"/>
  <c r="BZ112" i="14608"/>
  <c r="CA112" i="14608"/>
  <c r="CB112" i="14608"/>
  <c r="CC112" i="14608"/>
  <c r="CD112" i="14608"/>
  <c r="CE112" i="14608"/>
  <c r="CF112" i="14608"/>
  <c r="CG112" i="14608"/>
  <c r="CH112" i="14608"/>
  <c r="CI112" i="14608"/>
  <c r="CJ112" i="14608"/>
  <c r="CK112" i="14608"/>
  <c r="CL112" i="14608"/>
  <c r="CM112" i="14608"/>
  <c r="CN112" i="14608"/>
  <c r="CO112" i="14608"/>
  <c r="CP112" i="14608"/>
  <c r="CQ112" i="14608"/>
  <c r="CR112" i="14608"/>
  <c r="CS112" i="14608"/>
  <c r="CT112" i="14608"/>
  <c r="CU112" i="14608"/>
  <c r="CV112" i="14608"/>
  <c r="CW112" i="14608"/>
  <c r="CX112" i="14608"/>
  <c r="CY112" i="14608"/>
  <c r="CZ112" i="14608"/>
  <c r="DA112" i="14608"/>
  <c r="DB112" i="14608"/>
  <c r="DC112" i="14608"/>
  <c r="DD112" i="14608"/>
  <c r="DE112" i="14608"/>
  <c r="DF112" i="14608"/>
  <c r="DG112" i="14608"/>
  <c r="DH112" i="14608"/>
  <c r="DI112" i="14608"/>
  <c r="DJ112" i="14608"/>
  <c r="DK112" i="14608"/>
  <c r="DL112" i="14608"/>
  <c r="DM112" i="14608"/>
  <c r="DN112" i="14608"/>
  <c r="DO112" i="14608"/>
  <c r="DP112" i="14608"/>
  <c r="DQ112" i="14608"/>
  <c r="DR112" i="14608"/>
  <c r="DS112" i="14608"/>
  <c r="DT112" i="14608"/>
  <c r="DU112" i="14608"/>
  <c r="DV112" i="14608"/>
  <c r="DW112" i="14608"/>
  <c r="DX112" i="14608"/>
  <c r="DY112" i="14608"/>
  <c r="DZ112" i="14608"/>
  <c r="EA112" i="14608"/>
  <c r="EB112" i="14608"/>
  <c r="EC112" i="14608"/>
  <c r="ED112" i="14608"/>
  <c r="EE112" i="14608"/>
  <c r="EF112" i="14608"/>
  <c r="EG112" i="14608"/>
  <c r="EH112" i="14608"/>
  <c r="EI112" i="14608"/>
  <c r="EJ112" i="14608"/>
  <c r="EK112" i="14608"/>
  <c r="EL112" i="14608"/>
  <c r="EM112" i="14608"/>
  <c r="EN112" i="14608"/>
  <c r="EO112" i="14608"/>
  <c r="EP112" i="14608"/>
  <c r="EQ112" i="14608"/>
  <c r="ER112" i="14608"/>
  <c r="ES112" i="14608"/>
  <c r="ET112" i="14608"/>
  <c r="EU112" i="14608"/>
  <c r="EV112" i="14608"/>
  <c r="EW112" i="14608"/>
  <c r="EX112" i="14608"/>
  <c r="EY112" i="14608"/>
  <c r="EZ112" i="14608"/>
  <c r="FA112" i="14608"/>
  <c r="FB112" i="14608"/>
  <c r="FC112" i="14608"/>
  <c r="FD112" i="14608"/>
  <c r="FE112" i="14608"/>
  <c r="FF112" i="14608"/>
  <c r="FG112" i="14608"/>
  <c r="FH112" i="14608"/>
  <c r="FI112" i="14608"/>
  <c r="FJ112" i="14608"/>
  <c r="FK112" i="14608"/>
  <c r="FL112" i="14608"/>
  <c r="FM112" i="14608"/>
  <c r="FN112" i="14608"/>
  <c r="FO112" i="14608"/>
  <c r="FP112" i="14608"/>
  <c r="FQ112" i="14608"/>
  <c r="FR112" i="14608"/>
  <c r="FS112" i="14608"/>
  <c r="FT112" i="14608"/>
  <c r="FU112" i="14608"/>
  <c r="FV112" i="14608"/>
  <c r="FW112" i="14608"/>
  <c r="FX112" i="14608"/>
  <c r="FY112" i="14608"/>
  <c r="FZ112" i="14608"/>
  <c r="GA112" i="14608"/>
  <c r="GB112" i="14608"/>
  <c r="GC112" i="14608"/>
  <c r="GD112" i="14608"/>
  <c r="GE112" i="14608"/>
  <c r="GF112" i="14608"/>
  <c r="GG112" i="14608"/>
  <c r="GH112" i="14608"/>
  <c r="GI112" i="14608"/>
  <c r="GJ112" i="14608"/>
  <c r="GK112" i="14608"/>
  <c r="GL112" i="14608"/>
  <c r="GM112" i="14608"/>
  <c r="GN112" i="14608"/>
  <c r="GO112" i="14608"/>
  <c r="GP112" i="14608"/>
  <c r="GQ112" i="14608"/>
  <c r="GR112" i="14608"/>
  <c r="GS112" i="14608"/>
  <c r="GT112" i="14608"/>
  <c r="GU112" i="14608"/>
  <c r="GV112" i="14608"/>
  <c r="GW112" i="14608"/>
  <c r="GX112" i="14608"/>
  <c r="GY112" i="14608"/>
  <c r="GZ112" i="14608"/>
  <c r="HA112" i="14608"/>
  <c r="HB112" i="14608"/>
  <c r="HC112" i="14608"/>
  <c r="HD112" i="14608"/>
  <c r="HE112" i="14608"/>
  <c r="HF112" i="14608"/>
  <c r="HG112" i="14608"/>
  <c r="HH112" i="14608"/>
  <c r="HI112" i="14608"/>
  <c r="HJ112" i="14608"/>
  <c r="HK112" i="14608"/>
  <c r="HL112" i="14608"/>
  <c r="HM112" i="14608"/>
  <c r="HN112" i="14608"/>
  <c r="HO112" i="14608"/>
  <c r="HP112" i="14608"/>
  <c r="HQ112" i="14608"/>
  <c r="HR112" i="14608"/>
  <c r="HS112" i="14608"/>
  <c r="HT112" i="14608"/>
  <c r="HU112" i="14608"/>
  <c r="HV112" i="14608"/>
  <c r="HW112" i="14608"/>
  <c r="HX112" i="14608"/>
  <c r="HY112" i="14608"/>
  <c r="HZ112" i="14608"/>
  <c r="IA112" i="14608"/>
  <c r="IB112" i="14608"/>
  <c r="IC112" i="14608"/>
  <c r="ID112" i="14608"/>
  <c r="IE112" i="14608"/>
  <c r="IF112" i="14608"/>
  <c r="IG112" i="14608"/>
  <c r="IH112" i="14608"/>
  <c r="II112" i="14608"/>
  <c r="IJ112" i="14608"/>
  <c r="IK112" i="14608"/>
  <c r="IL112" i="14608"/>
  <c r="IM112" i="14608"/>
  <c r="IN112" i="14608"/>
  <c r="IO112" i="14608"/>
  <c r="IP112" i="14608"/>
  <c r="IQ112" i="14608"/>
  <c r="IR112" i="14608"/>
  <c r="IS112" i="14608"/>
  <c r="IT112" i="14608"/>
  <c r="IU112" i="14608"/>
  <c r="IV112" i="14608"/>
  <c r="A111" i="14608"/>
  <c r="B111" i="14608"/>
  <c r="C111" i="14608"/>
  <c r="D111" i="14608"/>
  <c r="E111" i="14608"/>
  <c r="F111" i="14608"/>
  <c r="G111" i="14608"/>
  <c r="H111" i="14608"/>
  <c r="I111" i="14608"/>
  <c r="J111" i="14608"/>
  <c r="K111" i="14608"/>
  <c r="L111" i="14608"/>
  <c r="M111" i="14608"/>
  <c r="N111" i="14608"/>
  <c r="O111" i="14608"/>
  <c r="P111" i="14608"/>
  <c r="Q111" i="14608"/>
  <c r="R111" i="14608"/>
  <c r="S111" i="14608"/>
  <c r="T111" i="14608"/>
  <c r="U111" i="14608"/>
  <c r="V111" i="14608"/>
  <c r="W111" i="14608"/>
  <c r="X111" i="14608"/>
  <c r="Y111" i="14608"/>
  <c r="Z111" i="14608"/>
  <c r="AA111" i="14608"/>
  <c r="AB111" i="14608"/>
  <c r="AC111" i="14608"/>
  <c r="AD111" i="14608"/>
  <c r="AE111" i="14608"/>
  <c r="AF111" i="14608"/>
  <c r="AG111" i="14608"/>
  <c r="AH111" i="14608"/>
  <c r="AI111" i="14608"/>
  <c r="AJ111" i="14608"/>
  <c r="AK111" i="14608"/>
  <c r="AL111" i="14608"/>
  <c r="AM111" i="14608"/>
  <c r="AN111" i="14608"/>
  <c r="AO111" i="14608"/>
  <c r="AP111" i="14608"/>
  <c r="AQ111" i="14608"/>
  <c r="AR111" i="14608"/>
  <c r="AS111" i="14608"/>
  <c r="AT111" i="14608"/>
  <c r="AU111" i="14608"/>
  <c r="AV111" i="14608"/>
  <c r="AW111" i="14608"/>
  <c r="AX111" i="14608"/>
  <c r="AY111" i="14608"/>
  <c r="AZ111" i="14608"/>
  <c r="BA111" i="14608"/>
  <c r="BB111" i="14608"/>
  <c r="BC111" i="14608"/>
  <c r="BD111" i="14608"/>
  <c r="BE111" i="14608"/>
  <c r="BF111" i="14608"/>
  <c r="BG111" i="14608"/>
  <c r="BH111" i="14608"/>
  <c r="BI111" i="14608"/>
  <c r="BJ111" i="14608"/>
  <c r="BK111" i="14608"/>
  <c r="BL111" i="14608"/>
  <c r="BM111" i="14608"/>
  <c r="BN111" i="14608"/>
  <c r="BO111" i="14608"/>
  <c r="BP111" i="14608"/>
  <c r="BQ111" i="14608"/>
  <c r="BR111" i="14608"/>
  <c r="BS111" i="14608"/>
  <c r="BT111" i="14608"/>
  <c r="BU111" i="14608"/>
  <c r="BV111" i="14608"/>
  <c r="BW111" i="14608"/>
  <c r="BX111" i="14608"/>
  <c r="BY111" i="14608"/>
  <c r="BZ111" i="14608"/>
  <c r="CA111" i="14608"/>
  <c r="CB111" i="14608"/>
  <c r="CC111" i="14608"/>
  <c r="CD111" i="14608"/>
  <c r="CE111" i="14608"/>
  <c r="CF111" i="14608"/>
  <c r="CG111" i="14608"/>
  <c r="CH111" i="14608"/>
  <c r="CI111" i="14608"/>
  <c r="CJ111" i="14608"/>
  <c r="CK111" i="14608"/>
  <c r="CL111" i="14608"/>
  <c r="CM111" i="14608"/>
  <c r="CN111" i="14608"/>
  <c r="CO111" i="14608"/>
  <c r="CP111" i="14608"/>
  <c r="CQ111" i="14608"/>
  <c r="CR111" i="14608"/>
  <c r="CS111" i="14608"/>
  <c r="CT111" i="14608"/>
  <c r="CU111" i="14608"/>
  <c r="CV111" i="14608"/>
  <c r="CW111" i="14608"/>
  <c r="CX111" i="14608"/>
  <c r="CY111" i="14608"/>
  <c r="CZ111" i="14608"/>
  <c r="DA111" i="14608"/>
  <c r="DB111" i="14608"/>
  <c r="DC111" i="14608"/>
  <c r="DD111" i="14608"/>
  <c r="DE111" i="14608"/>
  <c r="DF111" i="14608"/>
  <c r="DG111" i="14608"/>
  <c r="DH111" i="14608"/>
  <c r="DI111" i="14608"/>
  <c r="DJ111" i="14608"/>
  <c r="DK111" i="14608"/>
  <c r="DL111" i="14608"/>
  <c r="DM111" i="14608"/>
  <c r="DN111" i="14608"/>
  <c r="DO111" i="14608"/>
  <c r="DP111" i="14608"/>
  <c r="DQ111" i="14608"/>
  <c r="DR111" i="14608"/>
  <c r="DS111" i="14608"/>
  <c r="DT111" i="14608"/>
  <c r="DU111" i="14608"/>
  <c r="DV111" i="14608"/>
  <c r="DW111" i="14608"/>
  <c r="DX111" i="14608"/>
  <c r="DY111" i="14608"/>
  <c r="DZ111" i="14608"/>
  <c r="EA111" i="14608"/>
  <c r="EB111" i="14608"/>
  <c r="EC111" i="14608"/>
  <c r="ED111" i="14608"/>
  <c r="EE111" i="14608"/>
  <c r="EF111" i="14608"/>
  <c r="EG111" i="14608"/>
  <c r="EH111" i="14608"/>
  <c r="EI111" i="14608"/>
  <c r="EJ111" i="14608"/>
  <c r="EK111" i="14608"/>
  <c r="EL111" i="14608"/>
  <c r="EM111" i="14608"/>
  <c r="EN111" i="14608"/>
  <c r="EO111" i="14608"/>
  <c r="EP111" i="14608"/>
  <c r="EQ111" i="14608"/>
  <c r="ER111" i="14608"/>
  <c r="ES111" i="14608"/>
  <c r="ET111" i="14608"/>
  <c r="EU111" i="14608"/>
  <c r="EV111" i="14608"/>
  <c r="EW111" i="14608"/>
  <c r="EX111" i="14608"/>
  <c r="EY111" i="14608"/>
  <c r="EZ111" i="14608"/>
  <c r="FA111" i="14608"/>
  <c r="FB111" i="14608"/>
  <c r="FC111" i="14608"/>
  <c r="FD111" i="14608"/>
  <c r="FE111" i="14608"/>
  <c r="FF111" i="14608"/>
  <c r="FG111" i="14608"/>
  <c r="FH111" i="14608"/>
  <c r="FI111" i="14608"/>
  <c r="FJ111" i="14608"/>
  <c r="FK111" i="14608"/>
  <c r="FL111" i="14608"/>
  <c r="FM111" i="14608"/>
  <c r="FN111" i="14608"/>
  <c r="FO111" i="14608"/>
  <c r="FP111" i="14608"/>
  <c r="FQ111" i="14608"/>
  <c r="FR111" i="14608"/>
  <c r="FS111" i="14608"/>
  <c r="FT111" i="14608"/>
  <c r="FU111" i="14608"/>
  <c r="FV111" i="14608"/>
  <c r="FW111" i="14608"/>
  <c r="FX111" i="14608"/>
  <c r="FY111" i="14608"/>
  <c r="FZ111" i="14608"/>
  <c r="GA111" i="14608"/>
  <c r="GB111" i="14608"/>
  <c r="GC111" i="14608"/>
  <c r="GD111" i="14608"/>
  <c r="GE111" i="14608"/>
  <c r="GF111" i="14608"/>
  <c r="GG111" i="14608"/>
  <c r="GH111" i="14608"/>
  <c r="GI111" i="14608"/>
  <c r="GJ111" i="14608"/>
  <c r="GK111" i="14608"/>
  <c r="GL111" i="14608"/>
  <c r="GM111" i="14608"/>
  <c r="GN111" i="14608"/>
  <c r="GO111" i="14608"/>
  <c r="GP111" i="14608"/>
  <c r="GQ111" i="14608"/>
  <c r="GR111" i="14608"/>
  <c r="GS111" i="14608"/>
  <c r="GT111" i="14608"/>
  <c r="GU111" i="14608"/>
  <c r="GV111" i="14608"/>
  <c r="GW111" i="14608"/>
  <c r="GX111" i="14608"/>
  <c r="GY111" i="14608"/>
  <c r="GZ111" i="14608"/>
  <c r="HA111" i="14608"/>
  <c r="HB111" i="14608"/>
  <c r="HC111" i="14608"/>
  <c r="HD111" i="14608"/>
  <c r="HE111" i="14608"/>
  <c r="HF111" i="14608"/>
  <c r="HG111" i="14608"/>
  <c r="HH111" i="14608"/>
  <c r="HI111" i="14608"/>
  <c r="HJ111" i="14608"/>
  <c r="HK111" i="14608"/>
  <c r="HL111" i="14608"/>
  <c r="HM111" i="14608"/>
  <c r="HN111" i="14608"/>
  <c r="HO111" i="14608"/>
  <c r="HP111" i="14608"/>
  <c r="HQ111" i="14608"/>
  <c r="HR111" i="14608"/>
  <c r="HS111" i="14608"/>
  <c r="HT111" i="14608"/>
  <c r="HU111" i="14608"/>
  <c r="HV111" i="14608"/>
  <c r="HW111" i="14608"/>
  <c r="HX111" i="14608"/>
  <c r="HY111" i="14608"/>
  <c r="HZ111" i="14608"/>
  <c r="IA111" i="14608"/>
  <c r="IB111" i="14608"/>
  <c r="IC111" i="14608"/>
  <c r="ID111" i="14608"/>
  <c r="IE111" i="14608"/>
  <c r="IF111" i="14608"/>
  <c r="IG111" i="14608"/>
  <c r="IH111" i="14608"/>
  <c r="II111" i="14608"/>
  <c r="IJ111" i="14608"/>
  <c r="IK111" i="14608"/>
  <c r="IL111" i="14608"/>
  <c r="IM111" i="14608"/>
  <c r="IN111" i="14608"/>
  <c r="IO111" i="14608"/>
  <c r="IP111" i="14608"/>
  <c r="IQ111" i="14608"/>
  <c r="IR111" i="14608"/>
  <c r="IS111" i="14608"/>
  <c r="IT111" i="14608"/>
  <c r="IU111" i="14608"/>
  <c r="IV111" i="14608"/>
  <c r="A110" i="14608"/>
  <c r="B110" i="14608"/>
  <c r="C110" i="14608"/>
  <c r="D110" i="14608"/>
  <c r="E110" i="14608"/>
  <c r="F110" i="14608"/>
  <c r="G110" i="14608"/>
  <c r="H110" i="14608"/>
  <c r="I110" i="14608"/>
  <c r="J110" i="14608"/>
  <c r="K110" i="14608"/>
  <c r="L110" i="14608"/>
  <c r="M110" i="14608"/>
  <c r="N110" i="14608"/>
  <c r="O110" i="14608"/>
  <c r="P110" i="14608"/>
  <c r="Q110" i="14608"/>
  <c r="R110" i="14608"/>
  <c r="S110" i="14608"/>
  <c r="T110" i="14608"/>
  <c r="U110" i="14608"/>
  <c r="V110" i="14608"/>
  <c r="W110" i="14608"/>
  <c r="X110" i="14608"/>
  <c r="Y110" i="14608"/>
  <c r="Z110" i="14608"/>
  <c r="AA110" i="14608"/>
  <c r="AB110" i="14608"/>
  <c r="AC110" i="14608"/>
  <c r="AD110" i="14608"/>
  <c r="AE110" i="14608"/>
  <c r="AF110" i="14608"/>
  <c r="AG110" i="14608"/>
  <c r="AH110" i="14608"/>
  <c r="AI110" i="14608"/>
  <c r="AJ110" i="14608"/>
  <c r="AK110" i="14608"/>
  <c r="AL110" i="14608"/>
  <c r="AM110" i="14608"/>
  <c r="AN110" i="14608"/>
  <c r="AO110" i="14608"/>
  <c r="AP110" i="14608"/>
  <c r="AQ110" i="14608"/>
  <c r="AR110" i="14608"/>
  <c r="AS110" i="14608"/>
  <c r="AT110" i="14608"/>
  <c r="AU110" i="14608"/>
  <c r="AV110" i="14608"/>
  <c r="AW110" i="14608"/>
  <c r="AX110" i="14608"/>
  <c r="AY110" i="14608"/>
  <c r="AZ110" i="14608"/>
  <c r="BA110" i="14608"/>
  <c r="BB110" i="14608"/>
  <c r="BC110" i="14608"/>
  <c r="BD110" i="14608"/>
  <c r="BE110" i="14608"/>
  <c r="BF110" i="14608"/>
  <c r="BG110" i="14608"/>
  <c r="BH110" i="14608"/>
  <c r="BI110" i="14608"/>
  <c r="BJ110" i="14608"/>
  <c r="BK110" i="14608"/>
  <c r="BL110" i="14608"/>
  <c r="BM110" i="14608"/>
  <c r="BN110" i="14608"/>
  <c r="BO110" i="14608"/>
  <c r="BP110" i="14608"/>
  <c r="BQ110" i="14608"/>
  <c r="BR110" i="14608"/>
  <c r="BS110" i="14608"/>
  <c r="BT110" i="14608"/>
  <c r="BU110" i="14608"/>
  <c r="BV110" i="14608"/>
  <c r="BW110" i="14608"/>
  <c r="BX110" i="14608"/>
  <c r="BY110" i="14608"/>
  <c r="BZ110" i="14608"/>
  <c r="CA110" i="14608"/>
  <c r="CB110" i="14608"/>
  <c r="CC110" i="14608"/>
  <c r="CD110" i="14608"/>
  <c r="CE110" i="14608"/>
  <c r="CF110" i="14608"/>
  <c r="CG110" i="14608"/>
  <c r="CH110" i="14608"/>
  <c r="CI110" i="14608"/>
  <c r="CJ110" i="14608"/>
  <c r="CK110" i="14608"/>
  <c r="CL110" i="14608"/>
  <c r="CM110" i="14608"/>
  <c r="CN110" i="14608"/>
  <c r="CO110" i="14608"/>
  <c r="CP110" i="14608"/>
  <c r="CQ110" i="14608"/>
  <c r="CR110" i="14608"/>
  <c r="CS110" i="14608"/>
  <c r="CT110" i="14608"/>
  <c r="CU110" i="14608"/>
  <c r="CV110" i="14608"/>
  <c r="CW110" i="14608"/>
  <c r="CX110" i="14608"/>
  <c r="CY110" i="14608"/>
  <c r="CZ110" i="14608"/>
  <c r="DA110" i="14608"/>
  <c r="DB110" i="14608"/>
  <c r="DC110" i="14608"/>
  <c r="DD110" i="14608"/>
  <c r="DE110" i="14608"/>
  <c r="DF110" i="14608"/>
  <c r="DG110" i="14608"/>
  <c r="DH110" i="14608"/>
  <c r="DI110" i="14608"/>
  <c r="DJ110" i="14608"/>
  <c r="DK110" i="14608"/>
  <c r="DL110" i="14608"/>
  <c r="DM110" i="14608"/>
  <c r="DN110" i="14608"/>
  <c r="DO110" i="14608"/>
  <c r="DP110" i="14608"/>
  <c r="DQ110" i="14608"/>
  <c r="DR110" i="14608"/>
  <c r="DS110" i="14608"/>
  <c r="DT110" i="14608"/>
  <c r="DU110" i="14608"/>
  <c r="DV110" i="14608"/>
  <c r="DW110" i="14608"/>
  <c r="DX110" i="14608"/>
  <c r="DY110" i="14608"/>
  <c r="DZ110" i="14608"/>
  <c r="EA110" i="14608"/>
  <c r="EB110" i="14608"/>
  <c r="EC110" i="14608"/>
  <c r="ED110" i="14608"/>
  <c r="EE110" i="14608"/>
  <c r="EF110" i="14608"/>
  <c r="EG110" i="14608"/>
  <c r="EH110" i="14608"/>
  <c r="EI110" i="14608"/>
  <c r="EJ110" i="14608"/>
  <c r="EK110" i="14608"/>
  <c r="EL110" i="14608"/>
  <c r="EM110" i="14608"/>
  <c r="EN110" i="14608"/>
  <c r="EO110" i="14608"/>
  <c r="EP110" i="14608"/>
  <c r="EQ110" i="14608"/>
  <c r="ER110" i="14608"/>
  <c r="ES110" i="14608"/>
  <c r="ET110" i="14608"/>
  <c r="EU110" i="14608"/>
  <c r="EV110" i="14608"/>
  <c r="EW110" i="14608"/>
  <c r="EX110" i="14608"/>
  <c r="EY110" i="14608"/>
  <c r="EZ110" i="14608"/>
  <c r="FA110" i="14608"/>
  <c r="FB110" i="14608"/>
  <c r="FC110" i="14608"/>
  <c r="FD110" i="14608"/>
  <c r="FE110" i="14608"/>
  <c r="FF110" i="14608"/>
  <c r="FG110" i="14608"/>
  <c r="FH110" i="14608"/>
  <c r="FI110" i="14608"/>
  <c r="FJ110" i="14608"/>
  <c r="FK110" i="14608"/>
  <c r="FL110" i="14608"/>
  <c r="FM110" i="14608"/>
  <c r="FN110" i="14608"/>
  <c r="FO110" i="14608"/>
  <c r="FP110" i="14608"/>
  <c r="FQ110" i="14608"/>
  <c r="FR110" i="14608"/>
  <c r="FS110" i="14608"/>
  <c r="FT110" i="14608"/>
  <c r="FU110" i="14608"/>
  <c r="FV110" i="14608"/>
  <c r="FW110" i="14608"/>
  <c r="FX110" i="14608"/>
  <c r="FY110" i="14608"/>
  <c r="FZ110" i="14608"/>
  <c r="GA110" i="14608"/>
  <c r="GB110" i="14608"/>
  <c r="GC110" i="14608"/>
  <c r="GD110" i="14608"/>
  <c r="GE110" i="14608"/>
  <c r="GF110" i="14608"/>
  <c r="GG110" i="14608"/>
  <c r="GH110" i="14608"/>
  <c r="GI110" i="14608"/>
  <c r="GJ110" i="14608"/>
  <c r="GK110" i="14608"/>
  <c r="GL110" i="14608"/>
  <c r="GM110" i="14608"/>
  <c r="GN110" i="14608"/>
  <c r="GO110" i="14608"/>
  <c r="GP110" i="14608"/>
  <c r="GQ110" i="14608"/>
  <c r="GR110" i="14608"/>
  <c r="GS110" i="14608"/>
  <c r="GT110" i="14608"/>
  <c r="GU110" i="14608"/>
  <c r="GV110" i="14608"/>
  <c r="GW110" i="14608"/>
  <c r="GX110" i="14608"/>
  <c r="GY110" i="14608"/>
  <c r="GZ110" i="14608"/>
  <c r="HA110" i="14608"/>
  <c r="HB110" i="14608"/>
  <c r="HC110" i="14608"/>
  <c r="HD110" i="14608"/>
  <c r="HE110" i="14608"/>
  <c r="HF110" i="14608"/>
  <c r="HG110" i="14608"/>
  <c r="HH110" i="14608"/>
  <c r="HI110" i="14608"/>
  <c r="HJ110" i="14608"/>
  <c r="HK110" i="14608"/>
  <c r="HL110" i="14608"/>
  <c r="HM110" i="14608"/>
  <c r="HN110" i="14608"/>
  <c r="HO110" i="14608"/>
  <c r="HP110" i="14608"/>
  <c r="HQ110" i="14608"/>
  <c r="HR110" i="14608"/>
  <c r="HS110" i="14608"/>
  <c r="HT110" i="14608"/>
  <c r="HU110" i="14608"/>
  <c r="HV110" i="14608"/>
  <c r="HW110" i="14608"/>
  <c r="HX110" i="14608"/>
  <c r="HY110" i="14608"/>
  <c r="HZ110" i="14608"/>
  <c r="IA110" i="14608"/>
  <c r="IB110" i="14608"/>
  <c r="IC110" i="14608"/>
  <c r="ID110" i="14608"/>
  <c r="IE110" i="14608"/>
  <c r="IF110" i="14608"/>
  <c r="IG110" i="14608"/>
  <c r="IH110" i="14608"/>
  <c r="II110" i="14608"/>
  <c r="IJ110" i="14608"/>
  <c r="IK110" i="14608"/>
  <c r="IL110" i="14608"/>
  <c r="IM110" i="14608"/>
  <c r="IN110" i="14608"/>
  <c r="IO110" i="14608"/>
  <c r="IP110" i="14608"/>
  <c r="IQ110" i="14608"/>
  <c r="IR110" i="14608"/>
  <c r="IS110" i="14608"/>
  <c r="IT110" i="14608"/>
  <c r="IU110" i="14608"/>
  <c r="IV110" i="14608"/>
  <c r="A109" i="14608"/>
  <c r="B109" i="14608"/>
  <c r="C109" i="14608"/>
  <c r="D109" i="14608"/>
  <c r="E109" i="14608"/>
  <c r="F109" i="14608"/>
  <c r="G109" i="14608"/>
  <c r="H109" i="14608"/>
  <c r="I109" i="14608"/>
  <c r="J109" i="14608"/>
  <c r="K109" i="14608"/>
  <c r="L109" i="14608"/>
  <c r="M109" i="14608"/>
  <c r="N109" i="14608"/>
  <c r="O109" i="14608"/>
  <c r="P109" i="14608"/>
  <c r="Q109" i="14608"/>
  <c r="R109" i="14608"/>
  <c r="S109" i="14608"/>
  <c r="T109" i="14608"/>
  <c r="U109" i="14608"/>
  <c r="V109" i="14608"/>
  <c r="W109" i="14608"/>
  <c r="X109" i="14608"/>
  <c r="Y109" i="14608"/>
  <c r="Z109" i="14608"/>
  <c r="AA109" i="14608"/>
  <c r="AB109" i="14608"/>
  <c r="AC109" i="14608"/>
  <c r="AD109" i="14608"/>
  <c r="AE109" i="14608"/>
  <c r="AF109" i="14608"/>
  <c r="AG109" i="14608"/>
  <c r="AH109" i="14608"/>
  <c r="AI109" i="14608"/>
  <c r="AJ109" i="14608"/>
  <c r="AK109" i="14608"/>
  <c r="AL109" i="14608"/>
  <c r="AM109" i="14608"/>
  <c r="AN109" i="14608"/>
  <c r="AO109" i="14608"/>
  <c r="AP109" i="14608"/>
  <c r="AQ109" i="14608"/>
  <c r="AR109" i="14608"/>
  <c r="AS109" i="14608"/>
  <c r="AT109" i="14608"/>
  <c r="AU109" i="14608"/>
  <c r="AV109" i="14608"/>
  <c r="AW109" i="14608"/>
  <c r="AX109" i="14608"/>
  <c r="AY109" i="14608"/>
  <c r="AZ109" i="14608"/>
  <c r="BA109" i="14608"/>
  <c r="BB109" i="14608"/>
  <c r="BC109" i="14608"/>
  <c r="BD109" i="14608"/>
  <c r="BE109" i="14608"/>
  <c r="BF109" i="14608"/>
  <c r="BG109" i="14608"/>
  <c r="BH109" i="14608"/>
  <c r="BI109" i="14608"/>
  <c r="BJ109" i="14608"/>
  <c r="BK109" i="14608"/>
  <c r="BL109" i="14608"/>
  <c r="BM109" i="14608"/>
  <c r="BN109" i="14608"/>
  <c r="BO109" i="14608"/>
  <c r="BP109" i="14608"/>
  <c r="BQ109" i="14608"/>
  <c r="BR109" i="14608"/>
  <c r="BS109" i="14608"/>
  <c r="BT109" i="14608"/>
  <c r="BU109" i="14608"/>
  <c r="BV109" i="14608"/>
  <c r="BW109" i="14608"/>
  <c r="BX109" i="14608"/>
  <c r="BY109" i="14608"/>
  <c r="BZ109" i="14608"/>
  <c r="CA109" i="14608"/>
  <c r="CB109" i="14608"/>
  <c r="CC109" i="14608"/>
  <c r="CD109" i="14608"/>
  <c r="CE109" i="14608"/>
  <c r="CF109" i="14608"/>
  <c r="CG109" i="14608"/>
  <c r="CH109" i="14608"/>
  <c r="CI109" i="14608"/>
  <c r="CJ109" i="14608"/>
  <c r="CK109" i="14608"/>
  <c r="CL109" i="14608"/>
  <c r="CM109" i="14608"/>
  <c r="CN109" i="14608"/>
  <c r="CO109" i="14608"/>
  <c r="CP109" i="14608"/>
  <c r="CQ109" i="14608"/>
  <c r="CR109" i="14608"/>
  <c r="CS109" i="14608"/>
  <c r="CT109" i="14608"/>
  <c r="CU109" i="14608"/>
  <c r="CV109" i="14608"/>
  <c r="CW109" i="14608"/>
  <c r="CX109" i="14608"/>
  <c r="CY109" i="14608"/>
  <c r="CZ109" i="14608"/>
  <c r="DA109" i="14608"/>
  <c r="DB109" i="14608"/>
  <c r="DC109" i="14608"/>
  <c r="DD109" i="14608"/>
  <c r="DE109" i="14608"/>
  <c r="DF109" i="14608"/>
  <c r="DG109" i="14608"/>
  <c r="DH109" i="14608"/>
  <c r="DI109" i="14608"/>
  <c r="DJ109" i="14608"/>
  <c r="DK109" i="14608"/>
  <c r="DL109" i="14608"/>
  <c r="DM109" i="14608"/>
  <c r="DN109" i="14608"/>
  <c r="DO109" i="14608"/>
  <c r="DP109" i="14608"/>
  <c r="DQ109" i="14608"/>
  <c r="DR109" i="14608"/>
  <c r="DS109" i="14608"/>
  <c r="DT109" i="14608"/>
  <c r="DU109" i="14608"/>
  <c r="DV109" i="14608"/>
  <c r="DW109" i="14608"/>
  <c r="DX109" i="14608"/>
  <c r="DY109" i="14608"/>
  <c r="DZ109" i="14608"/>
  <c r="EA109" i="14608"/>
  <c r="EB109" i="14608"/>
  <c r="EC109" i="14608"/>
  <c r="ED109" i="14608"/>
  <c r="EE109" i="14608"/>
  <c r="EF109" i="14608"/>
  <c r="EG109" i="14608"/>
  <c r="EH109" i="14608"/>
  <c r="EI109" i="14608"/>
  <c r="EJ109" i="14608"/>
  <c r="EK109" i="14608"/>
  <c r="EL109" i="14608"/>
  <c r="EM109" i="14608"/>
  <c r="EN109" i="14608"/>
  <c r="EO109" i="14608"/>
  <c r="EP109" i="14608"/>
  <c r="EQ109" i="14608"/>
  <c r="ER109" i="14608"/>
  <c r="ES109" i="14608"/>
  <c r="ET109" i="14608"/>
  <c r="EU109" i="14608"/>
  <c r="EV109" i="14608"/>
  <c r="EW109" i="14608"/>
  <c r="EX109" i="14608"/>
  <c r="EY109" i="14608"/>
  <c r="EZ109" i="14608"/>
  <c r="FA109" i="14608"/>
  <c r="FB109" i="14608"/>
  <c r="FC109" i="14608"/>
  <c r="FD109" i="14608"/>
  <c r="FE109" i="14608"/>
  <c r="FF109" i="14608"/>
  <c r="FG109" i="14608"/>
  <c r="FH109" i="14608"/>
  <c r="FI109" i="14608"/>
  <c r="FJ109" i="14608"/>
  <c r="FK109" i="14608"/>
  <c r="FL109" i="14608"/>
  <c r="FM109" i="14608"/>
  <c r="FN109" i="14608"/>
  <c r="FO109" i="14608"/>
  <c r="FP109" i="14608"/>
  <c r="FQ109" i="14608"/>
  <c r="FR109" i="14608"/>
  <c r="FS109" i="14608"/>
  <c r="FT109" i="14608"/>
  <c r="FU109" i="14608"/>
  <c r="FV109" i="14608"/>
  <c r="FW109" i="14608"/>
  <c r="FX109" i="14608"/>
  <c r="FY109" i="14608"/>
  <c r="FZ109" i="14608"/>
  <c r="GA109" i="14608"/>
  <c r="GB109" i="14608"/>
  <c r="GC109" i="14608"/>
  <c r="GD109" i="14608"/>
  <c r="GE109" i="14608"/>
  <c r="GF109" i="14608"/>
  <c r="GG109" i="14608"/>
  <c r="GH109" i="14608"/>
  <c r="GI109" i="14608"/>
  <c r="GJ109" i="14608"/>
  <c r="GK109" i="14608"/>
  <c r="GL109" i="14608"/>
  <c r="GM109" i="14608"/>
  <c r="GN109" i="14608"/>
  <c r="GO109" i="14608"/>
  <c r="GP109" i="14608"/>
  <c r="GQ109" i="14608"/>
  <c r="GR109" i="14608"/>
  <c r="GS109" i="14608"/>
  <c r="GT109" i="14608"/>
  <c r="GU109" i="14608"/>
  <c r="GV109" i="14608"/>
  <c r="GW109" i="14608"/>
  <c r="GX109" i="14608"/>
  <c r="GY109" i="14608"/>
  <c r="GZ109" i="14608"/>
  <c r="HA109" i="14608"/>
  <c r="HB109" i="14608"/>
  <c r="HC109" i="14608"/>
  <c r="HD109" i="14608"/>
  <c r="HE109" i="14608"/>
  <c r="HF109" i="14608"/>
  <c r="HG109" i="14608"/>
  <c r="HH109" i="14608"/>
  <c r="HI109" i="14608"/>
  <c r="HJ109" i="14608"/>
  <c r="HK109" i="14608"/>
  <c r="HL109" i="14608"/>
  <c r="HM109" i="14608"/>
  <c r="HN109" i="14608"/>
  <c r="HO109" i="14608"/>
  <c r="HP109" i="14608"/>
  <c r="HQ109" i="14608"/>
  <c r="HR109" i="14608"/>
  <c r="HS109" i="14608"/>
  <c r="HT109" i="14608"/>
  <c r="HU109" i="14608"/>
  <c r="HV109" i="14608"/>
  <c r="HW109" i="14608"/>
  <c r="HX109" i="14608"/>
  <c r="HY109" i="14608"/>
  <c r="HZ109" i="14608"/>
  <c r="IA109" i="14608"/>
  <c r="IB109" i="14608"/>
  <c r="IC109" i="14608"/>
  <c r="ID109" i="14608"/>
  <c r="IE109" i="14608"/>
  <c r="IF109" i="14608"/>
  <c r="IG109" i="14608"/>
  <c r="IH109" i="14608"/>
  <c r="II109" i="14608"/>
  <c r="IJ109" i="14608"/>
  <c r="IK109" i="14608"/>
  <c r="IL109" i="14608"/>
  <c r="IM109" i="14608"/>
  <c r="IN109" i="14608"/>
  <c r="IO109" i="14608"/>
  <c r="IP109" i="14608"/>
  <c r="IQ109" i="14608"/>
  <c r="IR109" i="14608"/>
  <c r="IS109" i="14608"/>
  <c r="IT109" i="14608"/>
  <c r="IU109" i="14608"/>
  <c r="IV109" i="14608"/>
  <c r="A108" i="14608"/>
  <c r="B108" i="14608"/>
  <c r="C108" i="14608"/>
  <c r="D108" i="14608"/>
  <c r="E108" i="14608"/>
  <c r="F108" i="14608"/>
  <c r="G108" i="14608"/>
  <c r="H108" i="14608"/>
  <c r="I108" i="14608"/>
  <c r="J108" i="14608"/>
  <c r="K108" i="14608"/>
  <c r="L108" i="14608"/>
  <c r="M108" i="14608"/>
  <c r="N108" i="14608"/>
  <c r="O108" i="14608"/>
  <c r="P108" i="14608"/>
  <c r="Q108" i="14608"/>
  <c r="R108" i="14608"/>
  <c r="S108" i="14608"/>
  <c r="T108" i="14608"/>
  <c r="U108" i="14608"/>
  <c r="V108" i="14608"/>
  <c r="W108" i="14608"/>
  <c r="X108" i="14608"/>
  <c r="Y108" i="14608"/>
  <c r="Z108" i="14608"/>
  <c r="AA108" i="14608"/>
  <c r="AB108" i="14608"/>
  <c r="AC108" i="14608"/>
  <c r="AD108" i="14608"/>
  <c r="AE108" i="14608"/>
  <c r="AF108" i="14608"/>
  <c r="AG108" i="14608"/>
  <c r="AH108" i="14608"/>
  <c r="AI108" i="14608"/>
  <c r="AJ108" i="14608"/>
  <c r="AK108" i="14608"/>
  <c r="AL108" i="14608"/>
  <c r="AM108" i="14608"/>
  <c r="AN108" i="14608"/>
  <c r="AO108" i="14608"/>
  <c r="AP108" i="14608"/>
  <c r="AQ108" i="14608"/>
  <c r="AR108" i="14608"/>
  <c r="AS108" i="14608"/>
  <c r="AT108" i="14608"/>
  <c r="AU108" i="14608"/>
  <c r="AV108" i="14608"/>
  <c r="AW108" i="14608"/>
  <c r="AX108" i="14608"/>
  <c r="AY108" i="14608"/>
  <c r="AZ108" i="14608"/>
  <c r="BA108" i="14608"/>
  <c r="BB108" i="14608"/>
  <c r="BC108" i="14608"/>
  <c r="BD108" i="14608"/>
  <c r="BE108" i="14608"/>
  <c r="BF108" i="14608"/>
  <c r="BG108" i="14608"/>
  <c r="BH108" i="14608"/>
  <c r="BI108" i="14608"/>
  <c r="BJ108" i="14608"/>
  <c r="BK108" i="14608"/>
  <c r="BL108" i="14608"/>
  <c r="BM108" i="14608"/>
  <c r="BN108" i="14608"/>
  <c r="BO108" i="14608"/>
  <c r="BP108" i="14608"/>
  <c r="BQ108" i="14608"/>
  <c r="BR108" i="14608"/>
  <c r="BS108" i="14608"/>
  <c r="BT108" i="14608"/>
  <c r="BU108" i="14608"/>
  <c r="BV108" i="14608"/>
  <c r="BW108" i="14608"/>
  <c r="BX108" i="14608"/>
  <c r="BY108" i="14608"/>
  <c r="BZ108" i="14608"/>
  <c r="CA108" i="14608"/>
  <c r="CB108" i="14608"/>
  <c r="CC108" i="14608"/>
  <c r="CD108" i="14608"/>
  <c r="CE108" i="14608"/>
  <c r="CF108" i="14608"/>
  <c r="CG108" i="14608"/>
  <c r="CH108" i="14608"/>
  <c r="CI108" i="14608"/>
  <c r="CJ108" i="14608"/>
  <c r="CK108" i="14608"/>
  <c r="CL108" i="14608"/>
  <c r="CM108" i="14608"/>
  <c r="CN108" i="14608"/>
  <c r="CO108" i="14608"/>
  <c r="CP108" i="14608"/>
  <c r="CQ108" i="14608"/>
  <c r="CR108" i="14608"/>
  <c r="CS108" i="14608"/>
  <c r="CT108" i="14608"/>
  <c r="CU108" i="14608"/>
  <c r="CV108" i="14608"/>
  <c r="CW108" i="14608"/>
  <c r="CX108" i="14608"/>
  <c r="CY108" i="14608"/>
  <c r="CZ108" i="14608"/>
  <c r="DA108" i="14608"/>
  <c r="DB108" i="14608"/>
  <c r="DC108" i="14608"/>
  <c r="DD108" i="14608"/>
  <c r="DE108" i="14608"/>
  <c r="DF108" i="14608"/>
  <c r="DG108" i="14608"/>
  <c r="DH108" i="14608"/>
  <c r="DI108" i="14608"/>
  <c r="DJ108" i="14608"/>
  <c r="DK108" i="14608"/>
  <c r="DL108" i="14608"/>
  <c r="DM108" i="14608"/>
  <c r="DN108" i="14608"/>
  <c r="DO108" i="14608"/>
  <c r="DP108" i="14608"/>
  <c r="DQ108" i="14608"/>
  <c r="DR108" i="14608"/>
  <c r="DS108" i="14608"/>
  <c r="DT108" i="14608"/>
  <c r="DU108" i="14608"/>
  <c r="DV108" i="14608"/>
  <c r="DW108" i="14608"/>
  <c r="DX108" i="14608"/>
  <c r="DY108" i="14608"/>
  <c r="DZ108" i="14608"/>
  <c r="EA108" i="14608"/>
  <c r="EB108" i="14608"/>
  <c r="EC108" i="14608"/>
  <c r="ED108" i="14608"/>
  <c r="EE108" i="14608"/>
  <c r="EF108" i="14608"/>
  <c r="EG108" i="14608"/>
  <c r="EH108" i="14608"/>
  <c r="EI108" i="14608"/>
  <c r="EJ108" i="14608"/>
  <c r="EK108" i="14608"/>
  <c r="EL108" i="14608"/>
  <c r="EM108" i="14608"/>
  <c r="EN108" i="14608"/>
  <c r="EO108" i="14608"/>
  <c r="EP108" i="14608"/>
  <c r="EQ108" i="14608"/>
  <c r="ER108" i="14608"/>
  <c r="ES108" i="14608"/>
  <c r="ET108" i="14608"/>
  <c r="EU108" i="14608"/>
  <c r="EV108" i="14608"/>
  <c r="EW108" i="14608"/>
  <c r="EX108" i="14608"/>
  <c r="EY108" i="14608"/>
  <c r="EZ108" i="14608"/>
  <c r="FA108" i="14608"/>
  <c r="FB108" i="14608"/>
  <c r="FC108" i="14608"/>
  <c r="FD108" i="14608"/>
  <c r="FE108" i="14608"/>
  <c r="FF108" i="14608"/>
  <c r="FG108" i="14608"/>
  <c r="FH108" i="14608"/>
  <c r="FI108" i="14608"/>
  <c r="FJ108" i="14608"/>
  <c r="FK108" i="14608"/>
  <c r="FL108" i="14608"/>
  <c r="FM108" i="14608"/>
  <c r="FN108" i="14608"/>
  <c r="FO108" i="14608"/>
  <c r="FP108" i="14608"/>
  <c r="FQ108" i="14608"/>
  <c r="FR108" i="14608"/>
  <c r="FS108" i="14608"/>
  <c r="FT108" i="14608"/>
  <c r="FU108" i="14608"/>
  <c r="FV108" i="14608"/>
  <c r="FW108" i="14608"/>
  <c r="FX108" i="14608"/>
  <c r="FY108" i="14608"/>
  <c r="FZ108" i="14608"/>
  <c r="GA108" i="14608"/>
  <c r="GB108" i="14608"/>
  <c r="GC108" i="14608"/>
  <c r="GD108" i="14608"/>
  <c r="GE108" i="14608"/>
  <c r="GF108" i="14608"/>
  <c r="GG108" i="14608"/>
  <c r="GH108" i="14608"/>
  <c r="GI108" i="14608"/>
  <c r="GJ108" i="14608"/>
  <c r="GK108" i="14608"/>
  <c r="GL108" i="14608"/>
  <c r="GM108" i="14608"/>
  <c r="GN108" i="14608"/>
  <c r="GO108" i="14608"/>
  <c r="GP108" i="14608"/>
  <c r="GQ108" i="14608"/>
  <c r="GR108" i="14608"/>
  <c r="GS108" i="14608"/>
  <c r="GT108" i="14608"/>
  <c r="GU108" i="14608"/>
  <c r="GV108" i="14608"/>
  <c r="GW108" i="14608"/>
  <c r="GX108" i="14608"/>
  <c r="GY108" i="14608"/>
  <c r="GZ108" i="14608"/>
  <c r="HA108" i="14608"/>
  <c r="HB108" i="14608"/>
  <c r="HC108" i="14608"/>
  <c r="HD108" i="14608"/>
  <c r="HE108" i="14608"/>
  <c r="HF108" i="14608"/>
  <c r="HG108" i="14608"/>
  <c r="HH108" i="14608"/>
  <c r="HI108" i="14608"/>
  <c r="HJ108" i="14608"/>
  <c r="HK108" i="14608"/>
  <c r="HL108" i="14608"/>
  <c r="HM108" i="14608"/>
  <c r="HN108" i="14608"/>
  <c r="HO108" i="14608"/>
  <c r="HP108" i="14608"/>
  <c r="HQ108" i="14608"/>
  <c r="HR108" i="14608"/>
  <c r="HS108" i="14608"/>
  <c r="HT108" i="14608"/>
  <c r="HU108" i="14608"/>
  <c r="HV108" i="14608"/>
  <c r="HW108" i="14608"/>
  <c r="HX108" i="14608"/>
  <c r="HY108" i="14608"/>
  <c r="HZ108" i="14608"/>
  <c r="IA108" i="14608"/>
  <c r="IB108" i="14608"/>
  <c r="IC108" i="14608"/>
  <c r="ID108" i="14608"/>
  <c r="IE108" i="14608"/>
  <c r="IF108" i="14608"/>
  <c r="IG108" i="14608"/>
  <c r="IH108" i="14608"/>
  <c r="II108" i="14608"/>
  <c r="IJ108" i="14608"/>
  <c r="IK108" i="14608"/>
  <c r="IL108" i="14608"/>
  <c r="IM108" i="14608"/>
  <c r="IN108" i="14608"/>
  <c r="IO108" i="14608"/>
  <c r="IP108" i="14608"/>
  <c r="IQ108" i="14608"/>
  <c r="IR108" i="14608"/>
  <c r="IS108" i="14608"/>
  <c r="IT108" i="14608"/>
  <c r="IU108" i="14608"/>
  <c r="IV108" i="14608"/>
  <c r="A107" i="14608"/>
  <c r="B107" i="14608"/>
  <c r="C107" i="14608"/>
  <c r="D107" i="14608"/>
  <c r="E107" i="14608"/>
  <c r="F107" i="14608"/>
  <c r="G107" i="14608"/>
  <c r="H107" i="14608"/>
  <c r="I107" i="14608"/>
  <c r="J107" i="14608"/>
  <c r="K107" i="14608"/>
  <c r="L107" i="14608"/>
  <c r="M107" i="14608"/>
  <c r="N107" i="14608"/>
  <c r="O107" i="14608"/>
  <c r="P107" i="14608"/>
  <c r="Q107" i="14608"/>
  <c r="R107" i="14608"/>
  <c r="S107" i="14608"/>
  <c r="T107" i="14608"/>
  <c r="U107" i="14608"/>
  <c r="V107" i="14608"/>
  <c r="W107" i="14608"/>
  <c r="X107" i="14608"/>
  <c r="Y107" i="14608"/>
  <c r="Z107" i="14608"/>
  <c r="AA107" i="14608"/>
  <c r="AB107" i="14608"/>
  <c r="AC107" i="14608"/>
  <c r="AD107" i="14608"/>
  <c r="AE107" i="14608"/>
  <c r="AF107" i="14608"/>
  <c r="AG107" i="14608"/>
  <c r="AH107" i="14608"/>
  <c r="AI107" i="14608"/>
  <c r="AJ107" i="14608"/>
  <c r="AK107" i="14608"/>
  <c r="AL107" i="14608"/>
  <c r="AM107" i="14608"/>
  <c r="AN107" i="14608"/>
  <c r="AO107" i="14608"/>
  <c r="AP107" i="14608"/>
  <c r="AQ107" i="14608"/>
  <c r="AR107" i="14608"/>
  <c r="AS107" i="14608"/>
  <c r="AT107" i="14608"/>
  <c r="AU107" i="14608"/>
  <c r="AV107" i="14608"/>
  <c r="AW107" i="14608"/>
  <c r="AX107" i="14608"/>
  <c r="AY107" i="14608"/>
  <c r="AZ107" i="14608"/>
  <c r="BA107" i="14608"/>
  <c r="BB107" i="14608"/>
  <c r="BC107" i="14608"/>
  <c r="BD107" i="14608"/>
  <c r="BE107" i="14608"/>
  <c r="BF107" i="14608"/>
  <c r="BG107" i="14608"/>
  <c r="BH107" i="14608"/>
  <c r="BI107" i="14608"/>
  <c r="BJ107" i="14608"/>
  <c r="BK107" i="14608"/>
  <c r="BL107" i="14608"/>
  <c r="BM107" i="14608"/>
  <c r="BN107" i="14608"/>
  <c r="BO107" i="14608"/>
  <c r="BP107" i="14608"/>
  <c r="BQ107" i="14608"/>
  <c r="BR107" i="14608"/>
  <c r="BS107" i="14608"/>
  <c r="BT107" i="14608"/>
  <c r="BU107" i="14608"/>
  <c r="BV107" i="14608"/>
  <c r="BW107" i="14608"/>
  <c r="BX107" i="14608"/>
  <c r="BY107" i="14608"/>
  <c r="BZ107" i="14608"/>
  <c r="CA107" i="14608"/>
  <c r="CB107" i="14608"/>
  <c r="CC107" i="14608"/>
  <c r="CD107" i="14608"/>
  <c r="CE107" i="14608"/>
  <c r="CF107" i="14608"/>
  <c r="CG107" i="14608"/>
  <c r="CH107" i="14608"/>
  <c r="CI107" i="14608"/>
  <c r="CJ107" i="14608"/>
  <c r="CK107" i="14608"/>
  <c r="CL107" i="14608"/>
  <c r="CM107" i="14608"/>
  <c r="CN107" i="14608"/>
  <c r="CO107" i="14608"/>
  <c r="CP107" i="14608"/>
  <c r="CQ107" i="14608"/>
  <c r="CR107" i="14608"/>
  <c r="CS107" i="14608"/>
  <c r="CT107" i="14608"/>
  <c r="CU107" i="14608"/>
  <c r="CV107" i="14608"/>
  <c r="CW107" i="14608"/>
  <c r="CX107" i="14608"/>
  <c r="CY107" i="14608"/>
  <c r="CZ107" i="14608"/>
  <c r="DA107" i="14608"/>
  <c r="DB107" i="14608"/>
  <c r="DC107" i="14608"/>
  <c r="DD107" i="14608"/>
  <c r="DE107" i="14608"/>
  <c r="DF107" i="14608"/>
  <c r="DG107" i="14608"/>
  <c r="DH107" i="14608"/>
  <c r="DI107" i="14608"/>
  <c r="DJ107" i="14608"/>
  <c r="DK107" i="14608"/>
  <c r="DL107" i="14608"/>
  <c r="DM107" i="14608"/>
  <c r="DN107" i="14608"/>
  <c r="DO107" i="14608"/>
  <c r="DP107" i="14608"/>
  <c r="DQ107" i="14608"/>
  <c r="DR107" i="14608"/>
  <c r="DS107" i="14608"/>
  <c r="DT107" i="14608"/>
  <c r="DU107" i="14608"/>
  <c r="DV107" i="14608"/>
  <c r="DW107" i="14608"/>
  <c r="DX107" i="14608"/>
  <c r="DY107" i="14608"/>
  <c r="DZ107" i="14608"/>
  <c r="EA107" i="14608"/>
  <c r="EB107" i="14608"/>
  <c r="EC107" i="14608"/>
  <c r="ED107" i="14608"/>
  <c r="EE107" i="14608"/>
  <c r="EF107" i="14608"/>
  <c r="EG107" i="14608"/>
  <c r="EH107" i="14608"/>
  <c r="EI107" i="14608"/>
  <c r="EJ107" i="14608"/>
  <c r="EK107" i="14608"/>
  <c r="EL107" i="14608"/>
  <c r="EM107" i="14608"/>
  <c r="EN107" i="14608"/>
  <c r="EO107" i="14608"/>
  <c r="EP107" i="14608"/>
  <c r="EQ107" i="14608"/>
  <c r="ER107" i="14608"/>
  <c r="ES107" i="14608"/>
  <c r="ET107" i="14608"/>
  <c r="EU107" i="14608"/>
  <c r="EV107" i="14608"/>
  <c r="EW107" i="14608"/>
  <c r="EX107" i="14608"/>
  <c r="EY107" i="14608"/>
  <c r="EZ107" i="14608"/>
  <c r="FA107" i="14608"/>
  <c r="FB107" i="14608"/>
  <c r="FC107" i="14608"/>
  <c r="FD107" i="14608"/>
  <c r="FE107" i="14608"/>
  <c r="FF107" i="14608"/>
  <c r="FG107" i="14608"/>
  <c r="FH107" i="14608"/>
  <c r="FI107" i="14608"/>
  <c r="FJ107" i="14608"/>
  <c r="FK107" i="14608"/>
  <c r="FL107" i="14608"/>
  <c r="FM107" i="14608"/>
  <c r="FN107" i="14608"/>
  <c r="FO107" i="14608"/>
  <c r="FP107" i="14608"/>
  <c r="FQ107" i="14608"/>
  <c r="FR107" i="14608"/>
  <c r="FS107" i="14608"/>
  <c r="FT107" i="14608"/>
  <c r="FU107" i="14608"/>
  <c r="FV107" i="14608"/>
  <c r="FW107" i="14608"/>
  <c r="FX107" i="14608"/>
  <c r="FY107" i="14608"/>
  <c r="FZ107" i="14608"/>
  <c r="GA107" i="14608"/>
  <c r="GB107" i="14608"/>
  <c r="GC107" i="14608"/>
  <c r="GD107" i="14608"/>
  <c r="GE107" i="14608"/>
  <c r="GF107" i="14608"/>
  <c r="GG107" i="14608"/>
  <c r="GH107" i="14608"/>
  <c r="GI107" i="14608"/>
  <c r="GJ107" i="14608"/>
  <c r="GK107" i="14608"/>
  <c r="GL107" i="14608"/>
  <c r="GM107" i="14608"/>
  <c r="GN107" i="14608"/>
  <c r="GO107" i="14608"/>
  <c r="GP107" i="14608"/>
  <c r="GQ107" i="14608"/>
  <c r="GR107" i="14608"/>
  <c r="GS107" i="14608"/>
  <c r="GT107" i="14608"/>
  <c r="GU107" i="14608"/>
  <c r="GV107" i="14608"/>
  <c r="GW107" i="14608"/>
  <c r="GX107" i="14608"/>
  <c r="GY107" i="14608"/>
  <c r="GZ107" i="14608"/>
  <c r="HA107" i="14608"/>
  <c r="HB107" i="14608"/>
  <c r="HC107" i="14608"/>
  <c r="HD107" i="14608"/>
  <c r="HE107" i="14608"/>
  <c r="HF107" i="14608"/>
  <c r="HG107" i="14608"/>
  <c r="HH107" i="14608"/>
  <c r="HI107" i="14608"/>
  <c r="HJ107" i="14608"/>
  <c r="HK107" i="14608"/>
  <c r="HL107" i="14608"/>
  <c r="HM107" i="14608"/>
  <c r="HN107" i="14608"/>
  <c r="HO107" i="14608"/>
  <c r="HP107" i="14608"/>
  <c r="HQ107" i="14608"/>
  <c r="HR107" i="14608"/>
  <c r="HS107" i="14608"/>
  <c r="HT107" i="14608"/>
  <c r="HU107" i="14608"/>
  <c r="HV107" i="14608"/>
  <c r="HW107" i="14608"/>
  <c r="HX107" i="14608"/>
  <c r="HY107" i="14608"/>
  <c r="HZ107" i="14608"/>
  <c r="IA107" i="14608"/>
  <c r="IB107" i="14608"/>
  <c r="IC107" i="14608"/>
  <c r="ID107" i="14608"/>
  <c r="IE107" i="14608"/>
  <c r="IF107" i="14608"/>
  <c r="IG107" i="14608"/>
  <c r="IH107" i="14608"/>
  <c r="II107" i="14608"/>
  <c r="IJ107" i="14608"/>
  <c r="IK107" i="14608"/>
  <c r="IL107" i="14608"/>
  <c r="IM107" i="14608"/>
  <c r="IN107" i="14608"/>
  <c r="IO107" i="14608"/>
  <c r="IP107" i="14608"/>
  <c r="IQ107" i="14608"/>
  <c r="IR107" i="14608"/>
  <c r="IS107" i="14608"/>
  <c r="IT107" i="14608"/>
  <c r="IU107" i="14608"/>
  <c r="IV107" i="14608"/>
  <c r="A106" i="14608"/>
  <c r="B106" i="14608"/>
  <c r="C106" i="14608"/>
  <c r="D106" i="14608"/>
  <c r="E106" i="14608"/>
  <c r="F106" i="14608"/>
  <c r="G106" i="14608"/>
  <c r="H106" i="14608"/>
  <c r="I106" i="14608"/>
  <c r="J106" i="14608"/>
  <c r="K106" i="14608"/>
  <c r="L106" i="14608"/>
  <c r="M106" i="14608"/>
  <c r="N106" i="14608"/>
  <c r="O106" i="14608"/>
  <c r="P106" i="14608"/>
  <c r="Q106" i="14608"/>
  <c r="R106" i="14608"/>
  <c r="S106" i="14608"/>
  <c r="T106" i="14608"/>
  <c r="U106" i="14608"/>
  <c r="V106" i="14608"/>
  <c r="W106" i="14608"/>
  <c r="X106" i="14608"/>
  <c r="Y106" i="14608"/>
  <c r="Z106" i="14608"/>
  <c r="AA106" i="14608"/>
  <c r="AB106" i="14608"/>
  <c r="AC106" i="14608"/>
  <c r="AD106" i="14608"/>
  <c r="AE106" i="14608"/>
  <c r="AF106" i="14608"/>
  <c r="AG106" i="14608"/>
  <c r="AH106" i="14608"/>
  <c r="AI106" i="14608"/>
  <c r="AJ106" i="14608"/>
  <c r="AK106" i="14608"/>
  <c r="AL106" i="14608"/>
  <c r="AM106" i="14608"/>
  <c r="AN106" i="14608"/>
  <c r="AO106" i="14608"/>
  <c r="AP106" i="14608"/>
  <c r="AQ106" i="14608"/>
  <c r="AR106" i="14608"/>
  <c r="AS106" i="14608"/>
  <c r="AT106" i="14608"/>
  <c r="AU106" i="14608"/>
  <c r="AV106" i="14608"/>
  <c r="AW106" i="14608"/>
  <c r="AX106" i="14608"/>
  <c r="AY106" i="14608"/>
  <c r="AZ106" i="14608"/>
  <c r="BA106" i="14608"/>
  <c r="BB106" i="14608"/>
  <c r="BC106" i="14608"/>
  <c r="BD106" i="14608"/>
  <c r="BE106" i="14608"/>
  <c r="BF106" i="14608"/>
  <c r="BG106" i="14608"/>
  <c r="BH106" i="14608"/>
  <c r="BI106" i="14608"/>
  <c r="BJ106" i="14608"/>
  <c r="BK106" i="14608"/>
  <c r="BL106" i="14608"/>
  <c r="BM106" i="14608"/>
  <c r="BN106" i="14608"/>
  <c r="BO106" i="14608"/>
  <c r="BP106" i="14608"/>
  <c r="BQ106" i="14608"/>
  <c r="BR106" i="14608"/>
  <c r="BS106" i="14608"/>
  <c r="BT106" i="14608"/>
  <c r="BU106" i="14608"/>
  <c r="BV106" i="14608"/>
  <c r="BW106" i="14608"/>
  <c r="BX106" i="14608"/>
  <c r="BY106" i="14608"/>
  <c r="BZ106" i="14608"/>
  <c r="CA106" i="14608"/>
  <c r="CB106" i="14608"/>
  <c r="CC106" i="14608"/>
  <c r="CD106" i="14608"/>
  <c r="CE106" i="14608"/>
  <c r="CF106" i="14608"/>
  <c r="CG106" i="14608"/>
  <c r="CH106" i="14608"/>
  <c r="CI106" i="14608"/>
  <c r="CJ106" i="14608"/>
  <c r="CK106" i="14608"/>
  <c r="CL106" i="14608"/>
  <c r="CM106" i="14608"/>
  <c r="CN106" i="14608"/>
  <c r="CO106" i="14608"/>
  <c r="CP106" i="14608"/>
  <c r="CQ106" i="14608"/>
  <c r="CR106" i="14608"/>
  <c r="CS106" i="14608"/>
  <c r="CT106" i="14608"/>
  <c r="CU106" i="14608"/>
  <c r="CV106" i="14608"/>
  <c r="CW106" i="14608"/>
  <c r="CX106" i="14608"/>
  <c r="CY106" i="14608"/>
  <c r="CZ106" i="14608"/>
  <c r="DA106" i="14608"/>
  <c r="DB106" i="14608"/>
  <c r="DC106" i="14608"/>
  <c r="DD106" i="14608"/>
  <c r="DE106" i="14608"/>
  <c r="DF106" i="14608"/>
  <c r="DG106" i="14608"/>
  <c r="DH106" i="14608"/>
  <c r="DI106" i="14608"/>
  <c r="DJ106" i="14608"/>
  <c r="DK106" i="14608"/>
  <c r="DL106" i="14608"/>
  <c r="DM106" i="14608"/>
  <c r="DN106" i="14608"/>
  <c r="DO106" i="14608"/>
  <c r="DP106" i="14608"/>
  <c r="DQ106" i="14608"/>
  <c r="DR106" i="14608"/>
  <c r="DS106" i="14608"/>
  <c r="DT106" i="14608"/>
  <c r="DU106" i="14608"/>
  <c r="DV106" i="14608"/>
  <c r="DW106" i="14608"/>
  <c r="DX106" i="14608"/>
  <c r="DY106" i="14608"/>
  <c r="DZ106" i="14608"/>
  <c r="EA106" i="14608"/>
  <c r="EB106" i="14608"/>
  <c r="EC106" i="14608"/>
  <c r="ED106" i="14608"/>
  <c r="EE106" i="14608"/>
  <c r="EF106" i="14608"/>
  <c r="EG106" i="14608"/>
  <c r="EH106" i="14608"/>
  <c r="EI106" i="14608"/>
  <c r="EJ106" i="14608"/>
  <c r="EK106" i="14608"/>
  <c r="EL106" i="14608"/>
  <c r="EM106" i="14608"/>
  <c r="EN106" i="14608"/>
  <c r="EO106" i="14608"/>
  <c r="EP106" i="14608"/>
  <c r="EQ106" i="14608"/>
  <c r="ER106" i="14608"/>
  <c r="ES106" i="14608"/>
  <c r="ET106" i="14608"/>
  <c r="EU106" i="14608"/>
  <c r="EV106" i="14608"/>
  <c r="EW106" i="14608"/>
  <c r="EX106" i="14608"/>
  <c r="EY106" i="14608"/>
  <c r="EZ106" i="14608"/>
  <c r="FA106" i="14608"/>
  <c r="FB106" i="14608"/>
  <c r="FC106" i="14608"/>
  <c r="FD106" i="14608"/>
  <c r="FE106" i="14608"/>
  <c r="FF106" i="14608"/>
  <c r="FG106" i="14608"/>
  <c r="FH106" i="14608"/>
  <c r="FI106" i="14608"/>
  <c r="FJ106" i="14608"/>
  <c r="FK106" i="14608"/>
  <c r="FL106" i="14608"/>
  <c r="FM106" i="14608"/>
  <c r="FN106" i="14608"/>
  <c r="FO106" i="14608"/>
  <c r="FP106" i="14608"/>
  <c r="FQ106" i="14608"/>
  <c r="FR106" i="14608"/>
  <c r="FS106" i="14608"/>
  <c r="FT106" i="14608"/>
  <c r="FU106" i="14608"/>
  <c r="FV106" i="14608"/>
  <c r="FW106" i="14608"/>
  <c r="FX106" i="14608"/>
  <c r="FY106" i="14608"/>
  <c r="FZ106" i="14608"/>
  <c r="GA106" i="14608"/>
  <c r="GB106" i="14608"/>
  <c r="GC106" i="14608"/>
  <c r="GD106" i="14608"/>
  <c r="GE106" i="14608"/>
  <c r="GF106" i="14608"/>
  <c r="GG106" i="14608"/>
  <c r="GH106" i="14608"/>
  <c r="GI106" i="14608"/>
  <c r="GJ106" i="14608"/>
  <c r="GK106" i="14608"/>
  <c r="GL106" i="14608"/>
  <c r="GM106" i="14608"/>
  <c r="GN106" i="14608"/>
  <c r="GO106" i="14608"/>
  <c r="GP106" i="14608"/>
  <c r="GQ106" i="14608"/>
  <c r="GR106" i="14608"/>
  <c r="GS106" i="14608"/>
  <c r="GT106" i="14608"/>
  <c r="GU106" i="14608"/>
  <c r="GV106" i="14608"/>
  <c r="GW106" i="14608"/>
  <c r="GX106" i="14608"/>
  <c r="GY106" i="14608"/>
  <c r="GZ106" i="14608"/>
  <c r="HA106" i="14608"/>
  <c r="HB106" i="14608"/>
  <c r="HC106" i="14608"/>
  <c r="HD106" i="14608"/>
  <c r="HE106" i="14608"/>
  <c r="HF106" i="14608"/>
  <c r="HG106" i="14608"/>
  <c r="HH106" i="14608"/>
  <c r="HI106" i="14608"/>
  <c r="HJ106" i="14608"/>
  <c r="HK106" i="14608"/>
  <c r="HL106" i="14608"/>
  <c r="HM106" i="14608"/>
  <c r="HN106" i="14608"/>
  <c r="HO106" i="14608"/>
  <c r="HP106" i="14608"/>
  <c r="HQ106" i="14608"/>
  <c r="HR106" i="14608"/>
  <c r="HS106" i="14608"/>
  <c r="HT106" i="14608"/>
  <c r="HU106" i="14608"/>
  <c r="HV106" i="14608"/>
  <c r="HW106" i="14608"/>
  <c r="HX106" i="14608"/>
  <c r="HY106" i="14608"/>
  <c r="HZ106" i="14608"/>
  <c r="IA106" i="14608"/>
  <c r="IB106" i="14608"/>
  <c r="IC106" i="14608"/>
  <c r="ID106" i="14608"/>
  <c r="IE106" i="14608"/>
  <c r="IF106" i="14608"/>
  <c r="IG106" i="14608"/>
  <c r="IH106" i="14608"/>
  <c r="II106" i="14608"/>
  <c r="IJ106" i="14608"/>
  <c r="IK106" i="14608"/>
  <c r="IL106" i="14608"/>
  <c r="IM106" i="14608"/>
  <c r="IN106" i="14608"/>
  <c r="IO106" i="14608"/>
  <c r="IP106" i="14608"/>
  <c r="IQ106" i="14608"/>
  <c r="IR106" i="14608"/>
  <c r="IS106" i="14608"/>
  <c r="IT106" i="14608"/>
  <c r="IU106" i="14608"/>
  <c r="IV106" i="14608"/>
  <c r="A105" i="14608"/>
  <c r="B105" i="14608"/>
  <c r="C105" i="14608"/>
  <c r="D105" i="14608"/>
  <c r="E105" i="14608"/>
  <c r="F105" i="14608"/>
  <c r="G105" i="14608"/>
  <c r="H105" i="14608"/>
  <c r="I105" i="14608"/>
  <c r="J105" i="14608"/>
  <c r="K105" i="14608"/>
  <c r="L105" i="14608"/>
  <c r="M105" i="14608"/>
  <c r="N105" i="14608"/>
  <c r="O105" i="14608"/>
  <c r="P105" i="14608"/>
  <c r="Q105" i="14608"/>
  <c r="R105" i="14608"/>
  <c r="S105" i="14608"/>
  <c r="T105" i="14608"/>
  <c r="U105" i="14608"/>
  <c r="V105" i="14608"/>
  <c r="W105" i="14608"/>
  <c r="X105" i="14608"/>
  <c r="Y105" i="14608"/>
  <c r="Z105" i="14608"/>
  <c r="AA105" i="14608"/>
  <c r="AB105" i="14608"/>
  <c r="AC105" i="14608"/>
  <c r="AD105" i="14608"/>
  <c r="AE105" i="14608"/>
  <c r="AF105" i="14608"/>
  <c r="AG105" i="14608"/>
  <c r="AH105" i="14608"/>
  <c r="AI105" i="14608"/>
  <c r="AJ105" i="14608"/>
  <c r="AK105" i="14608"/>
  <c r="AL105" i="14608"/>
  <c r="AM105" i="14608"/>
  <c r="AN105" i="14608"/>
  <c r="AO105" i="14608"/>
  <c r="AP105" i="14608"/>
  <c r="AQ105" i="14608"/>
  <c r="AR105" i="14608"/>
  <c r="AS105" i="14608"/>
  <c r="AT105" i="14608"/>
  <c r="AU105" i="14608"/>
  <c r="AV105" i="14608"/>
  <c r="AW105" i="14608"/>
  <c r="AX105" i="14608"/>
  <c r="AY105" i="14608"/>
  <c r="AZ105" i="14608"/>
  <c r="BA105" i="14608"/>
  <c r="BB105" i="14608"/>
  <c r="BC105" i="14608"/>
  <c r="BD105" i="14608"/>
  <c r="BE105" i="14608"/>
  <c r="BF105" i="14608"/>
  <c r="BG105" i="14608"/>
  <c r="BH105" i="14608"/>
  <c r="BI105" i="14608"/>
  <c r="BJ105" i="14608"/>
  <c r="BK105" i="14608"/>
  <c r="BL105" i="14608"/>
  <c r="BM105" i="14608"/>
  <c r="BN105" i="14608"/>
  <c r="BO105" i="14608"/>
  <c r="BP105" i="14608"/>
  <c r="BQ105" i="14608"/>
  <c r="BR105" i="14608"/>
  <c r="BS105" i="14608"/>
  <c r="BT105" i="14608"/>
  <c r="BU105" i="14608"/>
  <c r="BV105" i="14608"/>
  <c r="BW105" i="14608"/>
  <c r="BX105" i="14608"/>
  <c r="BY105" i="14608"/>
  <c r="BZ105" i="14608"/>
  <c r="CA105" i="14608"/>
  <c r="CB105" i="14608"/>
  <c r="CC105" i="14608"/>
  <c r="CD105" i="14608"/>
  <c r="CE105" i="14608"/>
  <c r="CF105" i="14608"/>
  <c r="CG105" i="14608"/>
  <c r="CH105" i="14608"/>
  <c r="CI105" i="14608"/>
  <c r="CJ105" i="14608"/>
  <c r="CK105" i="14608"/>
  <c r="CL105" i="14608"/>
  <c r="CM105" i="14608"/>
  <c r="CN105" i="14608"/>
  <c r="CO105" i="14608"/>
  <c r="CP105" i="14608"/>
  <c r="CQ105" i="14608"/>
  <c r="CR105" i="14608"/>
  <c r="CS105" i="14608"/>
  <c r="CT105" i="14608"/>
  <c r="CU105" i="14608"/>
  <c r="CV105" i="14608"/>
  <c r="CW105" i="14608"/>
  <c r="CX105" i="14608"/>
  <c r="CY105" i="14608"/>
  <c r="CZ105" i="14608"/>
  <c r="DA105" i="14608"/>
  <c r="DB105" i="14608"/>
  <c r="DC105" i="14608"/>
  <c r="DD105" i="14608"/>
  <c r="DE105" i="14608"/>
  <c r="DF105" i="14608"/>
  <c r="DG105" i="14608"/>
  <c r="DH105" i="14608"/>
  <c r="DI105" i="14608"/>
  <c r="DJ105" i="14608"/>
  <c r="DK105" i="14608"/>
  <c r="DL105" i="14608"/>
  <c r="DM105" i="14608"/>
  <c r="DN105" i="14608"/>
  <c r="DO105" i="14608"/>
  <c r="DP105" i="14608"/>
  <c r="DQ105" i="14608"/>
  <c r="DR105" i="14608"/>
  <c r="DS105" i="14608"/>
  <c r="DT105" i="14608"/>
  <c r="DU105" i="14608"/>
  <c r="DV105" i="14608"/>
  <c r="DW105" i="14608"/>
  <c r="DX105" i="14608"/>
  <c r="DY105" i="14608"/>
  <c r="DZ105" i="14608"/>
  <c r="EA105" i="14608"/>
  <c r="EB105" i="14608"/>
  <c r="EC105" i="14608"/>
  <c r="ED105" i="14608"/>
  <c r="EE105" i="14608"/>
  <c r="EF105" i="14608"/>
  <c r="EG105" i="14608"/>
  <c r="EH105" i="14608"/>
  <c r="EI105" i="14608"/>
  <c r="EJ105" i="14608"/>
  <c r="EK105" i="14608"/>
  <c r="EL105" i="14608"/>
  <c r="EM105" i="14608"/>
  <c r="EN105" i="14608"/>
  <c r="EO105" i="14608"/>
  <c r="EP105" i="14608"/>
  <c r="EQ105" i="14608"/>
  <c r="ER105" i="14608"/>
  <c r="ES105" i="14608"/>
  <c r="ET105" i="14608"/>
  <c r="EU105" i="14608"/>
  <c r="EV105" i="14608"/>
  <c r="EW105" i="14608"/>
  <c r="EX105" i="14608"/>
  <c r="EY105" i="14608"/>
  <c r="EZ105" i="14608"/>
  <c r="FA105" i="14608"/>
  <c r="FB105" i="14608"/>
  <c r="FC105" i="14608"/>
  <c r="FD105" i="14608"/>
  <c r="FE105" i="14608"/>
  <c r="FF105" i="14608"/>
  <c r="FG105" i="14608"/>
  <c r="FH105" i="14608"/>
  <c r="FI105" i="14608"/>
  <c r="FJ105" i="14608"/>
  <c r="FK105" i="14608"/>
  <c r="FL105" i="14608"/>
  <c r="FM105" i="14608"/>
  <c r="FN105" i="14608"/>
  <c r="FO105" i="14608"/>
  <c r="FP105" i="14608"/>
  <c r="FQ105" i="14608"/>
  <c r="FR105" i="14608"/>
  <c r="FS105" i="14608"/>
  <c r="FT105" i="14608"/>
  <c r="FU105" i="14608"/>
  <c r="FV105" i="14608"/>
  <c r="FW105" i="14608"/>
  <c r="FX105" i="14608"/>
  <c r="FY105" i="14608"/>
  <c r="FZ105" i="14608"/>
  <c r="GA105" i="14608"/>
  <c r="GB105" i="14608"/>
  <c r="GC105" i="14608"/>
  <c r="GD105" i="14608"/>
  <c r="GE105" i="14608"/>
  <c r="GF105" i="14608"/>
  <c r="GG105" i="14608"/>
  <c r="GH105" i="14608"/>
  <c r="GI105" i="14608"/>
  <c r="GJ105" i="14608"/>
  <c r="GK105" i="14608"/>
  <c r="GL105" i="14608"/>
  <c r="GM105" i="14608"/>
  <c r="GN105" i="14608"/>
  <c r="GO105" i="14608"/>
  <c r="GP105" i="14608"/>
  <c r="GQ105" i="14608"/>
  <c r="GR105" i="14608"/>
  <c r="GS105" i="14608"/>
  <c r="GT105" i="14608"/>
  <c r="GU105" i="14608"/>
  <c r="GV105" i="14608"/>
  <c r="GW105" i="14608"/>
  <c r="GX105" i="14608"/>
  <c r="GY105" i="14608"/>
  <c r="GZ105" i="14608"/>
  <c r="HA105" i="14608"/>
  <c r="HB105" i="14608"/>
  <c r="HC105" i="14608"/>
  <c r="HD105" i="14608"/>
  <c r="HE105" i="14608"/>
  <c r="HF105" i="14608"/>
  <c r="HG105" i="14608"/>
  <c r="HH105" i="14608"/>
  <c r="HI105" i="14608"/>
  <c r="HJ105" i="14608"/>
  <c r="HK105" i="14608"/>
  <c r="HL105" i="14608"/>
  <c r="HM105" i="14608"/>
  <c r="HN105" i="14608"/>
  <c r="HO105" i="14608"/>
  <c r="HP105" i="14608"/>
  <c r="HQ105" i="14608"/>
  <c r="HR105" i="14608"/>
  <c r="HS105" i="14608"/>
  <c r="HT105" i="14608"/>
  <c r="HU105" i="14608"/>
  <c r="HV105" i="14608"/>
  <c r="HW105" i="14608"/>
  <c r="HX105" i="14608"/>
  <c r="HY105" i="14608"/>
  <c r="HZ105" i="14608"/>
  <c r="IA105" i="14608"/>
  <c r="IB105" i="14608"/>
  <c r="IC105" i="14608"/>
  <c r="ID105" i="14608"/>
  <c r="IE105" i="14608"/>
  <c r="IF105" i="14608"/>
  <c r="IG105" i="14608"/>
  <c r="IH105" i="14608"/>
  <c r="II105" i="14608"/>
  <c r="IJ105" i="14608"/>
  <c r="IK105" i="14608"/>
  <c r="IL105" i="14608"/>
  <c r="IM105" i="14608"/>
  <c r="IN105" i="14608"/>
  <c r="IO105" i="14608"/>
  <c r="IP105" i="14608"/>
  <c r="IQ105" i="14608"/>
  <c r="IR105" i="14608"/>
  <c r="IS105" i="14608"/>
  <c r="IT105" i="14608"/>
  <c r="IU105" i="14608"/>
  <c r="IV105" i="14608"/>
  <c r="A104" i="14608"/>
  <c r="B104" i="14608"/>
  <c r="C104" i="14608"/>
  <c r="D104" i="14608"/>
  <c r="E104" i="14608"/>
  <c r="F104" i="14608"/>
  <c r="G104" i="14608"/>
  <c r="H104" i="14608"/>
  <c r="I104" i="14608"/>
  <c r="J104" i="14608"/>
  <c r="K104" i="14608"/>
  <c r="L104" i="14608"/>
  <c r="M104" i="14608"/>
  <c r="N104" i="14608"/>
  <c r="O104" i="14608"/>
  <c r="P104" i="14608"/>
  <c r="Q104" i="14608"/>
  <c r="R104" i="14608"/>
  <c r="S104" i="14608"/>
  <c r="T104" i="14608"/>
  <c r="U104" i="14608"/>
  <c r="V104" i="14608"/>
  <c r="W104" i="14608"/>
  <c r="X104" i="14608"/>
  <c r="Y104" i="14608"/>
  <c r="Z104" i="14608"/>
  <c r="AA104" i="14608"/>
  <c r="AB104" i="14608"/>
  <c r="AC104" i="14608"/>
  <c r="AD104" i="14608"/>
  <c r="AE104" i="14608"/>
  <c r="AF104" i="14608"/>
  <c r="AG104" i="14608"/>
  <c r="AH104" i="14608"/>
  <c r="AI104" i="14608"/>
  <c r="AJ104" i="14608"/>
  <c r="AK104" i="14608"/>
  <c r="AL104" i="14608"/>
  <c r="AM104" i="14608"/>
  <c r="AN104" i="14608"/>
  <c r="AO104" i="14608"/>
  <c r="AP104" i="14608"/>
  <c r="AQ104" i="14608"/>
  <c r="AR104" i="14608"/>
  <c r="AS104" i="14608"/>
  <c r="AT104" i="14608"/>
  <c r="AU104" i="14608"/>
  <c r="AV104" i="14608"/>
  <c r="AW104" i="14608"/>
  <c r="AX104" i="14608"/>
  <c r="AY104" i="14608"/>
  <c r="AZ104" i="14608"/>
  <c r="BA104" i="14608"/>
  <c r="BB104" i="14608"/>
  <c r="BC104" i="14608"/>
  <c r="BD104" i="14608"/>
  <c r="BE104" i="14608"/>
  <c r="BF104" i="14608"/>
  <c r="BG104" i="14608"/>
  <c r="BH104" i="14608"/>
  <c r="BI104" i="14608"/>
  <c r="BJ104" i="14608"/>
  <c r="BK104" i="14608"/>
  <c r="BL104" i="14608"/>
  <c r="BM104" i="14608"/>
  <c r="BN104" i="14608"/>
  <c r="BO104" i="14608"/>
  <c r="BP104" i="14608"/>
  <c r="BQ104" i="14608"/>
  <c r="BR104" i="14608"/>
  <c r="BS104" i="14608"/>
  <c r="BT104" i="14608"/>
  <c r="BU104" i="14608"/>
  <c r="BV104" i="14608"/>
  <c r="BW104" i="14608"/>
  <c r="BX104" i="14608"/>
  <c r="BY104" i="14608"/>
  <c r="BZ104" i="14608"/>
  <c r="CA104" i="14608"/>
  <c r="CB104" i="14608"/>
  <c r="CC104" i="14608"/>
  <c r="CD104" i="14608"/>
  <c r="CE104" i="14608"/>
  <c r="CF104" i="14608"/>
  <c r="CG104" i="14608"/>
  <c r="CH104" i="14608"/>
  <c r="CI104" i="14608"/>
  <c r="CJ104" i="14608"/>
  <c r="CK104" i="14608"/>
  <c r="CL104" i="14608"/>
  <c r="CM104" i="14608"/>
  <c r="CN104" i="14608"/>
  <c r="CO104" i="14608"/>
  <c r="CP104" i="14608"/>
  <c r="CQ104" i="14608"/>
  <c r="CR104" i="14608"/>
  <c r="CS104" i="14608"/>
  <c r="CT104" i="14608"/>
  <c r="CU104" i="14608"/>
  <c r="CV104" i="14608"/>
  <c r="CW104" i="14608"/>
  <c r="CX104" i="14608"/>
  <c r="CY104" i="14608"/>
  <c r="CZ104" i="14608"/>
  <c r="DA104" i="14608"/>
  <c r="DB104" i="14608"/>
  <c r="DC104" i="14608"/>
  <c r="DD104" i="14608"/>
  <c r="DE104" i="14608"/>
  <c r="DF104" i="14608"/>
  <c r="DG104" i="14608"/>
  <c r="DH104" i="14608"/>
  <c r="DI104" i="14608"/>
  <c r="DJ104" i="14608"/>
  <c r="DK104" i="14608"/>
  <c r="DL104" i="14608"/>
  <c r="DM104" i="14608"/>
  <c r="DN104" i="14608"/>
  <c r="DO104" i="14608"/>
  <c r="DP104" i="14608"/>
  <c r="DQ104" i="14608"/>
  <c r="DR104" i="14608"/>
  <c r="DS104" i="14608"/>
  <c r="DT104" i="14608"/>
  <c r="DU104" i="14608"/>
  <c r="DV104" i="14608"/>
  <c r="DW104" i="14608"/>
  <c r="DX104" i="14608"/>
  <c r="DY104" i="14608"/>
  <c r="DZ104" i="14608"/>
  <c r="EA104" i="14608"/>
  <c r="EB104" i="14608"/>
  <c r="EC104" i="14608"/>
  <c r="ED104" i="14608"/>
  <c r="EE104" i="14608"/>
  <c r="EF104" i="14608"/>
  <c r="EG104" i="14608"/>
  <c r="EH104" i="14608"/>
  <c r="EI104" i="14608"/>
  <c r="EJ104" i="14608"/>
  <c r="EK104" i="14608"/>
  <c r="EL104" i="14608"/>
  <c r="EM104" i="14608"/>
  <c r="EN104" i="14608"/>
  <c r="EO104" i="14608"/>
  <c r="EP104" i="14608"/>
  <c r="EQ104" i="14608"/>
  <c r="ER104" i="14608"/>
  <c r="ES104" i="14608"/>
  <c r="ET104" i="14608"/>
  <c r="EU104" i="14608"/>
  <c r="EV104" i="14608"/>
  <c r="EW104" i="14608"/>
  <c r="EX104" i="14608"/>
  <c r="EY104" i="14608"/>
  <c r="EZ104" i="14608"/>
  <c r="FA104" i="14608"/>
  <c r="FB104" i="14608"/>
  <c r="FC104" i="14608"/>
  <c r="FD104" i="14608"/>
  <c r="FE104" i="14608"/>
  <c r="FF104" i="14608"/>
  <c r="FG104" i="14608"/>
  <c r="FH104" i="14608"/>
  <c r="FI104" i="14608"/>
  <c r="FJ104" i="14608"/>
  <c r="FK104" i="14608"/>
  <c r="FL104" i="14608"/>
  <c r="FM104" i="14608"/>
  <c r="FN104" i="14608"/>
  <c r="FO104" i="14608"/>
  <c r="FP104" i="14608"/>
  <c r="FQ104" i="14608"/>
  <c r="FR104" i="14608"/>
  <c r="FS104" i="14608"/>
  <c r="FT104" i="14608"/>
  <c r="FU104" i="14608"/>
  <c r="FV104" i="14608"/>
  <c r="FW104" i="14608"/>
  <c r="FX104" i="14608"/>
  <c r="FY104" i="14608"/>
  <c r="FZ104" i="14608"/>
  <c r="GA104" i="14608"/>
  <c r="GB104" i="14608"/>
  <c r="GC104" i="14608"/>
  <c r="GD104" i="14608"/>
  <c r="GE104" i="14608"/>
  <c r="GF104" i="14608"/>
  <c r="GG104" i="14608"/>
  <c r="GH104" i="14608"/>
  <c r="GI104" i="14608"/>
  <c r="GJ104" i="14608"/>
  <c r="GK104" i="14608"/>
  <c r="GL104" i="14608"/>
  <c r="GM104" i="14608"/>
  <c r="GN104" i="14608"/>
  <c r="GO104" i="14608"/>
  <c r="GP104" i="14608"/>
  <c r="GQ104" i="14608"/>
  <c r="GR104" i="14608"/>
  <c r="GS104" i="14608"/>
  <c r="GT104" i="14608"/>
  <c r="GU104" i="14608"/>
  <c r="GV104" i="14608"/>
  <c r="GW104" i="14608"/>
  <c r="GX104" i="14608"/>
  <c r="GY104" i="14608"/>
  <c r="GZ104" i="14608"/>
  <c r="HA104" i="14608"/>
  <c r="HB104" i="14608"/>
  <c r="HC104" i="14608"/>
  <c r="HD104" i="14608"/>
  <c r="HE104" i="14608"/>
  <c r="HF104" i="14608"/>
  <c r="HG104" i="14608"/>
  <c r="HH104" i="14608"/>
  <c r="HI104" i="14608"/>
  <c r="HJ104" i="14608"/>
  <c r="HK104" i="14608"/>
  <c r="HL104" i="14608"/>
  <c r="HM104" i="14608"/>
  <c r="HN104" i="14608"/>
  <c r="HO104" i="14608"/>
  <c r="HP104" i="14608"/>
  <c r="HQ104" i="14608"/>
  <c r="HR104" i="14608"/>
  <c r="HS104" i="14608"/>
  <c r="HT104" i="14608"/>
  <c r="HU104" i="14608"/>
  <c r="HV104" i="14608"/>
  <c r="HW104" i="14608"/>
  <c r="HX104" i="14608"/>
  <c r="HY104" i="14608"/>
  <c r="HZ104" i="14608"/>
  <c r="IA104" i="14608"/>
  <c r="IB104" i="14608"/>
  <c r="IC104" i="14608"/>
  <c r="ID104" i="14608"/>
  <c r="IE104" i="14608"/>
  <c r="IF104" i="14608"/>
  <c r="IG104" i="14608"/>
  <c r="IH104" i="14608"/>
  <c r="II104" i="14608"/>
  <c r="IJ104" i="14608"/>
  <c r="IK104" i="14608"/>
  <c r="IL104" i="14608"/>
  <c r="IM104" i="14608"/>
  <c r="IN104" i="14608"/>
  <c r="IO104" i="14608"/>
  <c r="IP104" i="14608"/>
  <c r="IQ104" i="14608"/>
  <c r="IR104" i="14608"/>
  <c r="IS104" i="14608"/>
  <c r="IT104" i="14608"/>
  <c r="IU104" i="14608"/>
  <c r="IV104" i="14608"/>
  <c r="A103" i="14608"/>
  <c r="B103" i="14608"/>
  <c r="C103" i="14608"/>
  <c r="D103" i="14608"/>
  <c r="E103" i="14608"/>
  <c r="F103" i="14608"/>
  <c r="G103" i="14608"/>
  <c r="H103" i="14608"/>
  <c r="I103" i="14608"/>
  <c r="J103" i="14608"/>
  <c r="K103" i="14608"/>
  <c r="L103" i="14608"/>
  <c r="M103" i="14608"/>
  <c r="N103" i="14608"/>
  <c r="O103" i="14608"/>
  <c r="P103" i="14608"/>
  <c r="Q103" i="14608"/>
  <c r="R103" i="14608"/>
  <c r="S103" i="14608"/>
  <c r="T103" i="14608"/>
  <c r="U103" i="14608"/>
  <c r="V103" i="14608"/>
  <c r="W103" i="14608"/>
  <c r="X103" i="14608"/>
  <c r="Y103" i="14608"/>
  <c r="Z103" i="14608"/>
  <c r="AA103" i="14608"/>
  <c r="AB103" i="14608"/>
  <c r="AC103" i="14608"/>
  <c r="AD103" i="14608"/>
  <c r="AE103" i="14608"/>
  <c r="AF103" i="14608"/>
  <c r="AG103" i="14608"/>
  <c r="AH103" i="14608"/>
  <c r="AI103" i="14608"/>
  <c r="AJ103" i="14608"/>
  <c r="AK103" i="14608"/>
  <c r="AL103" i="14608"/>
  <c r="AM103" i="14608"/>
  <c r="AN103" i="14608"/>
  <c r="AO103" i="14608"/>
  <c r="AP103" i="14608"/>
  <c r="AQ103" i="14608"/>
  <c r="AR103" i="14608"/>
  <c r="AS103" i="14608"/>
  <c r="AT103" i="14608"/>
  <c r="AU103" i="14608"/>
  <c r="AV103" i="14608"/>
  <c r="AW103" i="14608"/>
  <c r="AX103" i="14608"/>
  <c r="AY103" i="14608"/>
  <c r="AZ103" i="14608"/>
  <c r="BA103" i="14608"/>
  <c r="BB103" i="14608"/>
  <c r="BC103" i="14608"/>
  <c r="BD103" i="14608"/>
  <c r="BE103" i="14608"/>
  <c r="BF103" i="14608"/>
  <c r="BG103" i="14608"/>
  <c r="BH103" i="14608"/>
  <c r="BI103" i="14608"/>
  <c r="BJ103" i="14608"/>
  <c r="BK103" i="14608"/>
  <c r="BL103" i="14608"/>
  <c r="BM103" i="14608"/>
  <c r="BN103" i="14608"/>
  <c r="BO103" i="14608"/>
  <c r="BP103" i="14608"/>
  <c r="BQ103" i="14608"/>
  <c r="BR103" i="14608"/>
  <c r="BS103" i="14608"/>
  <c r="BT103" i="14608"/>
  <c r="BU103" i="14608"/>
  <c r="BV103" i="14608"/>
  <c r="BW103" i="14608"/>
  <c r="BX103" i="14608"/>
  <c r="BY103" i="14608"/>
  <c r="BZ103" i="14608"/>
  <c r="CA103" i="14608"/>
  <c r="CB103" i="14608"/>
  <c r="CC103" i="14608"/>
  <c r="CD103" i="14608"/>
  <c r="CE103" i="14608"/>
  <c r="CF103" i="14608"/>
  <c r="CG103" i="14608"/>
  <c r="CH103" i="14608"/>
  <c r="CI103" i="14608"/>
  <c r="CJ103" i="14608"/>
  <c r="CK103" i="14608"/>
  <c r="CL103" i="14608"/>
  <c r="CM103" i="14608"/>
  <c r="CN103" i="14608"/>
  <c r="CO103" i="14608"/>
  <c r="CP103" i="14608"/>
  <c r="CQ103" i="14608"/>
  <c r="CR103" i="14608"/>
  <c r="CS103" i="14608"/>
  <c r="CT103" i="14608"/>
  <c r="CU103" i="14608"/>
  <c r="CV103" i="14608"/>
  <c r="CW103" i="14608"/>
  <c r="CX103" i="14608"/>
  <c r="CY103" i="14608"/>
  <c r="CZ103" i="14608"/>
  <c r="DA103" i="14608"/>
  <c r="DB103" i="14608"/>
  <c r="DC103" i="14608"/>
  <c r="DD103" i="14608"/>
  <c r="DE103" i="14608"/>
  <c r="DF103" i="14608"/>
  <c r="DG103" i="14608"/>
  <c r="DH103" i="14608"/>
  <c r="DI103" i="14608"/>
  <c r="DJ103" i="14608"/>
  <c r="DK103" i="14608"/>
  <c r="DL103" i="14608"/>
  <c r="DM103" i="14608"/>
  <c r="DN103" i="14608"/>
  <c r="DO103" i="14608"/>
  <c r="DP103" i="14608"/>
  <c r="DQ103" i="14608"/>
  <c r="DR103" i="14608"/>
  <c r="DS103" i="14608"/>
  <c r="DT103" i="14608"/>
  <c r="DU103" i="14608"/>
  <c r="DV103" i="14608"/>
  <c r="DW103" i="14608"/>
  <c r="DX103" i="14608"/>
  <c r="DY103" i="14608"/>
  <c r="DZ103" i="14608"/>
  <c r="EA103" i="14608"/>
  <c r="EB103" i="14608"/>
  <c r="EC103" i="14608"/>
  <c r="ED103" i="14608"/>
  <c r="EE103" i="14608"/>
  <c r="EF103" i="14608"/>
  <c r="EG103" i="14608"/>
  <c r="EH103" i="14608"/>
  <c r="EI103" i="14608"/>
  <c r="EJ103" i="14608"/>
  <c r="EK103" i="14608"/>
  <c r="EL103" i="14608"/>
  <c r="EM103" i="14608"/>
  <c r="EN103" i="14608"/>
  <c r="EO103" i="14608"/>
  <c r="EP103" i="14608"/>
  <c r="EQ103" i="14608"/>
  <c r="ER103" i="14608"/>
  <c r="ES103" i="14608"/>
  <c r="ET103" i="14608"/>
  <c r="EU103" i="14608"/>
  <c r="EV103" i="14608"/>
  <c r="EW103" i="14608"/>
  <c r="EX103" i="14608"/>
  <c r="EY103" i="14608"/>
  <c r="EZ103" i="14608"/>
  <c r="FA103" i="14608"/>
  <c r="FB103" i="14608"/>
  <c r="FC103" i="14608"/>
  <c r="FD103" i="14608"/>
  <c r="FE103" i="14608"/>
  <c r="FF103" i="14608"/>
  <c r="FG103" i="14608"/>
  <c r="FH103" i="14608"/>
  <c r="FI103" i="14608"/>
  <c r="FJ103" i="14608"/>
  <c r="FK103" i="14608"/>
  <c r="FL103" i="14608"/>
  <c r="FM103" i="14608"/>
  <c r="FN103" i="14608"/>
  <c r="FO103" i="14608"/>
  <c r="FP103" i="14608"/>
  <c r="FQ103" i="14608"/>
  <c r="FR103" i="14608"/>
  <c r="FS103" i="14608"/>
  <c r="FT103" i="14608"/>
  <c r="FU103" i="14608"/>
  <c r="FV103" i="14608"/>
  <c r="FW103" i="14608"/>
  <c r="FX103" i="14608"/>
  <c r="FY103" i="14608"/>
  <c r="FZ103" i="14608"/>
  <c r="GA103" i="14608"/>
  <c r="GB103" i="14608"/>
  <c r="GC103" i="14608"/>
  <c r="GD103" i="14608"/>
  <c r="GE103" i="14608"/>
  <c r="GF103" i="14608"/>
  <c r="GG103" i="14608"/>
  <c r="GH103" i="14608"/>
  <c r="GI103" i="14608"/>
  <c r="GJ103" i="14608"/>
  <c r="GK103" i="14608"/>
  <c r="GL103" i="14608"/>
  <c r="GM103" i="14608"/>
  <c r="GN103" i="14608"/>
  <c r="GO103" i="14608"/>
  <c r="GP103" i="14608"/>
  <c r="GQ103" i="14608"/>
  <c r="GR103" i="14608"/>
  <c r="GS103" i="14608"/>
  <c r="GT103" i="14608"/>
  <c r="GU103" i="14608"/>
  <c r="GV103" i="14608"/>
  <c r="GW103" i="14608"/>
  <c r="GX103" i="14608"/>
  <c r="GY103" i="14608"/>
  <c r="GZ103" i="14608"/>
  <c r="HA103" i="14608"/>
  <c r="HB103" i="14608"/>
  <c r="HC103" i="14608"/>
  <c r="HD103" i="14608"/>
  <c r="HE103" i="14608"/>
  <c r="HF103" i="14608"/>
  <c r="HG103" i="14608"/>
  <c r="HH103" i="14608"/>
  <c r="HI103" i="14608"/>
  <c r="HJ103" i="14608"/>
  <c r="HK103" i="14608"/>
  <c r="HL103" i="14608"/>
  <c r="HM103" i="14608"/>
  <c r="HN103" i="14608"/>
  <c r="HO103" i="14608"/>
  <c r="HP103" i="14608"/>
  <c r="HQ103" i="14608"/>
  <c r="HR103" i="14608"/>
  <c r="HS103" i="14608"/>
  <c r="HT103" i="14608"/>
  <c r="HU103" i="14608"/>
  <c r="HV103" i="14608"/>
  <c r="HW103" i="14608"/>
  <c r="HX103" i="14608"/>
  <c r="HY103" i="14608"/>
  <c r="HZ103" i="14608"/>
  <c r="IA103" i="14608"/>
  <c r="IB103" i="14608"/>
  <c r="IC103" i="14608"/>
  <c r="ID103" i="14608"/>
  <c r="IE103" i="14608"/>
  <c r="IF103" i="14608"/>
  <c r="IG103" i="14608"/>
  <c r="IH103" i="14608"/>
  <c r="II103" i="14608"/>
  <c r="IJ103" i="14608"/>
  <c r="IK103" i="14608"/>
  <c r="IL103" i="14608"/>
  <c r="IM103" i="14608"/>
  <c r="IN103" i="14608"/>
  <c r="IO103" i="14608"/>
  <c r="IP103" i="14608"/>
  <c r="IQ103" i="14608"/>
  <c r="IR103" i="14608"/>
  <c r="IS103" i="14608"/>
  <c r="IT103" i="14608"/>
  <c r="IU103" i="14608"/>
  <c r="IV103" i="14608"/>
  <c r="A102" i="14608"/>
  <c r="B102" i="14608"/>
  <c r="C102" i="14608"/>
  <c r="D102" i="14608"/>
  <c r="E102" i="14608"/>
  <c r="F102" i="14608"/>
  <c r="G102" i="14608"/>
  <c r="H102" i="14608"/>
  <c r="I102" i="14608"/>
  <c r="J102" i="14608"/>
  <c r="K102" i="14608"/>
  <c r="L102" i="14608"/>
  <c r="M102" i="14608"/>
  <c r="N102" i="14608"/>
  <c r="O102" i="14608"/>
  <c r="P102" i="14608"/>
  <c r="Q102" i="14608"/>
  <c r="R102" i="14608"/>
  <c r="S102" i="14608"/>
  <c r="T102" i="14608"/>
  <c r="U102" i="14608"/>
  <c r="V102" i="14608"/>
  <c r="W102" i="14608"/>
  <c r="X102" i="14608"/>
  <c r="Y102" i="14608"/>
  <c r="Z102" i="14608"/>
  <c r="AA102" i="14608"/>
  <c r="AB102" i="14608"/>
  <c r="AC102" i="14608"/>
  <c r="AD102" i="14608"/>
  <c r="AE102" i="14608"/>
  <c r="AF102" i="14608"/>
  <c r="AG102" i="14608"/>
  <c r="AH102" i="14608"/>
  <c r="AI102" i="14608"/>
  <c r="AJ102" i="14608"/>
  <c r="AK102" i="14608"/>
  <c r="AL102" i="14608"/>
  <c r="AM102" i="14608"/>
  <c r="AN102" i="14608"/>
  <c r="AO102" i="14608"/>
  <c r="AP102" i="14608"/>
  <c r="AQ102" i="14608"/>
  <c r="AR102" i="14608"/>
  <c r="AS102" i="14608"/>
  <c r="AT102" i="14608"/>
  <c r="AU102" i="14608"/>
  <c r="AV102" i="14608"/>
  <c r="AW102" i="14608"/>
  <c r="AX102" i="14608"/>
  <c r="AY102" i="14608"/>
  <c r="AZ102" i="14608"/>
  <c r="BA102" i="14608"/>
  <c r="BB102" i="14608"/>
  <c r="BC102" i="14608"/>
  <c r="BD102" i="14608"/>
  <c r="BE102" i="14608"/>
  <c r="BF102" i="14608"/>
  <c r="BG102" i="14608"/>
  <c r="BH102" i="14608"/>
  <c r="BI102" i="14608"/>
  <c r="BJ102" i="14608"/>
  <c r="BK102" i="14608"/>
  <c r="BL102" i="14608"/>
  <c r="BM102" i="14608"/>
  <c r="BN102" i="14608"/>
  <c r="BO102" i="14608"/>
  <c r="BP102" i="14608"/>
  <c r="BQ102" i="14608"/>
  <c r="BR102" i="14608"/>
  <c r="BS102" i="14608"/>
  <c r="BT102" i="14608"/>
  <c r="BU102" i="14608"/>
  <c r="BV102" i="14608"/>
  <c r="BW102" i="14608"/>
  <c r="BX102" i="14608"/>
  <c r="BY102" i="14608"/>
  <c r="BZ102" i="14608"/>
  <c r="CA102" i="14608"/>
  <c r="CB102" i="14608"/>
  <c r="CC102" i="14608"/>
  <c r="CD102" i="14608"/>
  <c r="CE102" i="14608"/>
  <c r="CF102" i="14608"/>
  <c r="CG102" i="14608"/>
  <c r="CH102" i="14608"/>
  <c r="CI102" i="14608"/>
  <c r="CJ102" i="14608"/>
  <c r="CK102" i="14608"/>
  <c r="CL102" i="14608"/>
  <c r="CM102" i="14608"/>
  <c r="CN102" i="14608"/>
  <c r="CO102" i="14608"/>
  <c r="CP102" i="14608"/>
  <c r="CQ102" i="14608"/>
  <c r="CR102" i="14608"/>
  <c r="CS102" i="14608"/>
  <c r="CT102" i="14608"/>
  <c r="CU102" i="14608"/>
  <c r="CV102" i="14608"/>
  <c r="CW102" i="14608"/>
  <c r="CX102" i="14608"/>
  <c r="CY102" i="14608"/>
  <c r="CZ102" i="14608"/>
  <c r="DA102" i="14608"/>
  <c r="DB102" i="14608"/>
  <c r="DC102" i="14608"/>
  <c r="DD102" i="14608"/>
  <c r="DE102" i="14608"/>
  <c r="DF102" i="14608"/>
  <c r="DG102" i="14608"/>
  <c r="DH102" i="14608"/>
  <c r="DI102" i="14608"/>
  <c r="DJ102" i="14608"/>
  <c r="DK102" i="14608"/>
  <c r="DL102" i="14608"/>
  <c r="DM102" i="14608"/>
  <c r="DN102" i="14608"/>
  <c r="DO102" i="14608"/>
  <c r="DP102" i="14608"/>
  <c r="DQ102" i="14608"/>
  <c r="DR102" i="14608"/>
  <c r="DS102" i="14608"/>
  <c r="DT102" i="14608"/>
  <c r="DU102" i="14608"/>
  <c r="DV102" i="14608"/>
  <c r="DW102" i="14608"/>
  <c r="DX102" i="14608"/>
  <c r="DY102" i="14608"/>
  <c r="DZ102" i="14608"/>
  <c r="EA102" i="14608"/>
  <c r="EB102" i="14608"/>
  <c r="EC102" i="14608"/>
  <c r="ED102" i="14608"/>
  <c r="EE102" i="14608"/>
  <c r="EF102" i="14608"/>
  <c r="EG102" i="14608"/>
  <c r="EH102" i="14608"/>
  <c r="EI102" i="14608"/>
  <c r="EJ102" i="14608"/>
  <c r="EK102" i="14608"/>
  <c r="EL102" i="14608"/>
  <c r="EM102" i="14608"/>
  <c r="EN102" i="14608"/>
  <c r="EO102" i="14608"/>
  <c r="EP102" i="14608"/>
  <c r="EQ102" i="14608"/>
  <c r="ER102" i="14608"/>
  <c r="ES102" i="14608"/>
  <c r="ET102" i="14608"/>
  <c r="EU102" i="14608"/>
  <c r="EV102" i="14608"/>
  <c r="EW102" i="14608"/>
  <c r="EX102" i="14608"/>
  <c r="EY102" i="14608"/>
  <c r="EZ102" i="14608"/>
  <c r="FA102" i="14608"/>
  <c r="FB102" i="14608"/>
  <c r="FC102" i="14608"/>
  <c r="FD102" i="14608"/>
  <c r="FE102" i="14608"/>
  <c r="FF102" i="14608"/>
  <c r="FG102" i="14608"/>
  <c r="FH102" i="14608"/>
  <c r="FI102" i="14608"/>
  <c r="FJ102" i="14608"/>
  <c r="FK102" i="14608"/>
  <c r="FL102" i="14608"/>
  <c r="FM102" i="14608"/>
  <c r="FN102" i="14608"/>
  <c r="FO102" i="14608"/>
  <c r="FP102" i="14608"/>
  <c r="FQ102" i="14608"/>
  <c r="FR102" i="14608"/>
  <c r="FS102" i="14608"/>
  <c r="FT102" i="14608"/>
  <c r="FU102" i="14608"/>
  <c r="FV102" i="14608"/>
  <c r="FW102" i="14608"/>
  <c r="FX102" i="14608"/>
  <c r="FY102" i="14608"/>
  <c r="FZ102" i="14608"/>
  <c r="GA102" i="14608"/>
  <c r="GB102" i="14608"/>
  <c r="GC102" i="14608"/>
  <c r="GD102" i="14608"/>
  <c r="GE102" i="14608"/>
  <c r="GF102" i="14608"/>
  <c r="GG102" i="14608"/>
  <c r="GH102" i="14608"/>
  <c r="GI102" i="14608"/>
  <c r="GJ102" i="14608"/>
  <c r="GK102" i="14608"/>
  <c r="GL102" i="14608"/>
  <c r="GM102" i="14608"/>
  <c r="GN102" i="14608"/>
  <c r="GO102" i="14608"/>
  <c r="GP102" i="14608"/>
  <c r="GQ102" i="14608"/>
  <c r="GR102" i="14608"/>
  <c r="GS102" i="14608"/>
  <c r="GT102" i="14608"/>
  <c r="GU102" i="14608"/>
  <c r="GV102" i="14608"/>
  <c r="GW102" i="14608"/>
  <c r="GX102" i="14608"/>
  <c r="GY102" i="14608"/>
  <c r="GZ102" i="14608"/>
  <c r="HA102" i="14608"/>
  <c r="HB102" i="14608"/>
  <c r="HC102" i="14608"/>
  <c r="HD102" i="14608"/>
  <c r="HE102" i="14608"/>
  <c r="HF102" i="14608"/>
  <c r="HG102" i="14608"/>
  <c r="HH102" i="14608"/>
  <c r="HI102" i="14608"/>
  <c r="HJ102" i="14608"/>
  <c r="HK102" i="14608"/>
  <c r="HL102" i="14608"/>
  <c r="HM102" i="14608"/>
  <c r="HN102" i="14608"/>
  <c r="HO102" i="14608"/>
  <c r="HP102" i="14608"/>
  <c r="HQ102" i="14608"/>
  <c r="HR102" i="14608"/>
  <c r="HS102" i="14608"/>
  <c r="HT102" i="14608"/>
  <c r="HU102" i="14608"/>
  <c r="HV102" i="14608"/>
  <c r="HW102" i="14608"/>
  <c r="HX102" i="14608"/>
  <c r="HY102" i="14608"/>
  <c r="HZ102" i="14608"/>
  <c r="IA102" i="14608"/>
  <c r="IB102" i="14608"/>
  <c r="IC102" i="14608"/>
  <c r="ID102" i="14608"/>
  <c r="IE102" i="14608"/>
  <c r="IF102" i="14608"/>
  <c r="IG102" i="14608"/>
  <c r="IH102" i="14608"/>
  <c r="II102" i="14608"/>
  <c r="IJ102" i="14608"/>
  <c r="IK102" i="14608"/>
  <c r="IL102" i="14608"/>
  <c r="IM102" i="14608"/>
  <c r="IN102" i="14608"/>
  <c r="IO102" i="14608"/>
  <c r="IP102" i="14608"/>
  <c r="IQ102" i="14608"/>
  <c r="IR102" i="14608"/>
  <c r="IS102" i="14608"/>
  <c r="IT102" i="14608"/>
  <c r="IU102" i="14608"/>
  <c r="IV102" i="14608"/>
  <c r="A101" i="14608"/>
  <c r="B101" i="14608"/>
  <c r="C101" i="14608"/>
  <c r="D101" i="14608"/>
  <c r="E101" i="14608"/>
  <c r="F101" i="14608"/>
  <c r="G101" i="14608"/>
  <c r="H101" i="14608"/>
  <c r="I101" i="14608"/>
  <c r="J101" i="14608"/>
  <c r="K101" i="14608"/>
  <c r="L101" i="14608"/>
  <c r="M101" i="14608"/>
  <c r="N101" i="14608"/>
  <c r="O101" i="14608"/>
  <c r="P101" i="14608"/>
  <c r="Q101" i="14608"/>
  <c r="R101" i="14608"/>
  <c r="S101" i="14608"/>
  <c r="T101" i="14608"/>
  <c r="U101" i="14608"/>
  <c r="V101" i="14608"/>
  <c r="W101" i="14608"/>
  <c r="X101" i="14608"/>
  <c r="Y101" i="14608"/>
  <c r="Z101" i="14608"/>
  <c r="AA101" i="14608"/>
  <c r="AB101" i="14608"/>
  <c r="AC101" i="14608"/>
  <c r="AD101" i="14608"/>
  <c r="AE101" i="14608"/>
  <c r="AF101" i="14608"/>
  <c r="AG101" i="14608"/>
  <c r="AH101" i="14608"/>
  <c r="AI101" i="14608"/>
  <c r="AJ101" i="14608"/>
  <c r="AK101" i="14608"/>
  <c r="AL101" i="14608"/>
  <c r="AM101" i="14608"/>
  <c r="AN101" i="14608"/>
  <c r="AO101" i="14608"/>
  <c r="AP101" i="14608"/>
  <c r="AQ101" i="14608"/>
  <c r="AR101" i="14608"/>
  <c r="AS101" i="14608"/>
  <c r="AT101" i="14608"/>
  <c r="AU101" i="14608"/>
  <c r="AV101" i="14608"/>
  <c r="AW101" i="14608"/>
  <c r="AX101" i="14608"/>
  <c r="AY101" i="14608"/>
  <c r="AZ101" i="14608"/>
  <c r="BA101" i="14608"/>
  <c r="BB101" i="14608"/>
  <c r="BC101" i="14608"/>
  <c r="BD101" i="14608"/>
  <c r="BE101" i="14608"/>
  <c r="BF101" i="14608"/>
  <c r="BG101" i="14608"/>
  <c r="BH101" i="14608"/>
  <c r="BI101" i="14608"/>
  <c r="BJ101" i="14608"/>
  <c r="BK101" i="14608"/>
  <c r="BL101" i="14608"/>
  <c r="BM101" i="14608"/>
  <c r="BN101" i="14608"/>
  <c r="BO101" i="14608"/>
  <c r="BP101" i="14608"/>
  <c r="BQ101" i="14608"/>
  <c r="BR101" i="14608"/>
  <c r="BS101" i="14608"/>
  <c r="BT101" i="14608"/>
  <c r="BU101" i="14608"/>
  <c r="BV101" i="14608"/>
  <c r="BW101" i="14608"/>
  <c r="BX101" i="14608"/>
  <c r="BY101" i="14608"/>
  <c r="BZ101" i="14608"/>
  <c r="CA101" i="14608"/>
  <c r="CB101" i="14608"/>
  <c r="CC101" i="14608"/>
  <c r="CD101" i="14608"/>
  <c r="CE101" i="14608"/>
  <c r="CF101" i="14608"/>
  <c r="CG101" i="14608"/>
  <c r="CH101" i="14608"/>
  <c r="CI101" i="14608"/>
  <c r="CJ101" i="14608"/>
  <c r="CK101" i="14608"/>
  <c r="CL101" i="14608"/>
  <c r="CM101" i="14608"/>
  <c r="CN101" i="14608"/>
  <c r="CO101" i="14608"/>
  <c r="CP101" i="14608"/>
  <c r="CQ101" i="14608"/>
  <c r="CR101" i="14608"/>
  <c r="CS101" i="14608"/>
  <c r="CT101" i="14608"/>
  <c r="CU101" i="14608"/>
  <c r="CV101" i="14608"/>
  <c r="CW101" i="14608"/>
  <c r="CX101" i="14608"/>
  <c r="CY101" i="14608"/>
  <c r="CZ101" i="14608"/>
  <c r="DA101" i="14608"/>
  <c r="DB101" i="14608"/>
  <c r="DC101" i="14608"/>
  <c r="DD101" i="14608"/>
  <c r="DE101" i="14608"/>
  <c r="DF101" i="14608"/>
  <c r="DG101" i="14608"/>
  <c r="DH101" i="14608"/>
  <c r="DI101" i="14608"/>
  <c r="DJ101" i="14608"/>
  <c r="DK101" i="14608"/>
  <c r="DL101" i="14608"/>
  <c r="DM101" i="14608"/>
  <c r="DN101" i="14608"/>
  <c r="DO101" i="14608"/>
  <c r="DP101" i="14608"/>
  <c r="DQ101" i="14608"/>
  <c r="DR101" i="14608"/>
  <c r="DS101" i="14608"/>
  <c r="DT101" i="14608"/>
  <c r="DU101" i="14608"/>
  <c r="DV101" i="14608"/>
  <c r="DW101" i="14608"/>
  <c r="DX101" i="14608"/>
  <c r="DY101" i="14608"/>
  <c r="DZ101" i="14608"/>
  <c r="EA101" i="14608"/>
  <c r="EB101" i="14608"/>
  <c r="EC101" i="14608"/>
  <c r="ED101" i="14608"/>
  <c r="EE101" i="14608"/>
  <c r="EF101" i="14608"/>
  <c r="EG101" i="14608"/>
  <c r="EH101" i="14608"/>
  <c r="EI101" i="14608"/>
  <c r="EJ101" i="14608"/>
  <c r="EK101" i="14608"/>
  <c r="EL101" i="14608"/>
  <c r="EM101" i="14608"/>
  <c r="EN101" i="14608"/>
  <c r="EO101" i="14608"/>
  <c r="EP101" i="14608"/>
  <c r="EQ101" i="14608"/>
  <c r="ER101" i="14608"/>
  <c r="ES101" i="14608"/>
  <c r="ET101" i="14608"/>
  <c r="EU101" i="14608"/>
  <c r="EV101" i="14608"/>
  <c r="EW101" i="14608"/>
  <c r="EX101" i="14608"/>
  <c r="EY101" i="14608"/>
  <c r="EZ101" i="14608"/>
  <c r="FA101" i="14608"/>
  <c r="FB101" i="14608"/>
  <c r="FC101" i="14608"/>
  <c r="FD101" i="14608"/>
  <c r="FE101" i="14608"/>
  <c r="FF101" i="14608"/>
  <c r="FG101" i="14608"/>
  <c r="FH101" i="14608"/>
  <c r="FI101" i="14608"/>
  <c r="FJ101" i="14608"/>
  <c r="FK101" i="14608"/>
  <c r="FL101" i="14608"/>
  <c r="FM101" i="14608"/>
  <c r="FN101" i="14608"/>
  <c r="FO101" i="14608"/>
  <c r="FP101" i="14608"/>
  <c r="FQ101" i="14608"/>
  <c r="FR101" i="14608"/>
  <c r="FS101" i="14608"/>
  <c r="FT101" i="14608"/>
  <c r="FU101" i="14608"/>
  <c r="FV101" i="14608"/>
  <c r="FW101" i="14608"/>
  <c r="FX101" i="14608"/>
  <c r="FY101" i="14608"/>
  <c r="FZ101" i="14608"/>
  <c r="GA101" i="14608"/>
  <c r="GB101" i="14608"/>
  <c r="GC101" i="14608"/>
  <c r="GD101" i="14608"/>
  <c r="GE101" i="14608"/>
  <c r="GF101" i="14608"/>
  <c r="GG101" i="14608"/>
  <c r="GH101" i="14608"/>
  <c r="GI101" i="14608"/>
  <c r="GJ101" i="14608"/>
  <c r="GK101" i="14608"/>
  <c r="GL101" i="14608"/>
  <c r="GM101" i="14608"/>
  <c r="GN101" i="14608"/>
  <c r="GO101" i="14608"/>
  <c r="GP101" i="14608"/>
  <c r="GQ101" i="14608"/>
  <c r="GR101" i="14608"/>
  <c r="GS101" i="14608"/>
  <c r="GT101" i="14608"/>
  <c r="GU101" i="14608"/>
  <c r="GV101" i="14608"/>
  <c r="GW101" i="14608"/>
  <c r="GX101" i="14608"/>
  <c r="GY101" i="14608"/>
  <c r="GZ101" i="14608"/>
  <c r="HA101" i="14608"/>
  <c r="HB101" i="14608"/>
  <c r="HC101" i="14608"/>
  <c r="HD101" i="14608"/>
  <c r="HE101" i="14608"/>
  <c r="HF101" i="14608"/>
  <c r="HG101" i="14608"/>
  <c r="HH101" i="14608"/>
  <c r="HI101" i="14608"/>
  <c r="HJ101" i="14608"/>
  <c r="HK101" i="14608"/>
  <c r="HL101" i="14608"/>
  <c r="HM101" i="14608"/>
  <c r="HN101" i="14608"/>
  <c r="HO101" i="14608"/>
  <c r="HP101" i="14608"/>
  <c r="HQ101" i="14608"/>
  <c r="HR101" i="14608"/>
  <c r="HS101" i="14608"/>
  <c r="HT101" i="14608"/>
  <c r="HU101" i="14608"/>
  <c r="HV101" i="14608"/>
  <c r="HW101" i="14608"/>
  <c r="HX101" i="14608"/>
  <c r="HY101" i="14608"/>
  <c r="HZ101" i="14608"/>
  <c r="IA101" i="14608"/>
  <c r="IB101" i="14608"/>
  <c r="IC101" i="14608"/>
  <c r="ID101" i="14608"/>
  <c r="IE101" i="14608"/>
  <c r="IF101" i="14608"/>
  <c r="IG101" i="14608"/>
  <c r="IH101" i="14608"/>
  <c r="II101" i="14608"/>
  <c r="IJ101" i="14608"/>
  <c r="IK101" i="14608"/>
  <c r="IL101" i="14608"/>
  <c r="IM101" i="14608"/>
  <c r="IN101" i="14608"/>
  <c r="IO101" i="14608"/>
  <c r="IP101" i="14608"/>
  <c r="IQ101" i="14608"/>
  <c r="IR101" i="14608"/>
  <c r="IS101" i="14608"/>
  <c r="IT101" i="14608"/>
  <c r="IU101" i="14608"/>
  <c r="IV101" i="14608"/>
  <c r="A100" i="14608"/>
  <c r="B100" i="14608"/>
  <c r="C100" i="14608"/>
  <c r="D100" i="14608"/>
  <c r="E100" i="14608"/>
  <c r="F100" i="14608"/>
  <c r="G100" i="14608"/>
  <c r="H100" i="14608"/>
  <c r="I100" i="14608"/>
  <c r="J100" i="14608"/>
  <c r="K100" i="14608"/>
  <c r="L100" i="14608"/>
  <c r="M100" i="14608"/>
  <c r="N100" i="14608"/>
  <c r="O100" i="14608"/>
  <c r="P100" i="14608"/>
  <c r="Q100" i="14608"/>
  <c r="R100" i="14608"/>
  <c r="S100" i="14608"/>
  <c r="T100" i="14608"/>
  <c r="U100" i="14608"/>
  <c r="V100" i="14608"/>
  <c r="W100" i="14608"/>
  <c r="X100" i="14608"/>
  <c r="Y100" i="14608"/>
  <c r="Z100" i="14608"/>
  <c r="AA100" i="14608"/>
  <c r="AB100" i="14608"/>
  <c r="AC100" i="14608"/>
  <c r="AD100" i="14608"/>
  <c r="AE100" i="14608"/>
  <c r="AF100" i="14608"/>
  <c r="AG100" i="14608"/>
  <c r="AH100" i="14608"/>
  <c r="AI100" i="14608"/>
  <c r="AJ100" i="14608"/>
  <c r="AK100" i="14608"/>
  <c r="AL100" i="14608"/>
  <c r="AM100" i="14608"/>
  <c r="AN100" i="14608"/>
  <c r="AO100" i="14608"/>
  <c r="AP100" i="14608"/>
  <c r="AQ100" i="14608"/>
  <c r="AR100" i="14608"/>
  <c r="AS100" i="14608"/>
  <c r="AT100" i="14608"/>
  <c r="AU100" i="14608"/>
  <c r="AV100" i="14608"/>
  <c r="AW100" i="14608"/>
  <c r="AX100" i="14608"/>
  <c r="AY100" i="14608"/>
  <c r="AZ100" i="14608"/>
  <c r="BA100" i="14608"/>
  <c r="BB100" i="14608"/>
  <c r="BC100" i="14608"/>
  <c r="BD100" i="14608"/>
  <c r="BE100" i="14608"/>
  <c r="BF100" i="14608"/>
  <c r="BG100" i="14608"/>
  <c r="BH100" i="14608"/>
  <c r="BI100" i="14608"/>
  <c r="BJ100" i="14608"/>
  <c r="BK100" i="14608"/>
  <c r="BL100" i="14608"/>
  <c r="BM100" i="14608"/>
  <c r="BN100" i="14608"/>
  <c r="BO100" i="14608"/>
  <c r="BP100" i="14608"/>
  <c r="BQ100" i="14608"/>
  <c r="BR100" i="14608"/>
  <c r="BS100" i="14608"/>
  <c r="BT100" i="14608"/>
  <c r="BU100" i="14608"/>
  <c r="BV100" i="14608"/>
  <c r="BW100" i="14608"/>
  <c r="BX100" i="14608"/>
  <c r="BY100" i="14608"/>
  <c r="BZ100" i="14608"/>
  <c r="CA100" i="14608"/>
  <c r="CB100" i="14608"/>
  <c r="CC100" i="14608"/>
  <c r="CD100" i="14608"/>
  <c r="CE100" i="14608"/>
  <c r="CF100" i="14608"/>
  <c r="CG100" i="14608"/>
  <c r="CH100" i="14608"/>
  <c r="CI100" i="14608"/>
  <c r="CJ100" i="14608"/>
  <c r="CK100" i="14608"/>
  <c r="CL100" i="14608"/>
  <c r="CM100" i="14608"/>
  <c r="CN100" i="14608"/>
  <c r="CO100" i="14608"/>
  <c r="CP100" i="14608"/>
  <c r="CQ100" i="14608"/>
  <c r="CR100" i="14608"/>
  <c r="CS100" i="14608"/>
  <c r="CT100" i="14608"/>
  <c r="CU100" i="14608"/>
  <c r="CV100" i="14608"/>
  <c r="CW100" i="14608"/>
  <c r="CX100" i="14608"/>
  <c r="CY100" i="14608"/>
  <c r="CZ100" i="14608"/>
  <c r="DA100" i="14608"/>
  <c r="DB100" i="14608"/>
  <c r="DC100" i="14608"/>
  <c r="DD100" i="14608"/>
  <c r="DE100" i="14608"/>
  <c r="DF100" i="14608"/>
  <c r="DG100" i="14608"/>
  <c r="DH100" i="14608"/>
  <c r="DI100" i="14608"/>
  <c r="DJ100" i="14608"/>
  <c r="DK100" i="14608"/>
  <c r="DL100" i="14608"/>
  <c r="DM100" i="14608"/>
  <c r="DN100" i="14608"/>
  <c r="DO100" i="14608"/>
  <c r="DP100" i="14608"/>
  <c r="DQ100" i="14608"/>
  <c r="DR100" i="14608"/>
  <c r="DS100" i="14608"/>
  <c r="DT100" i="14608"/>
  <c r="DU100" i="14608"/>
  <c r="DV100" i="14608"/>
  <c r="DW100" i="14608"/>
  <c r="DX100" i="14608"/>
  <c r="DY100" i="14608"/>
  <c r="DZ100" i="14608"/>
  <c r="EA100" i="14608"/>
  <c r="EB100" i="14608"/>
  <c r="EC100" i="14608"/>
  <c r="ED100" i="14608"/>
  <c r="EE100" i="14608"/>
  <c r="EF100" i="14608"/>
  <c r="EG100" i="14608"/>
  <c r="EH100" i="14608"/>
  <c r="EI100" i="14608"/>
  <c r="EJ100" i="14608"/>
  <c r="EK100" i="14608"/>
  <c r="EL100" i="14608"/>
  <c r="EM100" i="14608"/>
  <c r="EN100" i="14608"/>
  <c r="EO100" i="14608"/>
  <c r="EP100" i="14608"/>
  <c r="EQ100" i="14608"/>
  <c r="ER100" i="14608"/>
  <c r="ES100" i="14608"/>
  <c r="ET100" i="14608"/>
  <c r="EU100" i="14608"/>
  <c r="EV100" i="14608"/>
  <c r="EW100" i="14608"/>
  <c r="EX100" i="14608"/>
  <c r="EY100" i="14608"/>
  <c r="EZ100" i="14608"/>
  <c r="FA100" i="14608"/>
  <c r="FB100" i="14608"/>
  <c r="FC100" i="14608"/>
  <c r="FD100" i="14608"/>
  <c r="FE100" i="14608"/>
  <c r="FF100" i="14608"/>
  <c r="FG100" i="14608"/>
  <c r="FH100" i="14608"/>
  <c r="FI100" i="14608"/>
  <c r="FJ100" i="14608"/>
  <c r="FK100" i="14608"/>
  <c r="FL100" i="14608"/>
  <c r="FM100" i="14608"/>
  <c r="FN100" i="14608"/>
  <c r="FO100" i="14608"/>
  <c r="FP100" i="14608"/>
  <c r="FQ100" i="14608"/>
  <c r="FR100" i="14608"/>
  <c r="FS100" i="14608"/>
  <c r="FT100" i="14608"/>
  <c r="FU100" i="14608"/>
  <c r="FV100" i="14608"/>
  <c r="FW100" i="14608"/>
  <c r="FX100" i="14608"/>
  <c r="FY100" i="14608"/>
  <c r="FZ100" i="14608"/>
  <c r="GA100" i="14608"/>
  <c r="GB100" i="14608"/>
  <c r="GC100" i="14608"/>
  <c r="GD100" i="14608"/>
  <c r="GE100" i="14608"/>
  <c r="GF100" i="14608"/>
  <c r="GG100" i="14608"/>
  <c r="GH100" i="14608"/>
  <c r="GI100" i="14608"/>
  <c r="GJ100" i="14608"/>
  <c r="GK100" i="14608"/>
  <c r="GL100" i="14608"/>
  <c r="GM100" i="14608"/>
  <c r="GN100" i="14608"/>
  <c r="GO100" i="14608"/>
  <c r="GP100" i="14608"/>
  <c r="GQ100" i="14608"/>
  <c r="GR100" i="14608"/>
  <c r="GS100" i="14608"/>
  <c r="GT100" i="14608"/>
  <c r="GU100" i="14608"/>
  <c r="GV100" i="14608"/>
  <c r="GW100" i="14608"/>
  <c r="GX100" i="14608"/>
  <c r="GY100" i="14608"/>
  <c r="GZ100" i="14608"/>
  <c r="HA100" i="14608"/>
  <c r="HB100" i="14608"/>
  <c r="HC100" i="14608"/>
  <c r="HD100" i="14608"/>
  <c r="HE100" i="14608"/>
  <c r="HF100" i="14608"/>
  <c r="HG100" i="14608"/>
  <c r="HH100" i="14608"/>
  <c r="HI100" i="14608"/>
  <c r="HJ100" i="14608"/>
  <c r="HK100" i="14608"/>
  <c r="HL100" i="14608"/>
  <c r="HM100" i="14608"/>
  <c r="HN100" i="14608"/>
  <c r="HO100" i="14608"/>
  <c r="HP100" i="14608"/>
  <c r="HQ100" i="14608"/>
  <c r="HR100" i="14608"/>
  <c r="HS100" i="14608"/>
  <c r="HT100" i="14608"/>
  <c r="HU100" i="14608"/>
  <c r="HV100" i="14608"/>
  <c r="HW100" i="14608"/>
  <c r="HX100" i="14608"/>
  <c r="HY100" i="14608"/>
  <c r="HZ100" i="14608"/>
  <c r="IA100" i="14608"/>
  <c r="IB100" i="14608"/>
  <c r="IC100" i="14608"/>
  <c r="ID100" i="14608"/>
  <c r="IE100" i="14608"/>
  <c r="IF100" i="14608"/>
  <c r="IG100" i="14608"/>
  <c r="IH100" i="14608"/>
  <c r="II100" i="14608"/>
  <c r="IJ100" i="14608"/>
  <c r="IK100" i="14608"/>
  <c r="IL100" i="14608"/>
  <c r="IM100" i="14608"/>
  <c r="IN100" i="14608"/>
  <c r="IO100" i="14608"/>
  <c r="IP100" i="14608"/>
  <c r="IQ100" i="14608"/>
  <c r="IR100" i="14608"/>
  <c r="IS100" i="14608"/>
  <c r="IT100" i="14608"/>
  <c r="IU100" i="14608"/>
  <c r="IV100" i="14608"/>
  <c r="A99" i="14608"/>
  <c r="B99" i="14608"/>
  <c r="C99" i="14608"/>
  <c r="D99" i="14608"/>
  <c r="E99" i="14608"/>
  <c r="F99" i="14608"/>
  <c r="G99" i="14608"/>
  <c r="H99" i="14608"/>
  <c r="I99" i="14608"/>
  <c r="J99" i="14608"/>
  <c r="K99" i="14608"/>
  <c r="L99" i="14608"/>
  <c r="M99" i="14608"/>
  <c r="N99" i="14608"/>
  <c r="O99" i="14608"/>
  <c r="P99" i="14608"/>
  <c r="Q99" i="14608"/>
  <c r="R99" i="14608"/>
  <c r="S99" i="14608"/>
  <c r="T99" i="14608"/>
  <c r="U99" i="14608"/>
  <c r="V99" i="14608"/>
  <c r="W99" i="14608"/>
  <c r="X99" i="14608"/>
  <c r="Y99" i="14608"/>
  <c r="Z99" i="14608"/>
  <c r="AA99" i="14608"/>
  <c r="AB99" i="14608"/>
  <c r="AC99" i="14608"/>
  <c r="AD99" i="14608"/>
  <c r="AE99" i="14608"/>
  <c r="AF99" i="14608"/>
  <c r="AG99" i="14608"/>
  <c r="AH99" i="14608"/>
  <c r="AI99" i="14608"/>
  <c r="AJ99" i="14608"/>
  <c r="AK99" i="14608"/>
  <c r="AL99" i="14608"/>
  <c r="AM99" i="14608"/>
  <c r="AN99" i="14608"/>
  <c r="AO99" i="14608"/>
  <c r="AP99" i="14608"/>
  <c r="AQ99" i="14608"/>
  <c r="AR99" i="14608"/>
  <c r="AS99" i="14608"/>
  <c r="AT99" i="14608"/>
  <c r="AU99" i="14608"/>
  <c r="AV99" i="14608"/>
  <c r="AW99" i="14608"/>
  <c r="AX99" i="14608"/>
  <c r="AY99" i="14608"/>
  <c r="AZ99" i="14608"/>
  <c r="BA99" i="14608"/>
  <c r="BB99" i="14608"/>
  <c r="BC99" i="14608"/>
  <c r="BD99" i="14608"/>
  <c r="BE99" i="14608"/>
  <c r="BF99" i="14608"/>
  <c r="BG99" i="14608"/>
  <c r="BH99" i="14608"/>
  <c r="BI99" i="14608"/>
  <c r="BJ99" i="14608"/>
  <c r="BK99" i="14608"/>
  <c r="BL99" i="14608"/>
  <c r="BM99" i="14608"/>
  <c r="BN99" i="14608"/>
  <c r="BO99" i="14608"/>
  <c r="BP99" i="14608"/>
  <c r="BQ99" i="14608"/>
  <c r="BR99" i="14608"/>
  <c r="BS99" i="14608"/>
  <c r="BT99" i="14608"/>
  <c r="BU99" i="14608"/>
  <c r="BV99" i="14608"/>
  <c r="BW99" i="14608"/>
  <c r="BX99" i="14608"/>
  <c r="BY99" i="14608"/>
  <c r="BZ99" i="14608"/>
  <c r="CA99" i="14608"/>
  <c r="CB99" i="14608"/>
  <c r="CC99" i="14608"/>
  <c r="CD99" i="14608"/>
  <c r="CE99" i="14608"/>
  <c r="CF99" i="14608"/>
  <c r="CG99" i="14608"/>
  <c r="CH99" i="14608"/>
  <c r="CI99" i="14608"/>
  <c r="CJ99" i="14608"/>
  <c r="CK99" i="14608"/>
  <c r="CL99" i="14608"/>
  <c r="CM99" i="14608"/>
  <c r="CN99" i="14608"/>
  <c r="CO99" i="14608"/>
  <c r="CP99" i="14608"/>
  <c r="CQ99" i="14608"/>
  <c r="CR99" i="14608"/>
  <c r="CS99" i="14608"/>
  <c r="CT99" i="14608"/>
  <c r="CU99" i="14608"/>
  <c r="CV99" i="14608"/>
  <c r="CW99" i="14608"/>
  <c r="CX99" i="14608"/>
  <c r="CY99" i="14608"/>
  <c r="CZ99" i="14608"/>
  <c r="DA99" i="14608"/>
  <c r="DB99" i="14608"/>
  <c r="DC99" i="14608"/>
  <c r="DD99" i="14608"/>
  <c r="DE99" i="14608"/>
  <c r="DF99" i="14608"/>
  <c r="DG99" i="14608"/>
  <c r="DH99" i="14608"/>
  <c r="DI99" i="14608"/>
  <c r="DJ99" i="14608"/>
  <c r="DK99" i="14608"/>
  <c r="DL99" i="14608"/>
  <c r="DM99" i="14608"/>
  <c r="DN99" i="14608"/>
  <c r="DO99" i="14608"/>
  <c r="DP99" i="14608"/>
  <c r="DQ99" i="14608"/>
  <c r="DR99" i="14608"/>
  <c r="DS99" i="14608"/>
  <c r="DT99" i="14608"/>
  <c r="DU99" i="14608"/>
  <c r="DV99" i="14608"/>
  <c r="DW99" i="14608"/>
  <c r="DX99" i="14608"/>
  <c r="DY99" i="14608"/>
  <c r="DZ99" i="14608"/>
  <c r="EA99" i="14608"/>
  <c r="EB99" i="14608"/>
  <c r="EC99" i="14608"/>
  <c r="ED99" i="14608"/>
  <c r="EE99" i="14608"/>
  <c r="EF99" i="14608"/>
  <c r="EG99" i="14608"/>
  <c r="EH99" i="14608"/>
  <c r="EI99" i="14608"/>
  <c r="EJ99" i="14608"/>
  <c r="EK99" i="14608"/>
  <c r="EL99" i="14608"/>
  <c r="EM99" i="14608"/>
  <c r="EN99" i="14608"/>
  <c r="EO99" i="14608"/>
  <c r="EP99" i="14608"/>
  <c r="EQ99" i="14608"/>
  <c r="ER99" i="14608"/>
  <c r="ES99" i="14608"/>
  <c r="ET99" i="14608"/>
  <c r="EU99" i="14608"/>
  <c r="EV99" i="14608"/>
  <c r="EW99" i="14608"/>
  <c r="EX99" i="14608"/>
  <c r="EY99" i="14608"/>
  <c r="EZ99" i="14608"/>
  <c r="FA99" i="14608"/>
  <c r="FB99" i="14608"/>
  <c r="FC99" i="14608"/>
  <c r="FD99" i="14608"/>
  <c r="FE99" i="14608"/>
  <c r="FF99" i="14608"/>
  <c r="FG99" i="14608"/>
  <c r="FH99" i="14608"/>
  <c r="FI99" i="14608"/>
  <c r="FJ99" i="14608"/>
  <c r="FK99" i="14608"/>
  <c r="FL99" i="14608"/>
  <c r="FM99" i="14608"/>
  <c r="FN99" i="14608"/>
  <c r="FO99" i="14608"/>
  <c r="FP99" i="14608"/>
  <c r="FQ99" i="14608"/>
  <c r="FR99" i="14608"/>
  <c r="FS99" i="14608"/>
  <c r="FT99" i="14608"/>
  <c r="FU99" i="14608"/>
  <c r="FV99" i="14608"/>
  <c r="FW99" i="14608"/>
  <c r="FX99" i="14608"/>
  <c r="FY99" i="14608"/>
  <c r="FZ99" i="14608"/>
  <c r="GA99" i="14608"/>
  <c r="GB99" i="14608"/>
  <c r="GC99" i="14608"/>
  <c r="GD99" i="14608"/>
  <c r="GE99" i="14608"/>
  <c r="GF99" i="14608"/>
  <c r="GG99" i="14608"/>
  <c r="GH99" i="14608"/>
  <c r="GI99" i="14608"/>
  <c r="GJ99" i="14608"/>
  <c r="GK99" i="14608"/>
  <c r="GL99" i="14608"/>
  <c r="GM99" i="14608"/>
  <c r="GN99" i="14608"/>
  <c r="GO99" i="14608"/>
  <c r="GP99" i="14608"/>
  <c r="GQ99" i="14608"/>
  <c r="GR99" i="14608"/>
  <c r="GS99" i="14608"/>
  <c r="GT99" i="14608"/>
  <c r="GU99" i="14608"/>
  <c r="GV99" i="14608"/>
  <c r="GW99" i="14608"/>
  <c r="GX99" i="14608"/>
  <c r="GY99" i="14608"/>
  <c r="GZ99" i="14608"/>
  <c r="HA99" i="14608"/>
  <c r="HB99" i="14608"/>
  <c r="HC99" i="14608"/>
  <c r="HD99" i="14608"/>
  <c r="HE99" i="14608"/>
  <c r="HF99" i="14608"/>
  <c r="HG99" i="14608"/>
  <c r="HH99" i="14608"/>
  <c r="HI99" i="14608"/>
  <c r="HJ99" i="14608"/>
  <c r="HK99" i="14608"/>
  <c r="HL99" i="14608"/>
  <c r="HM99" i="14608"/>
  <c r="HN99" i="14608"/>
  <c r="HO99" i="14608"/>
  <c r="HP99" i="14608"/>
  <c r="HQ99" i="14608"/>
  <c r="HR99" i="14608"/>
  <c r="HS99" i="14608"/>
  <c r="HT99" i="14608"/>
  <c r="HU99" i="14608"/>
  <c r="HV99" i="14608"/>
  <c r="HW99" i="14608"/>
  <c r="HX99" i="14608"/>
  <c r="HY99" i="14608"/>
  <c r="HZ99" i="14608"/>
  <c r="IA99" i="14608"/>
  <c r="IB99" i="14608"/>
  <c r="IC99" i="14608"/>
  <c r="ID99" i="14608"/>
  <c r="IE99" i="14608"/>
  <c r="IF99" i="14608"/>
  <c r="IG99" i="14608"/>
  <c r="IH99" i="14608"/>
  <c r="II99" i="14608"/>
  <c r="IJ99" i="14608"/>
  <c r="IK99" i="14608"/>
  <c r="IL99" i="14608"/>
  <c r="IM99" i="14608"/>
  <c r="IN99" i="14608"/>
  <c r="IO99" i="14608"/>
  <c r="IP99" i="14608"/>
  <c r="IQ99" i="14608"/>
  <c r="IR99" i="14608"/>
  <c r="IS99" i="14608"/>
  <c r="IT99" i="14608"/>
  <c r="IU99" i="14608"/>
  <c r="IV99" i="14608"/>
  <c r="A98" i="14608"/>
  <c r="B98" i="14608"/>
  <c r="C98" i="14608"/>
  <c r="D98" i="14608"/>
  <c r="E98" i="14608"/>
  <c r="F98" i="14608"/>
  <c r="G98" i="14608"/>
  <c r="H98" i="14608"/>
  <c r="I98" i="14608"/>
  <c r="J98" i="14608"/>
  <c r="K98" i="14608"/>
  <c r="L98" i="14608"/>
  <c r="M98" i="14608"/>
  <c r="N98" i="14608"/>
  <c r="O98" i="14608"/>
  <c r="P98" i="14608"/>
  <c r="Q98" i="14608"/>
  <c r="R98" i="14608"/>
  <c r="S98" i="14608"/>
  <c r="T98" i="14608"/>
  <c r="U98" i="14608"/>
  <c r="V98" i="14608"/>
  <c r="W98" i="14608"/>
  <c r="X98" i="14608"/>
  <c r="Y98" i="14608"/>
  <c r="Z98" i="14608"/>
  <c r="AA98" i="14608"/>
  <c r="AB98" i="14608"/>
  <c r="AC98" i="14608"/>
  <c r="AD98" i="14608"/>
  <c r="AE98" i="14608"/>
  <c r="AF98" i="14608"/>
  <c r="AG98" i="14608"/>
  <c r="AH98" i="14608"/>
  <c r="AI98" i="14608"/>
  <c r="AJ98" i="14608"/>
  <c r="AK98" i="14608"/>
  <c r="AL98" i="14608"/>
  <c r="AM98" i="14608"/>
  <c r="AN98" i="14608"/>
  <c r="AO98" i="14608"/>
  <c r="AP98" i="14608"/>
  <c r="AQ98" i="14608"/>
  <c r="AR98" i="14608"/>
  <c r="AS98" i="14608"/>
  <c r="AT98" i="14608"/>
  <c r="AU98" i="14608"/>
  <c r="AV98" i="14608"/>
  <c r="AW98" i="14608"/>
  <c r="AX98" i="14608"/>
  <c r="AY98" i="14608"/>
  <c r="AZ98" i="14608"/>
  <c r="BA98" i="14608"/>
  <c r="BB98" i="14608"/>
  <c r="BC98" i="14608"/>
  <c r="BD98" i="14608"/>
  <c r="BE98" i="14608"/>
  <c r="BF98" i="14608"/>
  <c r="BG98" i="14608"/>
  <c r="BH98" i="14608"/>
  <c r="BI98" i="14608"/>
  <c r="BJ98" i="14608"/>
  <c r="BK98" i="14608"/>
  <c r="BL98" i="14608"/>
  <c r="BM98" i="14608"/>
  <c r="BN98" i="14608"/>
  <c r="BO98" i="14608"/>
  <c r="BP98" i="14608"/>
  <c r="BQ98" i="14608"/>
  <c r="BR98" i="14608"/>
  <c r="BS98" i="14608"/>
  <c r="BT98" i="14608"/>
  <c r="BU98" i="14608"/>
  <c r="BV98" i="14608"/>
  <c r="BW98" i="14608"/>
  <c r="BX98" i="14608"/>
  <c r="BY98" i="14608"/>
  <c r="BZ98" i="14608"/>
  <c r="CA98" i="14608"/>
  <c r="CB98" i="14608"/>
  <c r="CC98" i="14608"/>
  <c r="CD98" i="14608"/>
  <c r="CE98" i="14608"/>
  <c r="CF98" i="14608"/>
  <c r="CG98" i="14608"/>
  <c r="CH98" i="14608"/>
  <c r="CI98" i="14608"/>
  <c r="CJ98" i="14608"/>
  <c r="CK98" i="14608"/>
  <c r="CL98" i="14608"/>
  <c r="CM98" i="14608"/>
  <c r="CN98" i="14608"/>
  <c r="CO98" i="14608"/>
  <c r="CP98" i="14608"/>
  <c r="CQ98" i="14608"/>
  <c r="CR98" i="14608"/>
  <c r="CS98" i="14608"/>
  <c r="CT98" i="14608"/>
  <c r="CU98" i="14608"/>
  <c r="CV98" i="14608"/>
  <c r="CW98" i="14608"/>
  <c r="CX98" i="14608"/>
  <c r="CY98" i="14608"/>
  <c r="CZ98" i="14608"/>
  <c r="DA98" i="14608"/>
  <c r="DB98" i="14608"/>
  <c r="DC98" i="14608"/>
  <c r="DD98" i="14608"/>
  <c r="DE98" i="14608"/>
  <c r="DF98" i="14608"/>
  <c r="DG98" i="14608"/>
  <c r="DH98" i="14608"/>
  <c r="DI98" i="14608"/>
  <c r="DJ98" i="14608"/>
  <c r="DK98" i="14608"/>
  <c r="DL98" i="14608"/>
  <c r="DM98" i="14608"/>
  <c r="DN98" i="14608"/>
  <c r="DO98" i="14608"/>
  <c r="DP98" i="14608"/>
  <c r="DQ98" i="14608"/>
  <c r="DR98" i="14608"/>
  <c r="DS98" i="14608"/>
  <c r="DT98" i="14608"/>
  <c r="DU98" i="14608"/>
  <c r="DV98" i="14608"/>
  <c r="DW98" i="14608"/>
  <c r="DX98" i="14608"/>
  <c r="DY98" i="14608"/>
  <c r="DZ98" i="14608"/>
  <c r="EA98" i="14608"/>
  <c r="EB98" i="14608"/>
  <c r="EC98" i="14608"/>
  <c r="ED98" i="14608"/>
  <c r="EE98" i="14608"/>
  <c r="EF98" i="14608"/>
  <c r="EG98" i="14608"/>
  <c r="EH98" i="14608"/>
  <c r="EI98" i="14608"/>
  <c r="EJ98" i="14608"/>
  <c r="EK98" i="14608"/>
  <c r="EL98" i="14608"/>
  <c r="EM98" i="14608"/>
  <c r="EN98" i="14608"/>
  <c r="EO98" i="14608"/>
  <c r="EP98" i="14608"/>
  <c r="EQ98" i="14608"/>
  <c r="ER98" i="14608"/>
  <c r="ES98" i="14608"/>
  <c r="ET98" i="14608"/>
  <c r="EU98" i="14608"/>
  <c r="EV98" i="14608"/>
  <c r="EW98" i="14608"/>
  <c r="EX98" i="14608"/>
  <c r="EY98" i="14608"/>
  <c r="EZ98" i="14608"/>
  <c r="FA98" i="14608"/>
  <c r="FB98" i="14608"/>
  <c r="FC98" i="14608"/>
  <c r="FD98" i="14608"/>
  <c r="FE98" i="14608"/>
  <c r="FF98" i="14608"/>
  <c r="FG98" i="14608"/>
  <c r="FH98" i="14608"/>
  <c r="FI98" i="14608"/>
  <c r="FJ98" i="14608"/>
  <c r="FK98" i="14608"/>
  <c r="FL98" i="14608"/>
  <c r="FM98" i="14608"/>
  <c r="FN98" i="14608"/>
  <c r="FO98" i="14608"/>
  <c r="FP98" i="14608"/>
  <c r="FQ98" i="14608"/>
  <c r="FR98" i="14608"/>
  <c r="FS98" i="14608"/>
  <c r="FT98" i="14608"/>
  <c r="FU98" i="14608"/>
  <c r="FV98" i="14608"/>
  <c r="FW98" i="14608"/>
  <c r="FX98" i="14608"/>
  <c r="FY98" i="14608"/>
  <c r="FZ98" i="14608"/>
  <c r="GA98" i="14608"/>
  <c r="GB98" i="14608"/>
  <c r="GC98" i="14608"/>
  <c r="GD98" i="14608"/>
  <c r="GE98" i="14608"/>
  <c r="GF98" i="14608"/>
  <c r="GG98" i="14608"/>
  <c r="GH98" i="14608"/>
  <c r="GI98" i="14608"/>
  <c r="GJ98" i="14608"/>
  <c r="GK98" i="14608"/>
  <c r="GL98" i="14608"/>
  <c r="GM98" i="14608"/>
  <c r="GN98" i="14608"/>
  <c r="GO98" i="14608"/>
  <c r="GP98" i="14608"/>
  <c r="GQ98" i="14608"/>
  <c r="GR98" i="14608"/>
  <c r="GS98" i="14608"/>
  <c r="GT98" i="14608"/>
  <c r="GU98" i="14608"/>
  <c r="GV98" i="14608"/>
  <c r="GW98" i="14608"/>
  <c r="GX98" i="14608"/>
  <c r="GY98" i="14608"/>
  <c r="GZ98" i="14608"/>
  <c r="HA98" i="14608"/>
  <c r="HB98" i="14608"/>
  <c r="HC98" i="14608"/>
  <c r="HD98" i="14608"/>
  <c r="HE98" i="14608"/>
  <c r="HF98" i="14608"/>
  <c r="HG98" i="14608"/>
  <c r="HH98" i="14608"/>
  <c r="HI98" i="14608"/>
  <c r="HJ98" i="14608"/>
  <c r="HK98" i="14608"/>
  <c r="HL98" i="14608"/>
  <c r="HM98" i="14608"/>
  <c r="HN98" i="14608"/>
  <c r="HO98" i="14608"/>
  <c r="HP98" i="14608"/>
  <c r="HQ98" i="14608"/>
  <c r="HR98" i="14608"/>
  <c r="HS98" i="14608"/>
  <c r="HT98" i="14608"/>
  <c r="HU98" i="14608"/>
  <c r="HV98" i="14608"/>
  <c r="HW98" i="14608"/>
  <c r="HX98" i="14608"/>
  <c r="HY98" i="14608"/>
  <c r="HZ98" i="14608"/>
  <c r="IA98" i="14608"/>
  <c r="IB98" i="14608"/>
  <c r="IC98" i="14608"/>
  <c r="ID98" i="14608"/>
  <c r="IE98" i="14608"/>
  <c r="IF98" i="14608"/>
  <c r="IG98" i="14608"/>
  <c r="IH98" i="14608"/>
  <c r="II98" i="14608"/>
  <c r="IJ98" i="14608"/>
  <c r="IK98" i="14608"/>
  <c r="IL98" i="14608"/>
  <c r="IM98" i="14608"/>
  <c r="IN98" i="14608"/>
  <c r="IO98" i="14608"/>
  <c r="IP98" i="14608"/>
  <c r="IQ98" i="14608"/>
  <c r="IR98" i="14608"/>
  <c r="IS98" i="14608"/>
  <c r="IT98" i="14608"/>
  <c r="IU98" i="14608"/>
  <c r="IV98" i="14608"/>
  <c r="A97" i="14608"/>
  <c r="B97" i="14608"/>
  <c r="C97" i="14608"/>
  <c r="D97" i="14608"/>
  <c r="E97" i="14608"/>
  <c r="F97" i="14608"/>
  <c r="G97" i="14608"/>
  <c r="H97" i="14608"/>
  <c r="I97" i="14608"/>
  <c r="J97" i="14608"/>
  <c r="K97" i="14608"/>
  <c r="L97" i="14608"/>
  <c r="M97" i="14608"/>
  <c r="N97" i="14608"/>
  <c r="O97" i="14608"/>
  <c r="P97" i="14608"/>
  <c r="Q97" i="14608"/>
  <c r="R97" i="14608"/>
  <c r="S97" i="14608"/>
  <c r="T97" i="14608"/>
  <c r="U97" i="14608"/>
  <c r="V97" i="14608"/>
  <c r="W97" i="14608"/>
  <c r="X97" i="14608"/>
  <c r="Y97" i="14608"/>
  <c r="Z97" i="14608"/>
  <c r="AA97" i="14608"/>
  <c r="AB97" i="14608"/>
  <c r="AC97" i="14608"/>
  <c r="AD97" i="14608"/>
  <c r="AE97" i="14608"/>
  <c r="AF97" i="14608"/>
  <c r="AG97" i="14608"/>
  <c r="AH97" i="14608"/>
  <c r="AI97" i="14608"/>
  <c r="AJ97" i="14608"/>
  <c r="AK97" i="14608"/>
  <c r="AL97" i="14608"/>
  <c r="AM97" i="14608"/>
  <c r="AN97" i="14608"/>
  <c r="AO97" i="14608"/>
  <c r="AP97" i="14608"/>
  <c r="AQ97" i="14608"/>
  <c r="AR97" i="14608"/>
  <c r="AS97" i="14608"/>
  <c r="AT97" i="14608"/>
  <c r="AU97" i="14608"/>
  <c r="AV97" i="14608"/>
  <c r="AW97" i="14608"/>
  <c r="AX97" i="14608"/>
  <c r="AY97" i="14608"/>
  <c r="AZ97" i="14608"/>
  <c r="BA97" i="14608"/>
  <c r="BB97" i="14608"/>
  <c r="BC97" i="14608"/>
  <c r="BD97" i="14608"/>
  <c r="BE97" i="14608"/>
  <c r="BF97" i="14608"/>
  <c r="BG97" i="14608"/>
  <c r="BH97" i="14608"/>
  <c r="BI97" i="14608"/>
  <c r="BJ97" i="14608"/>
  <c r="BK97" i="14608"/>
  <c r="BL97" i="14608"/>
  <c r="BM97" i="14608"/>
  <c r="BN97" i="14608"/>
  <c r="BO97" i="14608"/>
  <c r="BP97" i="14608"/>
  <c r="BQ97" i="14608"/>
  <c r="BR97" i="14608"/>
  <c r="BS97" i="14608"/>
  <c r="BT97" i="14608"/>
  <c r="BU97" i="14608"/>
  <c r="BV97" i="14608"/>
  <c r="BW97" i="14608"/>
  <c r="BX97" i="14608"/>
  <c r="BY97" i="14608"/>
  <c r="BZ97" i="14608"/>
  <c r="CA97" i="14608"/>
  <c r="CB97" i="14608"/>
  <c r="CC97" i="14608"/>
  <c r="CD97" i="14608"/>
  <c r="CE97" i="14608"/>
  <c r="CF97" i="14608"/>
  <c r="CG97" i="14608"/>
  <c r="CH97" i="14608"/>
  <c r="CI97" i="14608"/>
  <c r="CJ97" i="14608"/>
  <c r="CK97" i="14608"/>
  <c r="CL97" i="14608"/>
  <c r="CM97" i="14608"/>
  <c r="CN97" i="14608"/>
  <c r="CO97" i="14608"/>
  <c r="CP97" i="14608"/>
  <c r="CQ97" i="14608"/>
  <c r="CR97" i="14608"/>
  <c r="CS97" i="14608"/>
  <c r="CT97" i="14608"/>
  <c r="CU97" i="14608"/>
  <c r="CV97" i="14608"/>
  <c r="CW97" i="14608"/>
  <c r="CX97" i="14608"/>
  <c r="CY97" i="14608"/>
  <c r="CZ97" i="14608"/>
  <c r="DA97" i="14608"/>
  <c r="DB97" i="14608"/>
  <c r="DC97" i="14608"/>
  <c r="DD97" i="14608"/>
  <c r="DE97" i="14608"/>
  <c r="DF97" i="14608"/>
  <c r="DG97" i="14608"/>
  <c r="DH97" i="14608"/>
  <c r="DI97" i="14608"/>
  <c r="DJ97" i="14608"/>
  <c r="DK97" i="14608"/>
  <c r="DL97" i="14608"/>
  <c r="DM97" i="14608"/>
  <c r="DN97" i="14608"/>
  <c r="DO97" i="14608"/>
  <c r="DP97" i="14608"/>
  <c r="DQ97" i="14608"/>
  <c r="DR97" i="14608"/>
  <c r="DS97" i="14608"/>
  <c r="DT97" i="14608"/>
  <c r="DU97" i="14608"/>
  <c r="DV97" i="14608"/>
  <c r="DW97" i="14608"/>
  <c r="DX97" i="14608"/>
  <c r="DY97" i="14608"/>
  <c r="DZ97" i="14608"/>
  <c r="EA97" i="14608"/>
  <c r="EB97" i="14608"/>
  <c r="EC97" i="14608"/>
  <c r="ED97" i="14608"/>
  <c r="EE97" i="14608"/>
  <c r="EF97" i="14608"/>
  <c r="EG97" i="14608"/>
  <c r="EH97" i="14608"/>
  <c r="EI97" i="14608"/>
  <c r="EJ97" i="14608"/>
  <c r="EK97" i="14608"/>
  <c r="EL97" i="14608"/>
  <c r="EM97" i="14608"/>
  <c r="EN97" i="14608"/>
  <c r="EO97" i="14608"/>
  <c r="EP97" i="14608"/>
  <c r="EQ97" i="14608"/>
  <c r="ER97" i="14608"/>
  <c r="ES97" i="14608"/>
  <c r="ET97" i="14608"/>
  <c r="EU97" i="14608"/>
  <c r="EV97" i="14608"/>
  <c r="EW97" i="14608"/>
  <c r="EX97" i="14608"/>
  <c r="EY97" i="14608"/>
  <c r="EZ97" i="14608"/>
  <c r="FA97" i="14608"/>
  <c r="FB97" i="14608"/>
  <c r="FC97" i="14608"/>
  <c r="FD97" i="14608"/>
  <c r="FE97" i="14608"/>
  <c r="FF97" i="14608"/>
  <c r="FG97" i="14608"/>
  <c r="FH97" i="14608"/>
  <c r="FI97" i="14608"/>
  <c r="FJ97" i="14608"/>
  <c r="FK97" i="14608"/>
  <c r="FL97" i="14608"/>
  <c r="FM97" i="14608"/>
  <c r="FN97" i="14608"/>
  <c r="FO97" i="14608"/>
  <c r="FP97" i="14608"/>
  <c r="FQ97" i="14608"/>
  <c r="FR97" i="14608"/>
  <c r="FS97" i="14608"/>
  <c r="FT97" i="14608"/>
  <c r="FU97" i="14608"/>
  <c r="FV97" i="14608"/>
  <c r="FW97" i="14608"/>
  <c r="FX97" i="14608"/>
  <c r="FY97" i="14608"/>
  <c r="FZ97" i="14608"/>
  <c r="GA97" i="14608"/>
  <c r="GB97" i="14608"/>
  <c r="GC97" i="14608"/>
  <c r="GD97" i="14608"/>
  <c r="GE97" i="14608"/>
  <c r="GF97" i="14608"/>
  <c r="GG97" i="14608"/>
  <c r="GH97" i="14608"/>
  <c r="GI97" i="14608"/>
  <c r="GJ97" i="14608"/>
  <c r="GK97" i="14608"/>
  <c r="GL97" i="14608"/>
  <c r="GM97" i="14608"/>
  <c r="GN97" i="14608"/>
  <c r="GO97" i="14608"/>
  <c r="GP97" i="14608"/>
  <c r="GQ97" i="14608"/>
  <c r="GR97" i="14608"/>
  <c r="GS97" i="14608"/>
  <c r="GT97" i="14608"/>
  <c r="GU97" i="14608"/>
  <c r="GV97" i="14608"/>
  <c r="GW97" i="14608"/>
  <c r="GX97" i="14608"/>
  <c r="GY97" i="14608"/>
  <c r="GZ97" i="14608"/>
  <c r="HA97" i="14608"/>
  <c r="HB97" i="14608"/>
  <c r="HC97" i="14608"/>
  <c r="HD97" i="14608"/>
  <c r="HE97" i="14608"/>
  <c r="HF97" i="14608"/>
  <c r="HG97" i="14608"/>
  <c r="HH97" i="14608"/>
  <c r="HI97" i="14608"/>
  <c r="HJ97" i="14608"/>
  <c r="HK97" i="14608"/>
  <c r="HL97" i="14608"/>
  <c r="HM97" i="14608"/>
  <c r="HN97" i="14608"/>
  <c r="HO97" i="14608"/>
  <c r="HP97" i="14608"/>
  <c r="HQ97" i="14608"/>
  <c r="HR97" i="14608"/>
  <c r="HS97" i="14608"/>
  <c r="HT97" i="14608"/>
  <c r="HU97" i="14608"/>
  <c r="HV97" i="14608"/>
  <c r="HW97" i="14608"/>
  <c r="HX97" i="14608"/>
  <c r="HY97" i="14608"/>
  <c r="HZ97" i="14608"/>
  <c r="IA97" i="14608"/>
  <c r="IB97" i="14608"/>
  <c r="IC97" i="14608"/>
  <c r="ID97" i="14608"/>
  <c r="IE97" i="14608"/>
  <c r="IF97" i="14608"/>
  <c r="IG97" i="14608"/>
  <c r="IH97" i="14608"/>
  <c r="II97" i="14608"/>
  <c r="IJ97" i="14608"/>
  <c r="IK97" i="14608"/>
  <c r="IL97" i="14608"/>
  <c r="IM97" i="14608"/>
  <c r="IN97" i="14608"/>
  <c r="IO97" i="14608"/>
  <c r="IP97" i="14608"/>
  <c r="IQ97" i="14608"/>
  <c r="IR97" i="14608"/>
  <c r="IS97" i="14608"/>
  <c r="IT97" i="14608"/>
  <c r="IU97" i="14608"/>
  <c r="IV97" i="14608"/>
  <c r="A96" i="14608"/>
  <c r="B96" i="14608"/>
  <c r="C96" i="14608"/>
  <c r="D96" i="14608"/>
  <c r="E96" i="14608"/>
  <c r="F96" i="14608"/>
  <c r="G96" i="14608"/>
  <c r="H96" i="14608"/>
  <c r="I96" i="14608"/>
  <c r="J96" i="14608"/>
  <c r="K96" i="14608"/>
  <c r="L96" i="14608"/>
  <c r="M96" i="14608"/>
  <c r="N96" i="14608"/>
  <c r="O96" i="14608"/>
  <c r="P96" i="14608"/>
  <c r="Q96" i="14608"/>
  <c r="R96" i="14608"/>
  <c r="S96" i="14608"/>
  <c r="T96" i="14608"/>
  <c r="U96" i="14608"/>
  <c r="V96" i="14608"/>
  <c r="W96" i="14608"/>
  <c r="X96" i="14608"/>
  <c r="Y96" i="14608"/>
  <c r="Z96" i="14608"/>
  <c r="AA96" i="14608"/>
  <c r="AB96" i="14608"/>
  <c r="AC96" i="14608"/>
  <c r="AD96" i="14608"/>
  <c r="AE96" i="14608"/>
  <c r="AF96" i="14608"/>
  <c r="AG96" i="14608"/>
  <c r="AH96" i="14608"/>
  <c r="AI96" i="14608"/>
  <c r="AJ96" i="14608"/>
  <c r="AK96" i="14608"/>
  <c r="AL96" i="14608"/>
  <c r="AM96" i="14608"/>
  <c r="AN96" i="14608"/>
  <c r="AO96" i="14608"/>
  <c r="AP96" i="14608"/>
  <c r="AQ96" i="14608"/>
  <c r="AR96" i="14608"/>
  <c r="AS96" i="14608"/>
  <c r="AT96" i="14608"/>
  <c r="AU96" i="14608"/>
  <c r="AV96" i="14608"/>
  <c r="AW96" i="14608"/>
  <c r="AX96" i="14608"/>
  <c r="AY96" i="14608"/>
  <c r="AZ96" i="14608"/>
  <c r="BA96" i="14608"/>
  <c r="BB96" i="14608"/>
  <c r="BC96" i="14608"/>
  <c r="BD96" i="14608"/>
  <c r="BE96" i="14608"/>
  <c r="BF96" i="14608"/>
  <c r="BG96" i="14608"/>
  <c r="BH96" i="14608"/>
  <c r="BI96" i="14608"/>
  <c r="BJ96" i="14608"/>
  <c r="BK96" i="14608"/>
  <c r="BL96" i="14608"/>
  <c r="BM96" i="14608"/>
  <c r="BN96" i="14608"/>
  <c r="BO96" i="14608"/>
  <c r="BP96" i="14608"/>
  <c r="BQ96" i="14608"/>
  <c r="BR96" i="14608"/>
  <c r="BS96" i="14608"/>
  <c r="BT96" i="14608"/>
  <c r="BU96" i="14608"/>
  <c r="BV96" i="14608"/>
  <c r="BW96" i="14608"/>
  <c r="BX96" i="14608"/>
  <c r="BY96" i="14608"/>
  <c r="BZ96" i="14608"/>
  <c r="CA96" i="14608"/>
  <c r="CB96" i="14608"/>
  <c r="CC96" i="14608"/>
  <c r="CD96" i="14608"/>
  <c r="CE96" i="14608"/>
  <c r="CF96" i="14608"/>
  <c r="CG96" i="14608"/>
  <c r="CH96" i="14608"/>
  <c r="CI96" i="14608"/>
  <c r="CJ96" i="14608"/>
  <c r="CK96" i="14608"/>
  <c r="CL96" i="14608"/>
  <c r="CM96" i="14608"/>
  <c r="CN96" i="14608"/>
  <c r="CO96" i="14608"/>
  <c r="CP96" i="14608"/>
  <c r="CQ96" i="14608"/>
  <c r="CR96" i="14608"/>
  <c r="CS96" i="14608"/>
  <c r="CT96" i="14608"/>
  <c r="CU96" i="14608"/>
  <c r="CV96" i="14608"/>
  <c r="CW96" i="14608"/>
  <c r="CX96" i="14608"/>
  <c r="CY96" i="14608"/>
  <c r="CZ96" i="14608"/>
  <c r="DA96" i="14608"/>
  <c r="DB96" i="14608"/>
  <c r="DC96" i="14608"/>
  <c r="DD96" i="14608"/>
  <c r="DE96" i="14608"/>
  <c r="DF96" i="14608"/>
  <c r="DG96" i="14608"/>
  <c r="DH96" i="14608"/>
  <c r="DI96" i="14608"/>
  <c r="DJ96" i="14608"/>
  <c r="DK96" i="14608"/>
  <c r="DL96" i="14608"/>
  <c r="DM96" i="14608"/>
  <c r="DN96" i="14608"/>
  <c r="DO96" i="14608"/>
  <c r="DP96" i="14608"/>
  <c r="DQ96" i="14608"/>
  <c r="DR96" i="14608"/>
  <c r="DS96" i="14608"/>
  <c r="DT96" i="14608"/>
  <c r="DU96" i="14608"/>
  <c r="DV96" i="14608"/>
  <c r="DW96" i="14608"/>
  <c r="DX96" i="14608"/>
  <c r="DY96" i="14608"/>
  <c r="DZ96" i="14608"/>
  <c r="EA96" i="14608"/>
  <c r="EB96" i="14608"/>
  <c r="EC96" i="14608"/>
  <c r="ED96" i="14608"/>
  <c r="EE96" i="14608"/>
  <c r="EF96" i="14608"/>
  <c r="EG96" i="14608"/>
  <c r="EH96" i="14608"/>
  <c r="EI96" i="14608"/>
  <c r="EJ96" i="14608"/>
  <c r="EK96" i="14608"/>
  <c r="EL96" i="14608"/>
  <c r="EM96" i="14608"/>
  <c r="EN96" i="14608"/>
  <c r="EO96" i="14608"/>
  <c r="EP96" i="14608"/>
  <c r="EQ96" i="14608"/>
  <c r="ER96" i="14608"/>
  <c r="ES96" i="14608"/>
  <c r="ET96" i="14608"/>
  <c r="EU96" i="14608"/>
  <c r="EV96" i="14608"/>
  <c r="EW96" i="14608"/>
  <c r="EX96" i="14608"/>
  <c r="EY96" i="14608"/>
  <c r="EZ96" i="14608"/>
  <c r="FA96" i="14608"/>
  <c r="FB96" i="14608"/>
  <c r="FC96" i="14608"/>
  <c r="FD96" i="14608"/>
  <c r="FE96" i="14608"/>
  <c r="FF96" i="14608"/>
  <c r="FG96" i="14608"/>
  <c r="FH96" i="14608"/>
  <c r="FI96" i="14608"/>
  <c r="FJ96" i="14608"/>
  <c r="FK96" i="14608"/>
  <c r="FL96" i="14608"/>
  <c r="FM96" i="14608"/>
  <c r="FN96" i="14608"/>
  <c r="FO96" i="14608"/>
  <c r="FP96" i="14608"/>
  <c r="FQ96" i="14608"/>
  <c r="FR96" i="14608"/>
  <c r="FS96" i="14608"/>
  <c r="FT96" i="14608"/>
  <c r="FU96" i="14608"/>
  <c r="FV96" i="14608"/>
  <c r="FW96" i="14608"/>
  <c r="FX96" i="14608"/>
  <c r="FY96" i="14608"/>
  <c r="FZ96" i="14608"/>
  <c r="GA96" i="14608"/>
  <c r="GB96" i="14608"/>
  <c r="GC96" i="14608"/>
  <c r="GD96" i="14608"/>
  <c r="GE96" i="14608"/>
  <c r="GF96" i="14608"/>
  <c r="GG96" i="14608"/>
  <c r="GH96" i="14608"/>
  <c r="GI96" i="14608"/>
  <c r="GJ96" i="14608"/>
  <c r="GK96" i="14608"/>
  <c r="GL96" i="14608"/>
  <c r="GM96" i="14608"/>
  <c r="GN96" i="14608"/>
  <c r="GO96" i="14608"/>
  <c r="GP96" i="14608"/>
  <c r="GQ96" i="14608"/>
  <c r="GR96" i="14608"/>
  <c r="GS96" i="14608"/>
  <c r="GT96" i="14608"/>
  <c r="GU96" i="14608"/>
  <c r="GV96" i="14608"/>
  <c r="GW96" i="14608"/>
  <c r="GX96" i="14608"/>
  <c r="GY96" i="14608"/>
  <c r="GZ96" i="14608"/>
  <c r="HA96" i="14608"/>
  <c r="HB96" i="14608"/>
  <c r="HC96" i="14608"/>
  <c r="HD96" i="14608"/>
  <c r="HE96" i="14608"/>
  <c r="HF96" i="14608"/>
  <c r="HG96" i="14608"/>
  <c r="HH96" i="14608"/>
  <c r="HI96" i="14608"/>
  <c r="HJ96" i="14608"/>
  <c r="HK96" i="14608"/>
  <c r="HL96" i="14608"/>
  <c r="HM96" i="14608"/>
  <c r="HN96" i="14608"/>
  <c r="HO96" i="14608"/>
  <c r="HP96" i="14608"/>
  <c r="HQ96" i="14608"/>
  <c r="HR96" i="14608"/>
  <c r="HS96" i="14608"/>
  <c r="HT96" i="14608"/>
  <c r="HU96" i="14608"/>
  <c r="HV96" i="14608"/>
  <c r="HW96" i="14608"/>
  <c r="HX96" i="14608"/>
  <c r="HY96" i="14608"/>
  <c r="HZ96" i="14608"/>
  <c r="IA96" i="14608"/>
  <c r="IB96" i="14608"/>
  <c r="IC96" i="14608"/>
  <c r="ID96" i="14608"/>
  <c r="IE96" i="14608"/>
  <c r="IF96" i="14608"/>
  <c r="IG96" i="14608"/>
  <c r="IH96" i="14608"/>
  <c r="II96" i="14608"/>
  <c r="IJ96" i="14608"/>
  <c r="IK96" i="14608"/>
  <c r="IL96" i="14608"/>
  <c r="IM96" i="14608"/>
  <c r="IN96" i="14608"/>
  <c r="IO96" i="14608"/>
  <c r="IP96" i="14608"/>
  <c r="IQ96" i="14608"/>
  <c r="IR96" i="14608"/>
  <c r="IS96" i="14608"/>
  <c r="IT96" i="14608"/>
  <c r="IU96" i="14608"/>
  <c r="IV96" i="14608"/>
  <c r="A95" i="14608"/>
  <c r="B95" i="14608"/>
  <c r="C95" i="14608"/>
  <c r="D95" i="14608"/>
  <c r="E95" i="14608"/>
  <c r="F95" i="14608"/>
  <c r="G95" i="14608"/>
  <c r="H95" i="14608"/>
  <c r="I95" i="14608"/>
  <c r="J95" i="14608"/>
  <c r="K95" i="14608"/>
  <c r="L95" i="14608"/>
  <c r="M95" i="14608"/>
  <c r="N95" i="14608"/>
  <c r="O95" i="14608"/>
  <c r="P95" i="14608"/>
  <c r="Q95" i="14608"/>
  <c r="R95" i="14608"/>
  <c r="S95" i="14608"/>
  <c r="T95" i="14608"/>
  <c r="U95" i="14608"/>
  <c r="V95" i="14608"/>
  <c r="W95" i="14608"/>
  <c r="X95" i="14608"/>
  <c r="Y95" i="14608"/>
  <c r="Z95" i="14608"/>
  <c r="AA95" i="14608"/>
  <c r="AB95" i="14608"/>
  <c r="AC95" i="14608"/>
  <c r="AD95" i="14608"/>
  <c r="AE95" i="14608"/>
  <c r="AF95" i="14608"/>
  <c r="AG95" i="14608"/>
  <c r="AH95" i="14608"/>
  <c r="AI95" i="14608"/>
  <c r="AJ95" i="14608"/>
  <c r="AK95" i="14608"/>
  <c r="AL95" i="14608"/>
  <c r="AM95" i="14608"/>
  <c r="AN95" i="14608"/>
  <c r="AO95" i="14608"/>
  <c r="AP95" i="14608"/>
  <c r="AQ95" i="14608"/>
  <c r="AR95" i="14608"/>
  <c r="AS95" i="14608"/>
  <c r="AT95" i="14608"/>
  <c r="AU95" i="14608"/>
  <c r="AV95" i="14608"/>
  <c r="AW95" i="14608"/>
  <c r="AX95" i="14608"/>
  <c r="AY95" i="14608"/>
  <c r="AZ95" i="14608"/>
  <c r="BA95" i="14608"/>
  <c r="BB95" i="14608"/>
  <c r="BC95" i="14608"/>
  <c r="BD95" i="14608"/>
  <c r="BE95" i="14608"/>
  <c r="BF95" i="14608"/>
  <c r="BG95" i="14608"/>
  <c r="BH95" i="14608"/>
  <c r="BI95" i="14608"/>
  <c r="BJ95" i="14608"/>
  <c r="BK95" i="14608"/>
  <c r="BL95" i="14608"/>
  <c r="BM95" i="14608"/>
  <c r="BN95" i="14608"/>
  <c r="BO95" i="14608"/>
  <c r="BP95" i="14608"/>
  <c r="BQ95" i="14608"/>
  <c r="BR95" i="14608"/>
  <c r="BS95" i="14608"/>
  <c r="BT95" i="14608"/>
  <c r="BU95" i="14608"/>
  <c r="BV95" i="14608"/>
  <c r="BW95" i="14608"/>
  <c r="BX95" i="14608"/>
  <c r="BY95" i="14608"/>
  <c r="BZ95" i="14608"/>
  <c r="CA95" i="14608"/>
  <c r="CB95" i="14608"/>
  <c r="CC95" i="14608"/>
  <c r="CD95" i="14608"/>
  <c r="CE95" i="14608"/>
  <c r="CF95" i="14608"/>
  <c r="CG95" i="14608"/>
  <c r="CH95" i="14608"/>
  <c r="CI95" i="14608"/>
  <c r="CJ95" i="14608"/>
  <c r="CK95" i="14608"/>
  <c r="CL95" i="14608"/>
  <c r="CM95" i="14608"/>
  <c r="CN95" i="14608"/>
  <c r="CO95" i="14608"/>
  <c r="CP95" i="14608"/>
  <c r="CQ95" i="14608"/>
  <c r="CR95" i="14608"/>
  <c r="CS95" i="14608"/>
  <c r="CT95" i="14608"/>
  <c r="CU95" i="14608"/>
  <c r="CV95" i="14608"/>
  <c r="CW95" i="14608"/>
  <c r="CX95" i="14608"/>
  <c r="CY95" i="14608"/>
  <c r="CZ95" i="14608"/>
  <c r="DA95" i="14608"/>
  <c r="DB95" i="14608"/>
  <c r="DC95" i="14608"/>
  <c r="DD95" i="14608"/>
  <c r="DE95" i="14608"/>
  <c r="DF95" i="14608"/>
  <c r="DG95" i="14608"/>
  <c r="DH95" i="14608"/>
  <c r="DI95" i="14608"/>
  <c r="DJ95" i="14608"/>
  <c r="DK95" i="14608"/>
  <c r="DL95" i="14608"/>
  <c r="DM95" i="14608"/>
  <c r="DN95" i="14608"/>
  <c r="DO95" i="14608"/>
  <c r="DP95" i="14608"/>
  <c r="DQ95" i="14608"/>
  <c r="DR95" i="14608"/>
  <c r="DS95" i="14608"/>
  <c r="DT95" i="14608"/>
  <c r="DU95" i="14608"/>
  <c r="DV95" i="14608"/>
  <c r="DW95" i="14608"/>
  <c r="DX95" i="14608"/>
  <c r="DY95" i="14608"/>
  <c r="DZ95" i="14608"/>
  <c r="EA95" i="14608"/>
  <c r="EB95" i="14608"/>
  <c r="EC95" i="14608"/>
  <c r="ED95" i="14608"/>
  <c r="EE95" i="14608"/>
  <c r="EF95" i="14608"/>
  <c r="EG95" i="14608"/>
  <c r="EH95" i="14608"/>
  <c r="EI95" i="14608"/>
  <c r="EJ95" i="14608"/>
  <c r="EK95" i="14608"/>
  <c r="EL95" i="14608"/>
  <c r="EM95" i="14608"/>
  <c r="EN95" i="14608"/>
  <c r="EO95" i="14608"/>
  <c r="EP95" i="14608"/>
  <c r="EQ95" i="14608"/>
  <c r="ER95" i="14608"/>
  <c r="ES95" i="14608"/>
  <c r="ET95" i="14608"/>
  <c r="EU95" i="14608"/>
  <c r="EV95" i="14608"/>
  <c r="EW95" i="14608"/>
  <c r="EX95" i="14608"/>
  <c r="EY95" i="14608"/>
  <c r="EZ95" i="14608"/>
  <c r="FA95" i="14608"/>
  <c r="FB95" i="14608"/>
  <c r="FC95" i="14608"/>
  <c r="FD95" i="14608"/>
  <c r="FE95" i="14608"/>
  <c r="FF95" i="14608"/>
  <c r="FG95" i="14608"/>
  <c r="FH95" i="14608"/>
  <c r="FI95" i="14608"/>
  <c r="FJ95" i="14608"/>
  <c r="FK95" i="14608"/>
  <c r="FL95" i="14608"/>
  <c r="FM95" i="14608"/>
  <c r="FN95" i="14608"/>
  <c r="FO95" i="14608"/>
  <c r="FP95" i="14608"/>
  <c r="FQ95" i="14608"/>
  <c r="FR95" i="14608"/>
  <c r="FS95" i="14608"/>
  <c r="FT95" i="14608"/>
  <c r="FU95" i="14608"/>
  <c r="FV95" i="14608"/>
  <c r="FW95" i="14608"/>
  <c r="FX95" i="14608"/>
  <c r="FY95" i="14608"/>
  <c r="FZ95" i="14608"/>
  <c r="GA95" i="14608"/>
  <c r="GB95" i="14608"/>
  <c r="GC95" i="14608"/>
  <c r="GD95" i="14608"/>
  <c r="GE95" i="14608"/>
  <c r="GF95" i="14608"/>
  <c r="GG95" i="14608"/>
  <c r="GH95" i="14608"/>
  <c r="GI95" i="14608"/>
  <c r="GJ95" i="14608"/>
  <c r="GK95" i="14608"/>
  <c r="GL95" i="14608"/>
  <c r="GM95" i="14608"/>
  <c r="GN95" i="14608"/>
  <c r="GO95" i="14608"/>
  <c r="GP95" i="14608"/>
  <c r="GQ95" i="14608"/>
  <c r="GR95" i="14608"/>
  <c r="GS95" i="14608"/>
  <c r="GT95" i="14608"/>
  <c r="GU95" i="14608"/>
  <c r="GV95" i="14608"/>
  <c r="GW95" i="14608"/>
  <c r="GX95" i="14608"/>
  <c r="GY95" i="14608"/>
  <c r="GZ95" i="14608"/>
  <c r="HA95" i="14608"/>
  <c r="HB95" i="14608"/>
  <c r="HC95" i="14608"/>
  <c r="HD95" i="14608"/>
  <c r="HE95" i="14608"/>
  <c r="HF95" i="14608"/>
  <c r="HG95" i="14608"/>
  <c r="HH95" i="14608"/>
  <c r="HI95" i="14608"/>
  <c r="HJ95" i="14608"/>
  <c r="HK95" i="14608"/>
  <c r="HL95" i="14608"/>
  <c r="HM95" i="14608"/>
  <c r="HN95" i="14608"/>
  <c r="HO95" i="14608"/>
  <c r="HP95" i="14608"/>
  <c r="HQ95" i="14608"/>
  <c r="HR95" i="14608"/>
  <c r="HS95" i="14608"/>
  <c r="HT95" i="14608"/>
  <c r="HU95" i="14608"/>
  <c r="HV95" i="14608"/>
  <c r="HW95" i="14608"/>
  <c r="HX95" i="14608"/>
  <c r="HY95" i="14608"/>
  <c r="HZ95" i="14608"/>
  <c r="IA95" i="14608"/>
  <c r="IB95" i="14608"/>
  <c r="IC95" i="14608"/>
  <c r="ID95" i="14608"/>
  <c r="IE95" i="14608"/>
  <c r="IF95" i="14608"/>
  <c r="IG95" i="14608"/>
  <c r="IH95" i="14608"/>
  <c r="II95" i="14608"/>
  <c r="IJ95" i="14608"/>
  <c r="IK95" i="14608"/>
  <c r="IL95" i="14608"/>
  <c r="IM95" i="14608"/>
  <c r="IN95" i="14608"/>
  <c r="IO95" i="14608"/>
  <c r="IP95" i="14608"/>
  <c r="IQ95" i="14608"/>
  <c r="IR95" i="14608"/>
  <c r="IS95" i="14608"/>
  <c r="IT95" i="14608"/>
  <c r="IU95" i="14608"/>
  <c r="IV95" i="14608"/>
  <c r="A94" i="14608"/>
  <c r="B94" i="14608"/>
  <c r="C94" i="14608"/>
  <c r="D94" i="14608"/>
  <c r="E94" i="14608"/>
  <c r="F94" i="14608"/>
  <c r="G94" i="14608"/>
  <c r="H94" i="14608"/>
  <c r="I94" i="14608"/>
  <c r="J94" i="14608"/>
  <c r="K94" i="14608"/>
  <c r="L94" i="14608"/>
  <c r="M94" i="14608"/>
  <c r="N94" i="14608"/>
  <c r="O94" i="14608"/>
  <c r="P94" i="14608"/>
  <c r="Q94" i="14608"/>
  <c r="R94" i="14608"/>
  <c r="S94" i="14608"/>
  <c r="T94" i="14608"/>
  <c r="U94" i="14608"/>
  <c r="V94" i="14608"/>
  <c r="W94" i="14608"/>
  <c r="X94" i="14608"/>
  <c r="Y94" i="14608"/>
  <c r="Z94" i="14608"/>
  <c r="AA94" i="14608"/>
  <c r="AB94" i="14608"/>
  <c r="AC94" i="14608"/>
  <c r="AD94" i="14608"/>
  <c r="AE94" i="14608"/>
  <c r="AF94" i="14608"/>
  <c r="AG94" i="14608"/>
  <c r="AH94" i="14608"/>
  <c r="AI94" i="14608"/>
  <c r="AJ94" i="14608"/>
  <c r="AK94" i="14608"/>
  <c r="AL94" i="14608"/>
  <c r="AM94" i="14608"/>
  <c r="AN94" i="14608"/>
  <c r="AO94" i="14608"/>
  <c r="AP94" i="14608"/>
  <c r="AQ94" i="14608"/>
  <c r="AR94" i="14608"/>
  <c r="AS94" i="14608"/>
  <c r="AT94" i="14608"/>
  <c r="AU94" i="14608"/>
  <c r="AV94" i="14608"/>
  <c r="AW94" i="14608"/>
  <c r="AX94" i="14608"/>
  <c r="AY94" i="14608"/>
  <c r="AZ94" i="14608"/>
  <c r="BA94" i="14608"/>
  <c r="BB94" i="14608"/>
  <c r="BC94" i="14608"/>
  <c r="BD94" i="14608"/>
  <c r="BE94" i="14608"/>
  <c r="BF94" i="14608"/>
  <c r="BG94" i="14608"/>
  <c r="BH94" i="14608"/>
  <c r="BI94" i="14608"/>
  <c r="BJ94" i="14608"/>
  <c r="BK94" i="14608"/>
  <c r="BL94" i="14608"/>
  <c r="BM94" i="14608"/>
  <c r="BN94" i="14608"/>
  <c r="BO94" i="14608"/>
  <c r="BP94" i="14608"/>
  <c r="BQ94" i="14608"/>
  <c r="BR94" i="14608"/>
  <c r="BS94" i="14608"/>
  <c r="BT94" i="14608"/>
  <c r="BU94" i="14608"/>
  <c r="BV94" i="14608"/>
  <c r="BW94" i="14608"/>
  <c r="BX94" i="14608"/>
  <c r="BY94" i="14608"/>
  <c r="BZ94" i="14608"/>
  <c r="CA94" i="14608"/>
  <c r="CB94" i="14608"/>
  <c r="CC94" i="14608"/>
  <c r="CD94" i="14608"/>
  <c r="CE94" i="14608"/>
  <c r="CF94" i="14608"/>
  <c r="CG94" i="14608"/>
  <c r="CH94" i="14608"/>
  <c r="CI94" i="14608"/>
  <c r="CJ94" i="14608"/>
  <c r="CK94" i="14608"/>
  <c r="CL94" i="14608"/>
  <c r="CM94" i="14608"/>
  <c r="CN94" i="14608"/>
  <c r="CO94" i="14608"/>
  <c r="CP94" i="14608"/>
  <c r="CQ94" i="14608"/>
  <c r="CR94" i="14608"/>
  <c r="CS94" i="14608"/>
  <c r="CT94" i="14608"/>
  <c r="CU94" i="14608"/>
  <c r="CV94" i="14608"/>
  <c r="CW94" i="14608"/>
  <c r="CX94" i="14608"/>
  <c r="CY94" i="14608"/>
  <c r="CZ94" i="14608"/>
  <c r="DA94" i="14608"/>
  <c r="DB94" i="14608"/>
  <c r="DC94" i="14608"/>
  <c r="DD94" i="14608"/>
  <c r="DE94" i="14608"/>
  <c r="DF94" i="14608"/>
  <c r="DG94" i="14608"/>
  <c r="DH94" i="14608"/>
  <c r="DI94" i="14608"/>
  <c r="DJ94" i="14608"/>
  <c r="DK94" i="14608"/>
  <c r="DL94" i="14608"/>
  <c r="DM94" i="14608"/>
  <c r="DN94" i="14608"/>
  <c r="DO94" i="14608"/>
  <c r="DP94" i="14608"/>
  <c r="DQ94" i="14608"/>
  <c r="DR94" i="14608"/>
  <c r="DS94" i="14608"/>
  <c r="DT94" i="14608"/>
  <c r="DU94" i="14608"/>
  <c r="DV94" i="14608"/>
  <c r="DW94" i="14608"/>
  <c r="DX94" i="14608"/>
  <c r="DY94" i="14608"/>
  <c r="DZ94" i="14608"/>
  <c r="EA94" i="14608"/>
  <c r="EB94" i="14608"/>
  <c r="EC94" i="14608"/>
  <c r="ED94" i="14608"/>
  <c r="EE94" i="14608"/>
  <c r="EF94" i="14608"/>
  <c r="EG94" i="14608"/>
  <c r="EH94" i="14608"/>
  <c r="EI94" i="14608"/>
  <c r="EJ94" i="14608"/>
  <c r="EK94" i="14608"/>
  <c r="EL94" i="14608"/>
  <c r="EM94" i="14608"/>
  <c r="EN94" i="14608"/>
  <c r="EO94" i="14608"/>
  <c r="EP94" i="14608"/>
  <c r="EQ94" i="14608"/>
  <c r="ER94" i="14608"/>
  <c r="ES94" i="14608"/>
  <c r="ET94" i="14608"/>
  <c r="EU94" i="14608"/>
  <c r="EV94" i="14608"/>
  <c r="EW94" i="14608"/>
  <c r="EX94" i="14608"/>
  <c r="EY94" i="14608"/>
  <c r="EZ94" i="14608"/>
  <c r="FA94" i="14608"/>
  <c r="FB94" i="14608"/>
  <c r="FC94" i="14608"/>
  <c r="FD94" i="14608"/>
  <c r="FE94" i="14608"/>
  <c r="FF94" i="14608"/>
  <c r="FG94" i="14608"/>
  <c r="FH94" i="14608"/>
  <c r="FI94" i="14608"/>
  <c r="FJ94" i="14608"/>
  <c r="FK94" i="14608"/>
  <c r="FL94" i="14608"/>
  <c r="FM94" i="14608"/>
  <c r="FN94" i="14608"/>
  <c r="FO94" i="14608"/>
  <c r="FP94" i="14608"/>
  <c r="FQ94" i="14608"/>
  <c r="FR94" i="14608"/>
  <c r="FS94" i="14608"/>
  <c r="FT94" i="14608"/>
  <c r="FU94" i="14608"/>
  <c r="FV94" i="14608"/>
  <c r="FW94" i="14608"/>
  <c r="FX94" i="14608"/>
  <c r="FY94" i="14608"/>
  <c r="FZ94" i="14608"/>
  <c r="GA94" i="14608"/>
  <c r="GB94" i="14608"/>
  <c r="GC94" i="14608"/>
  <c r="GD94" i="14608"/>
  <c r="GE94" i="14608"/>
  <c r="GF94" i="14608"/>
  <c r="GG94" i="14608"/>
  <c r="GH94" i="14608"/>
  <c r="GI94" i="14608"/>
  <c r="GJ94" i="14608"/>
  <c r="GK94" i="14608"/>
  <c r="GL94" i="14608"/>
  <c r="GM94" i="14608"/>
  <c r="GN94" i="14608"/>
  <c r="GO94" i="14608"/>
  <c r="GP94" i="14608"/>
  <c r="GQ94" i="14608"/>
  <c r="GR94" i="14608"/>
  <c r="GS94" i="14608"/>
  <c r="GT94" i="14608"/>
  <c r="GU94" i="14608"/>
  <c r="GV94" i="14608"/>
  <c r="GW94" i="14608"/>
  <c r="GX94" i="14608"/>
  <c r="GY94" i="14608"/>
  <c r="GZ94" i="14608"/>
  <c r="HA94" i="14608"/>
  <c r="HB94" i="14608"/>
  <c r="HC94" i="14608"/>
  <c r="HD94" i="14608"/>
  <c r="HE94" i="14608"/>
  <c r="HF94" i="14608"/>
  <c r="HG94" i="14608"/>
  <c r="HH94" i="14608"/>
  <c r="HI94" i="14608"/>
  <c r="HJ94" i="14608"/>
  <c r="HK94" i="14608"/>
  <c r="HL94" i="14608"/>
  <c r="HM94" i="14608"/>
  <c r="HN94" i="14608"/>
  <c r="HO94" i="14608"/>
  <c r="HP94" i="14608"/>
  <c r="HQ94" i="14608"/>
  <c r="HR94" i="14608"/>
  <c r="HS94" i="14608"/>
  <c r="HT94" i="14608"/>
  <c r="HU94" i="14608"/>
  <c r="HV94" i="14608"/>
  <c r="HW94" i="14608"/>
  <c r="HX94" i="14608"/>
  <c r="HY94" i="14608"/>
  <c r="HZ94" i="14608"/>
  <c r="IA94" i="14608"/>
  <c r="IB94" i="14608"/>
  <c r="IC94" i="14608"/>
  <c r="ID94" i="14608"/>
  <c r="IE94" i="14608"/>
  <c r="IF94" i="14608"/>
  <c r="IG94" i="14608"/>
  <c r="IH94" i="14608"/>
  <c r="II94" i="14608"/>
  <c r="IJ94" i="14608"/>
  <c r="IK94" i="14608"/>
  <c r="IL94" i="14608"/>
  <c r="IM94" i="14608"/>
  <c r="IN94" i="14608"/>
  <c r="IO94" i="14608"/>
  <c r="IP94" i="14608"/>
  <c r="IQ94" i="14608"/>
  <c r="IR94" i="14608"/>
  <c r="IS94" i="14608"/>
  <c r="IT94" i="14608"/>
  <c r="IU94" i="14608"/>
  <c r="IV94" i="14608"/>
  <c r="A93" i="14608"/>
  <c r="B93" i="14608"/>
  <c r="C93" i="14608"/>
  <c r="D93" i="14608"/>
  <c r="E93" i="14608"/>
  <c r="F93" i="14608"/>
  <c r="G93" i="14608"/>
  <c r="H93" i="14608"/>
  <c r="I93" i="14608"/>
  <c r="J93" i="14608"/>
  <c r="K93" i="14608"/>
  <c r="L93" i="14608"/>
  <c r="M93" i="14608"/>
  <c r="N93" i="14608"/>
  <c r="O93" i="14608"/>
  <c r="P93" i="14608"/>
  <c r="Q93" i="14608"/>
  <c r="R93" i="14608"/>
  <c r="S93" i="14608"/>
  <c r="T93" i="14608"/>
  <c r="U93" i="14608"/>
  <c r="V93" i="14608"/>
  <c r="W93" i="14608"/>
  <c r="X93" i="14608"/>
  <c r="Y93" i="14608"/>
  <c r="Z93" i="14608"/>
  <c r="AA93" i="14608"/>
  <c r="AB93" i="14608"/>
  <c r="AC93" i="14608"/>
  <c r="AD93" i="14608"/>
  <c r="AE93" i="14608"/>
  <c r="AF93" i="14608"/>
  <c r="AG93" i="14608"/>
  <c r="AH93" i="14608"/>
  <c r="AI93" i="14608"/>
  <c r="AJ93" i="14608"/>
  <c r="AK93" i="14608"/>
  <c r="AL93" i="14608"/>
  <c r="AM93" i="14608"/>
  <c r="AN93" i="14608"/>
  <c r="AO93" i="14608"/>
  <c r="AP93" i="14608"/>
  <c r="AQ93" i="14608"/>
  <c r="AR93" i="14608"/>
  <c r="AS93" i="14608"/>
  <c r="AT93" i="14608"/>
  <c r="AU93" i="14608"/>
  <c r="AV93" i="14608"/>
  <c r="AW93" i="14608"/>
  <c r="AX93" i="14608"/>
  <c r="AY93" i="14608"/>
  <c r="AZ93" i="14608"/>
  <c r="BA93" i="14608"/>
  <c r="BB93" i="14608"/>
  <c r="BC93" i="14608"/>
  <c r="BD93" i="14608"/>
  <c r="BE93" i="14608"/>
  <c r="BF93" i="14608"/>
  <c r="BG93" i="14608"/>
  <c r="BH93" i="14608"/>
  <c r="BI93" i="14608"/>
  <c r="BJ93" i="14608"/>
  <c r="BK93" i="14608"/>
  <c r="BL93" i="14608"/>
  <c r="BM93" i="14608"/>
  <c r="BN93" i="14608"/>
  <c r="BO93" i="14608"/>
  <c r="BP93" i="14608"/>
  <c r="BQ93" i="14608"/>
  <c r="BR93" i="14608"/>
  <c r="BS93" i="14608"/>
  <c r="BT93" i="14608"/>
  <c r="BU93" i="14608"/>
  <c r="BV93" i="14608"/>
  <c r="BW93" i="14608"/>
  <c r="BX93" i="14608"/>
  <c r="BY93" i="14608"/>
  <c r="BZ93" i="14608"/>
  <c r="CA93" i="14608"/>
  <c r="CB93" i="14608"/>
  <c r="CC93" i="14608"/>
  <c r="CD93" i="14608"/>
  <c r="CE93" i="14608"/>
  <c r="CF93" i="14608"/>
  <c r="CG93" i="14608"/>
  <c r="CH93" i="14608"/>
  <c r="CI93" i="14608"/>
  <c r="CJ93" i="14608"/>
  <c r="CK93" i="14608"/>
  <c r="CL93" i="14608"/>
  <c r="CM93" i="14608"/>
  <c r="CN93" i="14608"/>
  <c r="CO93" i="14608"/>
  <c r="CP93" i="14608"/>
  <c r="CQ93" i="14608"/>
  <c r="CR93" i="14608"/>
  <c r="CS93" i="14608"/>
  <c r="CT93" i="14608"/>
  <c r="CU93" i="14608"/>
  <c r="CV93" i="14608"/>
  <c r="CW93" i="14608"/>
  <c r="CX93" i="14608"/>
  <c r="CY93" i="14608"/>
  <c r="CZ93" i="14608"/>
  <c r="DA93" i="14608"/>
  <c r="DB93" i="14608"/>
  <c r="DC93" i="14608"/>
  <c r="DD93" i="14608"/>
  <c r="DE93" i="14608"/>
  <c r="DF93" i="14608"/>
  <c r="DG93" i="14608"/>
  <c r="DH93" i="14608"/>
  <c r="DI93" i="14608"/>
  <c r="DJ93" i="14608"/>
  <c r="DK93" i="14608"/>
  <c r="DL93" i="14608"/>
  <c r="DM93" i="14608"/>
  <c r="DN93" i="14608"/>
  <c r="DO93" i="14608"/>
  <c r="DP93" i="14608"/>
  <c r="DQ93" i="14608"/>
  <c r="DR93" i="14608"/>
  <c r="DS93" i="14608"/>
  <c r="DT93" i="14608"/>
  <c r="DU93" i="14608"/>
  <c r="DV93" i="14608"/>
  <c r="DW93" i="14608"/>
  <c r="DX93" i="14608"/>
  <c r="DY93" i="14608"/>
  <c r="DZ93" i="14608"/>
  <c r="EA93" i="14608"/>
  <c r="EB93" i="14608"/>
  <c r="EC93" i="14608"/>
  <c r="ED93" i="14608"/>
  <c r="EE93" i="14608"/>
  <c r="EF93" i="14608"/>
  <c r="EG93" i="14608"/>
  <c r="EH93" i="14608"/>
  <c r="EI93" i="14608"/>
  <c r="EJ93" i="14608"/>
  <c r="EK93" i="14608"/>
  <c r="EL93" i="14608"/>
  <c r="EM93" i="14608"/>
  <c r="EN93" i="14608"/>
  <c r="EO93" i="14608"/>
  <c r="EP93" i="14608"/>
  <c r="EQ93" i="14608"/>
  <c r="ER93" i="14608"/>
  <c r="ES93" i="14608"/>
  <c r="ET93" i="14608"/>
  <c r="EU93" i="14608"/>
  <c r="EV93" i="14608"/>
  <c r="EW93" i="14608"/>
  <c r="EX93" i="14608"/>
  <c r="EY93" i="14608"/>
  <c r="EZ93" i="14608"/>
  <c r="FA93" i="14608"/>
  <c r="FB93" i="14608"/>
  <c r="FC93" i="14608"/>
  <c r="FD93" i="14608"/>
  <c r="FE93" i="14608"/>
  <c r="FF93" i="14608"/>
  <c r="FG93" i="14608"/>
  <c r="FH93" i="14608"/>
  <c r="FI93" i="14608"/>
  <c r="FJ93" i="14608"/>
  <c r="FK93" i="14608"/>
  <c r="FL93" i="14608"/>
  <c r="FM93" i="14608"/>
  <c r="FN93" i="14608"/>
  <c r="FO93" i="14608"/>
  <c r="FP93" i="14608"/>
  <c r="FQ93" i="14608"/>
  <c r="FR93" i="14608"/>
  <c r="FS93" i="14608"/>
  <c r="FT93" i="14608"/>
  <c r="FU93" i="14608"/>
  <c r="FV93" i="14608"/>
  <c r="FW93" i="14608"/>
  <c r="FX93" i="14608"/>
  <c r="FY93" i="14608"/>
  <c r="FZ93" i="14608"/>
  <c r="GA93" i="14608"/>
  <c r="GB93" i="14608"/>
  <c r="GC93" i="14608"/>
  <c r="GD93" i="14608"/>
  <c r="GE93" i="14608"/>
  <c r="GF93" i="14608"/>
  <c r="GG93" i="14608"/>
  <c r="GH93" i="14608"/>
  <c r="GI93" i="14608"/>
  <c r="GJ93" i="14608"/>
  <c r="GK93" i="14608"/>
  <c r="GL93" i="14608"/>
  <c r="GM93" i="14608"/>
  <c r="GN93" i="14608"/>
  <c r="GO93" i="14608"/>
  <c r="GP93" i="14608"/>
  <c r="GQ93" i="14608"/>
  <c r="GR93" i="14608"/>
  <c r="GS93" i="14608"/>
  <c r="GT93" i="14608"/>
  <c r="GU93" i="14608"/>
  <c r="GV93" i="14608"/>
  <c r="GW93" i="14608"/>
  <c r="GX93" i="14608"/>
  <c r="GY93" i="14608"/>
  <c r="GZ93" i="14608"/>
  <c r="HA93" i="14608"/>
  <c r="HB93" i="14608"/>
  <c r="HC93" i="14608"/>
  <c r="HD93" i="14608"/>
  <c r="HE93" i="14608"/>
  <c r="HF93" i="14608"/>
  <c r="HG93" i="14608"/>
  <c r="HH93" i="14608"/>
  <c r="HI93" i="14608"/>
  <c r="HJ93" i="14608"/>
  <c r="HK93" i="14608"/>
  <c r="HL93" i="14608"/>
  <c r="HM93" i="14608"/>
  <c r="HN93" i="14608"/>
  <c r="HO93" i="14608"/>
  <c r="HP93" i="14608"/>
  <c r="HQ93" i="14608"/>
  <c r="HR93" i="14608"/>
  <c r="HS93" i="14608"/>
  <c r="HT93" i="14608"/>
  <c r="HU93" i="14608"/>
  <c r="HV93" i="14608"/>
  <c r="HW93" i="14608"/>
  <c r="HX93" i="14608"/>
  <c r="HY93" i="14608"/>
  <c r="HZ93" i="14608"/>
  <c r="IA93" i="14608"/>
  <c r="IB93" i="14608"/>
  <c r="IC93" i="14608"/>
  <c r="ID93" i="14608"/>
  <c r="IE93" i="14608"/>
  <c r="IF93" i="14608"/>
  <c r="IG93" i="14608"/>
  <c r="IH93" i="14608"/>
  <c r="II93" i="14608"/>
  <c r="IJ93" i="14608"/>
  <c r="IK93" i="14608"/>
  <c r="IL93" i="14608"/>
  <c r="IM93" i="14608"/>
  <c r="IN93" i="14608"/>
  <c r="IO93" i="14608"/>
  <c r="IP93" i="14608"/>
  <c r="IQ93" i="14608"/>
  <c r="IR93" i="14608"/>
  <c r="IS93" i="14608"/>
  <c r="IT93" i="14608"/>
  <c r="IU93" i="14608"/>
  <c r="IV93" i="14608"/>
  <c r="A92" i="14608"/>
  <c r="B92" i="14608"/>
  <c r="C92" i="14608"/>
  <c r="D92" i="14608"/>
  <c r="E92" i="14608"/>
  <c r="F92" i="14608"/>
  <c r="G92" i="14608"/>
  <c r="H92" i="14608"/>
  <c r="I92" i="14608"/>
  <c r="J92" i="14608"/>
  <c r="K92" i="14608"/>
  <c r="L92" i="14608"/>
  <c r="M92" i="14608"/>
  <c r="N92" i="14608"/>
  <c r="O92" i="14608"/>
  <c r="P92" i="14608"/>
  <c r="Q92" i="14608"/>
  <c r="R92" i="14608"/>
  <c r="S92" i="14608"/>
  <c r="T92" i="14608"/>
  <c r="U92" i="14608"/>
  <c r="V92" i="14608"/>
  <c r="W92" i="14608"/>
  <c r="X92" i="14608"/>
  <c r="Y92" i="14608"/>
  <c r="Z92" i="14608"/>
  <c r="AA92" i="14608"/>
  <c r="AB92" i="14608"/>
  <c r="AC92" i="14608"/>
  <c r="AD92" i="14608"/>
  <c r="AE92" i="14608"/>
  <c r="AF92" i="14608"/>
  <c r="AG92" i="14608"/>
  <c r="AH92" i="14608"/>
  <c r="AI92" i="14608"/>
  <c r="AJ92" i="14608"/>
  <c r="AK92" i="14608"/>
  <c r="AL92" i="14608"/>
  <c r="AM92" i="14608"/>
  <c r="AN92" i="14608"/>
  <c r="AO92" i="14608"/>
  <c r="AP92" i="14608"/>
  <c r="AQ92" i="14608"/>
  <c r="AR92" i="14608"/>
  <c r="AS92" i="14608"/>
  <c r="AT92" i="14608"/>
  <c r="AU92" i="14608"/>
  <c r="AV92" i="14608"/>
  <c r="AW92" i="14608"/>
  <c r="AX92" i="14608"/>
  <c r="AY92" i="14608"/>
  <c r="AZ92" i="14608"/>
  <c r="BA92" i="14608"/>
  <c r="BB92" i="14608"/>
  <c r="BC92" i="14608"/>
  <c r="BD92" i="14608"/>
  <c r="BE92" i="14608"/>
  <c r="BF92" i="14608"/>
  <c r="BG92" i="14608"/>
  <c r="BH92" i="14608"/>
  <c r="BI92" i="14608"/>
  <c r="BJ92" i="14608"/>
  <c r="BK92" i="14608"/>
  <c r="BL92" i="14608"/>
  <c r="BM92" i="14608"/>
  <c r="BN92" i="14608"/>
  <c r="BO92" i="14608"/>
  <c r="BP92" i="14608"/>
  <c r="BQ92" i="14608"/>
  <c r="BR92" i="14608"/>
  <c r="BS92" i="14608"/>
  <c r="BT92" i="14608"/>
  <c r="BU92" i="14608"/>
  <c r="BV92" i="14608"/>
  <c r="BW92" i="14608"/>
  <c r="BX92" i="14608"/>
  <c r="BY92" i="14608"/>
  <c r="BZ92" i="14608"/>
  <c r="CA92" i="14608"/>
  <c r="CB92" i="14608"/>
  <c r="CC92" i="14608"/>
  <c r="CD92" i="14608"/>
  <c r="CE92" i="14608"/>
  <c r="CF92" i="14608"/>
  <c r="CG92" i="14608"/>
  <c r="CH92" i="14608"/>
  <c r="CI92" i="14608"/>
  <c r="CJ92" i="14608"/>
  <c r="CK92" i="14608"/>
  <c r="CL92" i="14608"/>
  <c r="CM92" i="14608"/>
  <c r="CN92" i="14608"/>
  <c r="CO92" i="14608"/>
  <c r="CP92" i="14608"/>
  <c r="CQ92" i="14608"/>
  <c r="CR92" i="14608"/>
  <c r="CS92" i="14608"/>
  <c r="CT92" i="14608"/>
  <c r="CU92" i="14608"/>
  <c r="CV92" i="14608"/>
  <c r="CW92" i="14608"/>
  <c r="CX92" i="14608"/>
  <c r="CY92" i="14608"/>
  <c r="CZ92" i="14608"/>
  <c r="DA92" i="14608"/>
  <c r="DB92" i="14608"/>
  <c r="DC92" i="14608"/>
  <c r="DD92" i="14608"/>
  <c r="DE92" i="14608"/>
  <c r="DF92" i="14608"/>
  <c r="DG92" i="14608"/>
  <c r="DH92" i="14608"/>
  <c r="DI92" i="14608"/>
  <c r="DJ92" i="14608"/>
  <c r="DK92" i="14608"/>
  <c r="DL92" i="14608"/>
  <c r="DM92" i="14608"/>
  <c r="DN92" i="14608"/>
  <c r="DO92" i="14608"/>
  <c r="DP92" i="14608"/>
  <c r="DQ92" i="14608"/>
  <c r="DR92" i="14608"/>
  <c r="DS92" i="14608"/>
  <c r="DT92" i="14608"/>
  <c r="DU92" i="14608"/>
  <c r="DV92" i="14608"/>
  <c r="DW92" i="14608"/>
  <c r="DX92" i="14608"/>
  <c r="DY92" i="14608"/>
  <c r="DZ92" i="14608"/>
  <c r="EA92" i="14608"/>
  <c r="EB92" i="14608"/>
  <c r="EC92" i="14608"/>
  <c r="ED92" i="14608"/>
  <c r="EE92" i="14608"/>
  <c r="EF92" i="14608"/>
  <c r="EG92" i="14608"/>
  <c r="EH92" i="14608"/>
  <c r="EI92" i="14608"/>
  <c r="EJ92" i="14608"/>
  <c r="EK92" i="14608"/>
  <c r="EL92" i="14608"/>
  <c r="EM92" i="14608"/>
  <c r="EN92" i="14608"/>
  <c r="EO92" i="14608"/>
  <c r="EP92" i="14608"/>
  <c r="EQ92" i="14608"/>
  <c r="ER92" i="14608"/>
  <c r="ES92" i="14608"/>
  <c r="ET92" i="14608"/>
  <c r="EU92" i="14608"/>
  <c r="EV92" i="14608"/>
  <c r="EW92" i="14608"/>
  <c r="EX92" i="14608"/>
  <c r="EY92" i="14608"/>
  <c r="EZ92" i="14608"/>
  <c r="FA92" i="14608"/>
  <c r="FB92" i="14608"/>
  <c r="FC92" i="14608"/>
  <c r="FD92" i="14608"/>
  <c r="FE92" i="14608"/>
  <c r="FF92" i="14608"/>
  <c r="FG92" i="14608"/>
  <c r="FH92" i="14608"/>
  <c r="FI92" i="14608"/>
  <c r="FJ92" i="14608"/>
  <c r="FK92" i="14608"/>
  <c r="FL92" i="14608"/>
  <c r="FM92" i="14608"/>
  <c r="FN92" i="14608"/>
  <c r="FO92" i="14608"/>
  <c r="FP92" i="14608"/>
  <c r="FQ92" i="14608"/>
  <c r="FR92" i="14608"/>
  <c r="FS92" i="14608"/>
  <c r="FT92" i="14608"/>
  <c r="FU92" i="14608"/>
  <c r="FV92" i="14608"/>
  <c r="FW92" i="14608"/>
  <c r="FX92" i="14608"/>
  <c r="FY92" i="14608"/>
  <c r="FZ92" i="14608"/>
  <c r="GA92" i="14608"/>
  <c r="GB92" i="14608"/>
  <c r="GC92" i="14608"/>
  <c r="GD92" i="14608"/>
  <c r="GE92" i="14608"/>
  <c r="GF92" i="14608"/>
  <c r="GG92" i="14608"/>
  <c r="GH92" i="14608"/>
  <c r="GI92" i="14608"/>
  <c r="GJ92" i="14608"/>
  <c r="GK92" i="14608"/>
  <c r="GL92" i="14608"/>
  <c r="GM92" i="14608"/>
  <c r="GN92" i="14608"/>
  <c r="GO92" i="14608"/>
  <c r="GP92" i="14608"/>
  <c r="GQ92" i="14608"/>
  <c r="GR92" i="14608"/>
  <c r="GS92" i="14608"/>
  <c r="GT92" i="14608"/>
  <c r="GU92" i="14608"/>
  <c r="GV92" i="14608"/>
  <c r="GW92" i="14608"/>
  <c r="GX92" i="14608"/>
  <c r="GY92" i="14608"/>
  <c r="GZ92" i="14608"/>
  <c r="HA92" i="14608"/>
  <c r="HB92" i="14608"/>
  <c r="HC92" i="14608"/>
  <c r="HD92" i="14608"/>
  <c r="HE92" i="14608"/>
  <c r="HF92" i="14608"/>
  <c r="HG92" i="14608"/>
  <c r="HH92" i="14608"/>
  <c r="HI92" i="14608"/>
  <c r="HJ92" i="14608"/>
  <c r="HK92" i="14608"/>
  <c r="HL92" i="14608"/>
  <c r="HM92" i="14608"/>
  <c r="HN92" i="14608"/>
  <c r="HO92" i="14608"/>
  <c r="HP92" i="14608"/>
  <c r="HQ92" i="14608"/>
  <c r="HR92" i="14608"/>
  <c r="HS92" i="14608"/>
  <c r="HT92" i="14608"/>
  <c r="HU92" i="14608"/>
  <c r="HV92" i="14608"/>
  <c r="HW92" i="14608"/>
  <c r="HX92" i="14608"/>
  <c r="HY92" i="14608"/>
  <c r="HZ92" i="14608"/>
  <c r="IA92" i="14608"/>
  <c r="IB92" i="14608"/>
  <c r="IC92" i="14608"/>
  <c r="ID92" i="14608"/>
  <c r="IE92" i="14608"/>
  <c r="IF92" i="14608"/>
  <c r="IG92" i="14608"/>
  <c r="IH92" i="14608"/>
  <c r="II92" i="14608"/>
  <c r="IJ92" i="14608"/>
  <c r="IK92" i="14608"/>
  <c r="IL92" i="14608"/>
  <c r="IM92" i="14608"/>
  <c r="IN92" i="14608"/>
  <c r="IO92" i="14608"/>
  <c r="IP92" i="14608"/>
  <c r="IQ92" i="14608"/>
  <c r="IR92" i="14608"/>
  <c r="IS92" i="14608"/>
  <c r="IT92" i="14608"/>
  <c r="IU92" i="14608"/>
  <c r="IV92" i="14608"/>
  <c r="A91" i="14608"/>
  <c r="B91" i="14608"/>
  <c r="C91" i="14608"/>
  <c r="D91" i="14608"/>
  <c r="E91" i="14608"/>
  <c r="F91" i="14608"/>
  <c r="G91" i="14608"/>
  <c r="H91" i="14608"/>
  <c r="I91" i="14608"/>
  <c r="J91" i="14608"/>
  <c r="K91" i="14608"/>
  <c r="L91" i="14608"/>
  <c r="M91" i="14608"/>
  <c r="N91" i="14608"/>
  <c r="O91" i="14608"/>
  <c r="P91" i="14608"/>
  <c r="Q91" i="14608"/>
  <c r="R91" i="14608"/>
  <c r="S91" i="14608"/>
  <c r="T91" i="14608"/>
  <c r="U91" i="14608"/>
  <c r="V91" i="14608"/>
  <c r="W91" i="14608"/>
  <c r="X91" i="14608"/>
  <c r="Y91" i="14608"/>
  <c r="Z91" i="14608"/>
  <c r="AA91" i="14608"/>
  <c r="AB91" i="14608"/>
  <c r="AC91" i="14608"/>
  <c r="AD91" i="14608"/>
  <c r="AE91" i="14608"/>
  <c r="AF91" i="14608"/>
  <c r="AG91" i="14608"/>
  <c r="AH91" i="14608"/>
  <c r="AI91" i="14608"/>
  <c r="AJ91" i="14608"/>
  <c r="AK91" i="14608"/>
  <c r="AL91" i="14608"/>
  <c r="AM91" i="14608"/>
  <c r="AN91" i="14608"/>
  <c r="AO91" i="14608"/>
  <c r="AP91" i="14608"/>
  <c r="AQ91" i="14608"/>
  <c r="AR91" i="14608"/>
  <c r="AS91" i="14608"/>
  <c r="AT91" i="14608"/>
  <c r="AU91" i="14608"/>
  <c r="AV91" i="14608"/>
  <c r="AW91" i="14608"/>
  <c r="AX91" i="14608"/>
  <c r="AY91" i="14608"/>
  <c r="AZ91" i="14608"/>
  <c r="BA91" i="14608"/>
  <c r="BB91" i="14608"/>
  <c r="BC91" i="14608"/>
  <c r="BD91" i="14608"/>
  <c r="BE91" i="14608"/>
  <c r="BF91" i="14608"/>
  <c r="BG91" i="14608"/>
  <c r="BH91" i="14608"/>
  <c r="BI91" i="14608"/>
  <c r="BJ91" i="14608"/>
  <c r="BK91" i="14608"/>
  <c r="BL91" i="14608"/>
  <c r="BM91" i="14608"/>
  <c r="BN91" i="14608"/>
  <c r="BO91" i="14608"/>
  <c r="BP91" i="14608"/>
  <c r="BQ91" i="14608"/>
  <c r="BR91" i="14608"/>
  <c r="BS91" i="14608"/>
  <c r="BT91" i="14608"/>
  <c r="BU91" i="14608"/>
  <c r="BV91" i="14608"/>
  <c r="BW91" i="14608"/>
  <c r="BX91" i="14608"/>
  <c r="BY91" i="14608"/>
  <c r="BZ91" i="14608"/>
  <c r="CA91" i="14608"/>
  <c r="CB91" i="14608"/>
  <c r="CC91" i="14608"/>
  <c r="CD91" i="14608"/>
  <c r="CE91" i="14608"/>
  <c r="CF91" i="14608"/>
  <c r="CG91" i="14608"/>
  <c r="CH91" i="14608"/>
  <c r="CI91" i="14608"/>
  <c r="CJ91" i="14608"/>
  <c r="CK91" i="14608"/>
  <c r="CL91" i="14608"/>
  <c r="CM91" i="14608"/>
  <c r="CN91" i="14608"/>
  <c r="CO91" i="14608"/>
  <c r="CP91" i="14608"/>
  <c r="CQ91" i="14608"/>
  <c r="CR91" i="14608"/>
  <c r="CS91" i="14608"/>
  <c r="CT91" i="14608"/>
  <c r="CU91" i="14608"/>
  <c r="CV91" i="14608"/>
  <c r="CW91" i="14608"/>
  <c r="CX91" i="14608"/>
  <c r="CY91" i="14608"/>
  <c r="CZ91" i="14608"/>
  <c r="DA91" i="14608"/>
  <c r="DB91" i="14608"/>
  <c r="DC91" i="14608"/>
  <c r="DD91" i="14608"/>
  <c r="DE91" i="14608"/>
  <c r="DF91" i="14608"/>
  <c r="DG91" i="14608"/>
  <c r="DH91" i="14608"/>
  <c r="DI91" i="14608"/>
  <c r="DJ91" i="14608"/>
  <c r="DK91" i="14608"/>
  <c r="DL91" i="14608"/>
  <c r="DM91" i="14608"/>
  <c r="DN91" i="14608"/>
  <c r="DO91" i="14608"/>
  <c r="DP91" i="14608"/>
  <c r="DQ91" i="14608"/>
  <c r="DR91" i="14608"/>
  <c r="DS91" i="14608"/>
  <c r="DT91" i="14608"/>
  <c r="DU91" i="14608"/>
  <c r="DV91" i="14608"/>
  <c r="DW91" i="14608"/>
  <c r="DX91" i="14608"/>
  <c r="DY91" i="14608"/>
  <c r="DZ91" i="14608"/>
  <c r="EA91" i="14608"/>
  <c r="EB91" i="14608"/>
  <c r="EC91" i="14608"/>
  <c r="ED91" i="14608"/>
  <c r="EE91" i="14608"/>
  <c r="EF91" i="14608"/>
  <c r="EG91" i="14608"/>
  <c r="EH91" i="14608"/>
  <c r="EI91" i="14608"/>
  <c r="EJ91" i="14608"/>
  <c r="EK91" i="14608"/>
  <c r="EL91" i="14608"/>
  <c r="EM91" i="14608"/>
  <c r="EN91" i="14608"/>
  <c r="EO91" i="14608"/>
  <c r="EP91" i="14608"/>
  <c r="EQ91" i="14608"/>
  <c r="ER91" i="14608"/>
  <c r="ES91" i="14608"/>
  <c r="ET91" i="14608"/>
  <c r="EU91" i="14608"/>
  <c r="EV91" i="14608"/>
  <c r="EW91" i="14608"/>
  <c r="EX91" i="14608"/>
  <c r="EY91" i="14608"/>
  <c r="EZ91" i="14608"/>
  <c r="FA91" i="14608"/>
  <c r="FB91" i="14608"/>
  <c r="FC91" i="14608"/>
  <c r="FD91" i="14608"/>
  <c r="FE91" i="14608"/>
  <c r="FF91" i="14608"/>
  <c r="FG91" i="14608"/>
  <c r="FH91" i="14608"/>
  <c r="FI91" i="14608"/>
  <c r="FJ91" i="14608"/>
  <c r="FK91" i="14608"/>
  <c r="FL91" i="14608"/>
  <c r="FM91" i="14608"/>
  <c r="FN91" i="14608"/>
  <c r="FO91" i="14608"/>
  <c r="FP91" i="14608"/>
  <c r="FQ91" i="14608"/>
  <c r="FR91" i="14608"/>
  <c r="FS91" i="14608"/>
  <c r="FT91" i="14608"/>
  <c r="FU91" i="14608"/>
  <c r="FV91" i="14608"/>
  <c r="FW91" i="14608"/>
  <c r="FX91" i="14608"/>
  <c r="FY91" i="14608"/>
  <c r="FZ91" i="14608"/>
  <c r="GA91" i="14608"/>
  <c r="GB91" i="14608"/>
  <c r="GC91" i="14608"/>
  <c r="GD91" i="14608"/>
  <c r="GE91" i="14608"/>
  <c r="GF91" i="14608"/>
  <c r="GG91" i="14608"/>
  <c r="GH91" i="14608"/>
  <c r="GI91" i="14608"/>
  <c r="GJ91" i="14608"/>
  <c r="GK91" i="14608"/>
  <c r="GL91" i="14608"/>
  <c r="GM91" i="14608"/>
  <c r="GN91" i="14608"/>
  <c r="GO91" i="14608"/>
  <c r="GP91" i="14608"/>
  <c r="GQ91" i="14608"/>
  <c r="GR91" i="14608"/>
  <c r="GS91" i="14608"/>
  <c r="GT91" i="14608"/>
  <c r="GU91" i="14608"/>
  <c r="GV91" i="14608"/>
  <c r="GW91" i="14608"/>
  <c r="GX91" i="14608"/>
  <c r="GY91" i="14608"/>
  <c r="GZ91" i="14608"/>
  <c r="HA91" i="14608"/>
  <c r="HB91" i="14608"/>
  <c r="HC91" i="14608"/>
  <c r="HD91" i="14608"/>
  <c r="HE91" i="14608"/>
  <c r="HF91" i="14608"/>
  <c r="HG91" i="14608"/>
  <c r="HH91" i="14608"/>
  <c r="HI91" i="14608"/>
  <c r="HJ91" i="14608"/>
  <c r="HK91" i="14608"/>
  <c r="HL91" i="14608"/>
  <c r="HM91" i="14608"/>
  <c r="HN91" i="14608"/>
  <c r="HO91" i="14608"/>
  <c r="HP91" i="14608"/>
  <c r="HQ91" i="14608"/>
  <c r="HR91" i="14608"/>
  <c r="HS91" i="14608"/>
  <c r="HT91" i="14608"/>
  <c r="HU91" i="14608"/>
  <c r="HV91" i="14608"/>
  <c r="HW91" i="14608"/>
  <c r="HX91" i="14608"/>
  <c r="HY91" i="14608"/>
  <c r="HZ91" i="14608"/>
  <c r="IA91" i="14608"/>
  <c r="IB91" i="14608"/>
  <c r="IC91" i="14608"/>
  <c r="ID91" i="14608"/>
  <c r="IE91" i="14608"/>
  <c r="IF91" i="14608"/>
  <c r="IG91" i="14608"/>
  <c r="IH91" i="14608"/>
  <c r="II91" i="14608"/>
  <c r="IJ91" i="14608"/>
  <c r="IK91" i="14608"/>
  <c r="IL91" i="14608"/>
  <c r="IM91" i="14608"/>
  <c r="IN91" i="14608"/>
  <c r="IO91" i="14608"/>
  <c r="IP91" i="14608"/>
  <c r="IQ91" i="14608"/>
  <c r="IR91" i="14608"/>
  <c r="IS91" i="14608"/>
  <c r="IT91" i="14608"/>
  <c r="IU91" i="14608"/>
  <c r="IV91" i="14608"/>
  <c r="A90" i="14608"/>
  <c r="B90" i="14608"/>
  <c r="C90" i="14608"/>
  <c r="D90" i="14608"/>
  <c r="E90" i="14608"/>
  <c r="F90" i="14608"/>
  <c r="G90" i="14608"/>
  <c r="H90" i="14608"/>
  <c r="I90" i="14608"/>
  <c r="J90" i="14608"/>
  <c r="K90" i="14608"/>
  <c r="L90" i="14608"/>
  <c r="M90" i="14608"/>
  <c r="N90" i="14608"/>
  <c r="O90" i="14608"/>
  <c r="P90" i="14608"/>
  <c r="Q90" i="14608"/>
  <c r="R90" i="14608"/>
  <c r="S90" i="14608"/>
  <c r="T90" i="14608"/>
  <c r="U90" i="14608"/>
  <c r="V90" i="14608"/>
  <c r="W90" i="14608"/>
  <c r="X90" i="14608"/>
  <c r="Y90" i="14608"/>
  <c r="Z90" i="14608"/>
  <c r="AA90" i="14608"/>
  <c r="AB90" i="14608"/>
  <c r="AC90" i="14608"/>
  <c r="AD90" i="14608"/>
  <c r="AE90" i="14608"/>
  <c r="AF90" i="14608"/>
  <c r="AG90" i="14608"/>
  <c r="AH90" i="14608"/>
  <c r="AI90" i="14608"/>
  <c r="AJ90" i="14608"/>
  <c r="AK90" i="14608"/>
  <c r="AL90" i="14608"/>
  <c r="AM90" i="14608"/>
  <c r="AN90" i="14608"/>
  <c r="AO90" i="14608"/>
  <c r="AP90" i="14608"/>
  <c r="AQ90" i="14608"/>
  <c r="AR90" i="14608"/>
  <c r="AS90" i="14608"/>
  <c r="AT90" i="14608"/>
  <c r="AU90" i="14608"/>
  <c r="AV90" i="14608"/>
  <c r="AW90" i="14608"/>
  <c r="AX90" i="14608"/>
  <c r="AY90" i="14608"/>
  <c r="AZ90" i="14608"/>
  <c r="BA90" i="14608"/>
  <c r="BB90" i="14608"/>
  <c r="BC90" i="14608"/>
  <c r="BD90" i="14608"/>
  <c r="BE90" i="14608"/>
  <c r="BF90" i="14608"/>
  <c r="BG90" i="14608"/>
  <c r="BH90" i="14608"/>
  <c r="BI90" i="14608"/>
  <c r="BJ90" i="14608"/>
  <c r="BK90" i="14608"/>
  <c r="BL90" i="14608"/>
  <c r="BM90" i="14608"/>
  <c r="BN90" i="14608"/>
  <c r="BO90" i="14608"/>
  <c r="BP90" i="14608"/>
  <c r="BQ90" i="14608"/>
  <c r="BR90" i="14608"/>
  <c r="BS90" i="14608"/>
  <c r="BT90" i="14608"/>
  <c r="BU90" i="14608"/>
  <c r="BV90" i="14608"/>
  <c r="BW90" i="14608"/>
  <c r="BX90" i="14608"/>
  <c r="BY90" i="14608"/>
  <c r="BZ90" i="14608"/>
  <c r="CA90" i="14608"/>
  <c r="CB90" i="14608"/>
  <c r="CC90" i="14608"/>
  <c r="CD90" i="14608"/>
  <c r="CE90" i="14608"/>
  <c r="CF90" i="14608"/>
  <c r="CG90" i="14608"/>
  <c r="CH90" i="14608"/>
  <c r="CI90" i="14608"/>
  <c r="CJ90" i="14608"/>
  <c r="CK90" i="14608"/>
  <c r="CL90" i="14608"/>
  <c r="CM90" i="14608"/>
  <c r="CN90" i="14608"/>
  <c r="CO90" i="14608"/>
  <c r="CP90" i="14608"/>
  <c r="CQ90" i="14608"/>
  <c r="CR90" i="14608"/>
  <c r="CS90" i="14608"/>
  <c r="CT90" i="14608"/>
  <c r="CU90" i="14608"/>
  <c r="CV90" i="14608"/>
  <c r="CW90" i="14608"/>
  <c r="CX90" i="14608"/>
  <c r="CY90" i="14608"/>
  <c r="CZ90" i="14608"/>
  <c r="DA90" i="14608"/>
  <c r="DB90" i="14608"/>
  <c r="DC90" i="14608"/>
  <c r="DD90" i="14608"/>
  <c r="DE90" i="14608"/>
  <c r="DF90" i="14608"/>
  <c r="DG90" i="14608"/>
  <c r="DH90" i="14608"/>
  <c r="DI90" i="14608"/>
  <c r="DJ90" i="14608"/>
  <c r="DK90" i="14608"/>
  <c r="DL90" i="14608"/>
  <c r="DM90" i="14608"/>
  <c r="DN90" i="14608"/>
  <c r="DO90" i="14608"/>
  <c r="DP90" i="14608"/>
  <c r="DQ90" i="14608"/>
  <c r="DR90" i="14608"/>
  <c r="DS90" i="14608"/>
  <c r="DT90" i="14608"/>
  <c r="DU90" i="14608"/>
  <c r="DV90" i="14608"/>
  <c r="DW90" i="14608"/>
  <c r="DX90" i="14608"/>
  <c r="DY90" i="14608"/>
  <c r="DZ90" i="14608"/>
  <c r="EA90" i="14608"/>
  <c r="EB90" i="14608"/>
  <c r="EC90" i="14608"/>
  <c r="ED90" i="14608"/>
  <c r="EE90" i="14608"/>
  <c r="EF90" i="14608"/>
  <c r="EG90" i="14608"/>
  <c r="EH90" i="14608"/>
  <c r="EI90" i="14608"/>
  <c r="EJ90" i="14608"/>
  <c r="EK90" i="14608"/>
  <c r="EL90" i="14608"/>
  <c r="EM90" i="14608"/>
  <c r="EN90" i="14608"/>
  <c r="EO90" i="14608"/>
  <c r="EP90" i="14608"/>
  <c r="EQ90" i="14608"/>
  <c r="ER90" i="14608"/>
  <c r="ES90" i="14608"/>
  <c r="ET90" i="14608"/>
  <c r="EU90" i="14608"/>
  <c r="EV90" i="14608"/>
  <c r="EW90" i="14608"/>
  <c r="EX90" i="14608"/>
  <c r="EY90" i="14608"/>
  <c r="EZ90" i="14608"/>
  <c r="FA90" i="14608"/>
  <c r="FB90" i="14608"/>
  <c r="FC90" i="14608"/>
  <c r="FD90" i="14608"/>
  <c r="FE90" i="14608"/>
  <c r="FF90" i="14608"/>
  <c r="FG90" i="14608"/>
  <c r="FH90" i="14608"/>
  <c r="FI90" i="14608"/>
  <c r="FJ90" i="14608"/>
  <c r="FK90" i="14608"/>
  <c r="FL90" i="14608"/>
  <c r="FM90" i="14608"/>
  <c r="FN90" i="14608"/>
  <c r="FO90" i="14608"/>
  <c r="FP90" i="14608"/>
  <c r="FQ90" i="14608"/>
  <c r="FR90" i="14608"/>
  <c r="FS90" i="14608"/>
  <c r="FT90" i="14608"/>
  <c r="FU90" i="14608"/>
  <c r="FV90" i="14608"/>
  <c r="FW90" i="14608"/>
  <c r="FX90" i="14608"/>
  <c r="FY90" i="14608"/>
  <c r="FZ90" i="14608"/>
  <c r="GA90" i="14608"/>
  <c r="GB90" i="14608"/>
  <c r="GC90" i="14608"/>
  <c r="GD90" i="14608"/>
  <c r="GE90" i="14608"/>
  <c r="GF90" i="14608"/>
  <c r="GG90" i="14608"/>
  <c r="GH90" i="14608"/>
  <c r="GI90" i="14608"/>
  <c r="GJ90" i="14608"/>
  <c r="GK90" i="14608"/>
  <c r="GL90" i="14608"/>
  <c r="GM90" i="14608"/>
  <c r="GN90" i="14608"/>
  <c r="GO90" i="14608"/>
  <c r="GP90" i="14608"/>
  <c r="GQ90" i="14608"/>
  <c r="GR90" i="14608"/>
  <c r="GS90" i="14608"/>
  <c r="GT90" i="14608"/>
  <c r="GU90" i="14608"/>
  <c r="GV90" i="14608"/>
  <c r="GW90" i="14608"/>
  <c r="GX90" i="14608"/>
  <c r="GY90" i="14608"/>
  <c r="GZ90" i="14608"/>
  <c r="HA90" i="14608"/>
  <c r="HB90" i="14608"/>
  <c r="HC90" i="14608"/>
  <c r="HD90" i="14608"/>
  <c r="HE90" i="14608"/>
  <c r="HF90" i="14608"/>
  <c r="HG90" i="14608"/>
  <c r="HH90" i="14608"/>
  <c r="HI90" i="14608"/>
  <c r="HJ90" i="14608"/>
  <c r="HK90" i="14608"/>
  <c r="HL90" i="14608"/>
  <c r="HM90" i="14608"/>
  <c r="HN90" i="14608"/>
  <c r="HO90" i="14608"/>
  <c r="HP90" i="14608"/>
  <c r="HQ90" i="14608"/>
  <c r="HR90" i="14608"/>
  <c r="HS90" i="14608"/>
  <c r="HT90" i="14608"/>
  <c r="HU90" i="14608"/>
  <c r="HV90" i="14608"/>
  <c r="HW90" i="14608"/>
  <c r="HX90" i="14608"/>
  <c r="HY90" i="14608"/>
  <c r="HZ90" i="14608"/>
  <c r="IA90" i="14608"/>
  <c r="IB90" i="14608"/>
  <c r="IC90" i="14608"/>
  <c r="ID90" i="14608"/>
  <c r="IE90" i="14608"/>
  <c r="IF90" i="14608"/>
  <c r="IG90" i="14608"/>
  <c r="IH90" i="14608"/>
  <c r="II90" i="14608"/>
  <c r="IJ90" i="14608"/>
  <c r="IK90" i="14608"/>
  <c r="IL90" i="14608"/>
  <c r="IM90" i="14608"/>
  <c r="IN90" i="14608"/>
  <c r="IO90" i="14608"/>
  <c r="IP90" i="14608"/>
  <c r="IQ90" i="14608"/>
  <c r="IR90" i="14608"/>
  <c r="IS90" i="14608"/>
  <c r="IT90" i="14608"/>
  <c r="IU90" i="14608"/>
  <c r="IV90" i="14608"/>
  <c r="A89" i="14608"/>
  <c r="B89" i="14608"/>
  <c r="C89" i="14608"/>
  <c r="D89" i="14608"/>
  <c r="E89" i="14608"/>
  <c r="F89" i="14608"/>
  <c r="G89" i="14608"/>
  <c r="H89" i="14608"/>
  <c r="I89" i="14608"/>
  <c r="J89" i="14608"/>
  <c r="K89" i="14608"/>
  <c r="L89" i="14608"/>
  <c r="M89" i="14608"/>
  <c r="N89" i="14608"/>
  <c r="O89" i="14608"/>
  <c r="P89" i="14608"/>
  <c r="Q89" i="14608"/>
  <c r="R89" i="14608"/>
  <c r="S89" i="14608"/>
  <c r="T89" i="14608"/>
  <c r="U89" i="14608"/>
  <c r="V89" i="14608"/>
  <c r="W89" i="14608"/>
  <c r="X89" i="14608"/>
  <c r="Y89" i="14608"/>
  <c r="Z89" i="14608"/>
  <c r="AA89" i="14608"/>
  <c r="AB89" i="14608"/>
  <c r="AC89" i="14608"/>
  <c r="AD89" i="14608"/>
  <c r="AE89" i="14608"/>
  <c r="AF89" i="14608"/>
  <c r="AG89" i="14608"/>
  <c r="AH89" i="14608"/>
  <c r="AI89" i="14608"/>
  <c r="AJ89" i="14608"/>
  <c r="AK89" i="14608"/>
  <c r="AL89" i="14608"/>
  <c r="AM89" i="14608"/>
  <c r="AN89" i="14608"/>
  <c r="AO89" i="14608"/>
  <c r="AP89" i="14608"/>
  <c r="AQ89" i="14608"/>
  <c r="AR89" i="14608"/>
  <c r="AS89" i="14608"/>
  <c r="AT89" i="14608"/>
  <c r="AU89" i="14608"/>
  <c r="AV89" i="14608"/>
  <c r="AW89" i="14608"/>
  <c r="AX89" i="14608"/>
  <c r="AY89" i="14608"/>
  <c r="AZ89" i="14608"/>
  <c r="BA89" i="14608"/>
  <c r="BB89" i="14608"/>
  <c r="BC89" i="14608"/>
  <c r="BD89" i="14608"/>
  <c r="BE89" i="14608"/>
  <c r="BF89" i="14608"/>
  <c r="BG89" i="14608"/>
  <c r="BH89" i="14608"/>
  <c r="BI89" i="14608"/>
  <c r="BJ89" i="14608"/>
  <c r="BK89" i="14608"/>
  <c r="BL89" i="14608"/>
  <c r="BM89" i="14608"/>
  <c r="BN89" i="14608"/>
  <c r="BO89" i="14608"/>
  <c r="BP89" i="14608"/>
  <c r="BQ89" i="14608"/>
  <c r="BR89" i="14608"/>
  <c r="BS89" i="14608"/>
  <c r="BT89" i="14608"/>
  <c r="BU89" i="14608"/>
  <c r="BV89" i="14608"/>
  <c r="BW89" i="14608"/>
  <c r="BX89" i="14608"/>
  <c r="BY89" i="14608"/>
  <c r="BZ89" i="14608"/>
  <c r="CA89" i="14608"/>
  <c r="CB89" i="14608"/>
  <c r="CC89" i="14608"/>
  <c r="CD89" i="14608"/>
  <c r="CE89" i="14608"/>
  <c r="CF89" i="14608"/>
  <c r="CG89" i="14608"/>
  <c r="CH89" i="14608"/>
  <c r="CI89" i="14608"/>
  <c r="CJ89" i="14608"/>
  <c r="CK89" i="14608"/>
  <c r="CL89" i="14608"/>
  <c r="CM89" i="14608"/>
  <c r="CN89" i="14608"/>
  <c r="CO89" i="14608"/>
  <c r="CP89" i="14608"/>
  <c r="CQ89" i="14608"/>
  <c r="CR89" i="14608"/>
  <c r="CS89" i="14608"/>
  <c r="CT89" i="14608"/>
  <c r="CU89" i="14608"/>
  <c r="CV89" i="14608"/>
  <c r="CW89" i="14608"/>
  <c r="CX89" i="14608"/>
  <c r="CY89" i="14608"/>
  <c r="CZ89" i="14608"/>
  <c r="DA89" i="14608"/>
  <c r="DB89" i="14608"/>
  <c r="DC89" i="14608"/>
  <c r="DD89" i="14608"/>
  <c r="DE89" i="14608"/>
  <c r="DF89" i="14608"/>
  <c r="DG89" i="14608"/>
  <c r="DH89" i="14608"/>
  <c r="DI89" i="14608"/>
  <c r="DJ89" i="14608"/>
  <c r="DK89" i="14608"/>
  <c r="DL89" i="14608"/>
  <c r="DM89" i="14608"/>
  <c r="DN89" i="14608"/>
  <c r="DO89" i="14608"/>
  <c r="DP89" i="14608"/>
  <c r="DQ89" i="14608"/>
  <c r="DR89" i="14608"/>
  <c r="DS89" i="14608"/>
  <c r="DT89" i="14608"/>
  <c r="DU89" i="14608"/>
  <c r="DV89" i="14608"/>
  <c r="DW89" i="14608"/>
  <c r="DX89" i="14608"/>
  <c r="DY89" i="14608"/>
  <c r="DZ89" i="14608"/>
  <c r="EA89" i="14608"/>
  <c r="EB89" i="14608"/>
  <c r="EC89" i="14608"/>
  <c r="ED89" i="14608"/>
  <c r="EE89" i="14608"/>
  <c r="EF89" i="14608"/>
  <c r="EG89" i="14608"/>
  <c r="EH89" i="14608"/>
  <c r="EI89" i="14608"/>
  <c r="EJ89" i="14608"/>
  <c r="EK89" i="14608"/>
  <c r="EL89" i="14608"/>
  <c r="EM89" i="14608"/>
  <c r="EN89" i="14608"/>
  <c r="EO89" i="14608"/>
  <c r="EP89" i="14608"/>
  <c r="EQ89" i="14608"/>
  <c r="ER89" i="14608"/>
  <c r="ES89" i="14608"/>
  <c r="ET89" i="14608"/>
  <c r="EU89" i="14608"/>
  <c r="EV89" i="14608"/>
  <c r="EW89" i="14608"/>
  <c r="EX89" i="14608"/>
  <c r="EY89" i="14608"/>
  <c r="EZ89" i="14608"/>
  <c r="FA89" i="14608"/>
  <c r="FB89" i="14608"/>
  <c r="FC89" i="14608"/>
  <c r="FD89" i="14608"/>
  <c r="FE89" i="14608"/>
  <c r="FF89" i="14608"/>
  <c r="FG89" i="14608"/>
  <c r="FH89" i="14608"/>
  <c r="FI89" i="14608"/>
  <c r="FJ89" i="14608"/>
  <c r="FK89" i="14608"/>
  <c r="FL89" i="14608"/>
  <c r="FM89" i="14608"/>
  <c r="FN89" i="14608"/>
  <c r="FO89" i="14608"/>
  <c r="FP89" i="14608"/>
  <c r="FQ89" i="14608"/>
  <c r="FR89" i="14608"/>
  <c r="FS89" i="14608"/>
  <c r="FT89" i="14608"/>
  <c r="FU89" i="14608"/>
  <c r="FV89" i="14608"/>
  <c r="FW89" i="14608"/>
  <c r="FX89" i="14608"/>
  <c r="FY89" i="14608"/>
  <c r="FZ89" i="14608"/>
  <c r="GA89" i="14608"/>
  <c r="GB89" i="14608"/>
  <c r="GC89" i="14608"/>
  <c r="GD89" i="14608"/>
  <c r="GE89" i="14608"/>
  <c r="GF89" i="14608"/>
  <c r="GG89" i="14608"/>
  <c r="GH89" i="14608"/>
  <c r="GI89" i="14608"/>
  <c r="GJ89" i="14608"/>
  <c r="GK89" i="14608"/>
  <c r="GL89" i="14608"/>
  <c r="GM89" i="14608"/>
  <c r="GN89" i="14608"/>
  <c r="GO89" i="14608"/>
  <c r="GP89" i="14608"/>
  <c r="GQ89" i="14608"/>
  <c r="GR89" i="14608"/>
  <c r="GS89" i="14608"/>
  <c r="GT89" i="14608"/>
  <c r="GU89" i="14608"/>
  <c r="GV89" i="14608"/>
  <c r="GW89" i="14608"/>
  <c r="GX89" i="14608"/>
  <c r="GY89" i="14608"/>
  <c r="GZ89" i="14608"/>
  <c r="HA89" i="14608"/>
  <c r="HB89" i="14608"/>
  <c r="HC89" i="14608"/>
  <c r="HD89" i="14608"/>
  <c r="HE89" i="14608"/>
  <c r="HF89" i="14608"/>
  <c r="HG89" i="14608"/>
  <c r="HH89" i="14608"/>
  <c r="HI89" i="14608"/>
  <c r="HJ89" i="14608"/>
  <c r="HK89" i="14608"/>
  <c r="HL89" i="14608"/>
  <c r="HM89" i="14608"/>
  <c r="HN89" i="14608"/>
  <c r="HO89" i="14608"/>
  <c r="HP89" i="14608"/>
  <c r="HQ89" i="14608"/>
  <c r="HR89" i="14608"/>
  <c r="HS89" i="14608"/>
  <c r="HT89" i="14608"/>
  <c r="HU89" i="14608"/>
  <c r="HV89" i="14608"/>
  <c r="HW89" i="14608"/>
  <c r="HX89" i="14608"/>
  <c r="HY89" i="14608"/>
  <c r="HZ89" i="14608"/>
  <c r="IA89" i="14608"/>
  <c r="IB89" i="14608"/>
  <c r="IC89" i="14608"/>
  <c r="ID89" i="14608"/>
  <c r="IE89" i="14608"/>
  <c r="IF89" i="14608"/>
  <c r="IG89" i="14608"/>
  <c r="IH89" i="14608"/>
  <c r="II89" i="14608"/>
  <c r="IJ89" i="14608"/>
  <c r="IK89" i="14608"/>
  <c r="IL89" i="14608"/>
  <c r="IM89" i="14608"/>
  <c r="IN89" i="14608"/>
  <c r="IO89" i="14608"/>
  <c r="IP89" i="14608"/>
  <c r="IQ89" i="14608"/>
  <c r="IR89" i="14608"/>
  <c r="IS89" i="14608"/>
  <c r="IT89" i="14608"/>
  <c r="IU89" i="14608"/>
  <c r="IV89" i="14608"/>
  <c r="A88" i="14608"/>
  <c r="B88" i="14608"/>
  <c r="C88" i="14608"/>
  <c r="D88" i="14608"/>
  <c r="E88" i="14608"/>
  <c r="F88" i="14608"/>
  <c r="G88" i="14608"/>
  <c r="H88" i="14608"/>
  <c r="I88" i="14608"/>
  <c r="J88" i="14608"/>
  <c r="K88" i="14608"/>
  <c r="L88" i="14608"/>
  <c r="M88" i="14608"/>
  <c r="N88" i="14608"/>
  <c r="O88" i="14608"/>
  <c r="P88" i="14608"/>
  <c r="Q88" i="14608"/>
  <c r="R88" i="14608"/>
  <c r="S88" i="14608"/>
  <c r="T88" i="14608"/>
  <c r="U88" i="14608"/>
  <c r="V88" i="14608"/>
  <c r="W88" i="14608"/>
  <c r="X88" i="14608"/>
  <c r="Y88" i="14608"/>
  <c r="Z88" i="14608"/>
  <c r="AA88" i="14608"/>
  <c r="AB88" i="14608"/>
  <c r="AC88" i="14608"/>
  <c r="AD88" i="14608"/>
  <c r="AE88" i="14608"/>
  <c r="AF88" i="14608"/>
  <c r="AG88" i="14608"/>
  <c r="AH88" i="14608"/>
  <c r="AI88" i="14608"/>
  <c r="AJ88" i="14608"/>
  <c r="AK88" i="14608"/>
  <c r="AL88" i="14608"/>
  <c r="AM88" i="14608"/>
  <c r="AN88" i="14608"/>
  <c r="AO88" i="14608"/>
  <c r="AP88" i="14608"/>
  <c r="AQ88" i="14608"/>
  <c r="AR88" i="14608"/>
  <c r="AS88" i="14608"/>
  <c r="AT88" i="14608"/>
  <c r="AU88" i="14608"/>
  <c r="AV88" i="14608"/>
  <c r="AW88" i="14608"/>
  <c r="AX88" i="14608"/>
  <c r="AY88" i="14608"/>
  <c r="AZ88" i="14608"/>
  <c r="BA88" i="14608"/>
  <c r="BB88" i="14608"/>
  <c r="BC88" i="14608"/>
  <c r="BD88" i="14608"/>
  <c r="BE88" i="14608"/>
  <c r="BF88" i="14608"/>
  <c r="BG88" i="14608"/>
  <c r="BH88" i="14608"/>
  <c r="BI88" i="14608"/>
  <c r="BJ88" i="14608"/>
  <c r="BK88" i="14608"/>
  <c r="BL88" i="14608"/>
  <c r="BM88" i="14608"/>
  <c r="BN88" i="14608"/>
  <c r="BO88" i="14608"/>
  <c r="BP88" i="14608"/>
  <c r="BQ88" i="14608"/>
  <c r="BR88" i="14608"/>
  <c r="BS88" i="14608"/>
  <c r="BT88" i="14608"/>
  <c r="BU88" i="14608"/>
  <c r="BV88" i="14608"/>
  <c r="BW88" i="14608"/>
  <c r="BX88" i="14608"/>
  <c r="BY88" i="14608"/>
  <c r="BZ88" i="14608"/>
  <c r="CA88" i="14608"/>
  <c r="CB88" i="14608"/>
  <c r="CC88" i="14608"/>
  <c r="CD88" i="14608"/>
  <c r="CE88" i="14608"/>
  <c r="CF88" i="14608"/>
  <c r="CG88" i="14608"/>
  <c r="CH88" i="14608"/>
  <c r="CI88" i="14608"/>
  <c r="CJ88" i="14608"/>
  <c r="CK88" i="14608"/>
  <c r="CL88" i="14608"/>
  <c r="CM88" i="14608"/>
  <c r="CN88" i="14608"/>
  <c r="CO88" i="14608"/>
  <c r="CP88" i="14608"/>
  <c r="CQ88" i="14608"/>
  <c r="CR88" i="14608"/>
  <c r="CS88" i="14608"/>
  <c r="CT88" i="14608"/>
  <c r="CU88" i="14608"/>
  <c r="CV88" i="14608"/>
  <c r="CW88" i="14608"/>
  <c r="CX88" i="14608"/>
  <c r="CY88" i="14608"/>
  <c r="CZ88" i="14608"/>
  <c r="DA88" i="14608"/>
  <c r="DB88" i="14608"/>
  <c r="DC88" i="14608"/>
  <c r="DD88" i="14608"/>
  <c r="DE88" i="14608"/>
  <c r="DF88" i="14608"/>
  <c r="DG88" i="14608"/>
  <c r="DH88" i="14608"/>
  <c r="DI88" i="14608"/>
  <c r="DJ88" i="14608"/>
  <c r="DK88" i="14608"/>
  <c r="DL88" i="14608"/>
  <c r="DM88" i="14608"/>
  <c r="DN88" i="14608"/>
  <c r="DO88" i="14608"/>
  <c r="DP88" i="14608"/>
  <c r="DQ88" i="14608"/>
  <c r="DR88" i="14608"/>
  <c r="DS88" i="14608"/>
  <c r="DT88" i="14608"/>
  <c r="DU88" i="14608"/>
  <c r="DV88" i="14608"/>
  <c r="DW88" i="14608"/>
  <c r="DX88" i="14608"/>
  <c r="DY88" i="14608"/>
  <c r="DZ88" i="14608"/>
  <c r="EA88" i="14608"/>
  <c r="EB88" i="14608"/>
  <c r="EC88" i="14608"/>
  <c r="ED88" i="14608"/>
  <c r="EE88" i="14608"/>
  <c r="EF88" i="14608"/>
  <c r="EG88" i="14608"/>
  <c r="EH88" i="14608"/>
  <c r="EI88" i="14608"/>
  <c r="EJ88" i="14608"/>
  <c r="EK88" i="14608"/>
  <c r="EL88" i="14608"/>
  <c r="EM88" i="14608"/>
  <c r="EN88" i="14608"/>
  <c r="EO88" i="14608"/>
  <c r="EP88" i="14608"/>
  <c r="EQ88" i="14608"/>
  <c r="ER88" i="14608"/>
  <c r="ES88" i="14608"/>
  <c r="ET88" i="14608"/>
  <c r="EU88" i="14608"/>
  <c r="EV88" i="14608"/>
  <c r="EW88" i="14608"/>
  <c r="EX88" i="14608"/>
  <c r="EY88" i="14608"/>
  <c r="EZ88" i="14608"/>
  <c r="FA88" i="14608"/>
  <c r="FB88" i="14608"/>
  <c r="FC88" i="14608"/>
  <c r="FD88" i="14608"/>
  <c r="FE88" i="14608"/>
  <c r="FF88" i="14608"/>
  <c r="FG88" i="14608"/>
  <c r="FH88" i="14608"/>
  <c r="FI88" i="14608"/>
  <c r="FJ88" i="14608"/>
  <c r="FK88" i="14608"/>
  <c r="FL88" i="14608"/>
  <c r="FM88" i="14608"/>
  <c r="FN88" i="14608"/>
  <c r="FO88" i="14608"/>
  <c r="FP88" i="14608"/>
  <c r="FQ88" i="14608"/>
  <c r="FR88" i="14608"/>
  <c r="FS88" i="14608"/>
  <c r="FT88" i="14608"/>
  <c r="FU88" i="14608"/>
  <c r="FV88" i="14608"/>
  <c r="FW88" i="14608"/>
  <c r="FX88" i="14608"/>
  <c r="FY88" i="14608"/>
  <c r="FZ88" i="14608"/>
  <c r="GA88" i="14608"/>
  <c r="GB88" i="14608"/>
  <c r="GC88" i="14608"/>
  <c r="GD88" i="14608"/>
  <c r="GE88" i="14608"/>
  <c r="GF88" i="14608"/>
  <c r="GG88" i="14608"/>
  <c r="GH88" i="14608"/>
  <c r="GI88" i="14608"/>
  <c r="GJ88" i="14608"/>
  <c r="GK88" i="14608"/>
  <c r="GL88" i="14608"/>
  <c r="GM88" i="14608"/>
  <c r="GN88" i="14608"/>
  <c r="GO88" i="14608"/>
  <c r="GP88" i="14608"/>
  <c r="GQ88" i="14608"/>
  <c r="GR88" i="14608"/>
  <c r="GS88" i="14608"/>
  <c r="GT88" i="14608"/>
  <c r="GU88" i="14608"/>
  <c r="GV88" i="14608"/>
  <c r="GW88" i="14608"/>
  <c r="GX88" i="14608"/>
  <c r="GY88" i="14608"/>
  <c r="GZ88" i="14608"/>
  <c r="HA88" i="14608"/>
  <c r="HB88" i="14608"/>
  <c r="HC88" i="14608"/>
  <c r="HD88" i="14608"/>
  <c r="HE88" i="14608"/>
  <c r="HF88" i="14608"/>
  <c r="HG88" i="14608"/>
  <c r="HH88" i="14608"/>
  <c r="HI88" i="14608"/>
  <c r="HJ88" i="14608"/>
  <c r="HK88" i="14608"/>
  <c r="HL88" i="14608"/>
  <c r="HM88" i="14608"/>
  <c r="HN88" i="14608"/>
  <c r="HO88" i="14608"/>
  <c r="HP88" i="14608"/>
  <c r="HQ88" i="14608"/>
  <c r="HR88" i="14608"/>
  <c r="HS88" i="14608"/>
  <c r="HT88" i="14608"/>
  <c r="HU88" i="14608"/>
  <c r="HV88" i="14608"/>
  <c r="HW88" i="14608"/>
  <c r="HX88" i="14608"/>
  <c r="HY88" i="14608"/>
  <c r="HZ88" i="14608"/>
  <c r="IA88" i="14608"/>
  <c r="IB88" i="14608"/>
  <c r="IC88" i="14608"/>
  <c r="ID88" i="14608"/>
  <c r="IE88" i="14608"/>
  <c r="IF88" i="14608"/>
  <c r="IG88" i="14608"/>
  <c r="IH88" i="14608"/>
  <c r="II88" i="14608"/>
  <c r="IJ88" i="14608"/>
  <c r="IK88" i="14608"/>
  <c r="IL88" i="14608"/>
  <c r="IM88" i="14608"/>
  <c r="IN88" i="14608"/>
  <c r="IO88" i="14608"/>
  <c r="IP88" i="14608"/>
  <c r="IQ88" i="14608"/>
  <c r="IR88" i="14608"/>
  <c r="IS88" i="14608"/>
  <c r="IT88" i="14608"/>
  <c r="IU88" i="14608"/>
  <c r="IV88" i="14608"/>
  <c r="A87" i="14608"/>
  <c r="B87" i="14608"/>
  <c r="C87" i="14608"/>
  <c r="D87" i="14608"/>
  <c r="E87" i="14608"/>
  <c r="F87" i="14608"/>
  <c r="G87" i="14608"/>
  <c r="H87" i="14608"/>
  <c r="I87" i="14608"/>
  <c r="J87" i="14608"/>
  <c r="K87" i="14608"/>
  <c r="L87" i="14608"/>
  <c r="M87" i="14608"/>
  <c r="N87" i="14608"/>
  <c r="O87" i="14608"/>
  <c r="P87" i="14608"/>
  <c r="Q87" i="14608"/>
  <c r="R87" i="14608"/>
  <c r="S87" i="14608"/>
  <c r="T87" i="14608"/>
  <c r="U87" i="14608"/>
  <c r="V87" i="14608"/>
  <c r="W87" i="14608"/>
  <c r="X87" i="14608"/>
  <c r="Y87" i="14608"/>
  <c r="Z87" i="14608"/>
  <c r="AA87" i="14608"/>
  <c r="AB87" i="14608"/>
  <c r="AC87" i="14608"/>
  <c r="AD87" i="14608"/>
  <c r="AE87" i="14608"/>
  <c r="AF87" i="14608"/>
  <c r="AG87" i="14608"/>
  <c r="AH87" i="14608"/>
  <c r="AI87" i="14608"/>
  <c r="AJ87" i="14608"/>
  <c r="AK87" i="14608"/>
  <c r="AL87" i="14608"/>
  <c r="AM87" i="14608"/>
  <c r="AN87" i="14608"/>
  <c r="AO87" i="14608"/>
  <c r="AP87" i="14608"/>
  <c r="AQ87" i="14608"/>
  <c r="AR87" i="14608"/>
  <c r="AS87" i="14608"/>
  <c r="AT87" i="14608"/>
  <c r="AU87" i="14608"/>
  <c r="AV87" i="14608"/>
  <c r="AW87" i="14608"/>
  <c r="AX87" i="14608"/>
  <c r="AY87" i="14608"/>
  <c r="AZ87" i="14608"/>
  <c r="BA87" i="14608"/>
  <c r="BB87" i="14608"/>
  <c r="BC87" i="14608"/>
  <c r="BD87" i="14608"/>
  <c r="BE87" i="14608"/>
  <c r="BF87" i="14608"/>
  <c r="BG87" i="14608"/>
  <c r="BH87" i="14608"/>
  <c r="BI87" i="14608"/>
  <c r="BJ87" i="14608"/>
  <c r="BK87" i="14608"/>
  <c r="BL87" i="14608"/>
  <c r="BM87" i="14608"/>
  <c r="BN87" i="14608"/>
  <c r="BO87" i="14608"/>
  <c r="BP87" i="14608"/>
  <c r="BQ87" i="14608"/>
  <c r="BR87" i="14608"/>
  <c r="BS87" i="14608"/>
  <c r="BT87" i="14608"/>
  <c r="BU87" i="14608"/>
  <c r="BV87" i="14608"/>
  <c r="BW87" i="14608"/>
  <c r="BX87" i="14608"/>
  <c r="BY87" i="14608"/>
  <c r="BZ87" i="14608"/>
  <c r="CA87" i="14608"/>
  <c r="CB87" i="14608"/>
  <c r="CC87" i="14608"/>
  <c r="CD87" i="14608"/>
  <c r="CE87" i="14608"/>
  <c r="CF87" i="14608"/>
  <c r="CG87" i="14608"/>
  <c r="CH87" i="14608"/>
  <c r="CI87" i="14608"/>
  <c r="CJ87" i="14608"/>
  <c r="CK87" i="14608"/>
  <c r="CL87" i="14608"/>
  <c r="CM87" i="14608"/>
  <c r="CN87" i="14608"/>
  <c r="CO87" i="14608"/>
  <c r="CP87" i="14608"/>
  <c r="CQ87" i="14608"/>
  <c r="CR87" i="14608"/>
  <c r="CS87" i="14608"/>
  <c r="CT87" i="14608"/>
  <c r="CU87" i="14608"/>
  <c r="CV87" i="14608"/>
  <c r="CW87" i="14608"/>
  <c r="CX87" i="14608"/>
  <c r="CY87" i="14608"/>
  <c r="CZ87" i="14608"/>
  <c r="DA87" i="14608"/>
  <c r="DB87" i="14608"/>
  <c r="DC87" i="14608"/>
  <c r="DD87" i="14608"/>
  <c r="DE87" i="14608"/>
  <c r="DF87" i="14608"/>
  <c r="DG87" i="14608"/>
  <c r="DH87" i="14608"/>
  <c r="DI87" i="14608"/>
  <c r="DJ87" i="14608"/>
  <c r="DK87" i="14608"/>
  <c r="DL87" i="14608"/>
  <c r="DM87" i="14608"/>
  <c r="DN87" i="14608"/>
  <c r="DO87" i="14608"/>
  <c r="DP87" i="14608"/>
  <c r="DQ87" i="14608"/>
  <c r="DR87" i="14608"/>
  <c r="DS87" i="14608"/>
  <c r="DT87" i="14608"/>
  <c r="DU87" i="14608"/>
  <c r="DV87" i="14608"/>
  <c r="DW87" i="14608"/>
  <c r="DX87" i="14608"/>
  <c r="DY87" i="14608"/>
  <c r="DZ87" i="14608"/>
  <c r="EA87" i="14608"/>
  <c r="EB87" i="14608"/>
  <c r="EC87" i="14608"/>
  <c r="ED87" i="14608"/>
  <c r="EE87" i="14608"/>
  <c r="EF87" i="14608"/>
  <c r="EG87" i="14608"/>
  <c r="EH87" i="14608"/>
  <c r="EI87" i="14608"/>
  <c r="EJ87" i="14608"/>
  <c r="EK87" i="14608"/>
  <c r="EL87" i="14608"/>
  <c r="EM87" i="14608"/>
  <c r="EN87" i="14608"/>
  <c r="EO87" i="14608"/>
  <c r="EP87" i="14608"/>
  <c r="EQ87" i="14608"/>
  <c r="ER87" i="14608"/>
  <c r="ES87" i="14608"/>
  <c r="ET87" i="14608"/>
  <c r="EU87" i="14608"/>
  <c r="EV87" i="14608"/>
  <c r="EW87" i="14608"/>
  <c r="EX87" i="14608"/>
  <c r="EY87" i="14608"/>
  <c r="EZ87" i="14608"/>
  <c r="FA87" i="14608"/>
  <c r="FB87" i="14608"/>
  <c r="FC87" i="14608"/>
  <c r="FD87" i="14608"/>
  <c r="FE87" i="14608"/>
  <c r="FF87" i="14608"/>
  <c r="FG87" i="14608"/>
  <c r="FH87" i="14608"/>
  <c r="FI87" i="14608"/>
  <c r="FJ87" i="14608"/>
  <c r="FK87" i="14608"/>
  <c r="FL87" i="14608"/>
  <c r="FM87" i="14608"/>
  <c r="FN87" i="14608"/>
  <c r="FO87" i="14608"/>
  <c r="FP87" i="14608"/>
  <c r="FQ87" i="14608"/>
  <c r="FR87" i="14608"/>
  <c r="FS87" i="14608"/>
  <c r="FT87" i="14608"/>
  <c r="FU87" i="14608"/>
  <c r="FV87" i="14608"/>
  <c r="FW87" i="14608"/>
  <c r="FX87" i="14608"/>
  <c r="FY87" i="14608"/>
  <c r="FZ87" i="14608"/>
  <c r="GA87" i="14608"/>
  <c r="GB87" i="14608"/>
  <c r="GC87" i="14608"/>
  <c r="GD87" i="14608"/>
  <c r="GE87" i="14608"/>
  <c r="GF87" i="14608"/>
  <c r="GG87" i="14608"/>
  <c r="GH87" i="14608"/>
  <c r="GI87" i="14608"/>
  <c r="GJ87" i="14608"/>
  <c r="GK87" i="14608"/>
  <c r="GL87" i="14608"/>
  <c r="GM87" i="14608"/>
  <c r="GN87" i="14608"/>
  <c r="GO87" i="14608"/>
  <c r="GP87" i="14608"/>
  <c r="GQ87" i="14608"/>
  <c r="GR87" i="14608"/>
  <c r="GS87" i="14608"/>
  <c r="GT87" i="14608"/>
  <c r="GU87" i="14608"/>
  <c r="GV87" i="14608"/>
  <c r="GW87" i="14608"/>
  <c r="GX87" i="14608"/>
  <c r="GY87" i="14608"/>
  <c r="GZ87" i="14608"/>
  <c r="HA87" i="14608"/>
  <c r="HB87" i="14608"/>
  <c r="HC87" i="14608"/>
  <c r="HD87" i="14608"/>
  <c r="HE87" i="14608"/>
  <c r="HF87" i="14608"/>
  <c r="HG87" i="14608"/>
  <c r="HH87" i="14608"/>
  <c r="HI87" i="14608"/>
  <c r="HJ87" i="14608"/>
  <c r="HK87" i="14608"/>
  <c r="HL87" i="14608"/>
  <c r="HM87" i="14608"/>
  <c r="HN87" i="14608"/>
  <c r="HO87" i="14608"/>
  <c r="HP87" i="14608"/>
  <c r="HQ87" i="14608"/>
  <c r="HR87" i="14608"/>
  <c r="HS87" i="14608"/>
  <c r="HT87" i="14608"/>
  <c r="HU87" i="14608"/>
  <c r="HV87" i="14608"/>
  <c r="HW87" i="14608"/>
  <c r="HX87" i="14608"/>
  <c r="HY87" i="14608"/>
  <c r="HZ87" i="14608"/>
  <c r="IA87" i="14608"/>
  <c r="IB87" i="14608"/>
  <c r="IC87" i="14608"/>
  <c r="ID87" i="14608"/>
  <c r="IE87" i="14608"/>
  <c r="IF87" i="14608"/>
  <c r="IG87" i="14608"/>
  <c r="IH87" i="14608"/>
  <c r="II87" i="14608"/>
  <c r="IJ87" i="14608"/>
  <c r="IK87" i="14608"/>
  <c r="IL87" i="14608"/>
  <c r="IM87" i="14608"/>
  <c r="IN87" i="14608"/>
  <c r="IO87" i="14608"/>
  <c r="IP87" i="14608"/>
  <c r="IQ87" i="14608"/>
  <c r="IR87" i="14608"/>
  <c r="IS87" i="14608"/>
  <c r="IT87" i="14608"/>
  <c r="IU87" i="14608"/>
  <c r="IV87" i="14608"/>
  <c r="A86" i="14608"/>
  <c r="B86" i="14608"/>
  <c r="C86" i="14608"/>
  <c r="D86" i="14608"/>
  <c r="E86" i="14608"/>
  <c r="F86" i="14608"/>
  <c r="G86" i="14608"/>
  <c r="H86" i="14608"/>
  <c r="I86" i="14608"/>
  <c r="J86" i="14608"/>
  <c r="K86" i="14608"/>
  <c r="L86" i="14608"/>
  <c r="M86" i="14608"/>
  <c r="N86" i="14608"/>
  <c r="O86" i="14608"/>
  <c r="P86" i="14608"/>
  <c r="Q86" i="14608"/>
  <c r="R86" i="14608"/>
  <c r="S86" i="14608"/>
  <c r="T86" i="14608"/>
  <c r="U86" i="14608"/>
  <c r="V86" i="14608"/>
  <c r="W86" i="14608"/>
  <c r="X86" i="14608"/>
  <c r="Y86" i="14608"/>
  <c r="Z86" i="14608"/>
  <c r="AA86" i="14608"/>
  <c r="AB86" i="14608"/>
  <c r="AC86" i="14608"/>
  <c r="AD86" i="14608"/>
  <c r="AE86" i="14608"/>
  <c r="AF86" i="14608"/>
  <c r="AG86" i="14608"/>
  <c r="AH86" i="14608"/>
  <c r="AI86" i="14608"/>
  <c r="AJ86" i="14608"/>
  <c r="AK86" i="14608"/>
  <c r="AL86" i="14608"/>
  <c r="AM86" i="14608"/>
  <c r="AN86" i="14608"/>
  <c r="AO86" i="14608"/>
  <c r="AP86" i="14608"/>
  <c r="AQ86" i="14608"/>
  <c r="AR86" i="14608"/>
  <c r="AS86" i="14608"/>
  <c r="AT86" i="14608"/>
  <c r="AU86" i="14608"/>
  <c r="AV86" i="14608"/>
  <c r="AW86" i="14608"/>
  <c r="AX86" i="14608"/>
  <c r="AY86" i="14608"/>
  <c r="AZ86" i="14608"/>
  <c r="BA86" i="14608"/>
  <c r="BB86" i="14608"/>
  <c r="BC86" i="14608"/>
  <c r="BD86" i="14608"/>
  <c r="BE86" i="14608"/>
  <c r="BF86" i="14608"/>
  <c r="BG86" i="14608"/>
  <c r="BH86" i="14608"/>
  <c r="BI86" i="14608"/>
  <c r="BJ86" i="14608"/>
  <c r="BK86" i="14608"/>
  <c r="BL86" i="14608"/>
  <c r="BM86" i="14608"/>
  <c r="BN86" i="14608"/>
  <c r="BO86" i="14608"/>
  <c r="BP86" i="14608"/>
  <c r="BQ86" i="14608"/>
  <c r="BR86" i="14608"/>
  <c r="BS86" i="14608"/>
  <c r="BT86" i="14608"/>
  <c r="BU86" i="14608"/>
  <c r="BV86" i="14608"/>
  <c r="BW86" i="14608"/>
  <c r="BX86" i="14608"/>
  <c r="BY86" i="14608"/>
  <c r="BZ86" i="14608"/>
  <c r="CA86" i="14608"/>
  <c r="CB86" i="14608"/>
  <c r="CC86" i="14608"/>
  <c r="CD86" i="14608"/>
  <c r="CE86" i="14608"/>
  <c r="CF86" i="14608"/>
  <c r="CG86" i="14608"/>
  <c r="CH86" i="14608"/>
  <c r="CI86" i="14608"/>
  <c r="CJ86" i="14608"/>
  <c r="CK86" i="14608"/>
  <c r="CL86" i="14608"/>
  <c r="CM86" i="14608"/>
  <c r="CN86" i="14608"/>
  <c r="CO86" i="14608"/>
  <c r="CP86" i="14608"/>
  <c r="CQ86" i="14608"/>
  <c r="CR86" i="14608"/>
  <c r="CS86" i="14608"/>
  <c r="CT86" i="14608"/>
  <c r="CU86" i="14608"/>
  <c r="CV86" i="14608"/>
  <c r="CW86" i="14608"/>
  <c r="CX86" i="14608"/>
  <c r="CY86" i="14608"/>
  <c r="CZ86" i="14608"/>
  <c r="DA86" i="14608"/>
  <c r="DB86" i="14608"/>
  <c r="DC86" i="14608"/>
  <c r="DD86" i="14608"/>
  <c r="DE86" i="14608"/>
  <c r="DF86" i="14608"/>
  <c r="DG86" i="14608"/>
  <c r="DH86" i="14608"/>
  <c r="DI86" i="14608"/>
  <c r="DJ86" i="14608"/>
  <c r="DK86" i="14608"/>
  <c r="DL86" i="14608"/>
  <c r="DM86" i="14608"/>
  <c r="DN86" i="14608"/>
  <c r="DO86" i="14608"/>
  <c r="DP86" i="14608"/>
  <c r="DQ86" i="14608"/>
  <c r="DR86" i="14608"/>
  <c r="DS86" i="14608"/>
  <c r="DT86" i="14608"/>
  <c r="DU86" i="14608"/>
  <c r="DV86" i="14608"/>
  <c r="DW86" i="14608"/>
  <c r="DX86" i="14608"/>
  <c r="DY86" i="14608"/>
  <c r="DZ86" i="14608"/>
  <c r="EA86" i="14608"/>
  <c r="EB86" i="14608"/>
  <c r="EC86" i="14608"/>
  <c r="ED86" i="14608"/>
  <c r="EE86" i="14608"/>
  <c r="EF86" i="14608"/>
  <c r="EG86" i="14608"/>
  <c r="EH86" i="14608"/>
  <c r="EI86" i="14608"/>
  <c r="EJ86" i="14608"/>
  <c r="EK86" i="14608"/>
  <c r="EL86" i="14608"/>
  <c r="EM86" i="14608"/>
  <c r="EN86" i="14608"/>
  <c r="EO86" i="14608"/>
  <c r="EP86" i="14608"/>
  <c r="EQ86" i="14608"/>
  <c r="ER86" i="14608"/>
  <c r="ES86" i="14608"/>
  <c r="ET86" i="14608"/>
  <c r="EU86" i="14608"/>
  <c r="EV86" i="14608"/>
  <c r="EW86" i="14608"/>
  <c r="EX86" i="14608"/>
  <c r="EY86" i="14608"/>
  <c r="EZ86" i="14608"/>
  <c r="FA86" i="14608"/>
  <c r="FB86" i="14608"/>
  <c r="FC86" i="14608"/>
  <c r="FD86" i="14608"/>
  <c r="FE86" i="14608"/>
  <c r="FF86" i="14608"/>
  <c r="FG86" i="14608"/>
  <c r="FH86" i="14608"/>
  <c r="FI86" i="14608"/>
  <c r="FJ86" i="14608"/>
  <c r="FK86" i="14608"/>
  <c r="FL86" i="14608"/>
  <c r="FM86" i="14608"/>
  <c r="FN86" i="14608"/>
  <c r="FO86" i="14608"/>
  <c r="FP86" i="14608"/>
  <c r="FQ86" i="14608"/>
  <c r="FR86" i="14608"/>
  <c r="FS86" i="14608"/>
  <c r="FT86" i="14608"/>
  <c r="FU86" i="14608"/>
  <c r="FV86" i="14608"/>
  <c r="FW86" i="14608"/>
  <c r="FX86" i="14608"/>
  <c r="FY86" i="14608"/>
  <c r="FZ86" i="14608"/>
  <c r="GA86" i="14608"/>
  <c r="GB86" i="14608"/>
  <c r="GC86" i="14608"/>
  <c r="GD86" i="14608"/>
  <c r="GE86" i="14608"/>
  <c r="GF86" i="14608"/>
  <c r="GG86" i="14608"/>
  <c r="GH86" i="14608"/>
  <c r="GI86" i="14608"/>
  <c r="GJ86" i="14608"/>
  <c r="GK86" i="14608"/>
  <c r="GL86" i="14608"/>
  <c r="GM86" i="14608"/>
  <c r="GN86" i="14608"/>
  <c r="GO86" i="14608"/>
  <c r="GP86" i="14608"/>
  <c r="GQ86" i="14608"/>
  <c r="GR86" i="14608"/>
  <c r="GS86" i="14608"/>
  <c r="GT86" i="14608"/>
  <c r="GU86" i="14608"/>
  <c r="GV86" i="14608"/>
  <c r="GW86" i="14608"/>
  <c r="GX86" i="14608"/>
  <c r="GY86" i="14608"/>
  <c r="GZ86" i="14608"/>
  <c r="HA86" i="14608"/>
  <c r="HB86" i="14608"/>
  <c r="HC86" i="14608"/>
  <c r="HD86" i="14608"/>
  <c r="HE86" i="14608"/>
  <c r="HF86" i="14608"/>
  <c r="HG86" i="14608"/>
  <c r="HH86" i="14608"/>
  <c r="HI86" i="14608"/>
  <c r="HJ86" i="14608"/>
  <c r="HK86" i="14608"/>
  <c r="HL86" i="14608"/>
  <c r="HM86" i="14608"/>
  <c r="HN86" i="14608"/>
  <c r="HO86" i="14608"/>
  <c r="HP86" i="14608"/>
  <c r="HQ86" i="14608"/>
  <c r="HR86" i="14608"/>
  <c r="HS86" i="14608"/>
  <c r="HT86" i="14608"/>
  <c r="HU86" i="14608"/>
  <c r="HV86" i="14608"/>
  <c r="HW86" i="14608"/>
  <c r="HX86" i="14608"/>
  <c r="HY86" i="14608"/>
  <c r="HZ86" i="14608"/>
  <c r="IA86" i="14608"/>
  <c r="IB86" i="14608"/>
  <c r="IC86" i="14608"/>
  <c r="ID86" i="14608"/>
  <c r="IE86" i="14608"/>
  <c r="IF86" i="14608"/>
  <c r="IG86" i="14608"/>
  <c r="IH86" i="14608"/>
  <c r="II86" i="14608"/>
  <c r="IJ86" i="14608"/>
  <c r="IK86" i="14608"/>
  <c r="IL86" i="14608"/>
  <c r="IM86" i="14608"/>
  <c r="IN86" i="14608"/>
  <c r="IO86" i="14608"/>
  <c r="IP86" i="14608"/>
  <c r="IQ86" i="14608"/>
  <c r="IR86" i="14608"/>
  <c r="IS86" i="14608"/>
  <c r="IT86" i="14608"/>
  <c r="IU86" i="14608"/>
  <c r="IV86" i="14608"/>
  <c r="A85" i="14608"/>
  <c r="B85" i="14608"/>
  <c r="C85" i="14608"/>
  <c r="D85" i="14608"/>
  <c r="E85" i="14608"/>
  <c r="F85" i="14608"/>
  <c r="G85" i="14608"/>
  <c r="H85" i="14608"/>
  <c r="I85" i="14608"/>
  <c r="J85" i="14608"/>
  <c r="K85" i="14608"/>
  <c r="L85" i="14608"/>
  <c r="M85" i="14608"/>
  <c r="N85" i="14608"/>
  <c r="O85" i="14608"/>
  <c r="P85" i="14608"/>
  <c r="Q85" i="14608"/>
  <c r="R85" i="14608"/>
  <c r="S85" i="14608"/>
  <c r="T85" i="14608"/>
  <c r="U85" i="14608"/>
  <c r="V85" i="14608"/>
  <c r="W85" i="14608"/>
  <c r="X85" i="14608"/>
  <c r="Y85" i="14608"/>
  <c r="Z85" i="14608"/>
  <c r="AA85" i="14608"/>
  <c r="AB85" i="14608"/>
  <c r="AC85" i="14608"/>
  <c r="AD85" i="14608"/>
  <c r="AE85" i="14608"/>
  <c r="AF85" i="14608"/>
  <c r="AG85" i="14608"/>
  <c r="AH85" i="14608"/>
  <c r="AI85" i="14608"/>
  <c r="AJ85" i="14608"/>
  <c r="AK85" i="14608"/>
  <c r="AL85" i="14608"/>
  <c r="AM85" i="14608"/>
  <c r="AN85" i="14608"/>
  <c r="AO85" i="14608"/>
  <c r="AP85" i="14608"/>
  <c r="AQ85" i="14608"/>
  <c r="AR85" i="14608"/>
  <c r="AS85" i="14608"/>
  <c r="AT85" i="14608"/>
  <c r="AU85" i="14608"/>
  <c r="AV85" i="14608"/>
  <c r="AW85" i="14608"/>
  <c r="AX85" i="14608"/>
  <c r="AY85" i="14608"/>
  <c r="AZ85" i="14608"/>
  <c r="BA85" i="14608"/>
  <c r="BB85" i="14608"/>
  <c r="BC85" i="14608"/>
  <c r="BD85" i="14608"/>
  <c r="BE85" i="14608"/>
  <c r="BF85" i="14608"/>
  <c r="BG85" i="14608"/>
  <c r="BH85" i="14608"/>
  <c r="BI85" i="14608"/>
  <c r="BJ85" i="14608"/>
  <c r="BK85" i="14608"/>
  <c r="BL85" i="14608"/>
  <c r="BM85" i="14608"/>
  <c r="BN85" i="14608"/>
  <c r="BO85" i="14608"/>
  <c r="BP85" i="14608"/>
  <c r="BQ85" i="14608"/>
  <c r="BR85" i="14608"/>
  <c r="BS85" i="14608"/>
  <c r="BT85" i="14608"/>
  <c r="BU85" i="14608"/>
  <c r="BV85" i="14608"/>
  <c r="BW85" i="14608"/>
  <c r="BX85" i="14608"/>
  <c r="BY85" i="14608"/>
  <c r="BZ85" i="14608"/>
  <c r="CA85" i="14608"/>
  <c r="CB85" i="14608"/>
  <c r="CC85" i="14608"/>
  <c r="CD85" i="14608"/>
  <c r="CE85" i="14608"/>
  <c r="CF85" i="14608"/>
  <c r="CG85" i="14608"/>
  <c r="CH85" i="14608"/>
  <c r="CI85" i="14608"/>
  <c r="CJ85" i="14608"/>
  <c r="CK85" i="14608"/>
  <c r="CL85" i="14608"/>
  <c r="CM85" i="14608"/>
  <c r="CN85" i="14608"/>
  <c r="CO85" i="14608"/>
  <c r="CP85" i="14608"/>
  <c r="CQ85" i="14608"/>
  <c r="CR85" i="14608"/>
  <c r="CS85" i="14608"/>
  <c r="CT85" i="14608"/>
  <c r="CU85" i="14608"/>
  <c r="CV85" i="14608"/>
  <c r="CW85" i="14608"/>
  <c r="CX85" i="14608"/>
  <c r="CY85" i="14608"/>
  <c r="CZ85" i="14608"/>
  <c r="DA85" i="14608"/>
  <c r="DB85" i="14608"/>
  <c r="DC85" i="14608"/>
  <c r="DD85" i="14608"/>
  <c r="DE85" i="14608"/>
  <c r="DF85" i="14608"/>
  <c r="DG85" i="14608"/>
  <c r="DH85" i="14608"/>
  <c r="DI85" i="14608"/>
  <c r="DJ85" i="14608"/>
  <c r="DK85" i="14608"/>
  <c r="DL85" i="14608"/>
  <c r="DM85" i="14608"/>
  <c r="DN85" i="14608"/>
  <c r="DO85" i="14608"/>
  <c r="DP85" i="14608"/>
  <c r="DQ85" i="14608"/>
  <c r="DR85" i="14608"/>
  <c r="DS85" i="14608"/>
  <c r="DT85" i="14608"/>
  <c r="DU85" i="14608"/>
  <c r="DV85" i="14608"/>
  <c r="DW85" i="14608"/>
  <c r="DX85" i="14608"/>
  <c r="DY85" i="14608"/>
  <c r="DZ85" i="14608"/>
  <c r="EA85" i="14608"/>
  <c r="EB85" i="14608"/>
  <c r="EC85" i="14608"/>
  <c r="ED85" i="14608"/>
  <c r="EE85" i="14608"/>
  <c r="EF85" i="14608"/>
  <c r="EG85" i="14608"/>
  <c r="EH85" i="14608"/>
  <c r="EI85" i="14608"/>
  <c r="EJ85" i="14608"/>
  <c r="EK85" i="14608"/>
  <c r="EL85" i="14608"/>
  <c r="EM85" i="14608"/>
  <c r="EN85" i="14608"/>
  <c r="EO85" i="14608"/>
  <c r="EP85" i="14608"/>
  <c r="EQ85" i="14608"/>
  <c r="ER85" i="14608"/>
  <c r="ES85" i="14608"/>
  <c r="ET85" i="14608"/>
  <c r="EU85" i="14608"/>
  <c r="EV85" i="14608"/>
  <c r="EW85" i="14608"/>
  <c r="EX85" i="14608"/>
  <c r="EY85" i="14608"/>
  <c r="EZ85" i="14608"/>
  <c r="FA85" i="14608"/>
  <c r="FB85" i="14608"/>
  <c r="FC85" i="14608"/>
  <c r="FD85" i="14608"/>
  <c r="FE85" i="14608"/>
  <c r="FF85" i="14608"/>
  <c r="FG85" i="14608"/>
  <c r="FH85" i="14608"/>
  <c r="FI85" i="14608"/>
  <c r="FJ85" i="14608"/>
  <c r="FK85" i="14608"/>
  <c r="FL85" i="14608"/>
  <c r="FM85" i="14608"/>
  <c r="FN85" i="14608"/>
  <c r="FO85" i="14608"/>
  <c r="FP85" i="14608"/>
  <c r="FQ85" i="14608"/>
  <c r="FR85" i="14608"/>
  <c r="FS85" i="14608"/>
  <c r="FT85" i="14608"/>
  <c r="FU85" i="14608"/>
  <c r="FV85" i="14608"/>
  <c r="FW85" i="14608"/>
  <c r="FX85" i="14608"/>
  <c r="FY85" i="14608"/>
  <c r="FZ85" i="14608"/>
  <c r="GA85" i="14608"/>
  <c r="GB85" i="14608"/>
  <c r="GC85" i="14608"/>
  <c r="GD85" i="14608"/>
  <c r="GE85" i="14608"/>
  <c r="GF85" i="14608"/>
  <c r="GG85" i="14608"/>
  <c r="GH85" i="14608"/>
  <c r="GI85" i="14608"/>
  <c r="GJ85" i="14608"/>
  <c r="GK85" i="14608"/>
  <c r="GL85" i="14608"/>
  <c r="GM85" i="14608"/>
  <c r="GN85" i="14608"/>
  <c r="GO85" i="14608"/>
  <c r="GP85" i="14608"/>
  <c r="GQ85" i="14608"/>
  <c r="GR85" i="14608"/>
  <c r="GS85" i="14608"/>
  <c r="GT85" i="14608"/>
  <c r="GU85" i="14608"/>
  <c r="GV85" i="14608"/>
  <c r="GW85" i="14608"/>
  <c r="GX85" i="14608"/>
  <c r="GY85" i="14608"/>
  <c r="GZ85" i="14608"/>
  <c r="HA85" i="14608"/>
  <c r="HB85" i="14608"/>
  <c r="HC85" i="14608"/>
  <c r="HD85" i="14608"/>
  <c r="HE85" i="14608"/>
  <c r="HF85" i="14608"/>
  <c r="HG85" i="14608"/>
  <c r="HH85" i="14608"/>
  <c r="HI85" i="14608"/>
  <c r="HJ85" i="14608"/>
  <c r="HK85" i="14608"/>
  <c r="HL85" i="14608"/>
  <c r="HM85" i="14608"/>
  <c r="HN85" i="14608"/>
  <c r="HO85" i="14608"/>
  <c r="HP85" i="14608"/>
  <c r="HQ85" i="14608"/>
  <c r="HR85" i="14608"/>
  <c r="HS85" i="14608"/>
  <c r="HT85" i="14608"/>
  <c r="HU85" i="14608"/>
  <c r="HV85" i="14608"/>
  <c r="HW85" i="14608"/>
  <c r="HX85" i="14608"/>
  <c r="HY85" i="14608"/>
  <c r="HZ85" i="14608"/>
  <c r="IA85" i="14608"/>
  <c r="IB85" i="14608"/>
  <c r="IC85" i="14608"/>
  <c r="ID85" i="14608"/>
  <c r="IE85" i="14608"/>
  <c r="IF85" i="14608"/>
  <c r="IG85" i="14608"/>
  <c r="IH85" i="14608"/>
  <c r="II85" i="14608"/>
  <c r="IJ85" i="14608"/>
  <c r="IK85" i="14608"/>
  <c r="IL85" i="14608"/>
  <c r="IM85" i="14608"/>
  <c r="IN85" i="14608"/>
  <c r="IO85" i="14608"/>
  <c r="IP85" i="14608"/>
  <c r="IQ85" i="14608"/>
  <c r="IR85" i="14608"/>
  <c r="IS85" i="14608"/>
  <c r="IT85" i="14608"/>
  <c r="IU85" i="14608"/>
  <c r="IV85" i="14608"/>
  <c r="A84" i="14608"/>
  <c r="B84" i="14608"/>
  <c r="C84" i="14608"/>
  <c r="D84" i="14608"/>
  <c r="E84" i="14608"/>
  <c r="F84" i="14608"/>
  <c r="G84" i="14608"/>
  <c r="H84" i="14608"/>
  <c r="I84" i="14608"/>
  <c r="J84" i="14608"/>
  <c r="K84" i="14608"/>
  <c r="L84" i="14608"/>
  <c r="M84" i="14608"/>
  <c r="N84" i="14608"/>
  <c r="O84" i="14608"/>
  <c r="P84" i="14608"/>
  <c r="Q84" i="14608"/>
  <c r="R84" i="14608"/>
  <c r="S84" i="14608"/>
  <c r="T84" i="14608"/>
  <c r="U84" i="14608"/>
  <c r="V84" i="14608"/>
  <c r="W84" i="14608"/>
  <c r="X84" i="14608"/>
  <c r="Y84" i="14608"/>
  <c r="Z84" i="14608"/>
  <c r="AA84" i="14608"/>
  <c r="AB84" i="14608"/>
  <c r="AC84" i="14608"/>
  <c r="AD84" i="14608"/>
  <c r="AE84" i="14608"/>
  <c r="AF84" i="14608"/>
  <c r="AG84" i="14608"/>
  <c r="AH84" i="14608"/>
  <c r="AI84" i="14608"/>
  <c r="AJ84" i="14608"/>
  <c r="AK84" i="14608"/>
  <c r="AL84" i="14608"/>
  <c r="AM84" i="14608"/>
  <c r="AN84" i="14608"/>
  <c r="AO84" i="14608"/>
  <c r="AP84" i="14608"/>
  <c r="AQ84" i="14608"/>
  <c r="AR84" i="14608"/>
  <c r="AS84" i="14608"/>
  <c r="AT84" i="14608"/>
  <c r="AU84" i="14608"/>
  <c r="AV84" i="14608"/>
  <c r="AW84" i="14608"/>
  <c r="AX84" i="14608"/>
  <c r="AY84" i="14608"/>
  <c r="AZ84" i="14608"/>
  <c r="BA84" i="14608"/>
  <c r="BB84" i="14608"/>
  <c r="BC84" i="14608"/>
  <c r="BD84" i="14608"/>
  <c r="BE84" i="14608"/>
  <c r="BF84" i="14608"/>
  <c r="BG84" i="14608"/>
  <c r="BH84" i="14608"/>
  <c r="BI84" i="14608"/>
  <c r="BJ84" i="14608"/>
  <c r="BK84" i="14608"/>
  <c r="BL84" i="14608"/>
  <c r="BM84" i="14608"/>
  <c r="BN84" i="14608"/>
  <c r="BO84" i="14608"/>
  <c r="BP84" i="14608"/>
  <c r="BQ84" i="14608"/>
  <c r="BR84" i="14608"/>
  <c r="BS84" i="14608"/>
  <c r="BT84" i="14608"/>
  <c r="BU84" i="14608"/>
  <c r="BV84" i="14608"/>
  <c r="BW84" i="14608"/>
  <c r="BX84" i="14608"/>
  <c r="BY84" i="14608"/>
  <c r="BZ84" i="14608"/>
  <c r="CA84" i="14608"/>
  <c r="CB84" i="14608"/>
  <c r="CC84" i="14608"/>
  <c r="CD84" i="14608"/>
  <c r="CE84" i="14608"/>
  <c r="CF84" i="14608"/>
  <c r="CG84" i="14608"/>
  <c r="CH84" i="14608"/>
  <c r="CI84" i="14608"/>
  <c r="CJ84" i="14608"/>
  <c r="CK84" i="14608"/>
  <c r="CL84" i="14608"/>
  <c r="CM84" i="14608"/>
  <c r="CN84" i="14608"/>
  <c r="CO84" i="14608"/>
  <c r="CP84" i="14608"/>
  <c r="CQ84" i="14608"/>
  <c r="CR84" i="14608"/>
  <c r="CS84" i="14608"/>
  <c r="CT84" i="14608"/>
  <c r="CU84" i="14608"/>
  <c r="CV84" i="14608"/>
  <c r="CW84" i="14608"/>
  <c r="CX84" i="14608"/>
  <c r="CY84" i="14608"/>
  <c r="CZ84" i="14608"/>
  <c r="DA84" i="14608"/>
  <c r="DB84" i="14608"/>
  <c r="DC84" i="14608"/>
  <c r="DD84" i="14608"/>
  <c r="DE84" i="14608"/>
  <c r="DF84" i="14608"/>
  <c r="DG84" i="14608"/>
  <c r="DH84" i="14608"/>
  <c r="DI84" i="14608"/>
  <c r="DJ84" i="14608"/>
  <c r="DK84" i="14608"/>
  <c r="DL84" i="14608"/>
  <c r="DM84" i="14608"/>
  <c r="DN84" i="14608"/>
  <c r="DO84" i="14608"/>
  <c r="DP84" i="14608"/>
  <c r="DQ84" i="14608"/>
  <c r="DR84" i="14608"/>
  <c r="DS84" i="14608"/>
  <c r="DT84" i="14608"/>
  <c r="DU84" i="14608"/>
  <c r="DV84" i="14608"/>
  <c r="DW84" i="14608"/>
  <c r="DX84" i="14608"/>
  <c r="DY84" i="14608"/>
  <c r="DZ84" i="14608"/>
  <c r="EA84" i="14608"/>
  <c r="EB84" i="14608"/>
  <c r="EC84" i="14608"/>
  <c r="ED84" i="14608"/>
  <c r="EE84" i="14608"/>
  <c r="EF84" i="14608"/>
  <c r="EG84" i="14608"/>
  <c r="EH84" i="14608"/>
  <c r="EI84" i="14608"/>
  <c r="EJ84" i="14608"/>
  <c r="EK84" i="14608"/>
  <c r="EL84" i="14608"/>
  <c r="EM84" i="14608"/>
  <c r="EN84" i="14608"/>
  <c r="EO84" i="14608"/>
  <c r="EP84" i="14608"/>
  <c r="EQ84" i="14608"/>
  <c r="ER84" i="14608"/>
  <c r="ES84" i="14608"/>
  <c r="ET84" i="14608"/>
  <c r="EU84" i="14608"/>
  <c r="EV84" i="14608"/>
  <c r="EW84" i="14608"/>
  <c r="EX84" i="14608"/>
  <c r="EY84" i="14608"/>
  <c r="EZ84" i="14608"/>
  <c r="FA84" i="14608"/>
  <c r="FB84" i="14608"/>
  <c r="FC84" i="14608"/>
  <c r="FD84" i="14608"/>
  <c r="FE84" i="14608"/>
  <c r="FF84" i="14608"/>
  <c r="FG84" i="14608"/>
  <c r="FH84" i="14608"/>
  <c r="FI84" i="14608"/>
  <c r="FJ84" i="14608"/>
  <c r="FK84" i="14608"/>
  <c r="FL84" i="14608"/>
  <c r="FM84" i="14608"/>
  <c r="FN84" i="14608"/>
  <c r="FO84" i="14608"/>
  <c r="FP84" i="14608"/>
  <c r="FQ84" i="14608"/>
  <c r="FR84" i="14608"/>
  <c r="FS84" i="14608"/>
  <c r="FT84" i="14608"/>
  <c r="FU84" i="14608"/>
  <c r="FV84" i="14608"/>
  <c r="FW84" i="14608"/>
  <c r="FX84" i="14608"/>
  <c r="FY84" i="14608"/>
  <c r="FZ84" i="14608"/>
  <c r="GA84" i="14608"/>
  <c r="GB84" i="14608"/>
  <c r="GC84" i="14608"/>
  <c r="GD84" i="14608"/>
  <c r="GE84" i="14608"/>
  <c r="GF84" i="14608"/>
  <c r="GG84" i="14608"/>
  <c r="GH84" i="14608"/>
  <c r="GI84" i="14608"/>
  <c r="GJ84" i="14608"/>
  <c r="GK84" i="14608"/>
  <c r="GL84" i="14608"/>
  <c r="GM84" i="14608"/>
  <c r="GN84" i="14608"/>
  <c r="GO84" i="14608"/>
  <c r="GP84" i="14608"/>
  <c r="GQ84" i="14608"/>
  <c r="GR84" i="14608"/>
  <c r="GS84" i="14608"/>
  <c r="GT84" i="14608"/>
  <c r="GU84" i="14608"/>
  <c r="GV84" i="14608"/>
  <c r="GW84" i="14608"/>
  <c r="GX84" i="14608"/>
  <c r="GY84" i="14608"/>
  <c r="GZ84" i="14608"/>
  <c r="HA84" i="14608"/>
  <c r="HB84" i="14608"/>
  <c r="HC84" i="14608"/>
  <c r="HD84" i="14608"/>
  <c r="HE84" i="14608"/>
  <c r="HF84" i="14608"/>
  <c r="HG84" i="14608"/>
  <c r="HH84" i="14608"/>
  <c r="HI84" i="14608"/>
  <c r="HJ84" i="14608"/>
  <c r="HK84" i="14608"/>
  <c r="HL84" i="14608"/>
  <c r="HM84" i="14608"/>
  <c r="HN84" i="14608"/>
  <c r="HO84" i="14608"/>
  <c r="HP84" i="14608"/>
  <c r="HQ84" i="14608"/>
  <c r="HR84" i="14608"/>
  <c r="HS84" i="14608"/>
  <c r="HT84" i="14608"/>
  <c r="HU84" i="14608"/>
  <c r="HV84" i="14608"/>
  <c r="HW84" i="14608"/>
  <c r="HX84" i="14608"/>
  <c r="HY84" i="14608"/>
  <c r="HZ84" i="14608"/>
  <c r="IA84" i="14608"/>
  <c r="IB84" i="14608"/>
  <c r="IC84" i="14608"/>
  <c r="ID84" i="14608"/>
  <c r="IE84" i="14608"/>
  <c r="IF84" i="14608"/>
  <c r="IG84" i="14608"/>
  <c r="IH84" i="14608"/>
  <c r="II84" i="14608"/>
  <c r="IJ84" i="14608"/>
  <c r="IK84" i="14608"/>
  <c r="IL84" i="14608"/>
  <c r="IM84" i="14608"/>
  <c r="IN84" i="14608"/>
  <c r="IO84" i="14608"/>
  <c r="IP84" i="14608"/>
  <c r="IQ84" i="14608"/>
  <c r="IR84" i="14608"/>
  <c r="IS84" i="14608"/>
  <c r="IT84" i="14608"/>
  <c r="IU84" i="14608"/>
  <c r="IV84" i="14608"/>
  <c r="A83" i="14608"/>
  <c r="B83" i="14608"/>
  <c r="C83" i="14608"/>
  <c r="D83" i="14608"/>
  <c r="E83" i="14608"/>
  <c r="F83" i="14608"/>
  <c r="G83" i="14608"/>
  <c r="H83" i="14608"/>
  <c r="I83" i="14608"/>
  <c r="J83" i="14608"/>
  <c r="K83" i="14608"/>
  <c r="L83" i="14608"/>
  <c r="M83" i="14608"/>
  <c r="N83" i="14608"/>
  <c r="O83" i="14608"/>
  <c r="P83" i="14608"/>
  <c r="Q83" i="14608"/>
  <c r="R83" i="14608"/>
  <c r="S83" i="14608"/>
  <c r="T83" i="14608"/>
  <c r="U83" i="14608"/>
  <c r="V83" i="14608"/>
  <c r="W83" i="14608"/>
  <c r="X83" i="14608"/>
  <c r="Y83" i="14608"/>
  <c r="Z83" i="14608"/>
  <c r="AA83" i="14608"/>
  <c r="AB83" i="14608"/>
  <c r="AC83" i="14608"/>
  <c r="AD83" i="14608"/>
  <c r="AE83" i="14608"/>
  <c r="AF83" i="14608"/>
  <c r="AG83" i="14608"/>
  <c r="AH83" i="14608"/>
  <c r="AI83" i="14608"/>
  <c r="AJ83" i="14608"/>
  <c r="AK83" i="14608"/>
  <c r="AL83" i="14608"/>
  <c r="AM83" i="14608"/>
  <c r="AN83" i="14608"/>
  <c r="AO83" i="14608"/>
  <c r="AP83" i="14608"/>
  <c r="AQ83" i="14608"/>
  <c r="AR83" i="14608"/>
  <c r="AS83" i="14608"/>
  <c r="AT83" i="14608"/>
  <c r="AU83" i="14608"/>
  <c r="AV83" i="14608"/>
  <c r="AW83" i="14608"/>
  <c r="AX83" i="14608"/>
  <c r="AY83" i="14608"/>
  <c r="AZ83" i="14608"/>
  <c r="BA83" i="14608"/>
  <c r="BB83" i="14608"/>
  <c r="BC83" i="14608"/>
  <c r="BD83" i="14608"/>
  <c r="BE83" i="14608"/>
  <c r="BF83" i="14608"/>
  <c r="BG83" i="14608"/>
  <c r="BH83" i="14608"/>
  <c r="BI83" i="14608"/>
  <c r="BJ83" i="14608"/>
  <c r="BK83" i="14608"/>
  <c r="BL83" i="14608"/>
  <c r="BM83" i="14608"/>
  <c r="BN83" i="14608"/>
  <c r="BO83" i="14608"/>
  <c r="BP83" i="14608"/>
  <c r="BQ83" i="14608"/>
  <c r="BR83" i="14608"/>
  <c r="BS83" i="14608"/>
  <c r="BT83" i="14608"/>
  <c r="BU83" i="14608"/>
  <c r="BV83" i="14608"/>
  <c r="BW83" i="14608"/>
  <c r="BX83" i="14608"/>
  <c r="BY83" i="14608"/>
  <c r="BZ83" i="14608"/>
  <c r="CA83" i="14608"/>
  <c r="CB83" i="14608"/>
  <c r="CC83" i="14608"/>
  <c r="CD83" i="14608"/>
  <c r="CE83" i="14608"/>
  <c r="CF83" i="14608"/>
  <c r="CG83" i="14608"/>
  <c r="CH83" i="14608"/>
  <c r="CI83" i="14608"/>
  <c r="CJ83" i="14608"/>
  <c r="CK83" i="14608"/>
  <c r="CL83" i="14608"/>
  <c r="CM83" i="14608"/>
  <c r="CN83" i="14608"/>
  <c r="CO83" i="14608"/>
  <c r="CP83" i="14608"/>
  <c r="CQ83" i="14608"/>
  <c r="CR83" i="14608"/>
  <c r="CS83" i="14608"/>
  <c r="CT83" i="14608"/>
  <c r="CU83" i="14608"/>
  <c r="CV83" i="14608"/>
  <c r="CW83" i="14608"/>
  <c r="CX83" i="14608"/>
  <c r="CY83" i="14608"/>
  <c r="CZ83" i="14608"/>
  <c r="DA83" i="14608"/>
  <c r="DB83" i="14608"/>
  <c r="DC83" i="14608"/>
  <c r="DD83" i="14608"/>
  <c r="DE83" i="14608"/>
  <c r="DF83" i="14608"/>
  <c r="DG83" i="14608"/>
  <c r="DH83" i="14608"/>
  <c r="DI83" i="14608"/>
  <c r="DJ83" i="14608"/>
  <c r="DK83" i="14608"/>
  <c r="DL83" i="14608"/>
  <c r="DM83" i="14608"/>
  <c r="DN83" i="14608"/>
  <c r="DO83" i="14608"/>
  <c r="DP83" i="14608"/>
  <c r="DQ83" i="14608"/>
  <c r="DR83" i="14608"/>
  <c r="DS83" i="14608"/>
  <c r="DT83" i="14608"/>
  <c r="DU83" i="14608"/>
  <c r="DV83" i="14608"/>
  <c r="DW83" i="14608"/>
  <c r="DX83" i="14608"/>
  <c r="DY83" i="14608"/>
  <c r="DZ83" i="14608"/>
  <c r="EA83" i="14608"/>
  <c r="EB83" i="14608"/>
  <c r="EC83" i="14608"/>
  <c r="ED83" i="14608"/>
  <c r="EE83" i="14608"/>
  <c r="EF83" i="14608"/>
  <c r="EG83" i="14608"/>
  <c r="EH83" i="14608"/>
  <c r="EI83" i="14608"/>
  <c r="EJ83" i="14608"/>
  <c r="EK83" i="14608"/>
  <c r="EL83" i="14608"/>
  <c r="EM83" i="14608"/>
  <c r="EN83" i="14608"/>
  <c r="EO83" i="14608"/>
  <c r="EP83" i="14608"/>
  <c r="EQ83" i="14608"/>
  <c r="ER83" i="14608"/>
  <c r="ES83" i="14608"/>
  <c r="ET83" i="14608"/>
  <c r="EU83" i="14608"/>
  <c r="EV83" i="14608"/>
  <c r="EW83" i="14608"/>
  <c r="EX83" i="14608"/>
  <c r="EY83" i="14608"/>
  <c r="EZ83" i="14608"/>
  <c r="FA83" i="14608"/>
  <c r="FB83" i="14608"/>
  <c r="FC83" i="14608"/>
  <c r="FD83" i="14608"/>
  <c r="FE83" i="14608"/>
  <c r="FF83" i="14608"/>
  <c r="FG83" i="14608"/>
  <c r="FH83" i="14608"/>
  <c r="FI83" i="14608"/>
  <c r="FJ83" i="14608"/>
  <c r="FK83" i="14608"/>
  <c r="FL83" i="14608"/>
  <c r="FM83" i="14608"/>
  <c r="FN83" i="14608"/>
  <c r="FO83" i="14608"/>
  <c r="FP83" i="14608"/>
  <c r="FQ83" i="14608"/>
  <c r="FR83" i="14608"/>
  <c r="FS83" i="14608"/>
  <c r="FT83" i="14608"/>
  <c r="FU83" i="14608"/>
  <c r="FV83" i="14608"/>
  <c r="FW83" i="14608"/>
  <c r="FX83" i="14608"/>
  <c r="FY83" i="14608"/>
  <c r="FZ83" i="14608"/>
  <c r="GA83" i="14608"/>
  <c r="GB83" i="14608"/>
  <c r="GC83" i="14608"/>
  <c r="GD83" i="14608"/>
  <c r="GE83" i="14608"/>
  <c r="GF83" i="14608"/>
  <c r="GG83" i="14608"/>
  <c r="GH83" i="14608"/>
  <c r="GI83" i="14608"/>
  <c r="GJ83" i="14608"/>
  <c r="GK83" i="14608"/>
  <c r="GL83" i="14608"/>
  <c r="GM83" i="14608"/>
  <c r="GN83" i="14608"/>
  <c r="GO83" i="14608"/>
  <c r="GP83" i="14608"/>
  <c r="GQ83" i="14608"/>
  <c r="GR83" i="14608"/>
  <c r="GS83" i="14608"/>
  <c r="GT83" i="14608"/>
  <c r="GU83" i="14608"/>
  <c r="GV83" i="14608"/>
  <c r="GW83" i="14608"/>
  <c r="GX83" i="14608"/>
  <c r="GY83" i="14608"/>
  <c r="GZ83" i="14608"/>
  <c r="HA83" i="14608"/>
  <c r="HB83" i="14608"/>
  <c r="HC83" i="14608"/>
  <c r="HD83" i="14608"/>
  <c r="HE83" i="14608"/>
  <c r="HF83" i="14608"/>
  <c r="HG83" i="14608"/>
  <c r="HH83" i="14608"/>
  <c r="HI83" i="14608"/>
  <c r="HJ83" i="14608"/>
  <c r="HK83" i="14608"/>
  <c r="HL83" i="14608"/>
  <c r="HM83" i="14608"/>
  <c r="HN83" i="14608"/>
  <c r="HO83" i="14608"/>
  <c r="HP83" i="14608"/>
  <c r="HQ83" i="14608"/>
  <c r="HR83" i="14608"/>
  <c r="HS83" i="14608"/>
  <c r="HT83" i="14608"/>
  <c r="HU83" i="14608"/>
  <c r="HV83" i="14608"/>
  <c r="HW83" i="14608"/>
  <c r="HX83" i="14608"/>
  <c r="HY83" i="14608"/>
  <c r="HZ83" i="14608"/>
  <c r="IA83" i="14608"/>
  <c r="IB83" i="14608"/>
  <c r="IC83" i="14608"/>
  <c r="ID83" i="14608"/>
  <c r="IE83" i="14608"/>
  <c r="IF83" i="14608"/>
  <c r="IG83" i="14608"/>
  <c r="IH83" i="14608"/>
  <c r="II83" i="14608"/>
  <c r="IJ83" i="14608"/>
  <c r="IK83" i="14608"/>
  <c r="IL83" i="14608"/>
  <c r="IM83" i="14608"/>
  <c r="IN83" i="14608"/>
  <c r="IO83" i="14608"/>
  <c r="IP83" i="14608"/>
  <c r="IQ83" i="14608"/>
  <c r="IR83" i="14608"/>
  <c r="IS83" i="14608"/>
  <c r="IT83" i="14608"/>
  <c r="IU83" i="14608"/>
  <c r="IV83" i="14608"/>
  <c r="A82" i="14608"/>
  <c r="B82" i="14608"/>
  <c r="C82" i="14608"/>
  <c r="D82" i="14608"/>
  <c r="E82" i="14608"/>
  <c r="F82" i="14608"/>
  <c r="G82" i="14608"/>
  <c r="H82" i="14608"/>
  <c r="I82" i="14608"/>
  <c r="J82" i="14608"/>
  <c r="K82" i="14608"/>
  <c r="L82" i="14608"/>
  <c r="M82" i="14608"/>
  <c r="N82" i="14608"/>
  <c r="O82" i="14608"/>
  <c r="P82" i="14608"/>
  <c r="Q82" i="14608"/>
  <c r="R82" i="14608"/>
  <c r="S82" i="14608"/>
  <c r="T82" i="14608"/>
  <c r="U82" i="14608"/>
  <c r="V82" i="14608"/>
  <c r="W82" i="14608"/>
  <c r="X82" i="14608"/>
  <c r="Y82" i="14608"/>
  <c r="Z82" i="14608"/>
  <c r="AA82" i="14608"/>
  <c r="AB82" i="14608"/>
  <c r="AC82" i="14608"/>
  <c r="AD82" i="14608"/>
  <c r="AE82" i="14608"/>
  <c r="AF82" i="14608"/>
  <c r="AG82" i="14608"/>
  <c r="AH82" i="14608"/>
  <c r="AI82" i="14608"/>
  <c r="AJ82" i="14608"/>
  <c r="AK82" i="14608"/>
  <c r="AL82" i="14608"/>
  <c r="AM82" i="14608"/>
  <c r="AN82" i="14608"/>
  <c r="AO82" i="14608"/>
  <c r="AP82" i="14608"/>
  <c r="AQ82" i="14608"/>
  <c r="AR82" i="14608"/>
  <c r="AS82" i="14608"/>
  <c r="AT82" i="14608"/>
  <c r="AU82" i="14608"/>
  <c r="AV82" i="14608"/>
  <c r="AW82" i="14608"/>
  <c r="AX82" i="14608"/>
  <c r="AY82" i="14608"/>
  <c r="AZ82" i="14608"/>
  <c r="BA82" i="14608"/>
  <c r="BB82" i="14608"/>
  <c r="BC82" i="14608"/>
  <c r="BD82" i="14608"/>
  <c r="BE82" i="14608"/>
  <c r="BF82" i="14608"/>
  <c r="BG82" i="14608"/>
  <c r="BH82" i="14608"/>
  <c r="BI82" i="14608"/>
  <c r="BJ82" i="14608"/>
  <c r="BK82" i="14608"/>
  <c r="BL82" i="14608"/>
  <c r="BM82" i="14608"/>
  <c r="BN82" i="14608"/>
  <c r="BO82" i="14608"/>
  <c r="BP82" i="14608"/>
  <c r="BQ82" i="14608"/>
  <c r="BR82" i="14608"/>
  <c r="BS82" i="14608"/>
  <c r="BT82" i="14608"/>
  <c r="BU82" i="14608"/>
  <c r="BV82" i="14608"/>
  <c r="BW82" i="14608"/>
  <c r="BX82" i="14608"/>
  <c r="BY82" i="14608"/>
  <c r="BZ82" i="14608"/>
  <c r="CA82" i="14608"/>
  <c r="CB82" i="14608"/>
  <c r="CC82" i="14608"/>
  <c r="CD82" i="14608"/>
  <c r="CE82" i="14608"/>
  <c r="CF82" i="14608"/>
  <c r="CG82" i="14608"/>
  <c r="CH82" i="14608"/>
  <c r="CI82" i="14608"/>
  <c r="CJ82" i="14608"/>
  <c r="CK82" i="14608"/>
  <c r="CL82" i="14608"/>
  <c r="CM82" i="14608"/>
  <c r="CN82" i="14608"/>
  <c r="CO82" i="14608"/>
  <c r="CP82" i="14608"/>
  <c r="CQ82" i="14608"/>
  <c r="CR82" i="14608"/>
  <c r="CS82" i="14608"/>
  <c r="CT82" i="14608"/>
  <c r="CU82" i="14608"/>
  <c r="CV82" i="14608"/>
  <c r="CW82" i="14608"/>
  <c r="CX82" i="14608"/>
  <c r="CY82" i="14608"/>
  <c r="CZ82" i="14608"/>
  <c r="DA82" i="14608"/>
  <c r="DB82" i="14608"/>
  <c r="DC82" i="14608"/>
  <c r="DD82" i="14608"/>
  <c r="DE82" i="14608"/>
  <c r="DF82" i="14608"/>
  <c r="DG82" i="14608"/>
  <c r="DH82" i="14608"/>
  <c r="DI82" i="14608"/>
  <c r="DJ82" i="14608"/>
  <c r="DK82" i="14608"/>
  <c r="DL82" i="14608"/>
  <c r="DM82" i="14608"/>
  <c r="DN82" i="14608"/>
  <c r="DO82" i="14608"/>
  <c r="DP82" i="14608"/>
  <c r="DQ82" i="14608"/>
  <c r="DR82" i="14608"/>
  <c r="DS82" i="14608"/>
  <c r="DT82" i="14608"/>
  <c r="DU82" i="14608"/>
  <c r="DV82" i="14608"/>
  <c r="DW82" i="14608"/>
  <c r="DX82" i="14608"/>
  <c r="DY82" i="14608"/>
  <c r="DZ82" i="14608"/>
  <c r="EA82" i="14608"/>
  <c r="EB82" i="14608"/>
  <c r="EC82" i="14608"/>
  <c r="ED82" i="14608"/>
  <c r="EE82" i="14608"/>
  <c r="EF82" i="14608"/>
  <c r="EG82" i="14608"/>
  <c r="EH82" i="14608"/>
  <c r="EI82" i="14608"/>
  <c r="EJ82" i="14608"/>
  <c r="EK82" i="14608"/>
  <c r="EL82" i="14608"/>
  <c r="EM82" i="14608"/>
  <c r="EN82" i="14608"/>
  <c r="EO82" i="14608"/>
  <c r="EP82" i="14608"/>
  <c r="EQ82" i="14608"/>
  <c r="ER82" i="14608"/>
  <c r="ES82" i="14608"/>
  <c r="ET82" i="14608"/>
  <c r="EU82" i="14608"/>
  <c r="EV82" i="14608"/>
  <c r="EW82" i="14608"/>
  <c r="EX82" i="14608"/>
  <c r="EY82" i="14608"/>
  <c r="EZ82" i="14608"/>
  <c r="FA82" i="14608"/>
  <c r="FB82" i="14608"/>
  <c r="FC82" i="14608"/>
  <c r="FD82" i="14608"/>
  <c r="FE82" i="14608"/>
  <c r="FF82" i="14608"/>
  <c r="FG82" i="14608"/>
  <c r="FH82" i="14608"/>
  <c r="FI82" i="14608"/>
  <c r="FJ82" i="14608"/>
  <c r="FK82" i="14608"/>
  <c r="FL82" i="14608"/>
  <c r="FM82" i="14608"/>
  <c r="FN82" i="14608"/>
  <c r="FO82" i="14608"/>
  <c r="FP82" i="14608"/>
  <c r="FQ82" i="14608"/>
  <c r="FR82" i="14608"/>
  <c r="FS82" i="14608"/>
  <c r="FT82" i="14608"/>
  <c r="FU82" i="14608"/>
  <c r="FV82" i="14608"/>
  <c r="FW82" i="14608"/>
  <c r="FX82" i="14608"/>
  <c r="FY82" i="14608"/>
  <c r="FZ82" i="14608"/>
  <c r="GA82" i="14608"/>
  <c r="GB82" i="14608"/>
  <c r="GC82" i="14608"/>
  <c r="GD82" i="14608"/>
  <c r="GE82" i="14608"/>
  <c r="GF82" i="14608"/>
  <c r="GG82" i="14608"/>
  <c r="GH82" i="14608"/>
  <c r="GI82" i="14608"/>
  <c r="GJ82" i="14608"/>
  <c r="GK82" i="14608"/>
  <c r="GL82" i="14608"/>
  <c r="GM82" i="14608"/>
  <c r="GN82" i="14608"/>
  <c r="GO82" i="14608"/>
  <c r="GP82" i="14608"/>
  <c r="GQ82" i="14608"/>
  <c r="GR82" i="14608"/>
  <c r="GS82" i="14608"/>
  <c r="GT82" i="14608"/>
  <c r="GU82" i="14608"/>
  <c r="GV82" i="14608"/>
  <c r="GW82" i="14608"/>
  <c r="GX82" i="14608"/>
  <c r="GY82" i="14608"/>
  <c r="GZ82" i="14608"/>
  <c r="HA82" i="14608"/>
  <c r="HB82" i="14608"/>
  <c r="HC82" i="14608"/>
  <c r="HD82" i="14608"/>
  <c r="HE82" i="14608"/>
  <c r="HF82" i="14608"/>
  <c r="HG82" i="14608"/>
  <c r="HH82" i="14608"/>
  <c r="HI82" i="14608"/>
  <c r="HJ82" i="14608"/>
  <c r="HK82" i="14608"/>
  <c r="HL82" i="14608"/>
  <c r="HM82" i="14608"/>
  <c r="HN82" i="14608"/>
  <c r="HO82" i="14608"/>
  <c r="HP82" i="14608"/>
  <c r="HQ82" i="14608"/>
  <c r="HR82" i="14608"/>
  <c r="HS82" i="14608"/>
  <c r="HT82" i="14608"/>
  <c r="HU82" i="14608"/>
  <c r="HV82" i="14608"/>
  <c r="HW82" i="14608"/>
  <c r="HX82" i="14608"/>
  <c r="HY82" i="14608"/>
  <c r="HZ82" i="14608"/>
  <c r="IA82" i="14608"/>
  <c r="IB82" i="14608"/>
  <c r="IC82" i="14608"/>
  <c r="ID82" i="14608"/>
  <c r="IE82" i="14608"/>
  <c r="IF82" i="14608"/>
  <c r="IG82" i="14608"/>
  <c r="IH82" i="14608"/>
  <c r="II82" i="14608"/>
  <c r="IJ82" i="14608"/>
  <c r="IK82" i="14608"/>
  <c r="IL82" i="14608"/>
  <c r="IM82" i="14608"/>
  <c r="IN82" i="14608"/>
  <c r="IO82" i="14608"/>
  <c r="IP82" i="14608"/>
  <c r="IQ82" i="14608"/>
  <c r="IR82" i="14608"/>
  <c r="IS82" i="14608"/>
  <c r="IT82" i="14608"/>
  <c r="IU82" i="14608"/>
  <c r="IV82" i="14608"/>
  <c r="A81" i="14608"/>
  <c r="B81" i="14608"/>
  <c r="C81" i="14608"/>
  <c r="D81" i="14608"/>
  <c r="E81" i="14608"/>
  <c r="F81" i="14608"/>
  <c r="G81" i="14608"/>
  <c r="H81" i="14608"/>
  <c r="I81" i="14608"/>
  <c r="J81" i="14608"/>
  <c r="K81" i="14608"/>
  <c r="L81" i="14608"/>
  <c r="M81" i="14608"/>
  <c r="N81" i="14608"/>
  <c r="O81" i="14608"/>
  <c r="P81" i="14608"/>
  <c r="Q81" i="14608"/>
  <c r="R81" i="14608"/>
  <c r="S81" i="14608"/>
  <c r="T81" i="14608"/>
  <c r="U81" i="14608"/>
  <c r="V81" i="14608"/>
  <c r="W81" i="14608"/>
  <c r="X81" i="14608"/>
  <c r="Y81" i="14608"/>
  <c r="Z81" i="14608"/>
  <c r="AA81" i="14608"/>
  <c r="AB81" i="14608"/>
  <c r="AC81" i="14608"/>
  <c r="AD81" i="14608"/>
  <c r="AE81" i="14608"/>
  <c r="AF81" i="14608"/>
  <c r="AG81" i="14608"/>
  <c r="AH81" i="14608"/>
  <c r="AI81" i="14608"/>
  <c r="AJ81" i="14608"/>
  <c r="AK81" i="14608"/>
  <c r="AL81" i="14608"/>
  <c r="AM81" i="14608"/>
  <c r="AN81" i="14608"/>
  <c r="AO81" i="14608"/>
  <c r="AP81" i="14608"/>
  <c r="AQ81" i="14608"/>
  <c r="AR81" i="14608"/>
  <c r="AS81" i="14608"/>
  <c r="AT81" i="14608"/>
  <c r="AU81" i="14608"/>
  <c r="AV81" i="14608"/>
  <c r="AW81" i="14608"/>
  <c r="AX81" i="14608"/>
  <c r="AY81" i="14608"/>
  <c r="AZ81" i="14608"/>
  <c r="BA81" i="14608"/>
  <c r="BB81" i="14608"/>
  <c r="BC81" i="14608"/>
  <c r="BD81" i="14608"/>
  <c r="BE81" i="14608"/>
  <c r="BF81" i="14608"/>
  <c r="BG81" i="14608"/>
  <c r="BH81" i="14608"/>
  <c r="BI81" i="14608"/>
  <c r="BJ81" i="14608"/>
  <c r="BK81" i="14608"/>
  <c r="BL81" i="14608"/>
  <c r="BM81" i="14608"/>
  <c r="BN81" i="14608"/>
  <c r="BO81" i="14608"/>
  <c r="BP81" i="14608"/>
  <c r="BQ81" i="14608"/>
  <c r="BR81" i="14608"/>
  <c r="BS81" i="14608"/>
  <c r="BT81" i="14608"/>
  <c r="BU81" i="14608"/>
  <c r="BV81" i="14608"/>
  <c r="BW81" i="14608"/>
  <c r="BX81" i="14608"/>
  <c r="BY81" i="14608"/>
  <c r="BZ81" i="14608"/>
  <c r="CA81" i="14608"/>
  <c r="CB81" i="14608"/>
  <c r="CC81" i="14608"/>
  <c r="CD81" i="14608"/>
  <c r="CE81" i="14608"/>
  <c r="CF81" i="14608"/>
  <c r="CG81" i="14608"/>
  <c r="CH81" i="14608"/>
  <c r="CI81" i="14608"/>
  <c r="CJ81" i="14608"/>
  <c r="CK81" i="14608"/>
  <c r="CL81" i="14608"/>
  <c r="CM81" i="14608"/>
  <c r="CN81" i="14608"/>
  <c r="CO81" i="14608"/>
  <c r="CP81" i="14608"/>
  <c r="CQ81" i="14608"/>
  <c r="CR81" i="14608"/>
  <c r="CS81" i="14608"/>
  <c r="CT81" i="14608"/>
  <c r="CU81" i="14608"/>
  <c r="CV81" i="14608"/>
  <c r="CW81" i="14608"/>
  <c r="CX81" i="14608"/>
  <c r="CY81" i="14608"/>
  <c r="CZ81" i="14608"/>
  <c r="DA81" i="14608"/>
  <c r="DB81" i="14608"/>
  <c r="DC81" i="14608"/>
  <c r="DD81" i="14608"/>
  <c r="DE81" i="14608"/>
  <c r="DF81" i="14608"/>
  <c r="DG81" i="14608"/>
  <c r="DH81" i="14608"/>
  <c r="DI81" i="14608"/>
  <c r="DJ81" i="14608"/>
  <c r="DK81" i="14608"/>
  <c r="DL81" i="14608"/>
  <c r="DM81" i="14608"/>
  <c r="DN81" i="14608"/>
  <c r="DO81" i="14608"/>
  <c r="DP81" i="14608"/>
  <c r="DQ81" i="14608"/>
  <c r="DR81" i="14608"/>
  <c r="DS81" i="14608"/>
  <c r="DT81" i="14608"/>
  <c r="DU81" i="14608"/>
  <c r="DV81" i="14608"/>
  <c r="DW81" i="14608"/>
  <c r="DX81" i="14608"/>
  <c r="DY81" i="14608"/>
  <c r="DZ81" i="14608"/>
  <c r="EA81" i="14608"/>
  <c r="EB81" i="14608"/>
  <c r="EC81" i="14608"/>
  <c r="ED81" i="14608"/>
  <c r="EE81" i="14608"/>
  <c r="EF81" i="14608"/>
  <c r="EG81" i="14608"/>
  <c r="EH81" i="14608"/>
  <c r="EI81" i="14608"/>
  <c r="EJ81" i="14608"/>
  <c r="EK81" i="14608"/>
  <c r="EL81" i="14608"/>
  <c r="EM81" i="14608"/>
  <c r="EN81" i="14608"/>
  <c r="EO81" i="14608"/>
  <c r="EP81" i="14608"/>
  <c r="EQ81" i="14608"/>
  <c r="ER81" i="14608"/>
  <c r="ES81" i="14608"/>
  <c r="ET81" i="14608"/>
  <c r="EU81" i="14608"/>
  <c r="EV81" i="14608"/>
  <c r="EW81" i="14608"/>
  <c r="EX81" i="14608"/>
  <c r="EY81" i="14608"/>
  <c r="EZ81" i="14608"/>
  <c r="FA81" i="14608"/>
  <c r="FB81" i="14608"/>
  <c r="FC81" i="14608"/>
  <c r="FD81" i="14608"/>
  <c r="FE81" i="14608"/>
  <c r="FF81" i="14608"/>
  <c r="FG81" i="14608"/>
  <c r="FH81" i="14608"/>
  <c r="FI81" i="14608"/>
  <c r="FJ81" i="14608"/>
  <c r="FK81" i="14608"/>
  <c r="FL81" i="14608"/>
  <c r="FM81" i="14608"/>
  <c r="FN81" i="14608"/>
  <c r="FO81" i="14608"/>
  <c r="FP81" i="14608"/>
  <c r="FQ81" i="14608"/>
  <c r="FR81" i="14608"/>
  <c r="FS81" i="14608"/>
  <c r="FT81" i="14608"/>
  <c r="FU81" i="14608"/>
  <c r="FV81" i="14608"/>
  <c r="FW81" i="14608"/>
  <c r="FX81" i="14608"/>
  <c r="FY81" i="14608"/>
  <c r="FZ81" i="14608"/>
  <c r="GA81" i="14608"/>
  <c r="GB81" i="14608"/>
  <c r="GC81" i="14608"/>
  <c r="GD81" i="14608"/>
  <c r="GE81" i="14608"/>
  <c r="GF81" i="14608"/>
  <c r="GG81" i="14608"/>
  <c r="GH81" i="14608"/>
  <c r="GI81" i="14608"/>
  <c r="GJ81" i="14608"/>
  <c r="GK81" i="14608"/>
  <c r="GL81" i="14608"/>
  <c r="GM81" i="14608"/>
  <c r="GN81" i="14608"/>
  <c r="GO81" i="14608"/>
  <c r="GP81" i="14608"/>
  <c r="GQ81" i="14608"/>
  <c r="GR81" i="14608"/>
  <c r="GS81" i="14608"/>
  <c r="GT81" i="14608"/>
  <c r="GU81" i="14608"/>
  <c r="GV81" i="14608"/>
  <c r="GW81" i="14608"/>
  <c r="GX81" i="14608"/>
  <c r="GY81" i="14608"/>
  <c r="GZ81" i="14608"/>
  <c r="HA81" i="14608"/>
  <c r="HB81" i="14608"/>
  <c r="HC81" i="14608"/>
  <c r="HD81" i="14608"/>
  <c r="HE81" i="14608"/>
  <c r="HF81" i="14608"/>
  <c r="HG81" i="14608"/>
  <c r="HH81" i="14608"/>
  <c r="HI81" i="14608"/>
  <c r="HJ81" i="14608"/>
  <c r="HK81" i="14608"/>
  <c r="HL81" i="14608"/>
  <c r="HM81" i="14608"/>
  <c r="HN81" i="14608"/>
  <c r="HO81" i="14608"/>
  <c r="HP81" i="14608"/>
  <c r="HQ81" i="14608"/>
  <c r="HR81" i="14608"/>
  <c r="HS81" i="14608"/>
  <c r="HT81" i="14608"/>
  <c r="HU81" i="14608"/>
  <c r="HV81" i="14608"/>
  <c r="HW81" i="14608"/>
  <c r="HX81" i="14608"/>
  <c r="HY81" i="14608"/>
  <c r="HZ81" i="14608"/>
  <c r="IA81" i="14608"/>
  <c r="IB81" i="14608"/>
  <c r="IC81" i="14608"/>
  <c r="ID81" i="14608"/>
  <c r="IE81" i="14608"/>
  <c r="IF81" i="14608"/>
  <c r="IG81" i="14608"/>
  <c r="IH81" i="14608"/>
  <c r="II81" i="14608"/>
  <c r="IJ81" i="14608"/>
  <c r="IK81" i="14608"/>
  <c r="IL81" i="14608"/>
  <c r="IM81" i="14608"/>
  <c r="IN81" i="14608"/>
  <c r="IO81" i="14608"/>
  <c r="IP81" i="14608"/>
  <c r="IQ81" i="14608"/>
  <c r="IR81" i="14608"/>
  <c r="IS81" i="14608"/>
  <c r="IT81" i="14608"/>
  <c r="IU81" i="14608"/>
  <c r="IV81" i="14608"/>
  <c r="A80" i="14608"/>
  <c r="B80" i="14608"/>
  <c r="C80" i="14608"/>
  <c r="D80" i="14608"/>
  <c r="E80" i="14608"/>
  <c r="F80" i="14608"/>
  <c r="G80" i="14608"/>
  <c r="H80" i="14608"/>
  <c r="I80" i="14608"/>
  <c r="J80" i="14608"/>
  <c r="K80" i="14608"/>
  <c r="L80" i="14608"/>
  <c r="M80" i="14608"/>
  <c r="N80" i="14608"/>
  <c r="O80" i="14608"/>
  <c r="P80" i="14608"/>
  <c r="Q80" i="14608"/>
  <c r="R80" i="14608"/>
  <c r="S80" i="14608"/>
  <c r="T80" i="14608"/>
  <c r="U80" i="14608"/>
  <c r="V80" i="14608"/>
  <c r="W80" i="14608"/>
  <c r="X80" i="14608"/>
  <c r="Y80" i="14608"/>
  <c r="Z80" i="14608"/>
  <c r="AA80" i="14608"/>
  <c r="AB80" i="14608"/>
  <c r="AC80" i="14608"/>
  <c r="AD80" i="14608"/>
  <c r="AE80" i="14608"/>
  <c r="AF80" i="14608"/>
  <c r="AG80" i="14608"/>
  <c r="AH80" i="14608"/>
  <c r="AI80" i="14608"/>
  <c r="AJ80" i="14608"/>
  <c r="AK80" i="14608"/>
  <c r="AL80" i="14608"/>
  <c r="AM80" i="14608"/>
  <c r="AN80" i="14608"/>
  <c r="AO80" i="14608"/>
  <c r="AP80" i="14608"/>
  <c r="AQ80" i="14608"/>
  <c r="AR80" i="14608"/>
  <c r="AS80" i="14608"/>
  <c r="AT80" i="14608"/>
  <c r="AU80" i="14608"/>
  <c r="AV80" i="14608"/>
  <c r="AW80" i="14608"/>
  <c r="AX80" i="14608"/>
  <c r="AY80" i="14608"/>
  <c r="AZ80" i="14608"/>
  <c r="BA80" i="14608"/>
  <c r="BB80" i="14608"/>
  <c r="BC80" i="14608"/>
  <c r="BD80" i="14608"/>
  <c r="BE80" i="14608"/>
  <c r="BF80" i="14608"/>
  <c r="BG80" i="14608"/>
  <c r="BH80" i="14608"/>
  <c r="BI80" i="14608"/>
  <c r="BJ80" i="14608"/>
  <c r="BK80" i="14608"/>
  <c r="BL80" i="14608"/>
  <c r="BM80" i="14608"/>
  <c r="BN80" i="14608"/>
  <c r="BO80" i="14608"/>
  <c r="BP80" i="14608"/>
  <c r="BQ80" i="14608"/>
  <c r="BR80" i="14608"/>
  <c r="BS80" i="14608"/>
  <c r="BT80" i="14608"/>
  <c r="BU80" i="14608"/>
  <c r="BV80" i="14608"/>
  <c r="BW80" i="14608"/>
  <c r="BX80" i="14608"/>
  <c r="BY80" i="14608"/>
  <c r="BZ80" i="14608"/>
  <c r="CA80" i="14608"/>
  <c r="CB80" i="14608"/>
  <c r="CC80" i="14608"/>
  <c r="CD80" i="14608"/>
  <c r="CE80" i="14608"/>
  <c r="CF80" i="14608"/>
  <c r="CG80" i="14608"/>
  <c r="CH80" i="14608"/>
  <c r="CI80" i="14608"/>
  <c r="CJ80" i="14608"/>
  <c r="CK80" i="14608"/>
  <c r="CL80" i="14608"/>
  <c r="CM80" i="14608"/>
  <c r="CN80" i="14608"/>
  <c r="CO80" i="14608"/>
  <c r="CP80" i="14608"/>
  <c r="CQ80" i="14608"/>
  <c r="CR80" i="14608"/>
  <c r="CS80" i="14608"/>
  <c r="CT80" i="14608"/>
  <c r="CU80" i="14608"/>
  <c r="CV80" i="14608"/>
  <c r="CW80" i="14608"/>
  <c r="CX80" i="14608"/>
  <c r="CY80" i="14608"/>
  <c r="CZ80" i="14608"/>
  <c r="DA80" i="14608"/>
  <c r="DB80" i="14608"/>
  <c r="DC80" i="14608"/>
  <c r="DD80" i="14608"/>
  <c r="DE80" i="14608"/>
  <c r="DF80" i="14608"/>
  <c r="DG80" i="14608"/>
  <c r="DH80" i="14608"/>
  <c r="DI80" i="14608"/>
  <c r="DJ80" i="14608"/>
  <c r="DK80" i="14608"/>
  <c r="DL80" i="14608"/>
  <c r="DM80" i="14608"/>
  <c r="DN80" i="14608"/>
  <c r="DO80" i="14608"/>
  <c r="DP80" i="14608"/>
  <c r="DQ80" i="14608"/>
  <c r="DR80" i="14608"/>
  <c r="DS80" i="14608"/>
  <c r="DT80" i="14608"/>
  <c r="DU80" i="14608"/>
  <c r="DV80" i="14608"/>
  <c r="DW80" i="14608"/>
  <c r="DX80" i="14608"/>
  <c r="DY80" i="14608"/>
  <c r="DZ80" i="14608"/>
  <c r="EA80" i="14608"/>
  <c r="EB80" i="14608"/>
  <c r="EC80" i="14608"/>
  <c r="ED80" i="14608"/>
  <c r="EE80" i="14608"/>
  <c r="EF80" i="14608"/>
  <c r="EG80" i="14608"/>
  <c r="EH80" i="14608"/>
  <c r="EI80" i="14608"/>
  <c r="EJ80" i="14608"/>
  <c r="EK80" i="14608"/>
  <c r="EL80" i="14608"/>
  <c r="EM80" i="14608"/>
  <c r="EN80" i="14608"/>
  <c r="EO80" i="14608"/>
  <c r="EP80" i="14608"/>
  <c r="EQ80" i="14608"/>
  <c r="ER80" i="14608"/>
  <c r="ES80" i="14608"/>
  <c r="ET80" i="14608"/>
  <c r="EU80" i="14608"/>
  <c r="EV80" i="14608"/>
  <c r="EW80" i="14608"/>
  <c r="EX80" i="14608"/>
  <c r="EY80" i="14608"/>
  <c r="EZ80" i="14608"/>
  <c r="FA80" i="14608"/>
  <c r="FB80" i="14608"/>
  <c r="FC80" i="14608"/>
  <c r="FD80" i="14608"/>
  <c r="FE80" i="14608"/>
  <c r="FF80" i="14608"/>
  <c r="FG80" i="14608"/>
  <c r="FH80" i="14608"/>
  <c r="FI80" i="14608"/>
  <c r="FJ80" i="14608"/>
  <c r="FK80" i="14608"/>
  <c r="FL80" i="14608"/>
  <c r="FM80" i="14608"/>
  <c r="FN80" i="14608"/>
  <c r="FO80" i="14608"/>
  <c r="FP80" i="14608"/>
  <c r="FQ80" i="14608"/>
  <c r="FR80" i="14608"/>
  <c r="FS80" i="14608"/>
  <c r="FT80" i="14608"/>
  <c r="FU80" i="14608"/>
  <c r="FV80" i="14608"/>
  <c r="FW80" i="14608"/>
  <c r="FX80" i="14608"/>
  <c r="FY80" i="14608"/>
  <c r="FZ80" i="14608"/>
  <c r="GA80" i="14608"/>
  <c r="GB80" i="14608"/>
  <c r="GC80" i="14608"/>
  <c r="GD80" i="14608"/>
  <c r="GE80" i="14608"/>
  <c r="GF80" i="14608"/>
  <c r="GG80" i="14608"/>
  <c r="GH80" i="14608"/>
  <c r="GI80" i="14608"/>
  <c r="GJ80" i="14608"/>
  <c r="GK80" i="14608"/>
  <c r="GL80" i="14608"/>
  <c r="GM80" i="14608"/>
  <c r="GN80" i="14608"/>
  <c r="GO80" i="14608"/>
  <c r="GP80" i="14608"/>
  <c r="GQ80" i="14608"/>
  <c r="GR80" i="14608"/>
  <c r="GS80" i="14608"/>
  <c r="GT80" i="14608"/>
  <c r="GU80" i="14608"/>
  <c r="GV80" i="14608"/>
  <c r="GW80" i="14608"/>
  <c r="GX80" i="14608"/>
  <c r="GY80" i="14608"/>
  <c r="GZ80" i="14608"/>
  <c r="HA80" i="14608"/>
  <c r="HB80" i="14608"/>
  <c r="HC80" i="14608"/>
  <c r="HD80" i="14608"/>
  <c r="HE80" i="14608"/>
  <c r="HF80" i="14608"/>
  <c r="HG80" i="14608"/>
  <c r="HH80" i="14608"/>
  <c r="HI80" i="14608"/>
  <c r="HJ80" i="14608"/>
  <c r="HK80" i="14608"/>
  <c r="HL80" i="14608"/>
  <c r="HM80" i="14608"/>
  <c r="HN80" i="14608"/>
  <c r="HO80" i="14608"/>
  <c r="HP80" i="14608"/>
  <c r="HQ80" i="14608"/>
  <c r="HR80" i="14608"/>
  <c r="HS80" i="14608"/>
  <c r="HT80" i="14608"/>
  <c r="HU80" i="14608"/>
  <c r="HV80" i="14608"/>
  <c r="HW80" i="14608"/>
  <c r="HX80" i="14608"/>
  <c r="HY80" i="14608"/>
  <c r="HZ80" i="14608"/>
  <c r="IA80" i="14608"/>
  <c r="IB80" i="14608"/>
  <c r="IC80" i="14608"/>
  <c r="ID80" i="14608"/>
  <c r="IE80" i="14608"/>
  <c r="IF80" i="14608"/>
  <c r="IG80" i="14608"/>
  <c r="IH80" i="14608"/>
  <c r="II80" i="14608"/>
  <c r="IJ80" i="14608"/>
  <c r="IK80" i="14608"/>
  <c r="IL80" i="14608"/>
  <c r="IM80" i="14608"/>
  <c r="IN80" i="14608"/>
  <c r="IO80" i="14608"/>
  <c r="IP80" i="14608"/>
  <c r="IQ80" i="14608"/>
  <c r="IR80" i="14608"/>
  <c r="IS80" i="14608"/>
  <c r="IT80" i="14608"/>
  <c r="IU80" i="14608"/>
  <c r="IV80" i="14608"/>
  <c r="A79" i="14608"/>
  <c r="B79" i="14608"/>
  <c r="C79" i="14608"/>
  <c r="D79" i="14608"/>
  <c r="E79" i="14608"/>
  <c r="F79" i="14608"/>
  <c r="G79" i="14608"/>
  <c r="H79" i="14608"/>
  <c r="I79" i="14608"/>
  <c r="J79" i="14608"/>
  <c r="K79" i="14608"/>
  <c r="L79" i="14608"/>
  <c r="M79" i="14608"/>
  <c r="N79" i="14608"/>
  <c r="O79" i="14608"/>
  <c r="P79" i="14608"/>
  <c r="Q79" i="14608"/>
  <c r="R79" i="14608"/>
  <c r="S79" i="14608"/>
  <c r="T79" i="14608"/>
  <c r="U79" i="14608"/>
  <c r="V79" i="14608"/>
  <c r="W79" i="14608"/>
  <c r="X79" i="14608"/>
  <c r="Y79" i="14608"/>
  <c r="Z79" i="14608"/>
  <c r="AA79" i="14608"/>
  <c r="AB79" i="14608"/>
  <c r="AC79" i="14608"/>
  <c r="AD79" i="14608"/>
  <c r="AE79" i="14608"/>
  <c r="AF79" i="14608"/>
  <c r="AG79" i="14608"/>
  <c r="AH79" i="14608"/>
  <c r="AI79" i="14608"/>
  <c r="AJ79" i="14608"/>
  <c r="AK79" i="14608"/>
  <c r="AL79" i="14608"/>
  <c r="AM79" i="14608"/>
  <c r="AN79" i="14608"/>
  <c r="AO79" i="14608"/>
  <c r="AP79" i="14608"/>
  <c r="AQ79" i="14608"/>
  <c r="AR79" i="14608"/>
  <c r="AS79" i="14608"/>
  <c r="AT79" i="14608"/>
  <c r="AU79" i="14608"/>
  <c r="AV79" i="14608"/>
  <c r="AW79" i="14608"/>
  <c r="AX79" i="14608"/>
  <c r="AY79" i="14608"/>
  <c r="AZ79" i="14608"/>
  <c r="BA79" i="14608"/>
  <c r="BB79" i="14608"/>
  <c r="BC79" i="14608"/>
  <c r="BD79" i="14608"/>
  <c r="BE79" i="14608"/>
  <c r="BF79" i="14608"/>
  <c r="BG79" i="14608"/>
  <c r="BH79" i="14608"/>
  <c r="BI79" i="14608"/>
  <c r="BJ79" i="14608"/>
  <c r="BK79" i="14608"/>
  <c r="BL79" i="14608"/>
  <c r="BM79" i="14608"/>
  <c r="BN79" i="14608"/>
  <c r="BO79" i="14608"/>
  <c r="BP79" i="14608"/>
  <c r="BQ79" i="14608"/>
  <c r="BR79" i="14608"/>
  <c r="BS79" i="14608"/>
  <c r="BT79" i="14608"/>
  <c r="BU79" i="14608"/>
  <c r="BV79" i="14608"/>
  <c r="BW79" i="14608"/>
  <c r="BX79" i="14608"/>
  <c r="BY79" i="14608"/>
  <c r="BZ79" i="14608"/>
  <c r="CA79" i="14608"/>
  <c r="CB79" i="14608"/>
  <c r="CC79" i="14608"/>
  <c r="CD79" i="14608"/>
  <c r="CE79" i="14608"/>
  <c r="CF79" i="14608"/>
  <c r="CG79" i="14608"/>
  <c r="CH79" i="14608"/>
  <c r="CI79" i="14608"/>
  <c r="CJ79" i="14608"/>
  <c r="CK79" i="14608"/>
  <c r="CL79" i="14608"/>
  <c r="CM79" i="14608"/>
  <c r="CN79" i="14608"/>
  <c r="CO79" i="14608"/>
  <c r="CP79" i="14608"/>
  <c r="CQ79" i="14608"/>
  <c r="CR79" i="14608"/>
  <c r="CS79" i="14608"/>
  <c r="CT79" i="14608"/>
  <c r="CU79" i="14608"/>
  <c r="CV79" i="14608"/>
  <c r="CW79" i="14608"/>
  <c r="CX79" i="14608"/>
  <c r="CY79" i="14608"/>
  <c r="CZ79" i="14608"/>
  <c r="DA79" i="14608"/>
  <c r="DB79" i="14608"/>
  <c r="DC79" i="14608"/>
  <c r="DD79" i="14608"/>
  <c r="DE79" i="14608"/>
  <c r="DF79" i="14608"/>
  <c r="DG79" i="14608"/>
  <c r="DH79" i="14608"/>
  <c r="DI79" i="14608"/>
  <c r="DJ79" i="14608"/>
  <c r="DK79" i="14608"/>
  <c r="DL79" i="14608"/>
  <c r="DM79" i="14608"/>
  <c r="DN79" i="14608"/>
  <c r="DO79" i="14608"/>
  <c r="DP79" i="14608"/>
  <c r="DQ79" i="14608"/>
  <c r="DR79" i="14608"/>
  <c r="DS79" i="14608"/>
  <c r="DT79" i="14608"/>
  <c r="DU79" i="14608"/>
  <c r="DV79" i="14608"/>
  <c r="DW79" i="14608"/>
  <c r="DX79" i="14608"/>
  <c r="DY79" i="14608"/>
  <c r="DZ79" i="14608"/>
  <c r="EA79" i="14608"/>
  <c r="EB79" i="14608"/>
  <c r="EC79" i="14608"/>
  <c r="ED79" i="14608"/>
  <c r="EE79" i="14608"/>
  <c r="EF79" i="14608"/>
  <c r="EG79" i="14608"/>
  <c r="EH79" i="14608"/>
  <c r="EI79" i="14608"/>
  <c r="EJ79" i="14608"/>
  <c r="EK79" i="14608"/>
  <c r="EL79" i="14608"/>
  <c r="EM79" i="14608"/>
  <c r="EN79" i="14608"/>
  <c r="EO79" i="14608"/>
  <c r="EP79" i="14608"/>
  <c r="EQ79" i="14608"/>
  <c r="ER79" i="14608"/>
  <c r="ES79" i="14608"/>
  <c r="ET79" i="14608"/>
  <c r="EU79" i="14608"/>
  <c r="EV79" i="14608"/>
  <c r="EW79" i="14608"/>
  <c r="EX79" i="14608"/>
  <c r="EY79" i="14608"/>
  <c r="EZ79" i="14608"/>
  <c r="FA79" i="14608"/>
  <c r="FB79" i="14608"/>
  <c r="FC79" i="14608"/>
  <c r="FD79" i="14608"/>
  <c r="FE79" i="14608"/>
  <c r="FF79" i="14608"/>
  <c r="FG79" i="14608"/>
  <c r="FH79" i="14608"/>
  <c r="FI79" i="14608"/>
  <c r="FJ79" i="14608"/>
  <c r="FK79" i="14608"/>
  <c r="FL79" i="14608"/>
  <c r="FM79" i="14608"/>
  <c r="FN79" i="14608"/>
  <c r="FO79" i="14608"/>
  <c r="FP79" i="14608"/>
  <c r="FQ79" i="14608"/>
  <c r="FR79" i="14608"/>
  <c r="FS79" i="14608"/>
  <c r="FT79" i="14608"/>
  <c r="FU79" i="14608"/>
  <c r="FV79" i="14608"/>
  <c r="FW79" i="14608"/>
  <c r="FX79" i="14608"/>
  <c r="FY79" i="14608"/>
  <c r="FZ79" i="14608"/>
  <c r="GA79" i="14608"/>
  <c r="GB79" i="14608"/>
  <c r="GC79" i="14608"/>
  <c r="GD79" i="14608"/>
  <c r="GE79" i="14608"/>
  <c r="GF79" i="14608"/>
  <c r="GG79" i="14608"/>
  <c r="GH79" i="14608"/>
  <c r="GI79" i="14608"/>
  <c r="GJ79" i="14608"/>
  <c r="GK79" i="14608"/>
  <c r="GL79" i="14608"/>
  <c r="GM79" i="14608"/>
  <c r="GN79" i="14608"/>
  <c r="GO79" i="14608"/>
  <c r="GP79" i="14608"/>
  <c r="GQ79" i="14608"/>
  <c r="GR79" i="14608"/>
  <c r="GS79" i="14608"/>
  <c r="GT79" i="14608"/>
  <c r="GU79" i="14608"/>
  <c r="GV79" i="14608"/>
  <c r="GW79" i="14608"/>
  <c r="GX79" i="14608"/>
  <c r="GY79" i="14608"/>
  <c r="GZ79" i="14608"/>
  <c r="HA79" i="14608"/>
  <c r="HB79" i="14608"/>
  <c r="HC79" i="14608"/>
  <c r="HD79" i="14608"/>
  <c r="HE79" i="14608"/>
  <c r="HF79" i="14608"/>
  <c r="HG79" i="14608"/>
  <c r="HH79" i="14608"/>
  <c r="HI79" i="14608"/>
  <c r="HJ79" i="14608"/>
  <c r="HK79" i="14608"/>
  <c r="HL79" i="14608"/>
  <c r="HM79" i="14608"/>
  <c r="HN79" i="14608"/>
  <c r="HO79" i="14608"/>
  <c r="HP79" i="14608"/>
  <c r="HQ79" i="14608"/>
  <c r="HR79" i="14608"/>
  <c r="HS79" i="14608"/>
  <c r="HT79" i="14608"/>
  <c r="HU79" i="14608"/>
  <c r="HV79" i="14608"/>
  <c r="HW79" i="14608"/>
  <c r="HX79" i="14608"/>
  <c r="HY79" i="14608"/>
  <c r="HZ79" i="14608"/>
  <c r="IA79" i="14608"/>
  <c r="IB79" i="14608"/>
  <c r="IC79" i="14608"/>
  <c r="ID79" i="14608"/>
  <c r="IE79" i="14608"/>
  <c r="IF79" i="14608"/>
  <c r="IG79" i="14608"/>
  <c r="IH79" i="14608"/>
  <c r="II79" i="14608"/>
  <c r="IJ79" i="14608"/>
  <c r="IK79" i="14608"/>
  <c r="IL79" i="14608"/>
  <c r="IM79" i="14608"/>
  <c r="IN79" i="14608"/>
  <c r="IO79" i="14608"/>
  <c r="IP79" i="14608"/>
  <c r="IQ79" i="14608"/>
  <c r="IR79" i="14608"/>
  <c r="IS79" i="14608"/>
  <c r="IT79" i="14608"/>
  <c r="IU79" i="14608"/>
  <c r="IV79" i="14608"/>
  <c r="A78" i="14608"/>
  <c r="B78" i="14608"/>
  <c r="C78" i="14608"/>
  <c r="D78" i="14608"/>
  <c r="E78" i="14608"/>
  <c r="F78" i="14608"/>
  <c r="G78" i="14608"/>
  <c r="H78" i="14608"/>
  <c r="I78" i="14608"/>
  <c r="J78" i="14608"/>
  <c r="K78" i="14608"/>
  <c r="L78" i="14608"/>
  <c r="M78" i="14608"/>
  <c r="N78" i="14608"/>
  <c r="O78" i="14608"/>
  <c r="P78" i="14608"/>
  <c r="Q78" i="14608"/>
  <c r="R78" i="14608"/>
  <c r="S78" i="14608"/>
  <c r="T78" i="14608"/>
  <c r="U78" i="14608"/>
  <c r="V78" i="14608"/>
  <c r="W78" i="14608"/>
  <c r="X78" i="14608"/>
  <c r="Y78" i="14608"/>
  <c r="Z78" i="14608"/>
  <c r="AA78" i="14608"/>
  <c r="AB78" i="14608"/>
  <c r="AC78" i="14608"/>
  <c r="AD78" i="14608"/>
  <c r="AE78" i="14608"/>
  <c r="AF78" i="14608"/>
  <c r="AG78" i="14608"/>
  <c r="AH78" i="14608"/>
  <c r="AI78" i="14608"/>
  <c r="AJ78" i="14608"/>
  <c r="AK78" i="14608"/>
  <c r="AL78" i="14608"/>
  <c r="AM78" i="14608"/>
  <c r="AN78" i="14608"/>
  <c r="AO78" i="14608"/>
  <c r="AP78" i="14608"/>
  <c r="AQ78" i="14608"/>
  <c r="AR78" i="14608"/>
  <c r="AS78" i="14608"/>
  <c r="AT78" i="14608"/>
  <c r="AU78" i="14608"/>
  <c r="AV78" i="14608"/>
  <c r="AW78" i="14608"/>
  <c r="AX78" i="14608"/>
  <c r="AY78" i="14608"/>
  <c r="AZ78" i="14608"/>
  <c r="BA78" i="14608"/>
  <c r="BB78" i="14608"/>
  <c r="BC78" i="14608"/>
  <c r="BD78" i="14608"/>
  <c r="BE78" i="14608"/>
  <c r="BF78" i="14608"/>
  <c r="BG78" i="14608"/>
  <c r="BH78" i="14608"/>
  <c r="BI78" i="14608"/>
  <c r="BJ78" i="14608"/>
  <c r="BK78" i="14608"/>
  <c r="BL78" i="14608"/>
  <c r="BM78" i="14608"/>
  <c r="BN78" i="14608"/>
  <c r="BO78" i="14608"/>
  <c r="BP78" i="14608"/>
  <c r="BQ78" i="14608"/>
  <c r="BR78" i="14608"/>
  <c r="BS78" i="14608"/>
  <c r="BT78" i="14608"/>
  <c r="BU78" i="14608"/>
  <c r="BV78" i="14608"/>
  <c r="BW78" i="14608"/>
  <c r="BX78" i="14608"/>
  <c r="BY78" i="14608"/>
  <c r="BZ78" i="14608"/>
  <c r="CA78" i="14608"/>
  <c r="CB78" i="14608"/>
  <c r="CC78" i="14608"/>
  <c r="CD78" i="14608"/>
  <c r="CE78" i="14608"/>
  <c r="CF78" i="14608"/>
  <c r="CG78" i="14608"/>
  <c r="CH78" i="14608"/>
  <c r="CI78" i="14608"/>
  <c r="CJ78" i="14608"/>
  <c r="CK78" i="14608"/>
  <c r="CL78" i="14608"/>
  <c r="CM78" i="14608"/>
  <c r="CN78" i="14608"/>
  <c r="CO78" i="14608"/>
  <c r="CP78" i="14608"/>
  <c r="CQ78" i="14608"/>
  <c r="CR78" i="14608"/>
  <c r="CS78" i="14608"/>
  <c r="CT78" i="14608"/>
  <c r="CU78" i="14608"/>
  <c r="CV78" i="14608"/>
  <c r="CW78" i="14608"/>
  <c r="CX78" i="14608"/>
  <c r="CY78" i="14608"/>
  <c r="CZ78" i="14608"/>
  <c r="DA78" i="14608"/>
  <c r="DB78" i="14608"/>
  <c r="DC78" i="14608"/>
  <c r="DD78" i="14608"/>
  <c r="DE78" i="14608"/>
  <c r="DF78" i="14608"/>
  <c r="DG78" i="14608"/>
  <c r="DH78" i="14608"/>
  <c r="DI78" i="14608"/>
  <c r="DJ78" i="14608"/>
  <c r="DK78" i="14608"/>
  <c r="DL78" i="14608"/>
  <c r="DM78" i="14608"/>
  <c r="DN78" i="14608"/>
  <c r="DO78" i="14608"/>
  <c r="DP78" i="14608"/>
  <c r="DQ78" i="14608"/>
  <c r="DR78" i="14608"/>
  <c r="DS78" i="14608"/>
  <c r="DT78" i="14608"/>
  <c r="DU78" i="14608"/>
  <c r="DV78" i="14608"/>
  <c r="DW78" i="14608"/>
  <c r="DX78" i="14608"/>
  <c r="DY78" i="14608"/>
  <c r="DZ78" i="14608"/>
  <c r="EA78" i="14608"/>
  <c r="EB78" i="14608"/>
  <c r="EC78" i="14608"/>
  <c r="ED78" i="14608"/>
  <c r="EE78" i="14608"/>
  <c r="EF78" i="14608"/>
  <c r="EG78" i="14608"/>
  <c r="EH78" i="14608"/>
  <c r="EI78" i="14608"/>
  <c r="EJ78" i="14608"/>
  <c r="EK78" i="14608"/>
  <c r="EL78" i="14608"/>
  <c r="EM78" i="14608"/>
  <c r="EN78" i="14608"/>
  <c r="EO78" i="14608"/>
  <c r="EP78" i="14608"/>
  <c r="EQ78" i="14608"/>
  <c r="ER78" i="14608"/>
  <c r="ES78" i="14608"/>
  <c r="ET78" i="14608"/>
  <c r="EU78" i="14608"/>
  <c r="EV78" i="14608"/>
  <c r="EW78" i="14608"/>
  <c r="EX78" i="14608"/>
  <c r="EY78" i="14608"/>
  <c r="EZ78" i="14608"/>
  <c r="FA78" i="14608"/>
  <c r="FB78" i="14608"/>
  <c r="FC78" i="14608"/>
  <c r="FD78" i="14608"/>
  <c r="FE78" i="14608"/>
  <c r="FF78" i="14608"/>
  <c r="FG78" i="14608"/>
  <c r="FH78" i="14608"/>
  <c r="FI78" i="14608"/>
  <c r="FJ78" i="14608"/>
  <c r="FK78" i="14608"/>
  <c r="FL78" i="14608"/>
  <c r="FM78" i="14608"/>
  <c r="FN78" i="14608"/>
  <c r="FO78" i="14608"/>
  <c r="FP78" i="14608"/>
  <c r="FQ78" i="14608"/>
  <c r="FR78" i="14608"/>
  <c r="FS78" i="14608"/>
  <c r="FT78" i="14608"/>
  <c r="FU78" i="14608"/>
  <c r="FV78" i="14608"/>
  <c r="FW78" i="14608"/>
  <c r="FX78" i="14608"/>
  <c r="FY78" i="14608"/>
  <c r="FZ78" i="14608"/>
  <c r="GA78" i="14608"/>
  <c r="GB78" i="14608"/>
  <c r="GC78" i="14608"/>
  <c r="GD78" i="14608"/>
  <c r="GE78" i="14608"/>
  <c r="GF78" i="14608"/>
  <c r="GG78" i="14608"/>
  <c r="GH78" i="14608"/>
  <c r="GI78" i="14608"/>
  <c r="GJ78" i="14608"/>
  <c r="GK78" i="14608"/>
  <c r="GL78" i="14608"/>
  <c r="GM78" i="14608"/>
  <c r="GN78" i="14608"/>
  <c r="GO78" i="14608"/>
  <c r="GP78" i="14608"/>
  <c r="GQ78" i="14608"/>
  <c r="GR78" i="14608"/>
  <c r="GS78" i="14608"/>
  <c r="GT78" i="14608"/>
  <c r="GU78" i="14608"/>
  <c r="GV78" i="14608"/>
  <c r="GW78" i="14608"/>
  <c r="GX78" i="14608"/>
  <c r="GY78" i="14608"/>
  <c r="GZ78" i="14608"/>
  <c r="HA78" i="14608"/>
  <c r="HB78" i="14608"/>
  <c r="HC78" i="14608"/>
  <c r="HD78" i="14608"/>
  <c r="HE78" i="14608"/>
  <c r="HF78" i="14608"/>
  <c r="HG78" i="14608"/>
  <c r="HH78" i="14608"/>
  <c r="HI78" i="14608"/>
  <c r="HJ78" i="14608"/>
  <c r="HK78" i="14608"/>
  <c r="HL78" i="14608"/>
  <c r="HM78" i="14608"/>
  <c r="HN78" i="14608"/>
  <c r="HO78" i="14608"/>
  <c r="HP78" i="14608"/>
  <c r="HQ78" i="14608"/>
  <c r="HR78" i="14608"/>
  <c r="HS78" i="14608"/>
  <c r="HT78" i="14608"/>
  <c r="HU78" i="14608"/>
  <c r="HV78" i="14608"/>
  <c r="HW78" i="14608"/>
  <c r="HX78" i="14608"/>
  <c r="HY78" i="14608"/>
  <c r="HZ78" i="14608"/>
  <c r="IA78" i="14608"/>
  <c r="IB78" i="14608"/>
  <c r="IC78" i="14608"/>
  <c r="ID78" i="14608"/>
  <c r="IE78" i="14608"/>
  <c r="IF78" i="14608"/>
  <c r="IG78" i="14608"/>
  <c r="IH78" i="14608"/>
  <c r="II78" i="14608"/>
  <c r="IJ78" i="14608"/>
  <c r="IK78" i="14608"/>
  <c r="IL78" i="14608"/>
  <c r="IM78" i="14608"/>
  <c r="IN78" i="14608"/>
  <c r="IO78" i="14608"/>
  <c r="IP78" i="14608"/>
  <c r="IQ78" i="14608"/>
  <c r="IR78" i="14608"/>
  <c r="IS78" i="14608"/>
  <c r="IT78" i="14608"/>
  <c r="IU78" i="14608"/>
  <c r="IV78" i="14608"/>
  <c r="A77" i="14608"/>
  <c r="B77" i="14608"/>
  <c r="C77" i="14608"/>
  <c r="D77" i="14608"/>
  <c r="E77" i="14608"/>
  <c r="F77" i="14608"/>
  <c r="G77" i="14608"/>
  <c r="H77" i="14608"/>
  <c r="I77" i="14608"/>
  <c r="J77" i="14608"/>
  <c r="K77" i="14608"/>
  <c r="L77" i="14608"/>
  <c r="M77" i="14608"/>
  <c r="N77" i="14608"/>
  <c r="O77" i="14608"/>
  <c r="P77" i="14608"/>
  <c r="Q77" i="14608"/>
  <c r="R77" i="14608"/>
  <c r="S77" i="14608"/>
  <c r="T77" i="14608"/>
  <c r="U77" i="14608"/>
  <c r="V77" i="14608"/>
  <c r="W77" i="14608"/>
  <c r="X77" i="14608"/>
  <c r="Y77" i="14608"/>
  <c r="Z77" i="14608"/>
  <c r="AA77" i="14608"/>
  <c r="AB77" i="14608"/>
  <c r="AC77" i="14608"/>
  <c r="AD77" i="14608"/>
  <c r="AE77" i="14608"/>
  <c r="AF77" i="14608"/>
  <c r="AG77" i="14608"/>
  <c r="AH77" i="14608"/>
  <c r="AI77" i="14608"/>
  <c r="AJ77" i="14608"/>
  <c r="AK77" i="14608"/>
  <c r="AL77" i="14608"/>
  <c r="AM77" i="14608"/>
  <c r="AN77" i="14608"/>
  <c r="AO77" i="14608"/>
  <c r="AP77" i="14608"/>
  <c r="AQ77" i="14608"/>
  <c r="AR77" i="14608"/>
  <c r="AS77" i="14608"/>
  <c r="AT77" i="14608"/>
  <c r="AU77" i="14608"/>
  <c r="AV77" i="14608"/>
  <c r="AW77" i="14608"/>
  <c r="AX77" i="14608"/>
  <c r="AY77" i="14608"/>
  <c r="AZ77" i="14608"/>
  <c r="BA77" i="14608"/>
  <c r="BB77" i="14608"/>
  <c r="BC77" i="14608"/>
  <c r="BD77" i="14608"/>
  <c r="BE77" i="14608"/>
  <c r="BF77" i="14608"/>
  <c r="BG77" i="14608"/>
  <c r="BH77" i="14608"/>
  <c r="BI77" i="14608"/>
  <c r="BJ77" i="14608"/>
  <c r="BK77" i="14608"/>
  <c r="BL77" i="14608"/>
  <c r="BM77" i="14608"/>
  <c r="BN77" i="14608"/>
  <c r="BO77" i="14608"/>
  <c r="BP77" i="14608"/>
  <c r="BQ77" i="14608"/>
  <c r="BR77" i="14608"/>
  <c r="BS77" i="14608"/>
  <c r="BT77" i="14608"/>
  <c r="BU77" i="14608"/>
  <c r="BV77" i="14608"/>
  <c r="BW77" i="14608"/>
  <c r="BX77" i="14608"/>
  <c r="BY77" i="14608"/>
  <c r="BZ77" i="14608"/>
  <c r="CA77" i="14608"/>
  <c r="CB77" i="14608"/>
  <c r="CC77" i="14608"/>
  <c r="CD77" i="14608"/>
  <c r="CE77" i="14608"/>
  <c r="CF77" i="14608"/>
  <c r="CG77" i="14608"/>
  <c r="CH77" i="14608"/>
  <c r="CI77" i="14608"/>
  <c r="CJ77" i="14608"/>
  <c r="CK77" i="14608"/>
  <c r="CL77" i="14608"/>
  <c r="CM77" i="14608"/>
  <c r="CN77" i="14608"/>
  <c r="CO77" i="14608"/>
  <c r="CP77" i="14608"/>
  <c r="CQ77" i="14608"/>
  <c r="CR77" i="14608"/>
  <c r="CS77" i="14608"/>
  <c r="CT77" i="14608"/>
  <c r="CU77" i="14608"/>
  <c r="CV77" i="14608"/>
  <c r="CW77" i="14608"/>
  <c r="CX77" i="14608"/>
  <c r="CY77" i="14608"/>
  <c r="CZ77" i="14608"/>
  <c r="DA77" i="14608"/>
  <c r="DB77" i="14608"/>
  <c r="DC77" i="14608"/>
  <c r="DD77" i="14608"/>
  <c r="DE77" i="14608"/>
  <c r="DF77" i="14608"/>
  <c r="DG77" i="14608"/>
  <c r="DH77" i="14608"/>
  <c r="DI77" i="14608"/>
  <c r="DJ77" i="14608"/>
  <c r="DK77" i="14608"/>
  <c r="DL77" i="14608"/>
  <c r="DM77" i="14608"/>
  <c r="DN77" i="14608"/>
  <c r="DO77" i="14608"/>
  <c r="DP77" i="14608"/>
  <c r="DQ77" i="14608"/>
  <c r="DR77" i="14608"/>
  <c r="DS77" i="14608"/>
  <c r="DT77" i="14608"/>
  <c r="DU77" i="14608"/>
  <c r="DV77" i="14608"/>
  <c r="DW77" i="14608"/>
  <c r="DX77" i="14608"/>
  <c r="DY77" i="14608"/>
  <c r="DZ77" i="14608"/>
  <c r="EA77" i="14608"/>
  <c r="EB77" i="14608"/>
  <c r="EC77" i="14608"/>
  <c r="ED77" i="14608"/>
  <c r="EE77" i="14608"/>
  <c r="EF77" i="14608"/>
  <c r="EG77" i="14608"/>
  <c r="EH77" i="14608"/>
  <c r="EI77" i="14608"/>
  <c r="EJ77" i="14608"/>
  <c r="EK77" i="14608"/>
  <c r="EL77" i="14608"/>
  <c r="EM77" i="14608"/>
  <c r="EN77" i="14608"/>
  <c r="EO77" i="14608"/>
  <c r="EP77" i="14608"/>
  <c r="EQ77" i="14608"/>
  <c r="ER77" i="14608"/>
  <c r="ES77" i="14608"/>
  <c r="ET77" i="14608"/>
  <c r="EU77" i="14608"/>
  <c r="EV77" i="14608"/>
  <c r="EW77" i="14608"/>
  <c r="EX77" i="14608"/>
  <c r="EY77" i="14608"/>
  <c r="EZ77" i="14608"/>
  <c r="FA77" i="14608"/>
  <c r="FB77" i="14608"/>
  <c r="FC77" i="14608"/>
  <c r="FD77" i="14608"/>
  <c r="FE77" i="14608"/>
  <c r="FF77" i="14608"/>
  <c r="FG77" i="14608"/>
  <c r="FH77" i="14608"/>
  <c r="FI77" i="14608"/>
  <c r="FJ77" i="14608"/>
  <c r="FK77" i="14608"/>
  <c r="FL77" i="14608"/>
  <c r="FM77" i="14608"/>
  <c r="FN77" i="14608"/>
  <c r="FO77" i="14608"/>
  <c r="FP77" i="14608"/>
  <c r="FQ77" i="14608"/>
  <c r="FR77" i="14608"/>
  <c r="FS77" i="14608"/>
  <c r="FT77" i="14608"/>
  <c r="FU77" i="14608"/>
  <c r="FV77" i="14608"/>
  <c r="FW77" i="14608"/>
  <c r="FX77" i="14608"/>
  <c r="FY77" i="14608"/>
  <c r="FZ77" i="14608"/>
  <c r="GA77" i="14608"/>
  <c r="GB77" i="14608"/>
  <c r="GC77" i="14608"/>
  <c r="GD77" i="14608"/>
  <c r="GE77" i="14608"/>
  <c r="GF77" i="14608"/>
  <c r="GG77" i="14608"/>
  <c r="GH77" i="14608"/>
  <c r="GI77" i="14608"/>
  <c r="GJ77" i="14608"/>
  <c r="GK77" i="14608"/>
  <c r="GL77" i="14608"/>
  <c r="GM77" i="14608"/>
  <c r="GN77" i="14608"/>
  <c r="GO77" i="14608"/>
  <c r="GP77" i="14608"/>
  <c r="GQ77" i="14608"/>
  <c r="GR77" i="14608"/>
  <c r="GS77" i="14608"/>
  <c r="GT77" i="14608"/>
  <c r="GU77" i="14608"/>
  <c r="GV77" i="14608"/>
  <c r="GW77" i="14608"/>
  <c r="GX77" i="14608"/>
  <c r="GY77" i="14608"/>
  <c r="GZ77" i="14608"/>
  <c r="HA77" i="14608"/>
  <c r="HB77" i="14608"/>
  <c r="HC77" i="14608"/>
  <c r="HD77" i="14608"/>
  <c r="HE77" i="14608"/>
  <c r="HF77" i="14608"/>
  <c r="HG77" i="14608"/>
  <c r="HH77" i="14608"/>
  <c r="HI77" i="14608"/>
  <c r="HJ77" i="14608"/>
  <c r="HK77" i="14608"/>
  <c r="HL77" i="14608"/>
  <c r="HM77" i="14608"/>
  <c r="HN77" i="14608"/>
  <c r="HO77" i="14608"/>
  <c r="HP77" i="14608"/>
  <c r="HQ77" i="14608"/>
  <c r="HR77" i="14608"/>
  <c r="HS77" i="14608"/>
  <c r="HT77" i="14608"/>
  <c r="HU77" i="14608"/>
  <c r="HV77" i="14608"/>
  <c r="HW77" i="14608"/>
  <c r="HX77" i="14608"/>
  <c r="HY77" i="14608"/>
  <c r="HZ77" i="14608"/>
  <c r="IA77" i="14608"/>
  <c r="IB77" i="14608"/>
  <c r="IC77" i="14608"/>
  <c r="ID77" i="14608"/>
  <c r="IE77" i="14608"/>
  <c r="IF77" i="14608"/>
  <c r="IG77" i="14608"/>
  <c r="IH77" i="14608"/>
  <c r="II77" i="14608"/>
  <c r="IJ77" i="14608"/>
  <c r="IK77" i="14608"/>
  <c r="IL77" i="14608"/>
  <c r="IM77" i="14608"/>
  <c r="IN77" i="14608"/>
  <c r="IO77" i="14608"/>
  <c r="IP77" i="14608"/>
  <c r="IQ77" i="14608"/>
  <c r="IR77" i="14608"/>
  <c r="IS77" i="14608"/>
  <c r="IT77" i="14608"/>
  <c r="IU77" i="14608"/>
  <c r="IV77" i="14608"/>
  <c r="A76" i="14608"/>
  <c r="B76" i="14608"/>
  <c r="C76" i="14608"/>
  <c r="D76" i="14608"/>
  <c r="E76" i="14608"/>
  <c r="F76" i="14608"/>
  <c r="G76" i="14608"/>
  <c r="H76" i="14608"/>
  <c r="I76" i="14608"/>
  <c r="J76" i="14608"/>
  <c r="K76" i="14608"/>
  <c r="L76" i="14608"/>
  <c r="M76" i="14608"/>
  <c r="N76" i="14608"/>
  <c r="O76" i="14608"/>
  <c r="P76" i="14608"/>
  <c r="Q76" i="14608"/>
  <c r="R76" i="14608"/>
  <c r="S76" i="14608"/>
  <c r="T76" i="14608"/>
  <c r="U76" i="14608"/>
  <c r="V76" i="14608"/>
  <c r="W76" i="14608"/>
  <c r="X76" i="14608"/>
  <c r="Y76" i="14608"/>
  <c r="Z76" i="14608"/>
  <c r="AA76" i="14608"/>
  <c r="AB76" i="14608"/>
  <c r="AC76" i="14608"/>
  <c r="AD76" i="14608"/>
  <c r="AE76" i="14608"/>
  <c r="AF76" i="14608"/>
  <c r="AG76" i="14608"/>
  <c r="AH76" i="14608"/>
  <c r="AI76" i="14608"/>
  <c r="AJ76" i="14608"/>
  <c r="AK76" i="14608"/>
  <c r="AL76" i="14608"/>
  <c r="AM76" i="14608"/>
  <c r="AN76" i="14608"/>
  <c r="AO76" i="14608"/>
  <c r="AP76" i="14608"/>
  <c r="AQ76" i="14608"/>
  <c r="AR76" i="14608"/>
  <c r="AS76" i="14608"/>
  <c r="AT76" i="14608"/>
  <c r="AU76" i="14608"/>
  <c r="AV76" i="14608"/>
  <c r="AW76" i="14608"/>
  <c r="AX76" i="14608"/>
  <c r="AY76" i="14608"/>
  <c r="AZ76" i="14608"/>
  <c r="BA76" i="14608"/>
  <c r="BB76" i="14608"/>
  <c r="BC76" i="14608"/>
  <c r="BD76" i="14608"/>
  <c r="BE76" i="14608"/>
  <c r="BF76" i="14608"/>
  <c r="BG76" i="14608"/>
  <c r="BH76" i="14608"/>
  <c r="BI76" i="14608"/>
  <c r="BJ76" i="14608"/>
  <c r="BK76" i="14608"/>
  <c r="BL76" i="14608"/>
  <c r="BM76" i="14608"/>
  <c r="BN76" i="14608"/>
  <c r="BO76" i="14608"/>
  <c r="BP76" i="14608"/>
  <c r="BQ76" i="14608"/>
  <c r="BR76" i="14608"/>
  <c r="BS76" i="14608"/>
  <c r="BT76" i="14608"/>
  <c r="BU76" i="14608"/>
  <c r="BV76" i="14608"/>
  <c r="BW76" i="14608"/>
  <c r="BX76" i="14608"/>
  <c r="BY76" i="14608"/>
  <c r="BZ76" i="14608"/>
  <c r="CA76" i="14608"/>
  <c r="CB76" i="14608"/>
  <c r="CC76" i="14608"/>
  <c r="CD76" i="14608"/>
  <c r="CE76" i="14608"/>
  <c r="CF76" i="14608"/>
  <c r="CG76" i="14608"/>
  <c r="CH76" i="14608"/>
  <c r="CI76" i="14608"/>
  <c r="CJ76" i="14608"/>
  <c r="CK76" i="14608"/>
  <c r="CL76" i="14608"/>
  <c r="CM76" i="14608"/>
  <c r="CN76" i="14608"/>
  <c r="CO76" i="14608"/>
  <c r="CP76" i="14608"/>
  <c r="CQ76" i="14608"/>
  <c r="CR76" i="14608"/>
  <c r="CS76" i="14608"/>
  <c r="CT76" i="14608"/>
  <c r="CU76" i="14608"/>
  <c r="CV76" i="14608"/>
  <c r="CW76" i="14608"/>
  <c r="CX76" i="14608"/>
  <c r="CY76" i="14608"/>
  <c r="CZ76" i="14608"/>
  <c r="DA76" i="14608"/>
  <c r="DB76" i="14608"/>
  <c r="DC76" i="14608"/>
  <c r="DD76" i="14608"/>
  <c r="DE76" i="14608"/>
  <c r="DF76" i="14608"/>
  <c r="DG76" i="14608"/>
  <c r="DH76" i="14608"/>
  <c r="DI76" i="14608"/>
  <c r="DJ76" i="14608"/>
  <c r="DK76" i="14608"/>
  <c r="DL76" i="14608"/>
  <c r="DM76" i="14608"/>
  <c r="DN76" i="14608"/>
  <c r="DO76" i="14608"/>
  <c r="DP76" i="14608"/>
  <c r="DQ76" i="14608"/>
  <c r="DR76" i="14608"/>
  <c r="DS76" i="14608"/>
  <c r="DT76" i="14608"/>
  <c r="DU76" i="14608"/>
  <c r="DV76" i="14608"/>
  <c r="DW76" i="14608"/>
  <c r="DX76" i="14608"/>
  <c r="DY76" i="14608"/>
  <c r="DZ76" i="14608"/>
  <c r="EA76" i="14608"/>
  <c r="EB76" i="14608"/>
  <c r="EC76" i="14608"/>
  <c r="ED76" i="14608"/>
  <c r="EE76" i="14608"/>
  <c r="EF76" i="14608"/>
  <c r="EG76" i="14608"/>
  <c r="EH76" i="14608"/>
  <c r="EI76" i="14608"/>
  <c r="EJ76" i="14608"/>
  <c r="EK76" i="14608"/>
  <c r="EL76" i="14608"/>
  <c r="EM76" i="14608"/>
  <c r="EN76" i="14608"/>
  <c r="EO76" i="14608"/>
  <c r="EP76" i="14608"/>
  <c r="EQ76" i="14608"/>
  <c r="ER76" i="14608"/>
  <c r="ES76" i="14608"/>
  <c r="ET76" i="14608"/>
  <c r="EU76" i="14608"/>
  <c r="EV76" i="14608"/>
  <c r="EW76" i="14608"/>
  <c r="EX76" i="14608"/>
  <c r="EY76" i="14608"/>
  <c r="EZ76" i="14608"/>
  <c r="FA76" i="14608"/>
  <c r="FB76" i="14608"/>
  <c r="FC76" i="14608"/>
  <c r="FD76" i="14608"/>
  <c r="FE76" i="14608"/>
  <c r="FF76" i="14608"/>
  <c r="FG76" i="14608"/>
  <c r="FH76" i="14608"/>
  <c r="FI76" i="14608"/>
  <c r="FJ76" i="14608"/>
  <c r="FK76" i="14608"/>
  <c r="FL76" i="14608"/>
  <c r="FM76" i="14608"/>
  <c r="FN76" i="14608"/>
  <c r="FO76" i="14608"/>
  <c r="FP76" i="14608"/>
  <c r="FQ76" i="14608"/>
  <c r="FR76" i="14608"/>
  <c r="FS76" i="14608"/>
  <c r="FT76" i="14608"/>
  <c r="FU76" i="14608"/>
  <c r="FV76" i="14608"/>
  <c r="FW76" i="14608"/>
  <c r="FX76" i="14608"/>
  <c r="FY76" i="14608"/>
  <c r="FZ76" i="14608"/>
  <c r="GA76" i="14608"/>
  <c r="GB76" i="14608"/>
  <c r="GC76" i="14608"/>
  <c r="GD76" i="14608"/>
  <c r="GE76" i="14608"/>
  <c r="GF76" i="14608"/>
  <c r="GG76" i="14608"/>
  <c r="GH76" i="14608"/>
  <c r="GI76" i="14608"/>
  <c r="GJ76" i="14608"/>
  <c r="GK76" i="14608"/>
  <c r="GL76" i="14608"/>
  <c r="GM76" i="14608"/>
  <c r="GN76" i="14608"/>
  <c r="GO76" i="14608"/>
  <c r="GP76" i="14608"/>
  <c r="GQ76" i="14608"/>
  <c r="GR76" i="14608"/>
  <c r="GS76" i="14608"/>
  <c r="GT76" i="14608"/>
  <c r="GU76" i="14608"/>
  <c r="GV76" i="14608"/>
  <c r="GW76" i="14608"/>
  <c r="GX76" i="14608"/>
  <c r="GY76" i="14608"/>
  <c r="GZ76" i="14608"/>
  <c r="HA76" i="14608"/>
  <c r="HB76" i="14608"/>
  <c r="HC76" i="14608"/>
  <c r="HD76" i="14608"/>
  <c r="HE76" i="14608"/>
  <c r="HF76" i="14608"/>
  <c r="HG76" i="14608"/>
  <c r="HH76" i="14608"/>
  <c r="HI76" i="14608"/>
  <c r="HJ76" i="14608"/>
  <c r="HK76" i="14608"/>
  <c r="HL76" i="14608"/>
  <c r="HM76" i="14608"/>
  <c r="HN76" i="14608"/>
  <c r="HO76" i="14608"/>
  <c r="HP76" i="14608"/>
  <c r="HQ76" i="14608"/>
  <c r="HR76" i="14608"/>
  <c r="HS76" i="14608"/>
  <c r="HT76" i="14608"/>
  <c r="HU76" i="14608"/>
  <c r="HV76" i="14608"/>
  <c r="HW76" i="14608"/>
  <c r="HX76" i="14608"/>
  <c r="HY76" i="14608"/>
  <c r="HZ76" i="14608"/>
  <c r="IA76" i="14608"/>
  <c r="IB76" i="14608"/>
  <c r="IC76" i="14608"/>
  <c r="ID76" i="14608"/>
  <c r="IE76" i="14608"/>
  <c r="IF76" i="14608"/>
  <c r="IG76" i="14608"/>
  <c r="IH76" i="14608"/>
  <c r="II76" i="14608"/>
  <c r="IJ76" i="14608"/>
  <c r="IK76" i="14608"/>
  <c r="IL76" i="14608"/>
  <c r="IM76" i="14608"/>
  <c r="IN76" i="14608"/>
  <c r="IO76" i="14608"/>
  <c r="IP76" i="14608"/>
  <c r="IQ76" i="14608"/>
  <c r="IR76" i="14608"/>
  <c r="IS76" i="14608"/>
  <c r="IT76" i="14608"/>
  <c r="IU76" i="14608"/>
  <c r="IV76" i="14608"/>
  <c r="A75" i="14608"/>
  <c r="B75" i="14608"/>
  <c r="C75" i="14608"/>
  <c r="D75" i="14608"/>
  <c r="E75" i="14608"/>
  <c r="F75" i="14608"/>
  <c r="G75" i="14608"/>
  <c r="H75" i="14608"/>
  <c r="I75" i="14608"/>
  <c r="J75" i="14608"/>
  <c r="K75" i="14608"/>
  <c r="L75" i="14608"/>
  <c r="M75" i="14608"/>
  <c r="N75" i="14608"/>
  <c r="O75" i="14608"/>
  <c r="P75" i="14608"/>
  <c r="Q75" i="14608"/>
  <c r="R75" i="14608"/>
  <c r="S75" i="14608"/>
  <c r="T75" i="14608"/>
  <c r="U75" i="14608"/>
  <c r="V75" i="14608"/>
  <c r="W75" i="14608"/>
  <c r="X75" i="14608"/>
  <c r="Y75" i="14608"/>
  <c r="Z75" i="14608"/>
  <c r="AA75" i="14608"/>
  <c r="AB75" i="14608"/>
  <c r="AC75" i="14608"/>
  <c r="AD75" i="14608"/>
  <c r="AE75" i="14608"/>
  <c r="AF75" i="14608"/>
  <c r="AG75" i="14608"/>
  <c r="AH75" i="14608"/>
  <c r="AI75" i="14608"/>
  <c r="AJ75" i="14608"/>
  <c r="AK75" i="14608"/>
  <c r="AL75" i="14608"/>
  <c r="AM75" i="14608"/>
  <c r="AN75" i="14608"/>
  <c r="AO75" i="14608"/>
  <c r="AP75" i="14608"/>
  <c r="AQ75" i="14608"/>
  <c r="AR75" i="14608"/>
  <c r="AS75" i="14608"/>
  <c r="AT75" i="14608"/>
  <c r="AU75" i="14608"/>
  <c r="AV75" i="14608"/>
  <c r="AW75" i="14608"/>
  <c r="AX75" i="14608"/>
  <c r="AY75" i="14608"/>
  <c r="AZ75" i="14608"/>
  <c r="BA75" i="14608"/>
  <c r="BB75" i="14608"/>
  <c r="BC75" i="14608"/>
  <c r="BD75" i="14608"/>
  <c r="BE75" i="14608"/>
  <c r="BF75" i="14608"/>
  <c r="BG75" i="14608"/>
  <c r="BH75" i="14608"/>
  <c r="BI75" i="14608"/>
  <c r="BJ75" i="14608"/>
  <c r="BK75" i="14608"/>
  <c r="BL75" i="14608"/>
  <c r="BM75" i="14608"/>
  <c r="BN75" i="14608"/>
  <c r="BO75" i="14608"/>
  <c r="BP75" i="14608"/>
  <c r="BQ75" i="14608"/>
  <c r="BR75" i="14608"/>
  <c r="BS75" i="14608"/>
  <c r="BT75" i="14608"/>
  <c r="BU75" i="14608"/>
  <c r="BV75" i="14608"/>
  <c r="BW75" i="14608"/>
  <c r="BX75" i="14608"/>
  <c r="BY75" i="14608"/>
  <c r="BZ75" i="14608"/>
  <c r="CA75" i="14608"/>
  <c r="CB75" i="14608"/>
  <c r="CC75" i="14608"/>
  <c r="CD75" i="14608"/>
  <c r="CE75" i="14608"/>
  <c r="CF75" i="14608"/>
  <c r="CG75" i="14608"/>
  <c r="CH75" i="14608"/>
  <c r="CI75" i="14608"/>
  <c r="CJ75" i="14608"/>
  <c r="CK75" i="14608"/>
  <c r="CL75" i="14608"/>
  <c r="CM75" i="14608"/>
  <c r="CN75" i="14608"/>
  <c r="CO75" i="14608"/>
  <c r="CP75" i="14608"/>
  <c r="CQ75" i="14608"/>
  <c r="CR75" i="14608"/>
  <c r="CS75" i="14608"/>
  <c r="CT75" i="14608"/>
  <c r="CU75" i="14608"/>
  <c r="CV75" i="14608"/>
  <c r="CW75" i="14608"/>
  <c r="CX75" i="14608"/>
  <c r="CY75" i="14608"/>
  <c r="CZ75" i="14608"/>
  <c r="DA75" i="14608"/>
  <c r="DB75" i="14608"/>
  <c r="DC75" i="14608"/>
  <c r="DD75" i="14608"/>
  <c r="DE75" i="14608"/>
  <c r="DF75" i="14608"/>
  <c r="DG75" i="14608"/>
  <c r="DH75" i="14608"/>
  <c r="DI75" i="14608"/>
  <c r="DJ75" i="14608"/>
  <c r="DK75" i="14608"/>
  <c r="DL75" i="14608"/>
  <c r="DM75" i="14608"/>
  <c r="DN75" i="14608"/>
  <c r="DO75" i="14608"/>
  <c r="DP75" i="14608"/>
  <c r="DQ75" i="14608"/>
  <c r="DR75" i="14608"/>
  <c r="DS75" i="14608"/>
  <c r="DT75" i="14608"/>
  <c r="DU75" i="14608"/>
  <c r="DV75" i="14608"/>
  <c r="DW75" i="14608"/>
  <c r="DX75" i="14608"/>
  <c r="DY75" i="14608"/>
  <c r="DZ75" i="14608"/>
  <c r="EA75" i="14608"/>
  <c r="EB75" i="14608"/>
  <c r="EC75" i="14608"/>
  <c r="ED75" i="14608"/>
  <c r="EE75" i="14608"/>
  <c r="EF75" i="14608"/>
  <c r="EG75" i="14608"/>
  <c r="EH75" i="14608"/>
  <c r="EI75" i="14608"/>
  <c r="EJ75" i="14608"/>
  <c r="EK75" i="14608"/>
  <c r="EL75" i="14608"/>
  <c r="EM75" i="14608"/>
  <c r="EN75" i="14608"/>
  <c r="EO75" i="14608"/>
  <c r="EP75" i="14608"/>
  <c r="EQ75" i="14608"/>
  <c r="ER75" i="14608"/>
  <c r="ES75" i="14608"/>
  <c r="ET75" i="14608"/>
  <c r="EU75" i="14608"/>
  <c r="EV75" i="14608"/>
  <c r="EW75" i="14608"/>
  <c r="EX75" i="14608"/>
  <c r="EY75" i="14608"/>
  <c r="EZ75" i="14608"/>
  <c r="FA75" i="14608"/>
  <c r="FB75" i="14608"/>
  <c r="FC75" i="14608"/>
  <c r="FD75" i="14608"/>
  <c r="FE75" i="14608"/>
  <c r="FF75" i="14608"/>
  <c r="FG75" i="14608"/>
  <c r="FH75" i="14608"/>
  <c r="FI75" i="14608"/>
  <c r="FJ75" i="14608"/>
  <c r="FK75" i="14608"/>
  <c r="FL75" i="14608"/>
  <c r="FM75" i="14608"/>
  <c r="FN75" i="14608"/>
  <c r="FO75" i="14608"/>
  <c r="FP75" i="14608"/>
  <c r="FQ75" i="14608"/>
  <c r="FR75" i="14608"/>
  <c r="FS75" i="14608"/>
  <c r="FT75" i="14608"/>
  <c r="FU75" i="14608"/>
  <c r="FV75" i="14608"/>
  <c r="FW75" i="14608"/>
  <c r="FX75" i="14608"/>
  <c r="FY75" i="14608"/>
  <c r="FZ75" i="14608"/>
  <c r="GA75" i="14608"/>
  <c r="GB75" i="14608"/>
  <c r="GC75" i="14608"/>
  <c r="GD75" i="14608"/>
  <c r="GE75" i="14608"/>
  <c r="GF75" i="14608"/>
  <c r="GG75" i="14608"/>
  <c r="GH75" i="14608"/>
  <c r="GI75" i="14608"/>
  <c r="GJ75" i="14608"/>
  <c r="GK75" i="14608"/>
  <c r="GL75" i="14608"/>
  <c r="GM75" i="14608"/>
  <c r="GN75" i="14608"/>
  <c r="GO75" i="14608"/>
  <c r="GP75" i="14608"/>
  <c r="GQ75" i="14608"/>
  <c r="GR75" i="14608"/>
  <c r="GS75" i="14608"/>
  <c r="GT75" i="14608"/>
  <c r="GU75" i="14608"/>
  <c r="GV75" i="14608"/>
  <c r="GW75" i="14608"/>
  <c r="GX75" i="14608"/>
  <c r="GY75" i="14608"/>
  <c r="GZ75" i="14608"/>
  <c r="HA75" i="14608"/>
  <c r="HB75" i="14608"/>
  <c r="HC75" i="14608"/>
  <c r="HD75" i="14608"/>
  <c r="HE75" i="14608"/>
  <c r="HF75" i="14608"/>
  <c r="HG75" i="14608"/>
  <c r="HH75" i="14608"/>
  <c r="HI75" i="14608"/>
  <c r="HJ75" i="14608"/>
  <c r="HK75" i="14608"/>
  <c r="HL75" i="14608"/>
  <c r="HM75" i="14608"/>
  <c r="HN75" i="14608"/>
  <c r="HO75" i="14608"/>
  <c r="HP75" i="14608"/>
  <c r="HQ75" i="14608"/>
  <c r="HR75" i="14608"/>
  <c r="HS75" i="14608"/>
  <c r="HT75" i="14608"/>
  <c r="HU75" i="14608"/>
  <c r="HV75" i="14608"/>
  <c r="HW75" i="14608"/>
  <c r="HX75" i="14608"/>
  <c r="HY75" i="14608"/>
  <c r="HZ75" i="14608"/>
  <c r="IA75" i="14608"/>
  <c r="IB75" i="14608"/>
  <c r="IC75" i="14608"/>
  <c r="ID75" i="14608"/>
  <c r="IE75" i="14608"/>
  <c r="IF75" i="14608"/>
  <c r="IG75" i="14608"/>
  <c r="IH75" i="14608"/>
  <c r="II75" i="14608"/>
  <c r="IJ75" i="14608"/>
  <c r="IK75" i="14608"/>
  <c r="IL75" i="14608"/>
  <c r="IM75" i="14608"/>
  <c r="IN75" i="14608"/>
  <c r="IO75" i="14608"/>
  <c r="IP75" i="14608"/>
  <c r="IQ75" i="14608"/>
  <c r="IR75" i="14608"/>
  <c r="IS75" i="14608"/>
  <c r="IT75" i="14608"/>
  <c r="IU75" i="14608"/>
  <c r="IV75" i="14608"/>
  <c r="A74" i="14608"/>
  <c r="B74" i="14608"/>
  <c r="C74" i="14608"/>
  <c r="D74" i="14608"/>
  <c r="E74" i="14608"/>
  <c r="F74" i="14608"/>
  <c r="G74" i="14608"/>
  <c r="H74" i="14608"/>
  <c r="I74" i="14608"/>
  <c r="J74" i="14608"/>
  <c r="K74" i="14608"/>
  <c r="L74" i="14608"/>
  <c r="M74" i="14608"/>
  <c r="N74" i="14608"/>
  <c r="O74" i="14608"/>
  <c r="P74" i="14608"/>
  <c r="Q74" i="14608"/>
  <c r="R74" i="14608"/>
  <c r="S74" i="14608"/>
  <c r="T74" i="14608"/>
  <c r="U74" i="14608"/>
  <c r="V74" i="14608"/>
  <c r="W74" i="14608"/>
  <c r="X74" i="14608"/>
  <c r="Y74" i="14608"/>
  <c r="Z74" i="14608"/>
  <c r="AA74" i="14608"/>
  <c r="AB74" i="14608"/>
  <c r="AC74" i="14608"/>
  <c r="AD74" i="14608"/>
  <c r="AE74" i="14608"/>
  <c r="AF74" i="14608"/>
  <c r="AG74" i="14608"/>
  <c r="AH74" i="14608"/>
  <c r="AI74" i="14608"/>
  <c r="AJ74" i="14608"/>
  <c r="AK74" i="14608"/>
  <c r="AL74" i="14608"/>
  <c r="AM74" i="14608"/>
  <c r="AN74" i="14608"/>
  <c r="AO74" i="14608"/>
  <c r="AP74" i="14608"/>
  <c r="AQ74" i="14608"/>
  <c r="AR74" i="14608"/>
  <c r="AS74" i="14608"/>
  <c r="AT74" i="14608"/>
  <c r="AU74" i="14608"/>
  <c r="AV74" i="14608"/>
  <c r="AW74" i="14608"/>
  <c r="AX74" i="14608"/>
  <c r="AY74" i="14608"/>
  <c r="AZ74" i="14608"/>
  <c r="BA74" i="14608"/>
  <c r="BB74" i="14608"/>
  <c r="BC74" i="14608"/>
  <c r="BD74" i="14608"/>
  <c r="BE74" i="14608"/>
  <c r="BF74" i="14608"/>
  <c r="BG74" i="14608"/>
  <c r="BH74" i="14608"/>
  <c r="BI74" i="14608"/>
  <c r="BJ74" i="14608"/>
  <c r="BK74" i="14608"/>
  <c r="BL74" i="14608"/>
  <c r="BM74" i="14608"/>
  <c r="BN74" i="14608"/>
  <c r="BO74" i="14608"/>
  <c r="BP74" i="14608"/>
  <c r="BQ74" i="14608"/>
  <c r="BR74" i="14608"/>
  <c r="BS74" i="14608"/>
  <c r="BT74" i="14608"/>
  <c r="BU74" i="14608"/>
  <c r="BV74" i="14608"/>
  <c r="BW74" i="14608"/>
  <c r="BX74" i="14608"/>
  <c r="BY74" i="14608"/>
  <c r="BZ74" i="14608"/>
  <c r="CA74" i="14608"/>
  <c r="CB74" i="14608"/>
  <c r="CC74" i="14608"/>
  <c r="CD74" i="14608"/>
  <c r="CE74" i="14608"/>
  <c r="CF74" i="14608"/>
  <c r="CG74" i="14608"/>
  <c r="CH74" i="14608"/>
  <c r="CI74" i="14608"/>
  <c r="CJ74" i="14608"/>
  <c r="CK74" i="14608"/>
  <c r="CL74" i="14608"/>
  <c r="CM74" i="14608"/>
  <c r="CN74" i="14608"/>
  <c r="CO74" i="14608"/>
  <c r="CP74" i="14608"/>
  <c r="CQ74" i="14608"/>
  <c r="CR74" i="14608"/>
  <c r="CS74" i="14608"/>
  <c r="CT74" i="14608"/>
  <c r="CU74" i="14608"/>
  <c r="CV74" i="14608"/>
  <c r="CW74" i="14608"/>
  <c r="CX74" i="14608"/>
  <c r="CY74" i="14608"/>
  <c r="CZ74" i="14608"/>
  <c r="DA74" i="14608"/>
  <c r="DB74" i="14608"/>
  <c r="DC74" i="14608"/>
  <c r="DD74" i="14608"/>
  <c r="DE74" i="14608"/>
  <c r="DF74" i="14608"/>
  <c r="DG74" i="14608"/>
  <c r="DH74" i="14608"/>
  <c r="DI74" i="14608"/>
  <c r="DJ74" i="14608"/>
  <c r="DK74" i="14608"/>
  <c r="DL74" i="14608"/>
  <c r="DM74" i="14608"/>
  <c r="DN74" i="14608"/>
  <c r="DO74" i="14608"/>
  <c r="DP74" i="14608"/>
  <c r="DQ74" i="14608"/>
  <c r="DR74" i="14608"/>
  <c r="DS74" i="14608"/>
  <c r="DT74" i="14608"/>
  <c r="DU74" i="14608"/>
  <c r="DV74" i="14608"/>
  <c r="DW74" i="14608"/>
  <c r="DX74" i="14608"/>
  <c r="DY74" i="14608"/>
  <c r="DZ74" i="14608"/>
  <c r="EA74" i="14608"/>
  <c r="EB74" i="14608"/>
  <c r="EC74" i="14608"/>
  <c r="ED74" i="14608"/>
  <c r="EE74" i="14608"/>
  <c r="EF74" i="14608"/>
  <c r="EG74" i="14608"/>
  <c r="EH74" i="14608"/>
  <c r="EI74" i="14608"/>
  <c r="EJ74" i="14608"/>
  <c r="EK74" i="14608"/>
  <c r="EL74" i="14608"/>
  <c r="EM74" i="14608"/>
  <c r="EN74" i="14608"/>
  <c r="EO74" i="14608"/>
  <c r="EP74" i="14608"/>
  <c r="EQ74" i="14608"/>
  <c r="ER74" i="14608"/>
  <c r="ES74" i="14608"/>
  <c r="ET74" i="14608"/>
  <c r="EU74" i="14608"/>
  <c r="EV74" i="14608"/>
  <c r="EW74" i="14608"/>
  <c r="EX74" i="14608"/>
  <c r="EY74" i="14608"/>
  <c r="EZ74" i="14608"/>
  <c r="FA74" i="14608"/>
  <c r="FB74" i="14608"/>
  <c r="FC74" i="14608"/>
  <c r="FD74" i="14608"/>
  <c r="FE74" i="14608"/>
  <c r="FF74" i="14608"/>
  <c r="FG74" i="14608"/>
  <c r="FH74" i="14608"/>
  <c r="FI74" i="14608"/>
  <c r="FJ74" i="14608"/>
  <c r="FK74" i="14608"/>
  <c r="FL74" i="14608"/>
  <c r="FM74" i="14608"/>
  <c r="FN74" i="14608"/>
  <c r="FO74" i="14608"/>
  <c r="FP74" i="14608"/>
  <c r="FQ74" i="14608"/>
  <c r="FR74" i="14608"/>
  <c r="FS74" i="14608"/>
  <c r="FT74" i="14608"/>
  <c r="FU74" i="14608"/>
  <c r="FV74" i="14608"/>
  <c r="FW74" i="14608"/>
  <c r="FX74" i="14608"/>
  <c r="FY74" i="14608"/>
  <c r="FZ74" i="14608"/>
  <c r="GA74" i="14608"/>
  <c r="GB74" i="14608"/>
  <c r="GC74" i="14608"/>
  <c r="GD74" i="14608"/>
  <c r="GE74" i="14608"/>
  <c r="GF74" i="14608"/>
  <c r="GG74" i="14608"/>
  <c r="GH74" i="14608"/>
  <c r="GI74" i="14608"/>
  <c r="GJ74" i="14608"/>
  <c r="GK74" i="14608"/>
  <c r="GL74" i="14608"/>
  <c r="GM74" i="14608"/>
  <c r="GN74" i="14608"/>
  <c r="GO74" i="14608"/>
  <c r="GP74" i="14608"/>
  <c r="GQ74" i="14608"/>
  <c r="GR74" i="14608"/>
  <c r="GS74" i="14608"/>
  <c r="GT74" i="14608"/>
  <c r="GU74" i="14608"/>
  <c r="GV74" i="14608"/>
  <c r="GW74" i="14608"/>
  <c r="GX74" i="14608"/>
  <c r="GY74" i="14608"/>
  <c r="GZ74" i="14608"/>
  <c r="HA74" i="14608"/>
  <c r="HB74" i="14608"/>
  <c r="HC74" i="14608"/>
  <c r="HD74" i="14608"/>
  <c r="HE74" i="14608"/>
  <c r="HF74" i="14608"/>
  <c r="HG74" i="14608"/>
  <c r="HH74" i="14608"/>
  <c r="HI74" i="14608"/>
  <c r="HJ74" i="14608"/>
  <c r="HK74" i="14608"/>
  <c r="HL74" i="14608"/>
  <c r="HM74" i="14608"/>
  <c r="HN74" i="14608"/>
  <c r="HO74" i="14608"/>
  <c r="HP74" i="14608"/>
  <c r="HQ74" i="14608"/>
  <c r="HR74" i="14608"/>
  <c r="HS74" i="14608"/>
  <c r="HT74" i="14608"/>
  <c r="HU74" i="14608"/>
  <c r="HV74" i="14608"/>
  <c r="HW74" i="14608"/>
  <c r="HX74" i="14608"/>
  <c r="HY74" i="14608"/>
  <c r="HZ74" i="14608"/>
  <c r="IA74" i="14608"/>
  <c r="IB74" i="14608"/>
  <c r="IC74" i="14608"/>
  <c r="ID74" i="14608"/>
  <c r="IE74" i="14608"/>
  <c r="IF74" i="14608"/>
  <c r="IG74" i="14608"/>
  <c r="IH74" i="14608"/>
  <c r="II74" i="14608"/>
  <c r="IJ74" i="14608"/>
  <c r="IK74" i="14608"/>
  <c r="IL74" i="14608"/>
  <c r="IM74" i="14608"/>
  <c r="IN74" i="14608"/>
  <c r="IO74" i="14608"/>
  <c r="IP74" i="14608"/>
  <c r="IQ74" i="14608"/>
  <c r="IR74" i="14608"/>
  <c r="IS74" i="14608"/>
  <c r="IT74" i="14608"/>
  <c r="IU74" i="14608"/>
  <c r="IV74" i="14608"/>
  <c r="A73" i="14608"/>
  <c r="B73" i="14608"/>
  <c r="C73" i="14608"/>
  <c r="D73" i="14608"/>
  <c r="E73" i="14608"/>
  <c r="F73" i="14608"/>
  <c r="G73" i="14608"/>
  <c r="H73" i="14608"/>
  <c r="I73" i="14608"/>
  <c r="J73" i="14608"/>
  <c r="K73" i="14608"/>
  <c r="L73" i="14608"/>
  <c r="M73" i="14608"/>
  <c r="N73" i="14608"/>
  <c r="O73" i="14608"/>
  <c r="P73" i="14608"/>
  <c r="Q73" i="14608"/>
  <c r="R73" i="14608"/>
  <c r="S73" i="14608"/>
  <c r="T73" i="14608"/>
  <c r="U73" i="14608"/>
  <c r="V73" i="14608"/>
  <c r="W73" i="14608"/>
  <c r="X73" i="14608"/>
  <c r="Y73" i="14608"/>
  <c r="Z73" i="14608"/>
  <c r="AA73" i="14608"/>
  <c r="AB73" i="14608"/>
  <c r="AC73" i="14608"/>
  <c r="AD73" i="14608"/>
  <c r="AE73" i="14608"/>
  <c r="AF73" i="14608"/>
  <c r="AG73" i="14608"/>
  <c r="AH73" i="14608"/>
  <c r="AI73" i="14608"/>
  <c r="AJ73" i="14608"/>
  <c r="AK73" i="14608"/>
  <c r="AL73" i="14608"/>
  <c r="AM73" i="14608"/>
  <c r="AN73" i="14608"/>
  <c r="AO73" i="14608"/>
  <c r="AP73" i="14608"/>
  <c r="AQ73" i="14608"/>
  <c r="AR73" i="14608"/>
  <c r="AS73" i="14608"/>
  <c r="AT73" i="14608"/>
  <c r="AU73" i="14608"/>
  <c r="AV73" i="14608"/>
  <c r="AW73" i="14608"/>
  <c r="AX73" i="14608"/>
  <c r="AY73" i="14608"/>
  <c r="AZ73" i="14608"/>
  <c r="BA73" i="14608"/>
  <c r="BB73" i="14608"/>
  <c r="BC73" i="14608"/>
  <c r="BD73" i="14608"/>
  <c r="BE73" i="14608"/>
  <c r="BF73" i="14608"/>
  <c r="BG73" i="14608"/>
  <c r="BH73" i="14608"/>
  <c r="BI73" i="14608"/>
  <c r="BJ73" i="14608"/>
  <c r="BK73" i="14608"/>
  <c r="BL73" i="14608"/>
  <c r="BM73" i="14608"/>
  <c r="BN73" i="14608"/>
  <c r="BO73" i="14608"/>
  <c r="BP73" i="14608"/>
  <c r="BQ73" i="14608"/>
  <c r="BR73" i="14608"/>
  <c r="BS73" i="14608"/>
  <c r="BT73" i="14608"/>
  <c r="BU73" i="14608"/>
  <c r="BV73" i="14608"/>
  <c r="BW73" i="14608"/>
  <c r="BX73" i="14608"/>
  <c r="BY73" i="14608"/>
  <c r="BZ73" i="14608"/>
  <c r="CA73" i="14608"/>
  <c r="CB73" i="14608"/>
  <c r="CC73" i="14608"/>
  <c r="CD73" i="14608"/>
  <c r="CE73" i="14608"/>
  <c r="CF73" i="14608"/>
  <c r="CG73" i="14608"/>
  <c r="CH73" i="14608"/>
  <c r="CI73" i="14608"/>
  <c r="CJ73" i="14608"/>
  <c r="CK73" i="14608"/>
  <c r="CL73" i="14608"/>
  <c r="CM73" i="14608"/>
  <c r="CN73" i="14608"/>
  <c r="CO73" i="14608"/>
  <c r="CP73" i="14608"/>
  <c r="CQ73" i="14608"/>
  <c r="CR73" i="14608"/>
  <c r="CS73" i="14608"/>
  <c r="CT73" i="14608"/>
  <c r="CU73" i="14608"/>
  <c r="CV73" i="14608"/>
  <c r="CW73" i="14608"/>
  <c r="CX73" i="14608"/>
  <c r="CY73" i="14608"/>
  <c r="CZ73" i="14608"/>
  <c r="DA73" i="14608"/>
  <c r="DB73" i="14608"/>
  <c r="DC73" i="14608"/>
  <c r="DD73" i="14608"/>
  <c r="DE73" i="14608"/>
  <c r="DF73" i="14608"/>
  <c r="DG73" i="14608"/>
  <c r="DH73" i="14608"/>
  <c r="DI73" i="14608"/>
  <c r="DJ73" i="14608"/>
  <c r="DK73" i="14608"/>
  <c r="DL73" i="14608"/>
  <c r="DM73" i="14608"/>
  <c r="DN73" i="14608"/>
  <c r="DO73" i="14608"/>
  <c r="DP73" i="14608"/>
  <c r="DQ73" i="14608"/>
  <c r="DR73" i="14608"/>
  <c r="DS73" i="14608"/>
  <c r="DT73" i="14608"/>
  <c r="DU73" i="14608"/>
  <c r="DV73" i="14608"/>
  <c r="DW73" i="14608"/>
  <c r="DX73" i="14608"/>
  <c r="DY73" i="14608"/>
  <c r="DZ73" i="14608"/>
  <c r="EA73" i="14608"/>
  <c r="EB73" i="14608"/>
  <c r="EC73" i="14608"/>
  <c r="ED73" i="14608"/>
  <c r="EE73" i="14608"/>
  <c r="EF73" i="14608"/>
  <c r="EG73" i="14608"/>
  <c r="EH73" i="14608"/>
  <c r="EI73" i="14608"/>
  <c r="EJ73" i="14608"/>
  <c r="EK73" i="14608"/>
  <c r="EL73" i="14608"/>
  <c r="EM73" i="14608"/>
  <c r="EN73" i="14608"/>
  <c r="EO73" i="14608"/>
  <c r="EP73" i="14608"/>
  <c r="EQ73" i="14608"/>
  <c r="ER73" i="14608"/>
  <c r="ES73" i="14608"/>
  <c r="ET73" i="14608"/>
  <c r="EU73" i="14608"/>
  <c r="EV73" i="14608"/>
  <c r="EW73" i="14608"/>
  <c r="EX73" i="14608"/>
  <c r="EY73" i="14608"/>
  <c r="EZ73" i="14608"/>
  <c r="FA73" i="14608"/>
  <c r="FB73" i="14608"/>
  <c r="FC73" i="14608"/>
  <c r="FD73" i="14608"/>
  <c r="FE73" i="14608"/>
  <c r="FF73" i="14608"/>
  <c r="FG73" i="14608"/>
  <c r="FH73" i="14608"/>
  <c r="FI73" i="14608"/>
  <c r="FJ73" i="14608"/>
  <c r="FK73" i="14608"/>
  <c r="FL73" i="14608"/>
  <c r="FM73" i="14608"/>
  <c r="FN73" i="14608"/>
  <c r="FO73" i="14608"/>
  <c r="FP73" i="14608"/>
  <c r="FQ73" i="14608"/>
  <c r="FR73" i="14608"/>
  <c r="FS73" i="14608"/>
  <c r="FT73" i="14608"/>
  <c r="FU73" i="14608"/>
  <c r="FV73" i="14608"/>
  <c r="FW73" i="14608"/>
  <c r="FX73" i="14608"/>
  <c r="FY73" i="14608"/>
  <c r="FZ73" i="14608"/>
  <c r="GA73" i="14608"/>
  <c r="GB73" i="14608"/>
  <c r="GC73" i="14608"/>
  <c r="GD73" i="14608"/>
  <c r="GE73" i="14608"/>
  <c r="GF73" i="14608"/>
  <c r="GG73" i="14608"/>
  <c r="GH73" i="14608"/>
  <c r="GI73" i="14608"/>
  <c r="GJ73" i="14608"/>
  <c r="GK73" i="14608"/>
  <c r="GL73" i="14608"/>
  <c r="GM73" i="14608"/>
  <c r="GN73" i="14608"/>
  <c r="GO73" i="14608"/>
  <c r="GP73" i="14608"/>
  <c r="GQ73" i="14608"/>
  <c r="GR73" i="14608"/>
  <c r="GS73" i="14608"/>
  <c r="GT73" i="14608"/>
  <c r="GU73" i="14608"/>
  <c r="GV73" i="14608"/>
  <c r="GW73" i="14608"/>
  <c r="GX73" i="14608"/>
  <c r="GY73" i="14608"/>
  <c r="GZ73" i="14608"/>
  <c r="HA73" i="14608"/>
  <c r="HB73" i="14608"/>
  <c r="HC73" i="14608"/>
  <c r="HD73" i="14608"/>
  <c r="HE73" i="14608"/>
  <c r="HF73" i="14608"/>
  <c r="HG73" i="14608"/>
  <c r="HH73" i="14608"/>
  <c r="HI73" i="14608"/>
  <c r="HJ73" i="14608"/>
  <c r="HK73" i="14608"/>
  <c r="HL73" i="14608"/>
  <c r="HM73" i="14608"/>
  <c r="HN73" i="14608"/>
  <c r="HO73" i="14608"/>
  <c r="HP73" i="14608"/>
  <c r="HQ73" i="14608"/>
  <c r="HR73" i="14608"/>
  <c r="HS73" i="14608"/>
  <c r="HT73" i="14608"/>
  <c r="HU73" i="14608"/>
  <c r="HV73" i="14608"/>
  <c r="HW73" i="14608"/>
  <c r="HX73" i="14608"/>
  <c r="HY73" i="14608"/>
  <c r="HZ73" i="14608"/>
  <c r="IA73" i="14608"/>
  <c r="IB73" i="14608"/>
  <c r="IC73" i="14608"/>
  <c r="ID73" i="14608"/>
  <c r="IE73" i="14608"/>
  <c r="IF73" i="14608"/>
  <c r="IG73" i="14608"/>
  <c r="IH73" i="14608"/>
  <c r="II73" i="14608"/>
  <c r="IJ73" i="14608"/>
  <c r="IK73" i="14608"/>
  <c r="IL73" i="14608"/>
  <c r="IM73" i="14608"/>
  <c r="IN73" i="14608"/>
  <c r="IO73" i="14608"/>
  <c r="IP73" i="14608"/>
  <c r="IQ73" i="14608"/>
  <c r="IR73" i="14608"/>
  <c r="IS73" i="14608"/>
  <c r="IT73" i="14608"/>
  <c r="IU73" i="14608"/>
  <c r="IV73" i="14608"/>
  <c r="A72" i="14608"/>
  <c r="B72" i="14608"/>
  <c r="C72" i="14608"/>
  <c r="D72" i="14608"/>
  <c r="E72" i="14608"/>
  <c r="F72" i="14608"/>
  <c r="G72" i="14608"/>
  <c r="H72" i="14608"/>
  <c r="I72" i="14608"/>
  <c r="J72" i="14608"/>
  <c r="K72" i="14608"/>
  <c r="L72" i="14608"/>
  <c r="M72" i="14608"/>
  <c r="N72" i="14608"/>
  <c r="O72" i="14608"/>
  <c r="P72" i="14608"/>
  <c r="Q72" i="14608"/>
  <c r="R72" i="14608"/>
  <c r="S72" i="14608"/>
  <c r="T72" i="14608"/>
  <c r="U72" i="14608"/>
  <c r="V72" i="14608"/>
  <c r="W72" i="14608"/>
  <c r="X72" i="14608"/>
  <c r="Y72" i="14608"/>
  <c r="Z72" i="14608"/>
  <c r="AA72" i="14608"/>
  <c r="AB72" i="14608"/>
  <c r="AC72" i="14608"/>
  <c r="AD72" i="14608"/>
  <c r="AE72" i="14608"/>
  <c r="AF72" i="14608"/>
  <c r="AG72" i="14608"/>
  <c r="AH72" i="14608"/>
  <c r="AI72" i="14608"/>
  <c r="AJ72" i="14608"/>
  <c r="AK72" i="14608"/>
  <c r="AL72" i="14608"/>
  <c r="AM72" i="14608"/>
  <c r="AN72" i="14608"/>
  <c r="AO72" i="14608"/>
  <c r="AP72" i="14608"/>
  <c r="AQ72" i="14608"/>
  <c r="AR72" i="14608"/>
  <c r="AS72" i="14608"/>
  <c r="AT72" i="14608"/>
  <c r="AU72" i="14608"/>
  <c r="AV72" i="14608"/>
  <c r="AW72" i="14608"/>
  <c r="AX72" i="14608"/>
  <c r="AY72" i="14608"/>
  <c r="AZ72" i="14608"/>
  <c r="BA72" i="14608"/>
  <c r="BB72" i="14608"/>
  <c r="BC72" i="14608"/>
  <c r="BD72" i="14608"/>
  <c r="BE72" i="14608"/>
  <c r="BF72" i="14608"/>
  <c r="BG72" i="14608"/>
  <c r="BH72" i="14608"/>
  <c r="BI72" i="14608"/>
  <c r="BJ72" i="14608"/>
  <c r="BK72" i="14608"/>
  <c r="BL72" i="14608"/>
  <c r="BM72" i="14608"/>
  <c r="BN72" i="14608"/>
  <c r="BO72" i="14608"/>
  <c r="BP72" i="14608"/>
  <c r="BQ72" i="14608"/>
  <c r="BR72" i="14608"/>
  <c r="BS72" i="14608"/>
  <c r="BT72" i="14608"/>
  <c r="BU72" i="14608"/>
  <c r="BV72" i="14608"/>
  <c r="BW72" i="14608"/>
  <c r="BX72" i="14608"/>
  <c r="BY72" i="14608"/>
  <c r="BZ72" i="14608"/>
  <c r="CA72" i="14608"/>
  <c r="CB72" i="14608"/>
  <c r="CC72" i="14608"/>
  <c r="CD72" i="14608"/>
  <c r="CE72" i="14608"/>
  <c r="CF72" i="14608"/>
  <c r="CG72" i="14608"/>
  <c r="CH72" i="14608"/>
  <c r="CI72" i="14608"/>
  <c r="CJ72" i="14608"/>
  <c r="CK72" i="14608"/>
  <c r="CL72" i="14608"/>
  <c r="CM72" i="14608"/>
  <c r="CN72" i="14608"/>
  <c r="CO72" i="14608"/>
  <c r="CP72" i="14608"/>
  <c r="CQ72" i="14608"/>
  <c r="CR72" i="14608"/>
  <c r="CS72" i="14608"/>
  <c r="CT72" i="14608"/>
  <c r="CU72" i="14608"/>
  <c r="CV72" i="14608"/>
  <c r="CW72" i="14608"/>
  <c r="CX72" i="14608"/>
  <c r="CY72" i="14608"/>
  <c r="CZ72" i="14608"/>
  <c r="DA72" i="14608"/>
  <c r="DB72" i="14608"/>
  <c r="DC72" i="14608"/>
  <c r="DD72" i="14608"/>
  <c r="DE72" i="14608"/>
  <c r="DF72" i="14608"/>
  <c r="DG72" i="14608"/>
  <c r="DH72" i="14608"/>
  <c r="DI72" i="14608"/>
  <c r="DJ72" i="14608"/>
  <c r="DK72" i="14608"/>
  <c r="DL72" i="14608"/>
  <c r="DM72" i="14608"/>
  <c r="DN72" i="14608"/>
  <c r="DO72" i="14608"/>
  <c r="DP72" i="14608"/>
  <c r="DQ72" i="14608"/>
  <c r="DR72" i="14608"/>
  <c r="DS72" i="14608"/>
  <c r="DT72" i="14608"/>
  <c r="DU72" i="14608"/>
  <c r="DV72" i="14608"/>
  <c r="DW72" i="14608"/>
  <c r="DX72" i="14608"/>
  <c r="DY72" i="14608"/>
  <c r="DZ72" i="14608"/>
  <c r="EA72" i="14608"/>
  <c r="EB72" i="14608"/>
  <c r="EC72" i="14608"/>
  <c r="ED72" i="14608"/>
  <c r="EE72" i="14608"/>
  <c r="EF72" i="14608"/>
  <c r="EG72" i="14608"/>
  <c r="EH72" i="14608"/>
  <c r="EI72" i="14608"/>
  <c r="EJ72" i="14608"/>
  <c r="EK72" i="14608"/>
  <c r="EL72" i="14608"/>
  <c r="EM72" i="14608"/>
  <c r="EN72" i="14608"/>
  <c r="EO72" i="14608"/>
  <c r="EP72" i="14608"/>
  <c r="EQ72" i="14608"/>
  <c r="ER72" i="14608"/>
  <c r="ES72" i="14608"/>
  <c r="ET72" i="14608"/>
  <c r="EU72" i="14608"/>
  <c r="EV72" i="14608"/>
  <c r="EW72" i="14608"/>
  <c r="EX72" i="14608"/>
  <c r="EY72" i="14608"/>
  <c r="EZ72" i="14608"/>
  <c r="FA72" i="14608"/>
  <c r="FB72" i="14608"/>
  <c r="FC72" i="14608"/>
  <c r="FD72" i="14608"/>
  <c r="FE72" i="14608"/>
  <c r="FF72" i="14608"/>
  <c r="FG72" i="14608"/>
  <c r="FH72" i="14608"/>
  <c r="FI72" i="14608"/>
  <c r="FJ72" i="14608"/>
  <c r="FK72" i="14608"/>
  <c r="FL72" i="14608"/>
  <c r="FM72" i="14608"/>
  <c r="FN72" i="14608"/>
  <c r="FO72" i="14608"/>
  <c r="FP72" i="14608"/>
  <c r="FQ72" i="14608"/>
  <c r="FR72" i="14608"/>
  <c r="FS72" i="14608"/>
  <c r="FT72" i="14608"/>
  <c r="FU72" i="14608"/>
  <c r="FV72" i="14608"/>
  <c r="FW72" i="14608"/>
  <c r="FX72" i="14608"/>
  <c r="FY72" i="14608"/>
  <c r="FZ72" i="14608"/>
  <c r="GA72" i="14608"/>
  <c r="GB72" i="14608"/>
  <c r="GC72" i="14608"/>
  <c r="GD72" i="14608"/>
  <c r="GE72" i="14608"/>
  <c r="GF72" i="14608"/>
  <c r="GG72" i="14608"/>
  <c r="GH72" i="14608"/>
  <c r="GI72" i="14608"/>
  <c r="GJ72" i="14608"/>
  <c r="GK72" i="14608"/>
  <c r="GL72" i="14608"/>
  <c r="GM72" i="14608"/>
  <c r="GN72" i="14608"/>
  <c r="GO72" i="14608"/>
  <c r="GP72" i="14608"/>
  <c r="GQ72" i="14608"/>
  <c r="GR72" i="14608"/>
  <c r="GS72" i="14608"/>
  <c r="GT72" i="14608"/>
  <c r="GU72" i="14608"/>
  <c r="GV72" i="14608"/>
  <c r="GW72" i="14608"/>
  <c r="GX72" i="14608"/>
  <c r="GY72" i="14608"/>
  <c r="GZ72" i="14608"/>
  <c r="HA72" i="14608"/>
  <c r="HB72" i="14608"/>
  <c r="HC72" i="14608"/>
  <c r="HD72" i="14608"/>
  <c r="HE72" i="14608"/>
  <c r="HF72" i="14608"/>
  <c r="HG72" i="14608"/>
  <c r="HH72" i="14608"/>
  <c r="HI72" i="14608"/>
  <c r="HJ72" i="14608"/>
  <c r="HK72" i="14608"/>
  <c r="HL72" i="14608"/>
  <c r="HM72" i="14608"/>
  <c r="HN72" i="14608"/>
  <c r="HO72" i="14608"/>
  <c r="HP72" i="14608"/>
  <c r="HQ72" i="14608"/>
  <c r="HR72" i="14608"/>
  <c r="HS72" i="14608"/>
  <c r="HT72" i="14608"/>
  <c r="HU72" i="14608"/>
  <c r="HV72" i="14608"/>
  <c r="HW72" i="14608"/>
  <c r="HX72" i="14608"/>
  <c r="HY72" i="14608"/>
  <c r="HZ72" i="14608"/>
  <c r="IA72" i="14608"/>
  <c r="IB72" i="14608"/>
  <c r="IC72" i="14608"/>
  <c r="ID72" i="14608"/>
  <c r="IE72" i="14608"/>
  <c r="IF72" i="14608"/>
  <c r="IG72" i="14608"/>
  <c r="IH72" i="14608"/>
  <c r="II72" i="14608"/>
  <c r="IJ72" i="14608"/>
  <c r="IK72" i="14608"/>
  <c r="IL72" i="14608"/>
  <c r="IM72" i="14608"/>
  <c r="IN72" i="14608"/>
  <c r="IO72" i="14608"/>
  <c r="IP72" i="14608"/>
  <c r="IQ72" i="14608"/>
  <c r="IR72" i="14608"/>
  <c r="IS72" i="14608"/>
  <c r="IT72" i="14608"/>
  <c r="IU72" i="14608"/>
  <c r="IV72" i="14608"/>
  <c r="A71" i="14608"/>
  <c r="B71" i="14608"/>
  <c r="C71" i="14608"/>
  <c r="D71" i="14608"/>
  <c r="E71" i="14608"/>
  <c r="F71" i="14608"/>
  <c r="G71" i="14608"/>
  <c r="H71" i="14608"/>
  <c r="I71" i="14608"/>
  <c r="J71" i="14608"/>
  <c r="K71" i="14608"/>
  <c r="L71" i="14608"/>
  <c r="M71" i="14608"/>
  <c r="N71" i="14608"/>
  <c r="O71" i="14608"/>
  <c r="P71" i="14608"/>
  <c r="Q71" i="14608"/>
  <c r="R71" i="14608"/>
  <c r="S71" i="14608"/>
  <c r="T71" i="14608"/>
  <c r="U71" i="14608"/>
  <c r="V71" i="14608"/>
  <c r="W71" i="14608"/>
  <c r="X71" i="14608"/>
  <c r="Y71" i="14608"/>
  <c r="Z71" i="14608"/>
  <c r="AA71" i="14608"/>
  <c r="AB71" i="14608"/>
  <c r="AC71" i="14608"/>
  <c r="AD71" i="14608"/>
  <c r="AE71" i="14608"/>
  <c r="AF71" i="14608"/>
  <c r="AG71" i="14608"/>
  <c r="AH71" i="14608"/>
  <c r="AI71" i="14608"/>
  <c r="AJ71" i="14608"/>
  <c r="AK71" i="14608"/>
  <c r="AL71" i="14608"/>
  <c r="AM71" i="14608"/>
  <c r="AN71" i="14608"/>
  <c r="AO71" i="14608"/>
  <c r="AP71" i="14608"/>
  <c r="AQ71" i="14608"/>
  <c r="AR71" i="14608"/>
  <c r="AS71" i="14608"/>
  <c r="AT71" i="14608"/>
  <c r="AU71" i="14608"/>
  <c r="AV71" i="14608"/>
  <c r="AW71" i="14608"/>
  <c r="AX71" i="14608"/>
  <c r="AY71" i="14608"/>
  <c r="AZ71" i="14608"/>
  <c r="BA71" i="14608"/>
  <c r="BB71" i="14608"/>
  <c r="BC71" i="14608"/>
  <c r="BD71" i="14608"/>
  <c r="BE71" i="14608"/>
  <c r="BF71" i="14608"/>
  <c r="BG71" i="14608"/>
  <c r="BH71" i="14608"/>
  <c r="BI71" i="14608"/>
  <c r="BJ71" i="14608"/>
  <c r="BK71" i="14608"/>
  <c r="BL71" i="14608"/>
  <c r="BM71" i="14608"/>
  <c r="BN71" i="14608"/>
  <c r="BO71" i="14608"/>
  <c r="BP71" i="14608"/>
  <c r="BQ71" i="14608"/>
  <c r="BR71" i="14608"/>
  <c r="BS71" i="14608"/>
  <c r="BT71" i="14608"/>
  <c r="BU71" i="14608"/>
  <c r="BV71" i="14608"/>
  <c r="BW71" i="14608"/>
  <c r="BX71" i="14608"/>
  <c r="BY71" i="14608"/>
  <c r="BZ71" i="14608"/>
  <c r="CA71" i="14608"/>
  <c r="CB71" i="14608"/>
  <c r="CC71" i="14608"/>
  <c r="CD71" i="14608"/>
  <c r="CE71" i="14608"/>
  <c r="CF71" i="14608"/>
  <c r="CG71" i="14608"/>
  <c r="CH71" i="14608"/>
  <c r="CI71" i="14608"/>
  <c r="CJ71" i="14608"/>
  <c r="CK71" i="14608"/>
  <c r="CL71" i="14608"/>
  <c r="CM71" i="14608"/>
  <c r="CN71" i="14608"/>
  <c r="CO71" i="14608"/>
  <c r="CP71" i="14608"/>
  <c r="CQ71" i="14608"/>
  <c r="CR71" i="14608"/>
  <c r="CS71" i="14608"/>
  <c r="CT71" i="14608"/>
  <c r="CU71" i="14608"/>
  <c r="CV71" i="14608"/>
  <c r="CW71" i="14608"/>
  <c r="CX71" i="14608"/>
  <c r="CY71" i="14608"/>
  <c r="CZ71" i="14608"/>
  <c r="DA71" i="14608"/>
  <c r="DB71" i="14608"/>
  <c r="DC71" i="14608"/>
  <c r="DD71" i="14608"/>
  <c r="DE71" i="14608"/>
  <c r="DF71" i="14608"/>
  <c r="DG71" i="14608"/>
  <c r="DH71" i="14608"/>
  <c r="DI71" i="14608"/>
  <c r="DJ71" i="14608"/>
  <c r="DK71" i="14608"/>
  <c r="DL71" i="14608"/>
  <c r="DM71" i="14608"/>
  <c r="DN71" i="14608"/>
  <c r="DO71" i="14608"/>
  <c r="DP71" i="14608"/>
  <c r="DQ71" i="14608"/>
  <c r="DR71" i="14608"/>
  <c r="DS71" i="14608"/>
  <c r="DT71" i="14608"/>
  <c r="DU71" i="14608"/>
  <c r="DV71" i="14608"/>
  <c r="DW71" i="14608"/>
  <c r="DX71" i="14608"/>
  <c r="DY71" i="14608"/>
  <c r="DZ71" i="14608"/>
  <c r="EA71" i="14608"/>
  <c r="EB71" i="14608"/>
  <c r="EC71" i="14608"/>
  <c r="ED71" i="14608"/>
  <c r="EE71" i="14608"/>
  <c r="EF71" i="14608"/>
  <c r="EG71" i="14608"/>
  <c r="EH71" i="14608"/>
  <c r="EI71" i="14608"/>
  <c r="EJ71" i="14608"/>
  <c r="EK71" i="14608"/>
  <c r="EL71" i="14608"/>
  <c r="EM71" i="14608"/>
  <c r="EN71" i="14608"/>
  <c r="EO71" i="14608"/>
  <c r="EP71" i="14608"/>
  <c r="EQ71" i="14608"/>
  <c r="ER71" i="14608"/>
  <c r="ES71" i="14608"/>
  <c r="ET71" i="14608"/>
  <c r="EU71" i="14608"/>
  <c r="EV71" i="14608"/>
  <c r="EW71" i="14608"/>
  <c r="EX71" i="14608"/>
  <c r="EY71" i="14608"/>
  <c r="EZ71" i="14608"/>
  <c r="FA71" i="14608"/>
  <c r="FB71" i="14608"/>
  <c r="FC71" i="14608"/>
  <c r="FD71" i="14608"/>
  <c r="FE71" i="14608"/>
  <c r="FF71" i="14608"/>
  <c r="FG71" i="14608"/>
  <c r="FH71" i="14608"/>
  <c r="FI71" i="14608"/>
  <c r="FJ71" i="14608"/>
  <c r="FK71" i="14608"/>
  <c r="FL71" i="14608"/>
  <c r="FM71" i="14608"/>
  <c r="FN71" i="14608"/>
  <c r="FO71" i="14608"/>
  <c r="FP71" i="14608"/>
  <c r="FQ71" i="14608"/>
  <c r="FR71" i="14608"/>
  <c r="FS71" i="14608"/>
  <c r="FT71" i="14608"/>
  <c r="FU71" i="14608"/>
  <c r="FV71" i="14608"/>
  <c r="FW71" i="14608"/>
  <c r="FX71" i="14608"/>
  <c r="FY71" i="14608"/>
  <c r="FZ71" i="14608"/>
  <c r="GA71" i="14608"/>
  <c r="GB71" i="14608"/>
  <c r="GC71" i="14608"/>
  <c r="GD71" i="14608"/>
  <c r="GE71" i="14608"/>
  <c r="GF71" i="14608"/>
  <c r="GG71" i="14608"/>
  <c r="GH71" i="14608"/>
  <c r="GI71" i="14608"/>
  <c r="GJ71" i="14608"/>
  <c r="GK71" i="14608"/>
  <c r="GL71" i="14608"/>
  <c r="GM71" i="14608"/>
  <c r="GN71" i="14608"/>
  <c r="GO71" i="14608"/>
  <c r="GP71" i="14608"/>
  <c r="GQ71" i="14608"/>
  <c r="GR71" i="14608"/>
  <c r="GS71" i="14608"/>
  <c r="GT71" i="14608"/>
  <c r="GU71" i="14608"/>
  <c r="GV71" i="14608"/>
  <c r="GW71" i="14608"/>
  <c r="GX71" i="14608"/>
  <c r="GY71" i="14608"/>
  <c r="GZ71" i="14608"/>
  <c r="HA71" i="14608"/>
  <c r="HB71" i="14608"/>
  <c r="HC71" i="14608"/>
  <c r="HD71" i="14608"/>
  <c r="HE71" i="14608"/>
  <c r="HF71" i="14608"/>
  <c r="HG71" i="14608"/>
  <c r="HH71" i="14608"/>
  <c r="HI71" i="14608"/>
  <c r="HJ71" i="14608"/>
  <c r="HK71" i="14608"/>
  <c r="HL71" i="14608"/>
  <c r="HM71" i="14608"/>
  <c r="HN71" i="14608"/>
  <c r="HO71" i="14608"/>
  <c r="HP71" i="14608"/>
  <c r="HQ71" i="14608"/>
  <c r="HR71" i="14608"/>
  <c r="HS71" i="14608"/>
  <c r="HT71" i="14608"/>
  <c r="HU71" i="14608"/>
  <c r="HV71" i="14608"/>
  <c r="HW71" i="14608"/>
  <c r="HX71" i="14608"/>
  <c r="HY71" i="14608"/>
  <c r="HZ71" i="14608"/>
  <c r="IA71" i="14608"/>
  <c r="IB71" i="14608"/>
  <c r="IC71" i="14608"/>
  <c r="ID71" i="14608"/>
  <c r="IE71" i="14608"/>
  <c r="IF71" i="14608"/>
  <c r="IG71" i="14608"/>
  <c r="IH71" i="14608"/>
  <c r="II71" i="14608"/>
  <c r="IJ71" i="14608"/>
  <c r="IK71" i="14608"/>
  <c r="IL71" i="14608"/>
  <c r="IM71" i="14608"/>
  <c r="IN71" i="14608"/>
  <c r="IO71" i="14608"/>
  <c r="IP71" i="14608"/>
  <c r="IQ71" i="14608"/>
  <c r="IR71" i="14608"/>
  <c r="IS71" i="14608"/>
  <c r="IT71" i="14608"/>
  <c r="IU71" i="14608"/>
  <c r="IV71" i="14608"/>
  <c r="A70" i="14608"/>
  <c r="B70" i="14608"/>
  <c r="C70" i="14608"/>
  <c r="D70" i="14608"/>
  <c r="E70" i="14608"/>
  <c r="F70" i="14608"/>
  <c r="G70" i="14608"/>
  <c r="H70" i="14608"/>
  <c r="I70" i="14608"/>
  <c r="J70" i="14608"/>
  <c r="K70" i="14608"/>
  <c r="L70" i="14608"/>
  <c r="M70" i="14608"/>
  <c r="N70" i="14608"/>
  <c r="O70" i="14608"/>
  <c r="P70" i="14608"/>
  <c r="Q70" i="14608"/>
  <c r="R70" i="14608"/>
  <c r="S70" i="14608"/>
  <c r="T70" i="14608"/>
  <c r="U70" i="14608"/>
  <c r="V70" i="14608"/>
  <c r="W70" i="14608"/>
  <c r="X70" i="14608"/>
  <c r="Y70" i="14608"/>
  <c r="Z70" i="14608"/>
  <c r="AA70" i="14608"/>
  <c r="AB70" i="14608"/>
  <c r="AC70" i="14608"/>
  <c r="AD70" i="14608"/>
  <c r="AE70" i="14608"/>
  <c r="AF70" i="14608"/>
  <c r="AG70" i="14608"/>
  <c r="AH70" i="14608"/>
  <c r="AI70" i="14608"/>
  <c r="AJ70" i="14608"/>
  <c r="AK70" i="14608"/>
  <c r="AL70" i="14608"/>
  <c r="AM70" i="14608"/>
  <c r="AN70" i="14608"/>
  <c r="AO70" i="14608"/>
  <c r="AP70" i="14608"/>
  <c r="AQ70" i="14608"/>
  <c r="AR70" i="14608"/>
  <c r="AS70" i="14608"/>
  <c r="AT70" i="14608"/>
  <c r="AU70" i="14608"/>
  <c r="AV70" i="14608"/>
  <c r="AW70" i="14608"/>
  <c r="AX70" i="14608"/>
  <c r="AY70" i="14608"/>
  <c r="AZ70" i="14608"/>
  <c r="BA70" i="14608"/>
  <c r="BB70" i="14608"/>
  <c r="BC70" i="14608"/>
  <c r="BD70" i="14608"/>
  <c r="BE70" i="14608"/>
  <c r="BF70" i="14608"/>
  <c r="BG70" i="14608"/>
  <c r="BH70" i="14608"/>
  <c r="BI70" i="14608"/>
  <c r="BJ70" i="14608"/>
  <c r="BK70" i="14608"/>
  <c r="BL70" i="14608"/>
  <c r="BM70" i="14608"/>
  <c r="BN70" i="14608"/>
  <c r="BO70" i="14608"/>
  <c r="BP70" i="14608"/>
  <c r="BQ70" i="14608"/>
  <c r="BR70" i="14608"/>
  <c r="BS70" i="14608"/>
  <c r="BT70" i="14608"/>
  <c r="BU70" i="14608"/>
  <c r="BV70" i="14608"/>
  <c r="BW70" i="14608"/>
  <c r="BX70" i="14608"/>
  <c r="BY70" i="14608"/>
  <c r="BZ70" i="14608"/>
  <c r="CA70" i="14608"/>
  <c r="CB70" i="14608"/>
  <c r="CC70" i="14608"/>
  <c r="CD70" i="14608"/>
  <c r="CE70" i="14608"/>
  <c r="CF70" i="14608"/>
  <c r="CG70" i="14608"/>
  <c r="CH70" i="14608"/>
  <c r="CI70" i="14608"/>
  <c r="CJ70" i="14608"/>
  <c r="CK70" i="14608"/>
  <c r="CL70" i="14608"/>
  <c r="CM70" i="14608"/>
  <c r="CN70" i="14608"/>
  <c r="CO70" i="14608"/>
  <c r="CP70" i="14608"/>
  <c r="CQ70" i="14608"/>
  <c r="CR70" i="14608"/>
  <c r="CS70" i="14608"/>
  <c r="CT70" i="14608"/>
  <c r="CU70" i="14608"/>
  <c r="CV70" i="14608"/>
  <c r="CW70" i="14608"/>
  <c r="CX70" i="14608"/>
  <c r="CY70" i="14608"/>
  <c r="CZ70" i="14608"/>
  <c r="DA70" i="14608"/>
  <c r="DB70" i="14608"/>
  <c r="DC70" i="14608"/>
  <c r="DD70" i="14608"/>
  <c r="DE70" i="14608"/>
  <c r="DF70" i="14608"/>
  <c r="DG70" i="14608"/>
  <c r="DH70" i="14608"/>
  <c r="DI70" i="14608"/>
  <c r="DJ70" i="14608"/>
  <c r="DK70" i="14608"/>
  <c r="DL70" i="14608"/>
  <c r="DM70" i="14608"/>
  <c r="DN70" i="14608"/>
  <c r="DO70" i="14608"/>
  <c r="DP70" i="14608"/>
  <c r="DQ70" i="14608"/>
  <c r="DR70" i="14608"/>
  <c r="DS70" i="14608"/>
  <c r="DT70" i="14608"/>
  <c r="DU70" i="14608"/>
  <c r="DV70" i="14608"/>
  <c r="DW70" i="14608"/>
  <c r="DX70" i="14608"/>
  <c r="DY70" i="14608"/>
  <c r="DZ70" i="14608"/>
  <c r="EA70" i="14608"/>
  <c r="EB70" i="14608"/>
  <c r="EC70" i="14608"/>
  <c r="ED70" i="14608"/>
  <c r="EE70" i="14608"/>
  <c r="EF70" i="14608"/>
  <c r="EG70" i="14608"/>
  <c r="EH70" i="14608"/>
  <c r="EI70" i="14608"/>
  <c r="EJ70" i="14608"/>
  <c r="EK70" i="14608"/>
  <c r="EL70" i="14608"/>
  <c r="EM70" i="14608"/>
  <c r="EN70" i="14608"/>
  <c r="EO70" i="14608"/>
  <c r="EP70" i="14608"/>
  <c r="EQ70" i="14608"/>
  <c r="ER70" i="14608"/>
  <c r="ES70" i="14608"/>
  <c r="ET70" i="14608"/>
  <c r="EU70" i="14608"/>
  <c r="EV70" i="14608"/>
  <c r="EW70" i="14608"/>
  <c r="EX70" i="14608"/>
  <c r="EY70" i="14608"/>
  <c r="EZ70" i="14608"/>
  <c r="FA70" i="14608"/>
  <c r="FB70" i="14608"/>
  <c r="FC70" i="14608"/>
  <c r="FD70" i="14608"/>
  <c r="FE70" i="14608"/>
  <c r="FF70" i="14608"/>
  <c r="FG70" i="14608"/>
  <c r="FH70" i="14608"/>
  <c r="FI70" i="14608"/>
  <c r="FJ70" i="14608"/>
  <c r="FK70" i="14608"/>
  <c r="FL70" i="14608"/>
  <c r="FM70" i="14608"/>
  <c r="FN70" i="14608"/>
  <c r="FO70" i="14608"/>
  <c r="FP70" i="14608"/>
  <c r="FQ70" i="14608"/>
  <c r="FR70" i="14608"/>
  <c r="FS70" i="14608"/>
  <c r="FT70" i="14608"/>
  <c r="FU70" i="14608"/>
  <c r="FV70" i="14608"/>
  <c r="FW70" i="14608"/>
  <c r="FX70" i="14608"/>
  <c r="FY70" i="14608"/>
  <c r="FZ70" i="14608"/>
  <c r="GA70" i="14608"/>
  <c r="GB70" i="14608"/>
  <c r="GC70" i="14608"/>
  <c r="GD70" i="14608"/>
  <c r="GE70" i="14608"/>
  <c r="GF70" i="14608"/>
  <c r="GG70" i="14608"/>
  <c r="GH70" i="14608"/>
  <c r="GI70" i="14608"/>
  <c r="GJ70" i="14608"/>
  <c r="GK70" i="14608"/>
  <c r="GL70" i="14608"/>
  <c r="GM70" i="14608"/>
  <c r="GN70" i="14608"/>
  <c r="GO70" i="14608"/>
  <c r="GP70" i="14608"/>
  <c r="GQ70" i="14608"/>
  <c r="GR70" i="14608"/>
  <c r="GS70" i="14608"/>
  <c r="GT70" i="14608"/>
  <c r="GU70" i="14608"/>
  <c r="GV70" i="14608"/>
  <c r="GW70" i="14608"/>
  <c r="GX70" i="14608"/>
  <c r="GY70" i="14608"/>
  <c r="GZ70" i="14608"/>
  <c r="HA70" i="14608"/>
  <c r="HB70" i="14608"/>
  <c r="HC70" i="14608"/>
  <c r="HD70" i="14608"/>
  <c r="HE70" i="14608"/>
  <c r="HF70" i="14608"/>
  <c r="HG70" i="14608"/>
  <c r="HH70" i="14608"/>
  <c r="HI70" i="14608"/>
  <c r="HJ70" i="14608"/>
  <c r="HK70" i="14608"/>
  <c r="HL70" i="14608"/>
  <c r="HM70" i="14608"/>
  <c r="HN70" i="14608"/>
  <c r="HO70" i="14608"/>
  <c r="HP70" i="14608"/>
  <c r="HQ70" i="14608"/>
  <c r="HR70" i="14608"/>
  <c r="HS70" i="14608"/>
  <c r="HT70" i="14608"/>
  <c r="HU70" i="14608"/>
  <c r="HV70" i="14608"/>
  <c r="HW70" i="14608"/>
  <c r="HX70" i="14608"/>
  <c r="HY70" i="14608"/>
  <c r="HZ70" i="14608"/>
  <c r="IA70" i="14608"/>
  <c r="IB70" i="14608"/>
  <c r="IC70" i="14608"/>
  <c r="ID70" i="14608"/>
  <c r="IE70" i="14608"/>
  <c r="IF70" i="14608"/>
  <c r="IG70" i="14608"/>
  <c r="IH70" i="14608"/>
  <c r="II70" i="14608"/>
  <c r="IJ70" i="14608"/>
  <c r="IK70" i="14608"/>
  <c r="IL70" i="14608"/>
  <c r="IM70" i="14608"/>
  <c r="IN70" i="14608"/>
  <c r="IO70" i="14608"/>
  <c r="IP70" i="14608"/>
  <c r="IQ70" i="14608"/>
  <c r="IR70" i="14608"/>
  <c r="IS70" i="14608"/>
  <c r="IT70" i="14608"/>
  <c r="IU70" i="14608"/>
  <c r="IV70" i="14608"/>
  <c r="A69" i="14608"/>
  <c r="B69" i="14608"/>
  <c r="C69" i="14608"/>
  <c r="D69" i="14608"/>
  <c r="E69" i="14608"/>
  <c r="F69" i="14608"/>
  <c r="G69" i="14608"/>
  <c r="H69" i="14608"/>
  <c r="I69" i="14608"/>
  <c r="J69" i="14608"/>
  <c r="K69" i="14608"/>
  <c r="L69" i="14608"/>
  <c r="M69" i="14608"/>
  <c r="N69" i="14608"/>
  <c r="O69" i="14608"/>
  <c r="P69" i="14608"/>
  <c r="Q69" i="14608"/>
  <c r="R69" i="14608"/>
  <c r="S69" i="14608"/>
  <c r="T69" i="14608"/>
  <c r="U69" i="14608"/>
  <c r="V69" i="14608"/>
  <c r="W69" i="14608"/>
  <c r="X69" i="14608"/>
  <c r="Y69" i="14608"/>
  <c r="Z69" i="14608"/>
  <c r="AA69" i="14608"/>
  <c r="AB69" i="14608"/>
  <c r="AC69" i="14608"/>
  <c r="AD69" i="14608"/>
  <c r="AE69" i="14608"/>
  <c r="AF69" i="14608"/>
  <c r="AG69" i="14608"/>
  <c r="AH69" i="14608"/>
  <c r="AI69" i="14608"/>
  <c r="AJ69" i="14608"/>
  <c r="AK69" i="14608"/>
  <c r="AL69" i="14608"/>
  <c r="AM69" i="14608"/>
  <c r="AN69" i="14608"/>
  <c r="AO69" i="14608"/>
  <c r="AP69" i="14608"/>
  <c r="AQ69" i="14608"/>
  <c r="AR69" i="14608"/>
  <c r="AS69" i="14608"/>
  <c r="AT69" i="14608"/>
  <c r="AU69" i="14608"/>
  <c r="AV69" i="14608"/>
  <c r="AW69" i="14608"/>
  <c r="AX69" i="14608"/>
  <c r="AY69" i="14608"/>
  <c r="AZ69" i="14608"/>
  <c r="BA69" i="14608"/>
  <c r="BB69" i="14608"/>
  <c r="BC69" i="14608"/>
  <c r="BD69" i="14608"/>
  <c r="BE69" i="14608"/>
  <c r="BF69" i="14608"/>
  <c r="BG69" i="14608"/>
  <c r="BH69" i="14608"/>
  <c r="BI69" i="14608"/>
  <c r="BJ69" i="14608"/>
  <c r="BK69" i="14608"/>
  <c r="BL69" i="14608"/>
  <c r="BM69" i="14608"/>
  <c r="BN69" i="14608"/>
  <c r="BO69" i="14608"/>
  <c r="BP69" i="14608"/>
  <c r="BQ69" i="14608"/>
  <c r="BR69" i="14608"/>
  <c r="BS69" i="14608"/>
  <c r="BT69" i="14608"/>
  <c r="BU69" i="14608"/>
  <c r="BV69" i="14608"/>
  <c r="BW69" i="14608"/>
  <c r="BX69" i="14608"/>
  <c r="BY69" i="14608"/>
  <c r="BZ69" i="14608"/>
  <c r="CA69" i="14608"/>
  <c r="CB69" i="14608"/>
  <c r="CC69" i="14608"/>
  <c r="CD69" i="14608"/>
  <c r="CE69" i="14608"/>
  <c r="CF69" i="14608"/>
  <c r="CG69" i="14608"/>
  <c r="CH69" i="14608"/>
  <c r="CI69" i="14608"/>
  <c r="CJ69" i="14608"/>
  <c r="CK69" i="14608"/>
  <c r="CL69" i="14608"/>
  <c r="CM69" i="14608"/>
  <c r="CN69" i="14608"/>
  <c r="CO69" i="14608"/>
  <c r="CP69" i="14608"/>
  <c r="CQ69" i="14608"/>
  <c r="CR69" i="14608"/>
  <c r="CS69" i="14608"/>
  <c r="CT69" i="14608"/>
  <c r="CU69" i="14608"/>
  <c r="CV69" i="14608"/>
  <c r="CW69" i="14608"/>
  <c r="CX69" i="14608"/>
  <c r="CY69" i="14608"/>
  <c r="CZ69" i="14608"/>
  <c r="DA69" i="14608"/>
  <c r="DB69" i="14608"/>
  <c r="DC69" i="14608"/>
  <c r="DD69" i="14608"/>
  <c r="DE69" i="14608"/>
  <c r="DF69" i="14608"/>
  <c r="DG69" i="14608"/>
  <c r="DH69" i="14608"/>
  <c r="DI69" i="14608"/>
  <c r="DJ69" i="14608"/>
  <c r="DK69" i="14608"/>
  <c r="DL69" i="14608"/>
  <c r="DM69" i="14608"/>
  <c r="DN69" i="14608"/>
  <c r="DO69" i="14608"/>
  <c r="DP69" i="14608"/>
  <c r="DQ69" i="14608"/>
  <c r="DR69" i="14608"/>
  <c r="DS69" i="14608"/>
  <c r="DT69" i="14608"/>
  <c r="DU69" i="14608"/>
  <c r="DV69" i="14608"/>
  <c r="DW69" i="14608"/>
  <c r="DX69" i="14608"/>
  <c r="DY69" i="14608"/>
  <c r="DZ69" i="14608"/>
  <c r="EA69" i="14608"/>
  <c r="EB69" i="14608"/>
  <c r="EC69" i="14608"/>
  <c r="ED69" i="14608"/>
  <c r="EE69" i="14608"/>
  <c r="EF69" i="14608"/>
  <c r="EG69" i="14608"/>
  <c r="EH69" i="14608"/>
  <c r="EI69" i="14608"/>
  <c r="EJ69" i="14608"/>
  <c r="EK69" i="14608"/>
  <c r="EL69" i="14608"/>
  <c r="EM69" i="14608"/>
  <c r="EN69" i="14608"/>
  <c r="EO69" i="14608"/>
  <c r="EP69" i="14608"/>
  <c r="EQ69" i="14608"/>
  <c r="ER69" i="14608"/>
  <c r="ES69" i="14608"/>
  <c r="ET69" i="14608"/>
  <c r="EU69" i="14608"/>
  <c r="EV69" i="14608"/>
  <c r="EW69" i="14608"/>
  <c r="EX69" i="14608"/>
  <c r="EY69" i="14608"/>
  <c r="EZ69" i="14608"/>
  <c r="FA69" i="14608"/>
  <c r="FB69" i="14608"/>
  <c r="FC69" i="14608"/>
  <c r="FD69" i="14608"/>
  <c r="FE69" i="14608"/>
  <c r="FF69" i="14608"/>
  <c r="FG69" i="14608"/>
  <c r="FH69" i="14608"/>
  <c r="FI69" i="14608"/>
  <c r="FJ69" i="14608"/>
  <c r="FK69" i="14608"/>
  <c r="FL69" i="14608"/>
  <c r="FM69" i="14608"/>
  <c r="FN69" i="14608"/>
  <c r="FO69" i="14608"/>
  <c r="FP69" i="14608"/>
  <c r="FQ69" i="14608"/>
  <c r="FR69" i="14608"/>
  <c r="FS69" i="14608"/>
  <c r="FT69" i="14608"/>
  <c r="FU69" i="14608"/>
  <c r="FV69" i="14608"/>
  <c r="FW69" i="14608"/>
  <c r="FX69" i="14608"/>
  <c r="FY69" i="14608"/>
  <c r="FZ69" i="14608"/>
  <c r="GA69" i="14608"/>
  <c r="GB69" i="14608"/>
  <c r="GC69" i="14608"/>
  <c r="GD69" i="14608"/>
  <c r="GE69" i="14608"/>
  <c r="GF69" i="14608"/>
  <c r="GG69" i="14608"/>
  <c r="GH69" i="14608"/>
  <c r="GI69" i="14608"/>
  <c r="GJ69" i="14608"/>
  <c r="GK69" i="14608"/>
  <c r="GL69" i="14608"/>
  <c r="GM69" i="14608"/>
  <c r="GN69" i="14608"/>
  <c r="GO69" i="14608"/>
  <c r="GP69" i="14608"/>
  <c r="GQ69" i="14608"/>
  <c r="GR69" i="14608"/>
  <c r="GS69" i="14608"/>
  <c r="GT69" i="14608"/>
  <c r="GU69" i="14608"/>
  <c r="GV69" i="14608"/>
  <c r="GW69" i="14608"/>
  <c r="GX69" i="14608"/>
  <c r="GY69" i="14608"/>
  <c r="GZ69" i="14608"/>
  <c r="HA69" i="14608"/>
  <c r="HB69" i="14608"/>
  <c r="HC69" i="14608"/>
  <c r="HD69" i="14608"/>
  <c r="HE69" i="14608"/>
  <c r="HF69" i="14608"/>
  <c r="HG69" i="14608"/>
  <c r="HH69" i="14608"/>
  <c r="HI69" i="14608"/>
  <c r="HJ69" i="14608"/>
  <c r="HK69" i="14608"/>
  <c r="HL69" i="14608"/>
  <c r="HM69" i="14608"/>
  <c r="HN69" i="14608"/>
  <c r="HO69" i="14608"/>
  <c r="HP69" i="14608"/>
  <c r="HQ69" i="14608"/>
  <c r="HR69" i="14608"/>
  <c r="HS69" i="14608"/>
  <c r="HT69" i="14608"/>
  <c r="HU69" i="14608"/>
  <c r="HV69" i="14608"/>
  <c r="HW69" i="14608"/>
  <c r="HX69" i="14608"/>
  <c r="HY69" i="14608"/>
  <c r="HZ69" i="14608"/>
  <c r="IA69" i="14608"/>
  <c r="IB69" i="14608"/>
  <c r="IC69" i="14608"/>
  <c r="ID69" i="14608"/>
  <c r="IE69" i="14608"/>
  <c r="IF69" i="14608"/>
  <c r="IG69" i="14608"/>
  <c r="IH69" i="14608"/>
  <c r="II69" i="14608"/>
  <c r="IJ69" i="14608"/>
  <c r="IK69" i="14608"/>
  <c r="IL69" i="14608"/>
  <c r="IM69" i="14608"/>
  <c r="IN69" i="14608"/>
  <c r="IO69" i="14608"/>
  <c r="IP69" i="14608"/>
  <c r="IQ69" i="14608"/>
  <c r="IR69" i="14608"/>
  <c r="IS69" i="14608"/>
  <c r="IT69" i="14608"/>
  <c r="IU69" i="14608"/>
  <c r="IV69" i="14608"/>
  <c r="A68" i="14608"/>
  <c r="B68" i="14608"/>
  <c r="C68" i="14608"/>
  <c r="D68" i="14608"/>
  <c r="E68" i="14608"/>
  <c r="F68" i="14608"/>
  <c r="G68" i="14608"/>
  <c r="H68" i="14608"/>
  <c r="I68" i="14608"/>
  <c r="J68" i="14608"/>
  <c r="K68" i="14608"/>
  <c r="L68" i="14608"/>
  <c r="M68" i="14608"/>
  <c r="N68" i="14608"/>
  <c r="O68" i="14608"/>
  <c r="P68" i="14608"/>
  <c r="Q68" i="14608"/>
  <c r="R68" i="14608"/>
  <c r="S68" i="14608"/>
  <c r="T68" i="14608"/>
  <c r="U68" i="14608"/>
  <c r="V68" i="14608"/>
  <c r="W68" i="14608"/>
  <c r="X68" i="14608"/>
  <c r="Y68" i="14608"/>
  <c r="Z68" i="14608"/>
  <c r="AA68" i="14608"/>
  <c r="AB68" i="14608"/>
  <c r="AC68" i="14608"/>
  <c r="AD68" i="14608"/>
  <c r="AE68" i="14608"/>
  <c r="AF68" i="14608"/>
  <c r="AG68" i="14608"/>
  <c r="AH68" i="14608"/>
  <c r="AI68" i="14608"/>
  <c r="AJ68" i="14608"/>
  <c r="AK68" i="14608"/>
  <c r="AL68" i="14608"/>
  <c r="AM68" i="14608"/>
  <c r="AN68" i="14608"/>
  <c r="AO68" i="14608"/>
  <c r="AP68" i="14608"/>
  <c r="AQ68" i="14608"/>
  <c r="AR68" i="14608"/>
  <c r="AS68" i="14608"/>
  <c r="AT68" i="14608"/>
  <c r="AU68" i="14608"/>
  <c r="AV68" i="14608"/>
  <c r="AW68" i="14608"/>
  <c r="AX68" i="14608"/>
  <c r="AY68" i="14608"/>
  <c r="AZ68" i="14608"/>
  <c r="BA68" i="14608"/>
  <c r="BB68" i="14608"/>
  <c r="BC68" i="14608"/>
  <c r="BD68" i="14608"/>
  <c r="BE68" i="14608"/>
  <c r="BF68" i="14608"/>
  <c r="BG68" i="14608"/>
  <c r="BH68" i="14608"/>
  <c r="BI68" i="14608"/>
  <c r="BJ68" i="14608"/>
  <c r="BK68" i="14608"/>
  <c r="BL68" i="14608"/>
  <c r="BM68" i="14608"/>
  <c r="BN68" i="14608"/>
  <c r="BO68" i="14608"/>
  <c r="BP68" i="14608"/>
  <c r="BQ68" i="14608"/>
  <c r="BR68" i="14608"/>
  <c r="BS68" i="14608"/>
  <c r="BT68" i="14608"/>
  <c r="BU68" i="14608"/>
  <c r="BV68" i="14608"/>
  <c r="BW68" i="14608"/>
  <c r="BX68" i="14608"/>
  <c r="BY68" i="14608"/>
  <c r="BZ68" i="14608"/>
  <c r="CA68" i="14608"/>
  <c r="CB68" i="14608"/>
  <c r="CC68" i="14608"/>
  <c r="CD68" i="14608"/>
  <c r="CE68" i="14608"/>
  <c r="CF68" i="14608"/>
  <c r="CG68" i="14608"/>
  <c r="CH68" i="14608"/>
  <c r="CI68" i="14608"/>
  <c r="CJ68" i="14608"/>
  <c r="CK68" i="14608"/>
  <c r="CL68" i="14608"/>
  <c r="CM68" i="14608"/>
  <c r="CN68" i="14608"/>
  <c r="CO68" i="14608"/>
  <c r="CP68" i="14608"/>
  <c r="CQ68" i="14608"/>
  <c r="CR68" i="14608"/>
  <c r="CS68" i="14608"/>
  <c r="CT68" i="14608"/>
  <c r="CU68" i="14608"/>
  <c r="CV68" i="14608"/>
  <c r="CW68" i="14608"/>
  <c r="CX68" i="14608"/>
  <c r="CY68" i="14608"/>
  <c r="CZ68" i="14608"/>
  <c r="DA68" i="14608"/>
  <c r="DB68" i="14608"/>
  <c r="DC68" i="14608"/>
  <c r="DD68" i="14608"/>
  <c r="DE68" i="14608"/>
  <c r="DF68" i="14608"/>
  <c r="DG68" i="14608"/>
  <c r="DH68" i="14608"/>
  <c r="DI68" i="14608"/>
  <c r="DJ68" i="14608"/>
  <c r="DK68" i="14608"/>
  <c r="DL68" i="14608"/>
  <c r="DM68" i="14608"/>
  <c r="DN68" i="14608"/>
  <c r="DO68" i="14608"/>
  <c r="DP68" i="14608"/>
  <c r="DQ68" i="14608"/>
  <c r="DR68" i="14608"/>
  <c r="DS68" i="14608"/>
  <c r="DT68" i="14608"/>
  <c r="DU68" i="14608"/>
  <c r="DV68" i="14608"/>
  <c r="DW68" i="14608"/>
  <c r="DX68" i="14608"/>
  <c r="DY68" i="14608"/>
  <c r="DZ68" i="14608"/>
  <c r="EA68" i="14608"/>
  <c r="EB68" i="14608"/>
  <c r="EC68" i="14608"/>
  <c r="ED68" i="14608"/>
  <c r="EE68" i="14608"/>
  <c r="EF68" i="14608"/>
  <c r="EG68" i="14608"/>
  <c r="EH68" i="14608"/>
  <c r="EI68" i="14608"/>
  <c r="EJ68" i="14608"/>
  <c r="EK68" i="14608"/>
  <c r="EL68" i="14608"/>
  <c r="EM68" i="14608"/>
  <c r="EN68" i="14608"/>
  <c r="EO68" i="14608"/>
  <c r="EP68" i="14608"/>
  <c r="EQ68" i="14608"/>
  <c r="ER68" i="14608"/>
  <c r="ES68" i="14608"/>
  <c r="ET68" i="14608"/>
  <c r="EU68" i="14608"/>
  <c r="EV68" i="14608"/>
  <c r="EW68" i="14608"/>
  <c r="EX68" i="14608"/>
  <c r="EY68" i="14608"/>
  <c r="EZ68" i="14608"/>
  <c r="FA68" i="14608"/>
  <c r="FB68" i="14608"/>
  <c r="FC68" i="14608"/>
  <c r="FD68" i="14608"/>
  <c r="FE68" i="14608"/>
  <c r="FF68" i="14608"/>
  <c r="FG68" i="14608"/>
  <c r="FH68" i="14608"/>
  <c r="FI68" i="14608"/>
  <c r="FJ68" i="14608"/>
  <c r="FK68" i="14608"/>
  <c r="FL68" i="14608"/>
  <c r="FM68" i="14608"/>
  <c r="FN68" i="14608"/>
  <c r="FO68" i="14608"/>
  <c r="FP68" i="14608"/>
  <c r="FQ68" i="14608"/>
  <c r="FR68" i="14608"/>
  <c r="FS68" i="14608"/>
  <c r="FT68" i="14608"/>
  <c r="FU68" i="14608"/>
  <c r="FV68" i="14608"/>
  <c r="FW68" i="14608"/>
  <c r="FX68" i="14608"/>
  <c r="FY68" i="14608"/>
  <c r="FZ68" i="14608"/>
  <c r="GA68" i="14608"/>
  <c r="GB68" i="14608"/>
  <c r="GC68" i="14608"/>
  <c r="GD68" i="14608"/>
  <c r="GE68" i="14608"/>
  <c r="GF68" i="14608"/>
  <c r="GG68" i="14608"/>
  <c r="GH68" i="14608"/>
  <c r="GI68" i="14608"/>
  <c r="GJ68" i="14608"/>
  <c r="GK68" i="14608"/>
  <c r="GL68" i="14608"/>
  <c r="GM68" i="14608"/>
  <c r="GN68" i="14608"/>
  <c r="GO68" i="14608"/>
  <c r="GP68" i="14608"/>
  <c r="GQ68" i="14608"/>
  <c r="GR68" i="14608"/>
  <c r="GS68" i="14608"/>
  <c r="GT68" i="14608"/>
  <c r="GU68" i="14608"/>
  <c r="GV68" i="14608"/>
  <c r="GW68" i="14608"/>
  <c r="GX68" i="14608"/>
  <c r="GY68" i="14608"/>
  <c r="GZ68" i="14608"/>
  <c r="HA68" i="14608"/>
  <c r="HB68" i="14608"/>
  <c r="HC68" i="14608"/>
  <c r="HD68" i="14608"/>
  <c r="HE68" i="14608"/>
  <c r="HF68" i="14608"/>
  <c r="HG68" i="14608"/>
  <c r="HH68" i="14608"/>
  <c r="HI68" i="14608"/>
  <c r="HJ68" i="14608"/>
  <c r="HK68" i="14608"/>
  <c r="HL68" i="14608"/>
  <c r="HM68" i="14608"/>
  <c r="HN68" i="14608"/>
  <c r="HO68" i="14608"/>
  <c r="HP68" i="14608"/>
  <c r="HQ68" i="14608"/>
  <c r="HR68" i="14608"/>
  <c r="HS68" i="14608"/>
  <c r="HT68" i="14608"/>
  <c r="HU68" i="14608"/>
  <c r="HV68" i="14608"/>
  <c r="HW68" i="14608"/>
  <c r="HX68" i="14608"/>
  <c r="HY68" i="14608"/>
  <c r="HZ68" i="14608"/>
  <c r="IA68" i="14608"/>
  <c r="IB68" i="14608"/>
  <c r="IC68" i="14608"/>
  <c r="ID68" i="14608"/>
  <c r="IE68" i="14608"/>
  <c r="IF68" i="14608"/>
  <c r="IG68" i="14608"/>
  <c r="IH68" i="14608"/>
  <c r="II68" i="14608"/>
  <c r="IJ68" i="14608"/>
  <c r="IK68" i="14608"/>
  <c r="IL68" i="14608"/>
  <c r="IM68" i="14608"/>
  <c r="IN68" i="14608"/>
  <c r="IO68" i="14608"/>
  <c r="IP68" i="14608"/>
  <c r="IQ68" i="14608"/>
  <c r="IR68" i="14608"/>
  <c r="IS68" i="14608"/>
  <c r="IT68" i="14608"/>
  <c r="IU68" i="14608"/>
  <c r="IV68" i="14608"/>
  <c r="A67" i="14608"/>
  <c r="B67" i="14608"/>
  <c r="C67" i="14608"/>
  <c r="D67" i="14608"/>
  <c r="E67" i="14608"/>
  <c r="F67" i="14608"/>
  <c r="G67" i="14608"/>
  <c r="H67" i="14608"/>
  <c r="I67" i="14608"/>
  <c r="J67" i="14608"/>
  <c r="K67" i="14608"/>
  <c r="L67" i="14608"/>
  <c r="M67" i="14608"/>
  <c r="N67" i="14608"/>
  <c r="O67" i="14608"/>
  <c r="P67" i="14608"/>
  <c r="Q67" i="14608"/>
  <c r="R67" i="14608"/>
  <c r="S67" i="14608"/>
  <c r="T67" i="14608"/>
  <c r="U67" i="14608"/>
  <c r="V67" i="14608"/>
  <c r="W67" i="14608"/>
  <c r="X67" i="14608"/>
  <c r="Y67" i="14608"/>
  <c r="Z67" i="14608"/>
  <c r="AA67" i="14608"/>
  <c r="AB67" i="14608"/>
  <c r="AC67" i="14608"/>
  <c r="AD67" i="14608"/>
  <c r="AE67" i="14608"/>
  <c r="AF67" i="14608"/>
  <c r="AG67" i="14608"/>
  <c r="AH67" i="14608"/>
  <c r="AI67" i="14608"/>
  <c r="AJ67" i="14608"/>
  <c r="AK67" i="14608"/>
  <c r="AL67" i="14608"/>
  <c r="AM67" i="14608"/>
  <c r="AN67" i="14608"/>
  <c r="AO67" i="14608"/>
  <c r="AP67" i="14608"/>
  <c r="AQ67" i="14608"/>
  <c r="AR67" i="14608"/>
  <c r="AS67" i="14608"/>
  <c r="AT67" i="14608"/>
  <c r="AU67" i="14608"/>
  <c r="AV67" i="14608"/>
  <c r="AW67" i="14608"/>
  <c r="AX67" i="14608"/>
  <c r="AY67" i="14608"/>
  <c r="AZ67" i="14608"/>
  <c r="BA67" i="14608"/>
  <c r="BB67" i="14608"/>
  <c r="BC67" i="14608"/>
  <c r="BD67" i="14608"/>
  <c r="BE67" i="14608"/>
  <c r="BF67" i="14608"/>
  <c r="BG67" i="14608"/>
  <c r="BH67" i="14608"/>
  <c r="BI67" i="14608"/>
  <c r="BJ67" i="14608"/>
  <c r="BK67" i="14608"/>
  <c r="BL67" i="14608"/>
  <c r="BM67" i="14608"/>
  <c r="BN67" i="14608"/>
  <c r="BO67" i="14608"/>
  <c r="BP67" i="14608"/>
  <c r="BQ67" i="14608"/>
  <c r="BR67" i="14608"/>
  <c r="BS67" i="14608"/>
  <c r="BT67" i="14608"/>
  <c r="BU67" i="14608"/>
  <c r="BV67" i="14608"/>
  <c r="BW67" i="14608"/>
  <c r="BX67" i="14608"/>
  <c r="BY67" i="14608"/>
  <c r="BZ67" i="14608"/>
  <c r="CA67" i="14608"/>
  <c r="CB67" i="14608"/>
  <c r="CC67" i="14608"/>
  <c r="CD67" i="14608"/>
  <c r="CE67" i="14608"/>
  <c r="CF67" i="14608"/>
  <c r="CG67" i="14608"/>
  <c r="CH67" i="14608"/>
  <c r="CI67" i="14608"/>
  <c r="CJ67" i="14608"/>
  <c r="CK67" i="14608"/>
  <c r="CL67" i="14608"/>
  <c r="CM67" i="14608"/>
  <c r="CN67" i="14608"/>
  <c r="CO67" i="14608"/>
  <c r="CP67" i="14608"/>
  <c r="CQ67" i="14608"/>
  <c r="CR67" i="14608"/>
  <c r="CS67" i="14608"/>
  <c r="CT67" i="14608"/>
  <c r="CU67" i="14608"/>
  <c r="CV67" i="14608"/>
  <c r="CW67" i="14608"/>
  <c r="CX67" i="14608"/>
  <c r="CY67" i="14608"/>
  <c r="CZ67" i="14608"/>
  <c r="DA67" i="14608"/>
  <c r="DB67" i="14608"/>
  <c r="DC67" i="14608"/>
  <c r="DD67" i="14608"/>
  <c r="DE67" i="14608"/>
  <c r="DF67" i="14608"/>
  <c r="DG67" i="14608"/>
  <c r="DH67" i="14608"/>
  <c r="DI67" i="14608"/>
  <c r="DJ67" i="14608"/>
  <c r="DK67" i="14608"/>
  <c r="DL67" i="14608"/>
  <c r="DM67" i="14608"/>
  <c r="DN67" i="14608"/>
  <c r="DO67" i="14608"/>
  <c r="DP67" i="14608"/>
  <c r="DQ67" i="14608"/>
  <c r="DR67" i="14608"/>
  <c r="DS67" i="14608"/>
  <c r="DT67" i="14608"/>
  <c r="DU67" i="14608"/>
  <c r="DV67" i="14608"/>
  <c r="DW67" i="14608"/>
  <c r="DX67" i="14608"/>
  <c r="DY67" i="14608"/>
  <c r="DZ67" i="14608"/>
  <c r="EA67" i="14608"/>
  <c r="EB67" i="14608"/>
  <c r="EC67" i="14608"/>
  <c r="ED67" i="14608"/>
  <c r="EE67" i="14608"/>
  <c r="EF67" i="14608"/>
  <c r="EG67" i="14608"/>
  <c r="EH67" i="14608"/>
  <c r="EI67" i="14608"/>
  <c r="EJ67" i="14608"/>
  <c r="EK67" i="14608"/>
  <c r="EL67" i="14608"/>
  <c r="EM67" i="14608"/>
  <c r="EN67" i="14608"/>
  <c r="EO67" i="14608"/>
  <c r="EP67" i="14608"/>
  <c r="EQ67" i="14608"/>
  <c r="ER67" i="14608"/>
  <c r="ES67" i="14608"/>
  <c r="ET67" i="14608"/>
  <c r="EU67" i="14608"/>
  <c r="EV67" i="14608"/>
  <c r="EW67" i="14608"/>
  <c r="EX67" i="14608"/>
  <c r="EY67" i="14608"/>
  <c r="EZ67" i="14608"/>
  <c r="FA67" i="14608"/>
  <c r="FB67" i="14608"/>
  <c r="FC67" i="14608"/>
  <c r="FD67" i="14608"/>
  <c r="FE67" i="14608"/>
  <c r="FF67" i="14608"/>
  <c r="FG67" i="14608"/>
  <c r="FH67" i="14608"/>
  <c r="FI67" i="14608"/>
  <c r="FJ67" i="14608"/>
  <c r="FK67" i="14608"/>
  <c r="FL67" i="14608"/>
  <c r="FM67" i="14608"/>
  <c r="FN67" i="14608"/>
  <c r="FO67" i="14608"/>
  <c r="FP67" i="14608"/>
  <c r="FQ67" i="14608"/>
  <c r="FR67" i="14608"/>
  <c r="FS67" i="14608"/>
  <c r="FT67" i="14608"/>
  <c r="FU67" i="14608"/>
  <c r="FV67" i="14608"/>
  <c r="FW67" i="14608"/>
  <c r="FX67" i="14608"/>
  <c r="FY67" i="14608"/>
  <c r="FZ67" i="14608"/>
  <c r="GA67" i="14608"/>
  <c r="GB67" i="14608"/>
  <c r="GC67" i="14608"/>
  <c r="GD67" i="14608"/>
  <c r="GE67" i="14608"/>
  <c r="GF67" i="14608"/>
  <c r="GG67" i="14608"/>
  <c r="GH67" i="14608"/>
  <c r="GI67" i="14608"/>
  <c r="GJ67" i="14608"/>
  <c r="GK67" i="14608"/>
  <c r="GL67" i="14608"/>
  <c r="GM67" i="14608"/>
  <c r="GN67" i="14608"/>
  <c r="GO67" i="14608"/>
  <c r="GP67" i="14608"/>
  <c r="GQ67" i="14608"/>
  <c r="GR67" i="14608"/>
  <c r="GS67" i="14608"/>
  <c r="GT67" i="14608"/>
  <c r="GU67" i="14608"/>
  <c r="GV67" i="14608"/>
  <c r="GW67" i="14608"/>
  <c r="GX67" i="14608"/>
  <c r="GY67" i="14608"/>
  <c r="GZ67" i="14608"/>
  <c r="HA67" i="14608"/>
  <c r="HB67" i="14608"/>
  <c r="HC67" i="14608"/>
  <c r="HD67" i="14608"/>
  <c r="HE67" i="14608"/>
  <c r="HF67" i="14608"/>
  <c r="HG67" i="14608"/>
  <c r="HH67" i="14608"/>
  <c r="HI67" i="14608"/>
  <c r="HJ67" i="14608"/>
  <c r="HK67" i="14608"/>
  <c r="HL67" i="14608"/>
  <c r="HM67" i="14608"/>
  <c r="HN67" i="14608"/>
  <c r="HO67" i="14608"/>
  <c r="HP67" i="14608"/>
  <c r="HQ67" i="14608"/>
  <c r="HR67" i="14608"/>
  <c r="HS67" i="14608"/>
  <c r="HT67" i="14608"/>
  <c r="HU67" i="14608"/>
  <c r="HV67" i="14608"/>
  <c r="HW67" i="14608"/>
  <c r="HX67" i="14608"/>
  <c r="HY67" i="14608"/>
  <c r="HZ67" i="14608"/>
  <c r="IA67" i="14608"/>
  <c r="IB67" i="14608"/>
  <c r="IC67" i="14608"/>
  <c r="ID67" i="14608"/>
  <c r="IE67" i="14608"/>
  <c r="IF67" i="14608"/>
  <c r="IG67" i="14608"/>
  <c r="IH67" i="14608"/>
  <c r="II67" i="14608"/>
  <c r="IJ67" i="14608"/>
  <c r="IK67" i="14608"/>
  <c r="IL67" i="14608"/>
  <c r="IM67" i="14608"/>
  <c r="IN67" i="14608"/>
  <c r="IO67" i="14608"/>
  <c r="IP67" i="14608"/>
  <c r="IQ67" i="14608"/>
  <c r="IR67" i="14608"/>
  <c r="IS67" i="14608"/>
  <c r="IT67" i="14608"/>
  <c r="IU67" i="14608"/>
  <c r="IV67" i="14608"/>
  <c r="A66" i="14608"/>
  <c r="B66" i="14608"/>
  <c r="C66" i="14608"/>
  <c r="D66" i="14608"/>
  <c r="E66" i="14608"/>
  <c r="F66" i="14608"/>
  <c r="G66" i="14608"/>
  <c r="H66" i="14608"/>
  <c r="I66" i="14608"/>
  <c r="J66" i="14608"/>
  <c r="K66" i="14608"/>
  <c r="L66" i="14608"/>
  <c r="M66" i="14608"/>
  <c r="N66" i="14608"/>
  <c r="O66" i="14608"/>
  <c r="P66" i="14608"/>
  <c r="Q66" i="14608"/>
  <c r="R66" i="14608"/>
  <c r="S66" i="14608"/>
  <c r="T66" i="14608"/>
  <c r="U66" i="14608"/>
  <c r="V66" i="14608"/>
  <c r="W66" i="14608"/>
  <c r="X66" i="14608"/>
  <c r="Y66" i="14608"/>
  <c r="Z66" i="14608"/>
  <c r="AA66" i="14608"/>
  <c r="AB66" i="14608"/>
  <c r="AC66" i="14608"/>
  <c r="AD66" i="14608"/>
  <c r="AE66" i="14608"/>
  <c r="AF66" i="14608"/>
  <c r="AG66" i="14608"/>
  <c r="AH66" i="14608"/>
  <c r="AI66" i="14608"/>
  <c r="AJ66" i="14608"/>
  <c r="AK66" i="14608"/>
  <c r="AL66" i="14608"/>
  <c r="AM66" i="14608"/>
  <c r="AN66" i="14608"/>
  <c r="AO66" i="14608"/>
  <c r="AP66" i="14608"/>
  <c r="AQ66" i="14608"/>
  <c r="AR66" i="14608"/>
  <c r="AS66" i="14608"/>
  <c r="AT66" i="14608"/>
  <c r="AU66" i="14608"/>
  <c r="AV66" i="14608"/>
  <c r="AW66" i="14608"/>
  <c r="AX66" i="14608"/>
  <c r="AY66" i="14608"/>
  <c r="AZ66" i="14608"/>
  <c r="BA66" i="14608"/>
  <c r="BB66" i="14608"/>
  <c r="BC66" i="14608"/>
  <c r="BD66" i="14608"/>
  <c r="BE66" i="14608"/>
  <c r="BF66" i="14608"/>
  <c r="BG66" i="14608"/>
  <c r="BH66" i="14608"/>
  <c r="BI66" i="14608"/>
  <c r="BJ66" i="14608"/>
  <c r="BK66" i="14608"/>
  <c r="BL66" i="14608"/>
  <c r="BM66" i="14608"/>
  <c r="BN66" i="14608"/>
  <c r="BO66" i="14608"/>
  <c r="BP66" i="14608"/>
  <c r="BQ66" i="14608"/>
  <c r="BR66" i="14608"/>
  <c r="BS66" i="14608"/>
  <c r="BT66" i="14608"/>
  <c r="BU66" i="14608"/>
  <c r="BV66" i="14608"/>
  <c r="BW66" i="14608"/>
  <c r="BX66" i="14608"/>
  <c r="BY66" i="14608"/>
  <c r="BZ66" i="14608"/>
  <c r="CA66" i="14608"/>
  <c r="CB66" i="14608"/>
  <c r="CC66" i="14608"/>
  <c r="CD66" i="14608"/>
  <c r="CE66" i="14608"/>
  <c r="CF66" i="14608"/>
  <c r="CG66" i="14608"/>
  <c r="CH66" i="14608"/>
  <c r="CI66" i="14608"/>
  <c r="CJ66" i="14608"/>
  <c r="CK66" i="14608"/>
  <c r="CL66" i="14608"/>
  <c r="CM66" i="14608"/>
  <c r="CN66" i="14608"/>
  <c r="CO66" i="14608"/>
  <c r="CP66" i="14608"/>
  <c r="CQ66" i="14608"/>
  <c r="CR66" i="14608"/>
  <c r="CS66" i="14608"/>
  <c r="CT66" i="14608"/>
  <c r="CU66" i="14608"/>
  <c r="CV66" i="14608"/>
  <c r="CW66" i="14608"/>
  <c r="CX66" i="14608"/>
  <c r="CY66" i="14608"/>
  <c r="CZ66" i="14608"/>
  <c r="DA66" i="14608"/>
  <c r="DB66" i="14608"/>
  <c r="DC66" i="14608"/>
  <c r="DD66" i="14608"/>
  <c r="DE66" i="14608"/>
  <c r="DF66" i="14608"/>
  <c r="DG66" i="14608"/>
  <c r="DH66" i="14608"/>
  <c r="DI66" i="14608"/>
  <c r="DJ66" i="14608"/>
  <c r="DK66" i="14608"/>
  <c r="DL66" i="14608"/>
  <c r="DM66" i="14608"/>
  <c r="DN66" i="14608"/>
  <c r="DO66" i="14608"/>
  <c r="DP66" i="14608"/>
  <c r="DQ66" i="14608"/>
  <c r="DR66" i="14608"/>
  <c r="DS66" i="14608"/>
  <c r="DT66" i="14608"/>
  <c r="DU66" i="14608"/>
  <c r="DV66" i="14608"/>
  <c r="DW66" i="14608"/>
  <c r="DX66" i="14608"/>
  <c r="DY66" i="14608"/>
  <c r="DZ66" i="14608"/>
  <c r="EA66" i="14608"/>
  <c r="EB66" i="14608"/>
  <c r="EC66" i="14608"/>
  <c r="ED66" i="14608"/>
  <c r="EE66" i="14608"/>
  <c r="EF66" i="14608"/>
  <c r="EG66" i="14608"/>
  <c r="EH66" i="14608"/>
  <c r="EI66" i="14608"/>
  <c r="EJ66" i="14608"/>
  <c r="EK66" i="14608"/>
  <c r="EL66" i="14608"/>
  <c r="EM66" i="14608"/>
  <c r="EN66" i="14608"/>
  <c r="EO66" i="14608"/>
  <c r="EP66" i="14608"/>
  <c r="EQ66" i="14608"/>
  <c r="ER66" i="14608"/>
  <c r="ES66" i="14608"/>
  <c r="ET66" i="14608"/>
  <c r="EU66" i="14608"/>
  <c r="EV66" i="14608"/>
  <c r="EW66" i="14608"/>
  <c r="EX66" i="14608"/>
  <c r="EY66" i="14608"/>
  <c r="EZ66" i="14608"/>
  <c r="FA66" i="14608"/>
  <c r="FB66" i="14608"/>
  <c r="FC66" i="14608"/>
  <c r="FD66" i="14608"/>
  <c r="FE66" i="14608"/>
  <c r="FF66" i="14608"/>
  <c r="FG66" i="14608"/>
  <c r="FH66" i="14608"/>
  <c r="FI66" i="14608"/>
  <c r="FJ66" i="14608"/>
  <c r="FK66" i="14608"/>
  <c r="FL66" i="14608"/>
  <c r="FM66" i="14608"/>
  <c r="FN66" i="14608"/>
  <c r="FO66" i="14608"/>
  <c r="FP66" i="14608"/>
  <c r="FQ66" i="14608"/>
  <c r="FR66" i="14608"/>
  <c r="FS66" i="14608"/>
  <c r="FT66" i="14608"/>
  <c r="FU66" i="14608"/>
  <c r="FV66" i="14608"/>
  <c r="FW66" i="14608"/>
  <c r="FX66" i="14608"/>
  <c r="FY66" i="14608"/>
  <c r="FZ66" i="14608"/>
  <c r="GA66" i="14608"/>
  <c r="GB66" i="14608"/>
  <c r="GC66" i="14608"/>
  <c r="GD66" i="14608"/>
  <c r="GE66" i="14608"/>
  <c r="GF66" i="14608"/>
  <c r="GG66" i="14608"/>
  <c r="GH66" i="14608"/>
  <c r="GI66" i="14608"/>
  <c r="GJ66" i="14608"/>
  <c r="GK66" i="14608"/>
  <c r="GL66" i="14608"/>
  <c r="GM66" i="14608"/>
  <c r="GN66" i="14608"/>
  <c r="GO66" i="14608"/>
  <c r="GP66" i="14608"/>
  <c r="GQ66" i="14608"/>
  <c r="GR66" i="14608"/>
  <c r="GS66" i="14608"/>
  <c r="GT66" i="14608"/>
  <c r="GU66" i="14608"/>
  <c r="GV66" i="14608"/>
  <c r="GW66" i="14608"/>
  <c r="GX66" i="14608"/>
  <c r="GY66" i="14608"/>
  <c r="GZ66" i="14608"/>
  <c r="HA66" i="14608"/>
  <c r="HB66" i="14608"/>
  <c r="HC66" i="14608"/>
  <c r="HD66" i="14608"/>
  <c r="HE66" i="14608"/>
  <c r="HF66" i="14608"/>
  <c r="HG66" i="14608"/>
  <c r="HH66" i="14608"/>
  <c r="HI66" i="14608"/>
  <c r="HJ66" i="14608"/>
  <c r="HK66" i="14608"/>
  <c r="HL66" i="14608"/>
  <c r="HM66" i="14608"/>
  <c r="HN66" i="14608"/>
  <c r="HO66" i="14608"/>
  <c r="HP66" i="14608"/>
  <c r="HQ66" i="14608"/>
  <c r="HR66" i="14608"/>
  <c r="HS66" i="14608"/>
  <c r="HT66" i="14608"/>
  <c r="HU66" i="14608"/>
  <c r="HV66" i="14608"/>
  <c r="HW66" i="14608"/>
  <c r="HX66" i="14608"/>
  <c r="HY66" i="14608"/>
  <c r="HZ66" i="14608"/>
  <c r="IA66" i="14608"/>
  <c r="IB66" i="14608"/>
  <c r="IC66" i="14608"/>
  <c r="ID66" i="14608"/>
  <c r="IE66" i="14608"/>
  <c r="IF66" i="14608"/>
  <c r="IG66" i="14608"/>
  <c r="IH66" i="14608"/>
  <c r="II66" i="14608"/>
  <c r="IJ66" i="14608"/>
  <c r="IK66" i="14608"/>
  <c r="IL66" i="14608"/>
  <c r="IM66" i="14608"/>
  <c r="IN66" i="14608"/>
  <c r="IO66" i="14608"/>
  <c r="IP66" i="14608"/>
  <c r="IQ66" i="14608"/>
  <c r="IR66" i="14608"/>
  <c r="IS66" i="14608"/>
  <c r="IT66" i="14608"/>
  <c r="IU66" i="14608"/>
  <c r="IV66" i="14608"/>
  <c r="A65" i="14608"/>
  <c r="B65" i="14608"/>
  <c r="C65" i="14608"/>
  <c r="D65" i="14608"/>
  <c r="E65" i="14608"/>
  <c r="F65" i="14608"/>
  <c r="G65" i="14608"/>
  <c r="H65" i="14608"/>
  <c r="I65" i="14608"/>
  <c r="J65" i="14608"/>
  <c r="K65" i="14608"/>
  <c r="L65" i="14608"/>
  <c r="M65" i="14608"/>
  <c r="N65" i="14608"/>
  <c r="O65" i="14608"/>
  <c r="P65" i="14608"/>
  <c r="Q65" i="14608"/>
  <c r="R65" i="14608"/>
  <c r="S65" i="14608"/>
  <c r="T65" i="14608"/>
  <c r="U65" i="14608"/>
  <c r="V65" i="14608"/>
  <c r="W65" i="14608"/>
  <c r="X65" i="14608"/>
  <c r="Y65" i="14608"/>
  <c r="Z65" i="14608"/>
  <c r="AA65" i="14608"/>
  <c r="AB65" i="14608"/>
  <c r="AC65" i="14608"/>
  <c r="AD65" i="14608"/>
  <c r="AE65" i="14608"/>
  <c r="AF65" i="14608"/>
  <c r="AG65" i="14608"/>
  <c r="AH65" i="14608"/>
  <c r="AI65" i="14608"/>
  <c r="AJ65" i="14608"/>
  <c r="AK65" i="14608"/>
  <c r="AL65" i="14608"/>
  <c r="AM65" i="14608"/>
  <c r="AN65" i="14608"/>
  <c r="AO65" i="14608"/>
  <c r="AP65" i="14608"/>
  <c r="AQ65" i="14608"/>
  <c r="AR65" i="14608"/>
  <c r="AS65" i="14608"/>
  <c r="AT65" i="14608"/>
  <c r="AU65" i="14608"/>
  <c r="AV65" i="14608"/>
  <c r="AW65" i="14608"/>
  <c r="AX65" i="14608"/>
  <c r="AY65" i="14608"/>
  <c r="AZ65" i="14608"/>
  <c r="BA65" i="14608"/>
  <c r="BB65" i="14608"/>
  <c r="BC65" i="14608"/>
  <c r="BD65" i="14608"/>
  <c r="BE65" i="14608"/>
  <c r="BF65" i="14608"/>
  <c r="BG65" i="14608"/>
  <c r="BH65" i="14608"/>
  <c r="BI65" i="14608"/>
  <c r="BJ65" i="14608"/>
  <c r="BK65" i="14608"/>
  <c r="BL65" i="14608"/>
  <c r="BM65" i="14608"/>
  <c r="BN65" i="14608"/>
  <c r="BO65" i="14608"/>
  <c r="BP65" i="14608"/>
  <c r="BQ65" i="14608"/>
  <c r="BR65" i="14608"/>
  <c r="BS65" i="14608"/>
  <c r="BT65" i="14608"/>
  <c r="BU65" i="14608"/>
  <c r="BV65" i="14608"/>
  <c r="BW65" i="14608"/>
  <c r="BX65" i="14608"/>
  <c r="BY65" i="14608"/>
  <c r="BZ65" i="14608"/>
  <c r="CA65" i="14608"/>
  <c r="CB65" i="14608"/>
  <c r="CC65" i="14608"/>
  <c r="CD65" i="14608"/>
  <c r="CE65" i="14608"/>
  <c r="CF65" i="14608"/>
  <c r="CG65" i="14608"/>
  <c r="CH65" i="14608"/>
  <c r="CI65" i="14608"/>
  <c r="CJ65" i="14608"/>
  <c r="CK65" i="14608"/>
  <c r="CL65" i="14608"/>
  <c r="CM65" i="14608"/>
  <c r="CN65" i="14608"/>
  <c r="CO65" i="14608"/>
  <c r="CP65" i="14608"/>
  <c r="CQ65" i="14608"/>
  <c r="CR65" i="14608"/>
  <c r="CS65" i="14608"/>
  <c r="CT65" i="14608"/>
  <c r="CU65" i="14608"/>
  <c r="CV65" i="14608"/>
  <c r="CW65" i="14608"/>
  <c r="CX65" i="14608"/>
  <c r="CY65" i="14608"/>
  <c r="CZ65" i="14608"/>
  <c r="DA65" i="14608"/>
  <c r="DB65" i="14608"/>
  <c r="DC65" i="14608"/>
  <c r="DD65" i="14608"/>
  <c r="DE65" i="14608"/>
  <c r="DF65" i="14608"/>
  <c r="DG65" i="14608"/>
  <c r="DH65" i="14608"/>
  <c r="DI65" i="14608"/>
  <c r="DJ65" i="14608"/>
  <c r="DK65" i="14608"/>
  <c r="DL65" i="14608"/>
  <c r="DM65" i="14608"/>
  <c r="DN65" i="14608"/>
  <c r="DO65" i="14608"/>
  <c r="DP65" i="14608"/>
  <c r="DQ65" i="14608"/>
  <c r="DR65" i="14608"/>
  <c r="DS65" i="14608"/>
  <c r="DT65" i="14608"/>
  <c r="DU65" i="14608"/>
  <c r="DV65" i="14608"/>
  <c r="DW65" i="14608"/>
  <c r="DX65" i="14608"/>
  <c r="DY65" i="14608"/>
  <c r="DZ65" i="14608"/>
  <c r="EA65" i="14608"/>
  <c r="EB65" i="14608"/>
  <c r="EC65" i="14608"/>
  <c r="ED65" i="14608"/>
  <c r="EE65" i="14608"/>
  <c r="EF65" i="14608"/>
  <c r="EG65" i="14608"/>
  <c r="EH65" i="14608"/>
  <c r="EI65" i="14608"/>
  <c r="EJ65" i="14608"/>
  <c r="EK65" i="14608"/>
  <c r="EL65" i="14608"/>
  <c r="EM65" i="14608"/>
  <c r="EN65" i="14608"/>
  <c r="EO65" i="14608"/>
  <c r="EP65" i="14608"/>
  <c r="EQ65" i="14608"/>
  <c r="ER65" i="14608"/>
  <c r="ES65" i="14608"/>
  <c r="ET65" i="14608"/>
  <c r="EU65" i="14608"/>
  <c r="EV65" i="14608"/>
  <c r="EW65" i="14608"/>
  <c r="EX65" i="14608"/>
  <c r="EY65" i="14608"/>
  <c r="EZ65" i="14608"/>
  <c r="FA65" i="14608"/>
  <c r="FB65" i="14608"/>
  <c r="FC65" i="14608"/>
  <c r="FD65" i="14608"/>
  <c r="FE65" i="14608"/>
  <c r="FF65" i="14608"/>
  <c r="FG65" i="14608"/>
  <c r="FH65" i="14608"/>
  <c r="FI65" i="14608"/>
  <c r="FJ65" i="14608"/>
  <c r="FK65" i="14608"/>
  <c r="FL65" i="14608"/>
  <c r="FM65" i="14608"/>
  <c r="FN65" i="14608"/>
  <c r="FO65" i="14608"/>
  <c r="FP65" i="14608"/>
  <c r="FQ65" i="14608"/>
  <c r="FR65" i="14608"/>
  <c r="FS65" i="14608"/>
  <c r="FT65" i="14608"/>
  <c r="FU65" i="14608"/>
  <c r="FV65" i="14608"/>
  <c r="FW65" i="14608"/>
  <c r="FX65" i="14608"/>
  <c r="FY65" i="14608"/>
  <c r="FZ65" i="14608"/>
  <c r="GA65" i="14608"/>
  <c r="GB65" i="14608"/>
  <c r="GC65" i="14608"/>
  <c r="GD65" i="14608"/>
  <c r="GE65" i="14608"/>
  <c r="GF65" i="14608"/>
  <c r="GG65" i="14608"/>
  <c r="GH65" i="14608"/>
  <c r="GI65" i="14608"/>
  <c r="GJ65" i="14608"/>
  <c r="GK65" i="14608"/>
  <c r="GL65" i="14608"/>
  <c r="GM65" i="14608"/>
  <c r="GN65" i="14608"/>
  <c r="GO65" i="14608"/>
  <c r="GP65" i="14608"/>
  <c r="GQ65" i="14608"/>
  <c r="GR65" i="14608"/>
  <c r="GS65" i="14608"/>
  <c r="GT65" i="14608"/>
  <c r="GU65" i="14608"/>
  <c r="GV65" i="14608"/>
  <c r="GW65" i="14608"/>
  <c r="GX65" i="14608"/>
  <c r="GY65" i="14608"/>
  <c r="GZ65" i="14608"/>
  <c r="HA65" i="14608"/>
  <c r="HB65" i="14608"/>
  <c r="HC65" i="14608"/>
  <c r="HD65" i="14608"/>
  <c r="HE65" i="14608"/>
  <c r="HF65" i="14608"/>
  <c r="HG65" i="14608"/>
  <c r="HH65" i="14608"/>
  <c r="HI65" i="14608"/>
  <c r="HJ65" i="14608"/>
  <c r="HK65" i="14608"/>
  <c r="HL65" i="14608"/>
  <c r="HM65" i="14608"/>
  <c r="HN65" i="14608"/>
  <c r="HO65" i="14608"/>
  <c r="HP65" i="14608"/>
  <c r="HQ65" i="14608"/>
  <c r="HR65" i="14608"/>
  <c r="HS65" i="14608"/>
  <c r="HT65" i="14608"/>
  <c r="HU65" i="14608"/>
  <c r="HV65" i="14608"/>
  <c r="HW65" i="14608"/>
  <c r="HX65" i="14608"/>
  <c r="HY65" i="14608"/>
  <c r="HZ65" i="14608"/>
  <c r="IA65" i="14608"/>
  <c r="IB65" i="14608"/>
  <c r="IC65" i="14608"/>
  <c r="ID65" i="14608"/>
  <c r="IE65" i="14608"/>
  <c r="IF65" i="14608"/>
  <c r="IG65" i="14608"/>
  <c r="IH65" i="14608"/>
  <c r="II65" i="14608"/>
  <c r="IJ65" i="14608"/>
  <c r="IK65" i="14608"/>
  <c r="IL65" i="14608"/>
  <c r="IM65" i="14608"/>
  <c r="IN65" i="14608"/>
  <c r="IO65" i="14608"/>
  <c r="IP65" i="14608"/>
  <c r="IQ65" i="14608"/>
  <c r="IR65" i="14608"/>
  <c r="IS65" i="14608"/>
  <c r="IT65" i="14608"/>
  <c r="IU65" i="14608"/>
  <c r="IV65" i="14608"/>
  <c r="A64" i="14608"/>
  <c r="B64" i="14608"/>
  <c r="C64" i="14608"/>
  <c r="D64" i="14608"/>
  <c r="E64" i="14608"/>
  <c r="F64" i="14608"/>
  <c r="G64" i="14608"/>
  <c r="H64" i="14608"/>
  <c r="I64" i="14608"/>
  <c r="J64" i="14608"/>
  <c r="K64" i="14608"/>
  <c r="L64" i="14608"/>
  <c r="M64" i="14608"/>
  <c r="N64" i="14608"/>
  <c r="O64" i="14608"/>
  <c r="P64" i="14608"/>
  <c r="Q64" i="14608"/>
  <c r="R64" i="14608"/>
  <c r="S64" i="14608"/>
  <c r="T64" i="14608"/>
  <c r="U64" i="14608"/>
  <c r="V64" i="14608"/>
  <c r="W64" i="14608"/>
  <c r="X64" i="14608"/>
  <c r="Y64" i="14608"/>
  <c r="Z64" i="14608"/>
  <c r="AA64" i="14608"/>
  <c r="AB64" i="14608"/>
  <c r="AC64" i="14608"/>
  <c r="AD64" i="14608"/>
  <c r="AE64" i="14608"/>
  <c r="AF64" i="14608"/>
  <c r="AG64" i="14608"/>
  <c r="AH64" i="14608"/>
  <c r="AI64" i="14608"/>
  <c r="AJ64" i="14608"/>
  <c r="AK64" i="14608"/>
  <c r="AL64" i="14608"/>
  <c r="AM64" i="14608"/>
  <c r="AN64" i="14608"/>
  <c r="AO64" i="14608"/>
  <c r="AP64" i="14608"/>
  <c r="AQ64" i="14608"/>
  <c r="AR64" i="14608"/>
  <c r="AS64" i="14608"/>
  <c r="AT64" i="14608"/>
  <c r="AU64" i="14608"/>
  <c r="AV64" i="14608"/>
  <c r="AW64" i="14608"/>
  <c r="AX64" i="14608"/>
  <c r="AY64" i="14608"/>
  <c r="AZ64" i="14608"/>
  <c r="BA64" i="14608"/>
  <c r="BB64" i="14608"/>
  <c r="BC64" i="14608"/>
  <c r="BD64" i="14608"/>
  <c r="BE64" i="14608"/>
  <c r="BF64" i="14608"/>
  <c r="BG64" i="14608"/>
  <c r="BH64" i="14608"/>
  <c r="BI64" i="14608"/>
  <c r="BJ64" i="14608"/>
  <c r="BK64" i="14608"/>
  <c r="BL64" i="14608"/>
  <c r="BM64" i="14608"/>
  <c r="BN64" i="14608"/>
  <c r="BO64" i="14608"/>
  <c r="BP64" i="14608"/>
  <c r="BQ64" i="14608"/>
  <c r="BR64" i="14608"/>
  <c r="BS64" i="14608"/>
  <c r="BT64" i="14608"/>
  <c r="BU64" i="14608"/>
  <c r="BV64" i="14608"/>
  <c r="BW64" i="14608"/>
  <c r="BX64" i="14608"/>
  <c r="BY64" i="14608"/>
  <c r="BZ64" i="14608"/>
  <c r="CA64" i="14608"/>
  <c r="CB64" i="14608"/>
  <c r="CC64" i="14608"/>
  <c r="CD64" i="14608"/>
  <c r="CE64" i="14608"/>
  <c r="CF64" i="14608"/>
  <c r="CG64" i="14608"/>
  <c r="CH64" i="14608"/>
  <c r="CI64" i="14608"/>
  <c r="CJ64" i="14608"/>
  <c r="CK64" i="14608"/>
  <c r="CL64" i="14608"/>
  <c r="CM64" i="14608"/>
  <c r="CN64" i="14608"/>
  <c r="CO64" i="14608"/>
  <c r="CP64" i="14608"/>
  <c r="CQ64" i="14608"/>
  <c r="CR64" i="14608"/>
  <c r="CS64" i="14608"/>
  <c r="CT64" i="14608"/>
  <c r="CU64" i="14608"/>
  <c r="CV64" i="14608"/>
  <c r="CW64" i="14608"/>
  <c r="CX64" i="14608"/>
  <c r="CY64" i="14608"/>
  <c r="CZ64" i="14608"/>
  <c r="DA64" i="14608"/>
  <c r="DB64" i="14608"/>
  <c r="DC64" i="14608"/>
  <c r="DD64" i="14608"/>
  <c r="DE64" i="14608"/>
  <c r="DF64" i="14608"/>
  <c r="DG64" i="14608"/>
  <c r="DH64" i="14608"/>
  <c r="DI64" i="14608"/>
  <c r="DJ64" i="14608"/>
  <c r="DK64" i="14608"/>
  <c r="DL64" i="14608"/>
  <c r="DM64" i="14608"/>
  <c r="DN64" i="14608"/>
  <c r="DO64" i="14608"/>
  <c r="DP64" i="14608"/>
  <c r="DQ64" i="14608"/>
  <c r="DR64" i="14608"/>
  <c r="DS64" i="14608"/>
  <c r="DT64" i="14608"/>
  <c r="DU64" i="14608"/>
  <c r="DV64" i="14608"/>
  <c r="DW64" i="14608"/>
  <c r="DX64" i="14608"/>
  <c r="DY64" i="14608"/>
  <c r="DZ64" i="14608"/>
  <c r="EA64" i="14608"/>
  <c r="EB64" i="14608"/>
  <c r="EC64" i="14608"/>
  <c r="ED64" i="14608"/>
  <c r="EE64" i="14608"/>
  <c r="EF64" i="14608"/>
  <c r="EG64" i="14608"/>
  <c r="EH64" i="14608"/>
  <c r="EI64" i="14608"/>
  <c r="EJ64" i="14608"/>
  <c r="EK64" i="14608"/>
  <c r="EL64" i="14608"/>
  <c r="EM64" i="14608"/>
  <c r="EN64" i="14608"/>
  <c r="EO64" i="14608"/>
  <c r="EP64" i="14608"/>
  <c r="EQ64" i="14608"/>
  <c r="ER64" i="14608"/>
  <c r="ES64" i="14608"/>
  <c r="ET64" i="14608"/>
  <c r="EU64" i="14608"/>
  <c r="EV64" i="14608"/>
  <c r="EW64" i="14608"/>
  <c r="EX64" i="14608"/>
  <c r="EY64" i="14608"/>
  <c r="EZ64" i="14608"/>
  <c r="FA64" i="14608"/>
  <c r="FB64" i="14608"/>
  <c r="FC64" i="14608"/>
  <c r="FD64" i="14608"/>
  <c r="FE64" i="14608"/>
  <c r="FF64" i="14608"/>
  <c r="FG64" i="14608"/>
  <c r="FH64" i="14608"/>
  <c r="FI64" i="14608"/>
  <c r="FJ64" i="14608"/>
  <c r="FK64" i="14608"/>
  <c r="FL64" i="14608"/>
  <c r="FM64" i="14608"/>
  <c r="FN64" i="14608"/>
  <c r="FO64" i="14608"/>
  <c r="FP64" i="14608"/>
  <c r="FQ64" i="14608"/>
  <c r="FR64" i="14608"/>
  <c r="FS64" i="14608"/>
  <c r="FT64" i="14608"/>
  <c r="FU64" i="14608"/>
  <c r="FV64" i="14608"/>
  <c r="FW64" i="14608"/>
  <c r="FX64" i="14608"/>
  <c r="FY64" i="14608"/>
  <c r="FZ64" i="14608"/>
  <c r="GA64" i="14608"/>
  <c r="GB64" i="14608"/>
  <c r="GC64" i="14608"/>
  <c r="GD64" i="14608"/>
  <c r="GE64" i="14608"/>
  <c r="GF64" i="14608"/>
  <c r="GG64" i="14608"/>
  <c r="GH64" i="14608"/>
  <c r="GI64" i="14608"/>
  <c r="GJ64" i="14608"/>
  <c r="GK64" i="14608"/>
  <c r="GL64" i="14608"/>
  <c r="GM64" i="14608"/>
  <c r="GN64" i="14608"/>
  <c r="GO64" i="14608"/>
  <c r="GP64" i="14608"/>
  <c r="GQ64" i="14608"/>
  <c r="GR64" i="14608"/>
  <c r="GS64" i="14608"/>
  <c r="GT64" i="14608"/>
  <c r="GU64" i="14608"/>
  <c r="GV64" i="14608"/>
  <c r="GW64" i="14608"/>
  <c r="GX64" i="14608"/>
  <c r="GY64" i="14608"/>
  <c r="GZ64" i="14608"/>
  <c r="HA64" i="14608"/>
  <c r="HB64" i="14608"/>
  <c r="HC64" i="14608"/>
  <c r="HD64" i="14608"/>
  <c r="HE64" i="14608"/>
  <c r="HF64" i="14608"/>
  <c r="HG64" i="14608"/>
  <c r="HH64" i="14608"/>
  <c r="HI64" i="14608"/>
  <c r="HJ64" i="14608"/>
  <c r="HK64" i="14608"/>
  <c r="HL64" i="14608"/>
  <c r="HM64" i="14608"/>
  <c r="HN64" i="14608"/>
  <c r="HO64" i="14608"/>
  <c r="HP64" i="14608"/>
  <c r="HQ64" i="14608"/>
  <c r="HR64" i="14608"/>
  <c r="HS64" i="14608"/>
  <c r="HT64" i="14608"/>
  <c r="HU64" i="14608"/>
  <c r="HV64" i="14608"/>
  <c r="HW64" i="14608"/>
  <c r="HX64" i="14608"/>
  <c r="HY64" i="14608"/>
  <c r="HZ64" i="14608"/>
  <c r="IA64" i="14608"/>
  <c r="IB64" i="14608"/>
  <c r="IC64" i="14608"/>
  <c r="ID64" i="14608"/>
  <c r="IE64" i="14608"/>
  <c r="IF64" i="14608"/>
  <c r="IG64" i="14608"/>
  <c r="IH64" i="14608"/>
  <c r="II64" i="14608"/>
  <c r="IJ64" i="14608"/>
  <c r="IK64" i="14608"/>
  <c r="IL64" i="14608"/>
  <c r="IM64" i="14608"/>
  <c r="IN64" i="14608"/>
  <c r="IO64" i="14608"/>
  <c r="IP64" i="14608"/>
  <c r="IQ64" i="14608"/>
  <c r="IR64" i="14608"/>
  <c r="IS64" i="14608"/>
  <c r="IT64" i="14608"/>
  <c r="IU64" i="14608"/>
  <c r="IV64" i="14608"/>
  <c r="A63" i="14608"/>
  <c r="B63" i="14608"/>
  <c r="C63" i="14608"/>
  <c r="D63" i="14608"/>
  <c r="E63" i="14608"/>
  <c r="F63" i="14608"/>
  <c r="G63" i="14608"/>
  <c r="H63" i="14608"/>
  <c r="I63" i="14608"/>
  <c r="J63" i="14608"/>
  <c r="K63" i="14608"/>
  <c r="L63" i="14608"/>
  <c r="M63" i="14608"/>
  <c r="N63" i="14608"/>
  <c r="O63" i="14608"/>
  <c r="P63" i="14608"/>
  <c r="Q63" i="14608"/>
  <c r="R63" i="14608"/>
  <c r="S63" i="14608"/>
  <c r="T63" i="14608"/>
  <c r="U63" i="14608"/>
  <c r="V63" i="14608"/>
  <c r="W63" i="14608"/>
  <c r="X63" i="14608"/>
  <c r="Y63" i="14608"/>
  <c r="Z63" i="14608"/>
  <c r="AA63" i="14608"/>
  <c r="AB63" i="14608"/>
  <c r="AC63" i="14608"/>
  <c r="AD63" i="14608"/>
  <c r="AE63" i="14608"/>
  <c r="AF63" i="14608"/>
  <c r="AG63" i="14608"/>
  <c r="AH63" i="14608"/>
  <c r="AI63" i="14608"/>
  <c r="AJ63" i="14608"/>
  <c r="AK63" i="14608"/>
  <c r="AL63" i="14608"/>
  <c r="AM63" i="14608"/>
  <c r="AN63" i="14608"/>
  <c r="AO63" i="14608"/>
  <c r="AP63" i="14608"/>
  <c r="AQ63" i="14608"/>
  <c r="AR63" i="14608"/>
  <c r="AS63" i="14608"/>
  <c r="AT63" i="14608"/>
  <c r="AU63" i="14608"/>
  <c r="AV63" i="14608"/>
  <c r="AW63" i="14608"/>
  <c r="AX63" i="14608"/>
  <c r="AY63" i="14608"/>
  <c r="AZ63" i="14608"/>
  <c r="BA63" i="14608"/>
  <c r="BB63" i="14608"/>
  <c r="BC63" i="14608"/>
  <c r="BD63" i="14608"/>
  <c r="BE63" i="14608"/>
  <c r="BF63" i="14608"/>
  <c r="BG63" i="14608"/>
  <c r="BH63" i="14608"/>
  <c r="BI63" i="14608"/>
  <c r="BJ63" i="14608"/>
  <c r="BK63" i="14608"/>
  <c r="BL63" i="14608"/>
  <c r="BM63" i="14608"/>
  <c r="BN63" i="14608"/>
  <c r="BO63" i="14608"/>
  <c r="BP63" i="14608"/>
  <c r="BQ63" i="14608"/>
  <c r="BR63" i="14608"/>
  <c r="BS63" i="14608"/>
  <c r="BT63" i="14608"/>
  <c r="BU63" i="14608"/>
  <c r="BV63" i="14608"/>
  <c r="BW63" i="14608"/>
  <c r="BX63" i="14608"/>
  <c r="BY63" i="14608"/>
  <c r="BZ63" i="14608"/>
  <c r="CA63" i="14608"/>
  <c r="CB63" i="14608"/>
  <c r="CC63" i="14608"/>
  <c r="CD63" i="14608"/>
  <c r="CE63" i="14608"/>
  <c r="CF63" i="14608"/>
  <c r="CG63" i="14608"/>
  <c r="CH63" i="14608"/>
  <c r="CI63" i="14608"/>
  <c r="CJ63" i="14608"/>
  <c r="CK63" i="14608"/>
  <c r="CL63" i="14608"/>
  <c r="CM63" i="14608"/>
  <c r="CN63" i="14608"/>
  <c r="CO63" i="14608"/>
  <c r="CP63" i="14608"/>
  <c r="CQ63" i="14608"/>
  <c r="CR63" i="14608"/>
  <c r="CS63" i="14608"/>
  <c r="CT63" i="14608"/>
  <c r="CU63" i="14608"/>
  <c r="CV63" i="14608"/>
  <c r="CW63" i="14608"/>
  <c r="CX63" i="14608"/>
  <c r="CY63" i="14608"/>
  <c r="CZ63" i="14608"/>
  <c r="DA63" i="14608"/>
  <c r="DB63" i="14608"/>
  <c r="DC63" i="14608"/>
  <c r="DD63" i="14608"/>
  <c r="DE63" i="14608"/>
  <c r="DF63" i="14608"/>
  <c r="DG63" i="14608"/>
  <c r="DH63" i="14608"/>
  <c r="DI63" i="14608"/>
  <c r="DJ63" i="14608"/>
  <c r="DK63" i="14608"/>
  <c r="DL63" i="14608"/>
  <c r="DM63" i="14608"/>
  <c r="DN63" i="14608"/>
  <c r="DO63" i="14608"/>
  <c r="DP63" i="14608"/>
  <c r="DQ63" i="14608"/>
  <c r="DR63" i="14608"/>
  <c r="DS63" i="14608"/>
  <c r="DT63" i="14608"/>
  <c r="DU63" i="14608"/>
  <c r="DV63" i="14608"/>
  <c r="DW63" i="14608"/>
  <c r="DX63" i="14608"/>
  <c r="DY63" i="14608"/>
  <c r="DZ63" i="14608"/>
  <c r="EA63" i="14608"/>
  <c r="EB63" i="14608"/>
  <c r="EC63" i="14608"/>
  <c r="ED63" i="14608"/>
  <c r="EE63" i="14608"/>
  <c r="EF63" i="14608"/>
  <c r="EG63" i="14608"/>
  <c r="EH63" i="14608"/>
  <c r="EI63" i="14608"/>
  <c r="EJ63" i="14608"/>
  <c r="EK63" i="14608"/>
  <c r="EL63" i="14608"/>
  <c r="EM63" i="14608"/>
  <c r="EN63" i="14608"/>
  <c r="EO63" i="14608"/>
  <c r="EP63" i="14608"/>
  <c r="EQ63" i="14608"/>
  <c r="ER63" i="14608"/>
  <c r="ES63" i="14608"/>
  <c r="ET63" i="14608"/>
  <c r="EU63" i="14608"/>
  <c r="EV63" i="14608"/>
  <c r="EW63" i="14608"/>
  <c r="EX63" i="14608"/>
  <c r="EY63" i="14608"/>
  <c r="EZ63" i="14608"/>
  <c r="FA63" i="14608"/>
  <c r="FB63" i="14608"/>
  <c r="FC63" i="14608"/>
  <c r="FD63" i="14608"/>
  <c r="FE63" i="14608"/>
  <c r="FF63" i="14608"/>
  <c r="FG63" i="14608"/>
  <c r="FH63" i="14608"/>
  <c r="FI63" i="14608"/>
  <c r="FJ63" i="14608"/>
  <c r="FK63" i="14608"/>
  <c r="FL63" i="14608"/>
  <c r="FM63" i="14608"/>
  <c r="FN63" i="14608"/>
  <c r="FO63" i="14608"/>
  <c r="FP63" i="14608"/>
  <c r="FQ63" i="14608"/>
  <c r="FR63" i="14608"/>
  <c r="FS63" i="14608"/>
  <c r="FT63" i="14608"/>
  <c r="FU63" i="14608"/>
  <c r="FV63" i="14608"/>
  <c r="FW63" i="14608"/>
  <c r="FX63" i="14608"/>
  <c r="FY63" i="14608"/>
  <c r="FZ63" i="14608"/>
  <c r="GA63" i="14608"/>
  <c r="GB63" i="14608"/>
  <c r="GC63" i="14608"/>
  <c r="GD63" i="14608"/>
  <c r="GE63" i="14608"/>
  <c r="GF63" i="14608"/>
  <c r="GG63" i="14608"/>
  <c r="GH63" i="14608"/>
  <c r="GI63" i="14608"/>
  <c r="GJ63" i="14608"/>
  <c r="GK63" i="14608"/>
  <c r="GL63" i="14608"/>
  <c r="GM63" i="14608"/>
  <c r="GN63" i="14608"/>
  <c r="GO63" i="14608"/>
  <c r="GP63" i="14608"/>
  <c r="GQ63" i="14608"/>
  <c r="GR63" i="14608"/>
  <c r="GS63" i="14608"/>
  <c r="GT63" i="14608"/>
  <c r="GU63" i="14608"/>
  <c r="GV63" i="14608"/>
  <c r="GW63" i="14608"/>
  <c r="GX63" i="14608"/>
  <c r="GY63" i="14608"/>
  <c r="GZ63" i="14608"/>
  <c r="HA63" i="14608"/>
  <c r="HB63" i="14608"/>
  <c r="HC63" i="14608"/>
  <c r="HD63" i="14608"/>
  <c r="HE63" i="14608"/>
  <c r="HF63" i="14608"/>
  <c r="HG63" i="14608"/>
  <c r="HH63" i="14608"/>
  <c r="HI63" i="14608"/>
  <c r="HJ63" i="14608"/>
  <c r="HK63" i="14608"/>
  <c r="HL63" i="14608"/>
  <c r="HM63" i="14608"/>
  <c r="HN63" i="14608"/>
  <c r="HO63" i="14608"/>
  <c r="HP63" i="14608"/>
  <c r="HQ63" i="14608"/>
  <c r="HR63" i="14608"/>
  <c r="HS63" i="14608"/>
  <c r="HT63" i="14608"/>
  <c r="HU63" i="14608"/>
  <c r="HV63" i="14608"/>
  <c r="HW63" i="14608"/>
  <c r="HX63" i="14608"/>
  <c r="HY63" i="14608"/>
  <c r="HZ63" i="14608"/>
  <c r="IA63" i="14608"/>
  <c r="IB63" i="14608"/>
  <c r="IC63" i="14608"/>
  <c r="ID63" i="14608"/>
  <c r="IE63" i="14608"/>
  <c r="IF63" i="14608"/>
  <c r="IG63" i="14608"/>
  <c r="IH63" i="14608"/>
  <c r="II63" i="14608"/>
  <c r="IJ63" i="14608"/>
  <c r="IK63" i="14608"/>
  <c r="IL63" i="14608"/>
  <c r="IM63" i="14608"/>
  <c r="IN63" i="14608"/>
  <c r="IO63" i="14608"/>
  <c r="IP63" i="14608"/>
  <c r="IQ63" i="14608"/>
  <c r="IR63" i="14608"/>
  <c r="IS63" i="14608"/>
  <c r="IT63" i="14608"/>
  <c r="IU63" i="14608"/>
  <c r="IV63" i="14608"/>
  <c r="A62" i="14608"/>
  <c r="B62" i="14608"/>
  <c r="C62" i="14608"/>
  <c r="D62" i="14608"/>
  <c r="E62" i="14608"/>
  <c r="F62" i="14608"/>
  <c r="G62" i="14608"/>
  <c r="H62" i="14608"/>
  <c r="I62" i="14608"/>
  <c r="J62" i="14608"/>
  <c r="K62" i="14608"/>
  <c r="L62" i="14608"/>
  <c r="M62" i="14608"/>
  <c r="N62" i="14608"/>
  <c r="O62" i="14608"/>
  <c r="P62" i="14608"/>
  <c r="Q62" i="14608"/>
  <c r="R62" i="14608"/>
  <c r="S62" i="14608"/>
  <c r="T62" i="14608"/>
  <c r="U62" i="14608"/>
  <c r="V62" i="14608"/>
  <c r="W62" i="14608"/>
  <c r="X62" i="14608"/>
  <c r="Y62" i="14608"/>
  <c r="Z62" i="14608"/>
  <c r="AA62" i="14608"/>
  <c r="AB62" i="14608"/>
  <c r="AC62" i="14608"/>
  <c r="AD62" i="14608"/>
  <c r="AE62" i="14608"/>
  <c r="AF62" i="14608"/>
  <c r="AG62" i="14608"/>
  <c r="AH62" i="14608"/>
  <c r="AI62" i="14608"/>
  <c r="AJ62" i="14608"/>
  <c r="AK62" i="14608"/>
  <c r="AL62" i="14608"/>
  <c r="AM62" i="14608"/>
  <c r="AN62" i="14608"/>
  <c r="AO62" i="14608"/>
  <c r="AP62" i="14608"/>
  <c r="AQ62" i="14608"/>
  <c r="AR62" i="14608"/>
  <c r="AS62" i="14608"/>
  <c r="AT62" i="14608"/>
  <c r="AU62" i="14608"/>
  <c r="AV62" i="14608"/>
  <c r="AW62" i="14608"/>
  <c r="AX62" i="14608"/>
  <c r="AY62" i="14608"/>
  <c r="AZ62" i="14608"/>
  <c r="BA62" i="14608"/>
  <c r="BB62" i="14608"/>
  <c r="BC62" i="14608"/>
  <c r="BD62" i="14608"/>
  <c r="BE62" i="14608"/>
  <c r="BF62" i="14608"/>
  <c r="BG62" i="14608"/>
  <c r="BH62" i="14608"/>
  <c r="BI62" i="14608"/>
  <c r="BJ62" i="14608"/>
  <c r="BK62" i="14608"/>
  <c r="BL62" i="14608"/>
  <c r="BM62" i="14608"/>
  <c r="BN62" i="14608"/>
  <c r="BO62" i="14608"/>
  <c r="BP62" i="14608"/>
  <c r="BQ62" i="14608"/>
  <c r="BR62" i="14608"/>
  <c r="BS62" i="14608"/>
  <c r="BT62" i="14608"/>
  <c r="BU62" i="14608"/>
  <c r="BV62" i="14608"/>
  <c r="BW62" i="14608"/>
  <c r="BX62" i="14608"/>
  <c r="BY62" i="14608"/>
  <c r="BZ62" i="14608"/>
  <c r="CA62" i="14608"/>
  <c r="CB62" i="14608"/>
  <c r="CC62" i="14608"/>
  <c r="CD62" i="14608"/>
  <c r="CE62" i="14608"/>
  <c r="CF62" i="14608"/>
  <c r="CG62" i="14608"/>
  <c r="CH62" i="14608"/>
  <c r="CI62" i="14608"/>
  <c r="CJ62" i="14608"/>
  <c r="CK62" i="14608"/>
  <c r="CL62" i="14608"/>
  <c r="CM62" i="14608"/>
  <c r="CN62" i="14608"/>
  <c r="CO62" i="14608"/>
  <c r="CP62" i="14608"/>
  <c r="CQ62" i="14608"/>
  <c r="CR62" i="14608"/>
  <c r="CS62" i="14608"/>
  <c r="CT62" i="14608"/>
  <c r="CU62" i="14608"/>
  <c r="CV62" i="14608"/>
  <c r="CW62" i="14608"/>
  <c r="CX62" i="14608"/>
  <c r="CY62" i="14608"/>
  <c r="CZ62" i="14608"/>
  <c r="DA62" i="14608"/>
  <c r="DB62" i="14608"/>
  <c r="DC62" i="14608"/>
  <c r="DD62" i="14608"/>
  <c r="DE62" i="14608"/>
  <c r="DF62" i="14608"/>
  <c r="DG62" i="14608"/>
  <c r="DH62" i="14608"/>
  <c r="DI62" i="14608"/>
  <c r="DJ62" i="14608"/>
  <c r="DK62" i="14608"/>
  <c r="DL62" i="14608"/>
  <c r="DM62" i="14608"/>
  <c r="DN62" i="14608"/>
  <c r="DO62" i="14608"/>
  <c r="DP62" i="14608"/>
  <c r="DQ62" i="14608"/>
  <c r="DR62" i="14608"/>
  <c r="DS62" i="14608"/>
  <c r="DT62" i="14608"/>
  <c r="DU62" i="14608"/>
  <c r="DV62" i="14608"/>
  <c r="DW62" i="14608"/>
  <c r="DX62" i="14608"/>
  <c r="DY62" i="14608"/>
  <c r="DZ62" i="14608"/>
  <c r="EA62" i="14608"/>
  <c r="EB62" i="14608"/>
  <c r="EC62" i="14608"/>
  <c r="ED62" i="14608"/>
  <c r="EE62" i="14608"/>
  <c r="EF62" i="14608"/>
  <c r="EG62" i="14608"/>
  <c r="EH62" i="14608"/>
  <c r="EI62" i="14608"/>
  <c r="EJ62" i="14608"/>
  <c r="EK62" i="14608"/>
  <c r="EL62" i="14608"/>
  <c r="EM62" i="14608"/>
  <c r="EN62" i="14608"/>
  <c r="EO62" i="14608"/>
  <c r="EP62" i="14608"/>
  <c r="EQ62" i="14608"/>
  <c r="ER62" i="14608"/>
  <c r="ES62" i="14608"/>
  <c r="ET62" i="14608"/>
  <c r="EU62" i="14608"/>
  <c r="EV62" i="14608"/>
  <c r="EW62" i="14608"/>
  <c r="EX62" i="14608"/>
  <c r="EY62" i="14608"/>
  <c r="EZ62" i="14608"/>
  <c r="FA62" i="14608"/>
  <c r="FB62" i="14608"/>
  <c r="FC62" i="14608"/>
  <c r="FD62" i="14608"/>
  <c r="FE62" i="14608"/>
  <c r="FF62" i="14608"/>
  <c r="FG62" i="14608"/>
  <c r="FH62" i="14608"/>
  <c r="FI62" i="14608"/>
  <c r="FJ62" i="14608"/>
  <c r="FK62" i="14608"/>
  <c r="FL62" i="14608"/>
  <c r="FM62" i="14608"/>
  <c r="FN62" i="14608"/>
  <c r="FO62" i="14608"/>
  <c r="FP62" i="14608"/>
  <c r="FQ62" i="14608"/>
  <c r="FR62" i="14608"/>
  <c r="FS62" i="14608"/>
  <c r="FT62" i="14608"/>
  <c r="FU62" i="14608"/>
  <c r="FV62" i="14608"/>
  <c r="FW62" i="14608"/>
  <c r="FX62" i="14608"/>
  <c r="FY62" i="14608"/>
  <c r="FZ62" i="14608"/>
  <c r="GA62" i="14608"/>
  <c r="GB62" i="14608"/>
  <c r="GC62" i="14608"/>
  <c r="GD62" i="14608"/>
  <c r="GE62" i="14608"/>
  <c r="GF62" i="14608"/>
  <c r="GG62" i="14608"/>
  <c r="GH62" i="14608"/>
  <c r="GI62" i="14608"/>
  <c r="GJ62" i="14608"/>
  <c r="GK62" i="14608"/>
  <c r="GL62" i="14608"/>
  <c r="GM62" i="14608"/>
  <c r="GN62" i="14608"/>
  <c r="GO62" i="14608"/>
  <c r="GP62" i="14608"/>
  <c r="GQ62" i="14608"/>
  <c r="GR62" i="14608"/>
  <c r="GS62" i="14608"/>
  <c r="GT62" i="14608"/>
  <c r="GU62" i="14608"/>
  <c r="GV62" i="14608"/>
  <c r="GW62" i="14608"/>
  <c r="GX62" i="14608"/>
  <c r="GY62" i="14608"/>
  <c r="GZ62" i="14608"/>
  <c r="HA62" i="14608"/>
  <c r="HB62" i="14608"/>
  <c r="HC62" i="14608"/>
  <c r="HD62" i="14608"/>
  <c r="HE62" i="14608"/>
  <c r="HF62" i="14608"/>
  <c r="HG62" i="14608"/>
  <c r="HH62" i="14608"/>
  <c r="HI62" i="14608"/>
  <c r="HJ62" i="14608"/>
  <c r="HK62" i="14608"/>
  <c r="HL62" i="14608"/>
  <c r="HM62" i="14608"/>
  <c r="HN62" i="14608"/>
  <c r="HO62" i="14608"/>
  <c r="HP62" i="14608"/>
  <c r="HQ62" i="14608"/>
  <c r="HR62" i="14608"/>
  <c r="HS62" i="14608"/>
  <c r="HT62" i="14608"/>
  <c r="HU62" i="14608"/>
  <c r="HV62" i="14608"/>
  <c r="HW62" i="14608"/>
  <c r="HX62" i="14608"/>
  <c r="HY62" i="14608"/>
  <c r="HZ62" i="14608"/>
  <c r="IA62" i="14608"/>
  <c r="IB62" i="14608"/>
  <c r="IC62" i="14608"/>
  <c r="ID62" i="14608"/>
  <c r="IE62" i="14608"/>
  <c r="IF62" i="14608"/>
  <c r="IG62" i="14608"/>
  <c r="IH62" i="14608"/>
  <c r="II62" i="14608"/>
  <c r="IJ62" i="14608"/>
  <c r="IK62" i="14608"/>
  <c r="IL62" i="14608"/>
  <c r="IM62" i="14608"/>
  <c r="IN62" i="14608"/>
  <c r="IO62" i="14608"/>
  <c r="IP62" i="14608"/>
  <c r="IQ62" i="14608"/>
  <c r="IR62" i="14608"/>
  <c r="IS62" i="14608"/>
  <c r="IT62" i="14608"/>
  <c r="IU62" i="14608"/>
  <c r="IV62" i="14608"/>
  <c r="A61" i="14608"/>
  <c r="B61" i="14608"/>
  <c r="C61" i="14608"/>
  <c r="D61" i="14608"/>
  <c r="E61" i="14608"/>
  <c r="F61" i="14608"/>
  <c r="G61" i="14608"/>
  <c r="H61" i="14608"/>
  <c r="I61" i="14608"/>
  <c r="J61" i="14608"/>
  <c r="K61" i="14608"/>
  <c r="L61" i="14608"/>
  <c r="M61" i="14608"/>
  <c r="N61" i="14608"/>
  <c r="O61" i="14608"/>
  <c r="P61" i="14608"/>
  <c r="Q61" i="14608"/>
  <c r="R61" i="14608"/>
  <c r="S61" i="14608"/>
  <c r="T61" i="14608"/>
  <c r="U61" i="14608"/>
  <c r="V61" i="14608"/>
  <c r="W61" i="14608"/>
  <c r="X61" i="14608"/>
  <c r="Y61" i="14608"/>
  <c r="Z61" i="14608"/>
  <c r="AA61" i="14608"/>
  <c r="AB61" i="14608"/>
  <c r="AC61" i="14608"/>
  <c r="AD61" i="14608"/>
  <c r="AE61" i="14608"/>
  <c r="AF61" i="14608"/>
  <c r="AG61" i="14608"/>
  <c r="AH61" i="14608"/>
  <c r="AI61" i="14608"/>
  <c r="AJ61" i="14608"/>
  <c r="AK61" i="14608"/>
  <c r="AL61" i="14608"/>
  <c r="AM61" i="14608"/>
  <c r="AN61" i="14608"/>
  <c r="AO61" i="14608"/>
  <c r="AP61" i="14608"/>
  <c r="AQ61" i="14608"/>
  <c r="AR61" i="14608"/>
  <c r="AS61" i="14608"/>
  <c r="AT61" i="14608"/>
  <c r="AU61" i="14608"/>
  <c r="AV61" i="14608"/>
  <c r="AW61" i="14608"/>
  <c r="AX61" i="14608"/>
  <c r="AY61" i="14608"/>
  <c r="AZ61" i="14608"/>
  <c r="BA61" i="14608"/>
  <c r="BB61" i="14608"/>
  <c r="BC61" i="14608"/>
  <c r="BD61" i="14608"/>
  <c r="BE61" i="14608"/>
  <c r="BF61" i="14608"/>
  <c r="BG61" i="14608"/>
  <c r="BH61" i="14608"/>
  <c r="BI61" i="14608"/>
  <c r="BJ61" i="14608"/>
  <c r="BK61" i="14608"/>
  <c r="BL61" i="14608"/>
  <c r="BM61" i="14608"/>
  <c r="BN61" i="14608"/>
  <c r="BO61" i="14608"/>
  <c r="BP61" i="14608"/>
  <c r="BQ61" i="14608"/>
  <c r="BR61" i="14608"/>
  <c r="BS61" i="14608"/>
  <c r="BT61" i="14608"/>
  <c r="BU61" i="14608"/>
  <c r="BV61" i="14608"/>
  <c r="BW61" i="14608"/>
  <c r="BX61" i="14608"/>
  <c r="BY61" i="14608"/>
  <c r="BZ61" i="14608"/>
  <c r="CA61" i="14608"/>
  <c r="CB61" i="14608"/>
  <c r="CC61" i="14608"/>
  <c r="CD61" i="14608"/>
  <c r="CE61" i="14608"/>
  <c r="CF61" i="14608"/>
  <c r="CG61" i="14608"/>
  <c r="CH61" i="14608"/>
  <c r="CI61" i="14608"/>
  <c r="CJ61" i="14608"/>
  <c r="CK61" i="14608"/>
  <c r="CL61" i="14608"/>
  <c r="CM61" i="14608"/>
  <c r="CN61" i="14608"/>
  <c r="CO61" i="14608"/>
  <c r="CP61" i="14608"/>
  <c r="CQ61" i="14608"/>
  <c r="CR61" i="14608"/>
  <c r="CS61" i="14608"/>
  <c r="CT61" i="14608"/>
  <c r="CU61" i="14608"/>
  <c r="CV61" i="14608"/>
  <c r="CW61" i="14608"/>
  <c r="CX61" i="14608"/>
  <c r="CY61" i="14608"/>
  <c r="CZ61" i="14608"/>
  <c r="DA61" i="14608"/>
  <c r="DB61" i="14608"/>
  <c r="DC61" i="14608"/>
  <c r="DD61" i="14608"/>
  <c r="DE61" i="14608"/>
  <c r="DF61" i="14608"/>
  <c r="DG61" i="14608"/>
  <c r="DH61" i="14608"/>
  <c r="DI61" i="14608"/>
  <c r="DJ61" i="14608"/>
  <c r="DK61" i="14608"/>
  <c r="DL61" i="14608"/>
  <c r="DM61" i="14608"/>
  <c r="DN61" i="14608"/>
  <c r="DO61" i="14608"/>
  <c r="DP61" i="14608"/>
  <c r="DQ61" i="14608"/>
  <c r="DR61" i="14608"/>
  <c r="DS61" i="14608"/>
  <c r="DT61" i="14608"/>
  <c r="DU61" i="14608"/>
  <c r="DV61" i="14608"/>
  <c r="DW61" i="14608"/>
  <c r="DX61" i="14608"/>
  <c r="DY61" i="14608"/>
  <c r="DZ61" i="14608"/>
  <c r="EA61" i="14608"/>
  <c r="EB61" i="14608"/>
  <c r="EC61" i="14608"/>
  <c r="ED61" i="14608"/>
  <c r="EE61" i="14608"/>
  <c r="EF61" i="14608"/>
  <c r="EG61" i="14608"/>
  <c r="EH61" i="14608"/>
  <c r="EI61" i="14608"/>
  <c r="EJ61" i="14608"/>
  <c r="EK61" i="14608"/>
  <c r="EL61" i="14608"/>
  <c r="EM61" i="14608"/>
  <c r="EN61" i="14608"/>
  <c r="EO61" i="14608"/>
  <c r="EP61" i="14608"/>
  <c r="EQ61" i="14608"/>
  <c r="ER61" i="14608"/>
  <c r="ES61" i="14608"/>
  <c r="ET61" i="14608"/>
  <c r="EU61" i="14608"/>
  <c r="EV61" i="14608"/>
  <c r="EW61" i="14608"/>
  <c r="EX61" i="14608"/>
  <c r="EY61" i="14608"/>
  <c r="EZ61" i="14608"/>
  <c r="FA61" i="14608"/>
  <c r="FB61" i="14608"/>
  <c r="FC61" i="14608"/>
  <c r="FD61" i="14608"/>
  <c r="FE61" i="14608"/>
  <c r="FF61" i="14608"/>
  <c r="FG61" i="14608"/>
  <c r="FH61" i="14608"/>
  <c r="FI61" i="14608"/>
  <c r="FJ61" i="14608"/>
  <c r="FK61" i="14608"/>
  <c r="FL61" i="14608"/>
  <c r="FM61" i="14608"/>
  <c r="FN61" i="14608"/>
  <c r="FO61" i="14608"/>
  <c r="FP61" i="14608"/>
  <c r="FQ61" i="14608"/>
  <c r="FR61" i="14608"/>
  <c r="FS61" i="14608"/>
  <c r="FT61" i="14608"/>
  <c r="FU61" i="14608"/>
  <c r="FV61" i="14608"/>
  <c r="FW61" i="14608"/>
  <c r="FX61" i="14608"/>
  <c r="FY61" i="14608"/>
  <c r="FZ61" i="14608"/>
  <c r="GA61" i="14608"/>
  <c r="GB61" i="14608"/>
  <c r="GC61" i="14608"/>
  <c r="GD61" i="14608"/>
  <c r="GE61" i="14608"/>
  <c r="GF61" i="14608"/>
  <c r="GG61" i="14608"/>
  <c r="GH61" i="14608"/>
  <c r="GI61" i="14608"/>
  <c r="GJ61" i="14608"/>
  <c r="GK61" i="14608"/>
  <c r="GL61" i="14608"/>
  <c r="GM61" i="14608"/>
  <c r="GN61" i="14608"/>
  <c r="GO61" i="14608"/>
  <c r="GP61" i="14608"/>
  <c r="GQ61" i="14608"/>
  <c r="GR61" i="14608"/>
  <c r="GS61" i="14608"/>
  <c r="GT61" i="14608"/>
  <c r="GU61" i="14608"/>
  <c r="GV61" i="14608"/>
  <c r="GW61" i="14608"/>
  <c r="GX61" i="14608"/>
  <c r="GY61" i="14608"/>
  <c r="GZ61" i="14608"/>
  <c r="HA61" i="14608"/>
  <c r="HB61" i="14608"/>
  <c r="HC61" i="14608"/>
  <c r="HD61" i="14608"/>
  <c r="HE61" i="14608"/>
  <c r="HF61" i="14608"/>
  <c r="HG61" i="14608"/>
  <c r="HH61" i="14608"/>
  <c r="HI61" i="14608"/>
  <c r="HJ61" i="14608"/>
  <c r="HK61" i="14608"/>
  <c r="HL61" i="14608"/>
  <c r="HM61" i="14608"/>
  <c r="HN61" i="14608"/>
  <c r="HO61" i="14608"/>
  <c r="HP61" i="14608"/>
  <c r="HQ61" i="14608"/>
  <c r="HR61" i="14608"/>
  <c r="HS61" i="14608"/>
  <c r="HT61" i="14608"/>
  <c r="HU61" i="14608"/>
  <c r="HV61" i="14608"/>
  <c r="HW61" i="14608"/>
  <c r="HX61" i="14608"/>
  <c r="HY61" i="14608"/>
  <c r="HZ61" i="14608"/>
  <c r="IA61" i="14608"/>
  <c r="IB61" i="14608"/>
  <c r="IC61" i="14608"/>
  <c r="ID61" i="14608"/>
  <c r="IE61" i="14608"/>
  <c r="IF61" i="14608"/>
  <c r="IG61" i="14608"/>
  <c r="IH61" i="14608"/>
  <c r="II61" i="14608"/>
  <c r="IJ61" i="14608"/>
  <c r="IK61" i="14608"/>
  <c r="IL61" i="14608"/>
  <c r="IM61" i="14608"/>
  <c r="IN61" i="14608"/>
  <c r="IO61" i="14608"/>
  <c r="IP61" i="14608"/>
  <c r="IQ61" i="14608"/>
  <c r="IR61" i="14608"/>
  <c r="IS61" i="14608"/>
  <c r="IT61" i="14608"/>
  <c r="IU61" i="14608"/>
  <c r="IV61" i="14608"/>
  <c r="A60" i="14608"/>
  <c r="B60" i="14608"/>
  <c r="C60" i="14608"/>
  <c r="D60" i="14608"/>
  <c r="E60" i="14608"/>
  <c r="F60" i="14608"/>
  <c r="G60" i="14608"/>
  <c r="H60" i="14608"/>
  <c r="I60" i="14608"/>
  <c r="J60" i="14608"/>
  <c r="K60" i="14608"/>
  <c r="L60" i="14608"/>
  <c r="M60" i="14608"/>
  <c r="N60" i="14608"/>
  <c r="O60" i="14608"/>
  <c r="P60" i="14608"/>
  <c r="Q60" i="14608"/>
  <c r="R60" i="14608"/>
  <c r="S60" i="14608"/>
  <c r="T60" i="14608"/>
  <c r="U60" i="14608"/>
  <c r="V60" i="14608"/>
  <c r="W60" i="14608"/>
  <c r="X60" i="14608"/>
  <c r="Y60" i="14608"/>
  <c r="Z60" i="14608"/>
  <c r="AA60" i="14608"/>
  <c r="AB60" i="14608"/>
  <c r="AC60" i="14608"/>
  <c r="AD60" i="14608"/>
  <c r="AE60" i="14608"/>
  <c r="AF60" i="14608"/>
  <c r="AG60" i="14608"/>
  <c r="AH60" i="14608"/>
  <c r="AI60" i="14608"/>
  <c r="AJ60" i="14608"/>
  <c r="AK60" i="14608"/>
  <c r="AL60" i="14608"/>
  <c r="AM60" i="14608"/>
  <c r="AN60" i="14608"/>
  <c r="AO60" i="14608"/>
  <c r="AP60" i="14608"/>
  <c r="AQ60" i="14608"/>
  <c r="AR60" i="14608"/>
  <c r="AS60" i="14608"/>
  <c r="AT60" i="14608"/>
  <c r="AU60" i="14608"/>
  <c r="AV60" i="14608"/>
  <c r="AW60" i="14608"/>
  <c r="AX60" i="14608"/>
  <c r="AY60" i="14608"/>
  <c r="AZ60" i="14608"/>
  <c r="BA60" i="14608"/>
  <c r="BB60" i="14608"/>
  <c r="BC60" i="14608"/>
  <c r="BD60" i="14608"/>
  <c r="BE60" i="14608"/>
  <c r="BF60" i="14608"/>
  <c r="BG60" i="14608"/>
  <c r="BH60" i="14608"/>
  <c r="BI60" i="14608"/>
  <c r="BJ60" i="14608"/>
  <c r="BK60" i="14608"/>
  <c r="BL60" i="14608"/>
  <c r="BM60" i="14608"/>
  <c r="BN60" i="14608"/>
  <c r="BO60" i="14608"/>
  <c r="BP60" i="14608"/>
  <c r="BQ60" i="14608"/>
  <c r="BR60" i="14608"/>
  <c r="BS60" i="14608"/>
  <c r="BT60" i="14608"/>
  <c r="BU60" i="14608"/>
  <c r="BV60" i="14608"/>
  <c r="BW60" i="14608"/>
  <c r="BX60" i="14608"/>
  <c r="BY60" i="14608"/>
  <c r="BZ60" i="14608"/>
  <c r="CA60" i="14608"/>
  <c r="CB60" i="14608"/>
  <c r="CC60" i="14608"/>
  <c r="CD60" i="14608"/>
  <c r="CE60" i="14608"/>
  <c r="CF60" i="14608"/>
  <c r="CG60" i="14608"/>
  <c r="CH60" i="14608"/>
  <c r="CI60" i="14608"/>
  <c r="CJ60" i="14608"/>
  <c r="CK60" i="14608"/>
  <c r="CL60" i="14608"/>
  <c r="CM60" i="14608"/>
  <c r="CN60" i="14608"/>
  <c r="CO60" i="14608"/>
  <c r="CP60" i="14608"/>
  <c r="CQ60" i="14608"/>
  <c r="CR60" i="14608"/>
  <c r="CS60" i="14608"/>
  <c r="CT60" i="14608"/>
  <c r="CU60" i="14608"/>
  <c r="CV60" i="14608"/>
  <c r="CW60" i="14608"/>
  <c r="CX60" i="14608"/>
  <c r="CY60" i="14608"/>
  <c r="CZ60" i="14608"/>
  <c r="DA60" i="14608"/>
  <c r="DB60" i="14608"/>
  <c r="DC60" i="14608"/>
  <c r="DD60" i="14608"/>
  <c r="DE60" i="14608"/>
  <c r="DF60" i="14608"/>
  <c r="DG60" i="14608"/>
  <c r="DH60" i="14608"/>
  <c r="DI60" i="14608"/>
  <c r="DJ60" i="14608"/>
  <c r="DK60" i="14608"/>
  <c r="DL60" i="14608"/>
  <c r="DM60" i="14608"/>
  <c r="DN60" i="14608"/>
  <c r="DO60" i="14608"/>
  <c r="DP60" i="14608"/>
  <c r="DQ60" i="14608"/>
  <c r="DR60" i="14608"/>
  <c r="DS60" i="14608"/>
  <c r="DT60" i="14608"/>
  <c r="DU60" i="14608"/>
  <c r="DV60" i="14608"/>
  <c r="DW60" i="14608"/>
  <c r="DX60" i="14608"/>
  <c r="DY60" i="14608"/>
  <c r="DZ60" i="14608"/>
  <c r="EA60" i="14608"/>
  <c r="EB60" i="14608"/>
  <c r="EC60" i="14608"/>
  <c r="ED60" i="14608"/>
  <c r="EE60" i="14608"/>
  <c r="EF60" i="14608"/>
  <c r="EG60" i="14608"/>
  <c r="EH60" i="14608"/>
  <c r="EI60" i="14608"/>
  <c r="EJ60" i="14608"/>
  <c r="EK60" i="14608"/>
  <c r="EL60" i="14608"/>
  <c r="EM60" i="14608"/>
  <c r="EN60" i="14608"/>
  <c r="EO60" i="14608"/>
  <c r="EP60" i="14608"/>
  <c r="EQ60" i="14608"/>
  <c r="ER60" i="14608"/>
  <c r="ES60" i="14608"/>
  <c r="ET60" i="14608"/>
  <c r="EU60" i="14608"/>
  <c r="EV60" i="14608"/>
  <c r="EW60" i="14608"/>
  <c r="EX60" i="14608"/>
  <c r="EY60" i="14608"/>
  <c r="EZ60" i="14608"/>
  <c r="FA60" i="14608"/>
  <c r="FB60" i="14608"/>
  <c r="FC60" i="14608"/>
  <c r="FD60" i="14608"/>
  <c r="FE60" i="14608"/>
  <c r="FF60" i="14608"/>
  <c r="FG60" i="14608"/>
  <c r="FH60" i="14608"/>
  <c r="FI60" i="14608"/>
  <c r="FJ60" i="14608"/>
  <c r="FK60" i="14608"/>
  <c r="FL60" i="14608"/>
  <c r="FM60" i="14608"/>
  <c r="FN60" i="14608"/>
  <c r="FO60" i="14608"/>
  <c r="FP60" i="14608"/>
  <c r="FQ60" i="14608"/>
  <c r="FR60" i="14608"/>
  <c r="FS60" i="14608"/>
  <c r="FT60" i="14608"/>
  <c r="FU60" i="14608"/>
  <c r="FV60" i="14608"/>
  <c r="FW60" i="14608"/>
  <c r="FX60" i="14608"/>
  <c r="FY60" i="14608"/>
  <c r="FZ60" i="14608"/>
  <c r="GA60" i="14608"/>
  <c r="GB60" i="14608"/>
  <c r="GC60" i="14608"/>
  <c r="GD60" i="14608"/>
  <c r="GE60" i="14608"/>
  <c r="GF60" i="14608"/>
  <c r="GG60" i="14608"/>
  <c r="GH60" i="14608"/>
  <c r="GI60" i="14608"/>
  <c r="GJ60" i="14608"/>
  <c r="GK60" i="14608"/>
  <c r="GL60" i="14608"/>
  <c r="GM60" i="14608"/>
  <c r="GN60" i="14608"/>
  <c r="GO60" i="14608"/>
  <c r="GP60" i="14608"/>
  <c r="GQ60" i="14608"/>
  <c r="GR60" i="14608"/>
  <c r="GS60" i="14608"/>
  <c r="GT60" i="14608"/>
  <c r="GU60" i="14608"/>
  <c r="GV60" i="14608"/>
  <c r="GW60" i="14608"/>
  <c r="GX60" i="14608"/>
  <c r="GY60" i="14608"/>
  <c r="GZ60" i="14608"/>
  <c r="HA60" i="14608"/>
  <c r="HB60" i="14608"/>
  <c r="HC60" i="14608"/>
  <c r="HD60" i="14608"/>
  <c r="HE60" i="14608"/>
  <c r="HF60" i="14608"/>
  <c r="HG60" i="14608"/>
  <c r="HH60" i="14608"/>
  <c r="HI60" i="14608"/>
  <c r="HJ60" i="14608"/>
  <c r="HK60" i="14608"/>
  <c r="HL60" i="14608"/>
  <c r="HM60" i="14608"/>
  <c r="HN60" i="14608"/>
  <c r="HO60" i="14608"/>
  <c r="HP60" i="14608"/>
  <c r="HQ60" i="14608"/>
  <c r="HR60" i="14608"/>
  <c r="HS60" i="14608"/>
  <c r="HT60" i="14608"/>
  <c r="HU60" i="14608"/>
  <c r="HV60" i="14608"/>
  <c r="HW60" i="14608"/>
  <c r="HX60" i="14608"/>
  <c r="HY60" i="14608"/>
  <c r="HZ60" i="14608"/>
  <c r="IA60" i="14608"/>
  <c r="IB60" i="14608"/>
  <c r="IC60" i="14608"/>
  <c r="ID60" i="14608"/>
  <c r="IE60" i="14608"/>
  <c r="IF60" i="14608"/>
  <c r="IG60" i="14608"/>
  <c r="IH60" i="14608"/>
  <c r="II60" i="14608"/>
  <c r="IJ60" i="14608"/>
  <c r="IK60" i="14608"/>
  <c r="IL60" i="14608"/>
  <c r="IM60" i="14608"/>
  <c r="IN60" i="14608"/>
  <c r="IO60" i="14608"/>
  <c r="IP60" i="14608"/>
  <c r="IQ60" i="14608"/>
  <c r="IR60" i="14608"/>
  <c r="IS60" i="14608"/>
  <c r="IT60" i="14608"/>
  <c r="IU60" i="14608"/>
  <c r="IV60" i="14608"/>
  <c r="A59" i="14608"/>
  <c r="B59" i="14608"/>
  <c r="C59" i="14608"/>
  <c r="D59" i="14608"/>
  <c r="E59" i="14608"/>
  <c r="F59" i="14608"/>
  <c r="G59" i="14608"/>
  <c r="H59" i="14608"/>
  <c r="I59" i="14608"/>
  <c r="J59" i="14608"/>
  <c r="K59" i="14608"/>
  <c r="L59" i="14608"/>
  <c r="M59" i="14608"/>
  <c r="N59" i="14608"/>
  <c r="O59" i="14608"/>
  <c r="P59" i="14608"/>
  <c r="Q59" i="14608"/>
  <c r="R59" i="14608"/>
  <c r="S59" i="14608"/>
  <c r="T59" i="14608"/>
  <c r="U59" i="14608"/>
  <c r="V59" i="14608"/>
  <c r="W59" i="14608"/>
  <c r="X59" i="14608"/>
  <c r="Y59" i="14608"/>
  <c r="Z59" i="14608"/>
  <c r="AA59" i="14608"/>
  <c r="AB59" i="14608"/>
  <c r="AC59" i="14608"/>
  <c r="AD59" i="14608"/>
  <c r="AE59" i="14608"/>
  <c r="AF59" i="14608"/>
  <c r="AG59" i="14608"/>
  <c r="AH59" i="14608"/>
  <c r="AI59" i="14608"/>
  <c r="AJ59" i="14608"/>
  <c r="AK59" i="14608"/>
  <c r="AL59" i="14608"/>
  <c r="AM59" i="14608"/>
  <c r="AN59" i="14608"/>
  <c r="AO59" i="14608"/>
  <c r="AP59" i="14608"/>
  <c r="AQ59" i="14608"/>
  <c r="AR59" i="14608"/>
  <c r="AS59" i="14608"/>
  <c r="AT59" i="14608"/>
  <c r="AU59" i="14608"/>
  <c r="AV59" i="14608"/>
  <c r="AW59" i="14608"/>
  <c r="AX59" i="14608"/>
  <c r="AY59" i="14608"/>
  <c r="AZ59" i="14608"/>
  <c r="BA59" i="14608"/>
  <c r="BB59" i="14608"/>
  <c r="BC59" i="14608"/>
  <c r="BD59" i="14608"/>
  <c r="BE59" i="14608"/>
  <c r="BF59" i="14608"/>
  <c r="BG59" i="14608"/>
  <c r="BH59" i="14608"/>
  <c r="BI59" i="14608"/>
  <c r="BJ59" i="14608"/>
  <c r="BK59" i="14608"/>
  <c r="BL59" i="14608"/>
  <c r="BM59" i="14608"/>
  <c r="BN59" i="14608"/>
  <c r="BO59" i="14608"/>
  <c r="BP59" i="14608"/>
  <c r="BQ59" i="14608"/>
  <c r="BR59" i="14608"/>
  <c r="BS59" i="14608"/>
  <c r="BT59" i="14608"/>
  <c r="BU59" i="14608"/>
  <c r="BV59" i="14608"/>
  <c r="BW59" i="14608"/>
  <c r="BX59" i="14608"/>
  <c r="BY59" i="14608"/>
  <c r="BZ59" i="14608"/>
  <c r="CA59" i="14608"/>
  <c r="CB59" i="14608"/>
  <c r="CC59" i="14608"/>
  <c r="CD59" i="14608"/>
  <c r="CE59" i="14608"/>
  <c r="CF59" i="14608"/>
  <c r="CG59" i="14608"/>
  <c r="CH59" i="14608"/>
  <c r="CI59" i="14608"/>
  <c r="CJ59" i="14608"/>
  <c r="CK59" i="14608"/>
  <c r="CL59" i="14608"/>
  <c r="CM59" i="14608"/>
  <c r="CN59" i="14608"/>
  <c r="CO59" i="14608"/>
  <c r="CP59" i="14608"/>
  <c r="CQ59" i="14608"/>
  <c r="CR59" i="14608"/>
  <c r="CS59" i="14608"/>
  <c r="CT59" i="14608"/>
  <c r="CU59" i="14608"/>
  <c r="CV59" i="14608"/>
  <c r="CW59" i="14608"/>
  <c r="CX59" i="14608"/>
  <c r="CY59" i="14608"/>
  <c r="CZ59" i="14608"/>
  <c r="DA59" i="14608"/>
  <c r="DB59" i="14608"/>
  <c r="DC59" i="14608"/>
  <c r="DD59" i="14608"/>
  <c r="DE59" i="14608"/>
  <c r="DF59" i="14608"/>
  <c r="DG59" i="14608"/>
  <c r="DH59" i="14608"/>
  <c r="DI59" i="14608"/>
  <c r="DJ59" i="14608"/>
  <c r="DK59" i="14608"/>
  <c r="DL59" i="14608"/>
  <c r="DM59" i="14608"/>
  <c r="DN59" i="14608"/>
  <c r="DO59" i="14608"/>
  <c r="DP59" i="14608"/>
  <c r="DQ59" i="14608"/>
  <c r="DR59" i="14608"/>
  <c r="DS59" i="14608"/>
  <c r="DT59" i="14608"/>
  <c r="DU59" i="14608"/>
  <c r="DV59" i="14608"/>
  <c r="DW59" i="14608"/>
  <c r="DX59" i="14608"/>
  <c r="DY59" i="14608"/>
  <c r="DZ59" i="14608"/>
  <c r="EA59" i="14608"/>
  <c r="EB59" i="14608"/>
  <c r="EC59" i="14608"/>
  <c r="ED59" i="14608"/>
  <c r="EE59" i="14608"/>
  <c r="EF59" i="14608"/>
  <c r="EG59" i="14608"/>
  <c r="EH59" i="14608"/>
  <c r="EI59" i="14608"/>
  <c r="EJ59" i="14608"/>
  <c r="EK59" i="14608"/>
  <c r="EL59" i="14608"/>
  <c r="EM59" i="14608"/>
  <c r="EN59" i="14608"/>
  <c r="EO59" i="14608"/>
  <c r="EP59" i="14608"/>
  <c r="EQ59" i="14608"/>
  <c r="ER59" i="14608"/>
  <c r="ES59" i="14608"/>
  <c r="ET59" i="14608"/>
  <c r="EU59" i="14608"/>
  <c r="EV59" i="14608"/>
  <c r="EW59" i="14608"/>
  <c r="EX59" i="14608"/>
  <c r="EY59" i="14608"/>
  <c r="EZ59" i="14608"/>
  <c r="FA59" i="14608"/>
  <c r="FB59" i="14608"/>
  <c r="FC59" i="14608"/>
  <c r="FD59" i="14608"/>
  <c r="FE59" i="14608"/>
  <c r="FF59" i="14608"/>
  <c r="FG59" i="14608"/>
  <c r="FH59" i="14608"/>
  <c r="FI59" i="14608"/>
  <c r="FJ59" i="14608"/>
  <c r="FK59" i="14608"/>
  <c r="FL59" i="14608"/>
  <c r="FM59" i="14608"/>
  <c r="FN59" i="14608"/>
  <c r="FO59" i="14608"/>
  <c r="FP59" i="14608"/>
  <c r="FQ59" i="14608"/>
  <c r="FR59" i="14608"/>
  <c r="FS59" i="14608"/>
  <c r="FT59" i="14608"/>
  <c r="FU59" i="14608"/>
  <c r="FV59" i="14608"/>
  <c r="FW59" i="14608"/>
  <c r="FX59" i="14608"/>
  <c r="FY59" i="14608"/>
  <c r="FZ59" i="14608"/>
  <c r="GA59" i="14608"/>
  <c r="GB59" i="14608"/>
  <c r="GC59" i="14608"/>
  <c r="GD59" i="14608"/>
  <c r="GE59" i="14608"/>
  <c r="GF59" i="14608"/>
  <c r="GG59" i="14608"/>
  <c r="GH59" i="14608"/>
  <c r="GI59" i="14608"/>
  <c r="GJ59" i="14608"/>
  <c r="GK59" i="14608"/>
  <c r="GL59" i="14608"/>
  <c r="GM59" i="14608"/>
  <c r="GN59" i="14608"/>
  <c r="GO59" i="14608"/>
  <c r="GP59" i="14608"/>
  <c r="GQ59" i="14608"/>
  <c r="GR59" i="14608"/>
  <c r="GS59" i="14608"/>
  <c r="GT59" i="14608"/>
  <c r="GU59" i="14608"/>
  <c r="GV59" i="14608"/>
  <c r="GW59" i="14608"/>
  <c r="GX59" i="14608"/>
  <c r="GY59" i="14608"/>
  <c r="GZ59" i="14608"/>
  <c r="HA59" i="14608"/>
  <c r="HB59" i="14608"/>
  <c r="HC59" i="14608"/>
  <c r="HD59" i="14608"/>
  <c r="HE59" i="14608"/>
  <c r="HF59" i="14608"/>
  <c r="HG59" i="14608"/>
  <c r="HH59" i="14608"/>
  <c r="HI59" i="14608"/>
  <c r="HJ59" i="14608"/>
  <c r="HK59" i="14608"/>
  <c r="HL59" i="14608"/>
  <c r="HM59" i="14608"/>
  <c r="HN59" i="14608"/>
  <c r="HO59" i="14608"/>
  <c r="HP59" i="14608"/>
  <c r="HQ59" i="14608"/>
  <c r="HR59" i="14608"/>
  <c r="HS59" i="14608"/>
  <c r="HT59" i="14608"/>
  <c r="HU59" i="14608"/>
  <c r="HV59" i="14608"/>
  <c r="HW59" i="14608"/>
  <c r="HX59" i="14608"/>
  <c r="HY59" i="14608"/>
  <c r="HZ59" i="14608"/>
  <c r="IA59" i="14608"/>
  <c r="IB59" i="14608"/>
  <c r="IC59" i="14608"/>
  <c r="ID59" i="14608"/>
  <c r="IE59" i="14608"/>
  <c r="IF59" i="14608"/>
  <c r="IG59" i="14608"/>
  <c r="IH59" i="14608"/>
  <c r="II59" i="14608"/>
  <c r="IJ59" i="14608"/>
  <c r="IK59" i="14608"/>
  <c r="IL59" i="14608"/>
  <c r="IM59" i="14608"/>
  <c r="IN59" i="14608"/>
  <c r="IO59" i="14608"/>
  <c r="IP59" i="14608"/>
  <c r="IQ59" i="14608"/>
  <c r="IR59" i="14608"/>
  <c r="IS59" i="14608"/>
  <c r="IT59" i="14608"/>
  <c r="IU59" i="14608"/>
  <c r="IV59" i="14608"/>
  <c r="A58" i="14608"/>
  <c r="B58" i="14608"/>
  <c r="C58" i="14608"/>
  <c r="D58" i="14608"/>
  <c r="E58" i="14608"/>
  <c r="F58" i="14608"/>
  <c r="G58" i="14608"/>
  <c r="H58" i="14608"/>
  <c r="I58" i="14608"/>
  <c r="J58" i="14608"/>
  <c r="K58" i="14608"/>
  <c r="L58" i="14608"/>
  <c r="M58" i="14608"/>
  <c r="N58" i="14608"/>
  <c r="O58" i="14608"/>
  <c r="P58" i="14608"/>
  <c r="Q58" i="14608"/>
  <c r="R58" i="14608"/>
  <c r="S58" i="14608"/>
  <c r="T58" i="14608"/>
  <c r="U58" i="14608"/>
  <c r="V58" i="14608"/>
  <c r="W58" i="14608"/>
  <c r="X58" i="14608"/>
  <c r="Y58" i="14608"/>
  <c r="Z58" i="14608"/>
  <c r="AA58" i="14608"/>
  <c r="AB58" i="14608"/>
  <c r="AC58" i="14608"/>
  <c r="AD58" i="14608"/>
  <c r="AE58" i="14608"/>
  <c r="AF58" i="14608"/>
  <c r="AG58" i="14608"/>
  <c r="AH58" i="14608"/>
  <c r="AI58" i="14608"/>
  <c r="AJ58" i="14608"/>
  <c r="AK58" i="14608"/>
  <c r="AL58" i="14608"/>
  <c r="AM58" i="14608"/>
  <c r="AN58" i="14608"/>
  <c r="AO58" i="14608"/>
  <c r="AP58" i="14608"/>
  <c r="AQ58" i="14608"/>
  <c r="AR58" i="14608"/>
  <c r="AS58" i="14608"/>
  <c r="AT58" i="14608"/>
  <c r="AU58" i="14608"/>
  <c r="AV58" i="14608"/>
  <c r="AW58" i="14608"/>
  <c r="AX58" i="14608"/>
  <c r="AY58" i="14608"/>
  <c r="AZ58" i="14608"/>
  <c r="BA58" i="14608"/>
  <c r="BB58" i="14608"/>
  <c r="BC58" i="14608"/>
  <c r="BD58" i="14608"/>
  <c r="BE58" i="14608"/>
  <c r="BF58" i="14608"/>
  <c r="BG58" i="14608"/>
  <c r="BH58" i="14608"/>
  <c r="BI58" i="14608"/>
  <c r="BJ58" i="14608"/>
  <c r="BK58" i="14608"/>
  <c r="BL58" i="14608"/>
  <c r="BM58" i="14608"/>
  <c r="BN58" i="14608"/>
  <c r="BO58" i="14608"/>
  <c r="BP58" i="14608"/>
  <c r="BQ58" i="14608"/>
  <c r="BR58" i="14608"/>
  <c r="BS58" i="14608"/>
  <c r="BT58" i="14608"/>
  <c r="BU58" i="14608"/>
  <c r="BV58" i="14608"/>
  <c r="BW58" i="14608"/>
  <c r="BX58" i="14608"/>
  <c r="BY58" i="14608"/>
  <c r="BZ58" i="14608"/>
  <c r="CA58" i="14608"/>
  <c r="CB58" i="14608"/>
  <c r="CC58" i="14608"/>
  <c r="CD58" i="14608"/>
  <c r="CE58" i="14608"/>
  <c r="CF58" i="14608"/>
  <c r="CG58" i="14608"/>
  <c r="CH58" i="14608"/>
  <c r="CI58" i="14608"/>
  <c r="CJ58" i="14608"/>
  <c r="CK58" i="14608"/>
  <c r="CL58" i="14608"/>
  <c r="CM58" i="14608"/>
  <c r="CN58" i="14608"/>
  <c r="CO58" i="14608"/>
  <c r="CP58" i="14608"/>
  <c r="CQ58" i="14608"/>
  <c r="CR58" i="14608"/>
  <c r="CS58" i="14608"/>
  <c r="CT58" i="14608"/>
  <c r="CU58" i="14608"/>
  <c r="CV58" i="14608"/>
  <c r="CW58" i="14608"/>
  <c r="CX58" i="14608"/>
  <c r="CY58" i="14608"/>
  <c r="CZ58" i="14608"/>
  <c r="DA58" i="14608"/>
  <c r="DB58" i="14608"/>
  <c r="DC58" i="14608"/>
  <c r="DD58" i="14608"/>
  <c r="DE58" i="14608"/>
  <c r="DF58" i="14608"/>
  <c r="DG58" i="14608"/>
  <c r="DH58" i="14608"/>
  <c r="DI58" i="14608"/>
  <c r="DJ58" i="14608"/>
  <c r="DK58" i="14608"/>
  <c r="DL58" i="14608"/>
  <c r="DM58" i="14608"/>
  <c r="DN58" i="14608"/>
  <c r="DO58" i="14608"/>
  <c r="DP58" i="14608"/>
  <c r="DQ58" i="14608"/>
  <c r="DR58" i="14608"/>
  <c r="DS58" i="14608"/>
  <c r="DT58" i="14608"/>
  <c r="DU58" i="14608"/>
  <c r="DV58" i="14608"/>
  <c r="DW58" i="14608"/>
  <c r="DX58" i="14608"/>
  <c r="DY58" i="14608"/>
  <c r="DZ58" i="14608"/>
  <c r="EA58" i="14608"/>
  <c r="EB58" i="14608"/>
  <c r="EC58" i="14608"/>
  <c r="ED58" i="14608"/>
  <c r="EE58" i="14608"/>
  <c r="EF58" i="14608"/>
  <c r="EG58" i="14608"/>
  <c r="EH58" i="14608"/>
  <c r="EI58" i="14608"/>
  <c r="EJ58" i="14608"/>
  <c r="EK58" i="14608"/>
  <c r="EL58" i="14608"/>
  <c r="EM58" i="14608"/>
  <c r="EN58" i="14608"/>
  <c r="EO58" i="14608"/>
  <c r="EP58" i="14608"/>
  <c r="EQ58" i="14608"/>
  <c r="ER58" i="14608"/>
  <c r="ES58" i="14608"/>
  <c r="ET58" i="14608"/>
  <c r="EU58" i="14608"/>
  <c r="EV58" i="14608"/>
  <c r="EW58" i="14608"/>
  <c r="EX58" i="14608"/>
  <c r="EY58" i="14608"/>
  <c r="EZ58" i="14608"/>
  <c r="FA58" i="14608"/>
  <c r="FB58" i="14608"/>
  <c r="FC58" i="14608"/>
  <c r="FD58" i="14608"/>
  <c r="FE58" i="14608"/>
  <c r="FF58" i="14608"/>
  <c r="FG58" i="14608"/>
  <c r="FH58" i="14608"/>
  <c r="FI58" i="14608"/>
  <c r="FJ58" i="14608"/>
  <c r="FK58" i="14608"/>
  <c r="FL58" i="14608"/>
  <c r="FM58" i="14608"/>
  <c r="FN58" i="14608"/>
  <c r="FO58" i="14608"/>
  <c r="FP58" i="14608"/>
  <c r="FQ58" i="14608"/>
  <c r="FR58" i="14608"/>
  <c r="FS58" i="14608"/>
  <c r="FT58" i="14608"/>
  <c r="FU58" i="14608"/>
  <c r="FV58" i="14608"/>
  <c r="FW58" i="14608"/>
  <c r="FX58" i="14608"/>
  <c r="FY58" i="14608"/>
  <c r="FZ58" i="14608"/>
  <c r="GA58" i="14608"/>
  <c r="GB58" i="14608"/>
  <c r="GC58" i="14608"/>
  <c r="GD58" i="14608"/>
  <c r="GE58" i="14608"/>
  <c r="GF58" i="14608"/>
  <c r="GG58" i="14608"/>
  <c r="GH58" i="14608"/>
  <c r="GI58" i="14608"/>
  <c r="GJ58" i="14608"/>
  <c r="GK58" i="14608"/>
  <c r="GL58" i="14608"/>
  <c r="GM58" i="14608"/>
  <c r="GN58" i="14608"/>
  <c r="GO58" i="14608"/>
  <c r="GP58" i="14608"/>
  <c r="GQ58" i="14608"/>
  <c r="GR58" i="14608"/>
  <c r="GS58" i="14608"/>
  <c r="GT58" i="14608"/>
  <c r="GU58" i="14608"/>
  <c r="GV58" i="14608"/>
  <c r="GW58" i="14608"/>
  <c r="GX58" i="14608"/>
  <c r="GY58" i="14608"/>
  <c r="GZ58" i="14608"/>
  <c r="HA58" i="14608"/>
  <c r="HB58" i="14608"/>
  <c r="HC58" i="14608"/>
  <c r="HD58" i="14608"/>
  <c r="HE58" i="14608"/>
  <c r="HF58" i="14608"/>
  <c r="HG58" i="14608"/>
  <c r="HH58" i="14608"/>
  <c r="HI58" i="14608"/>
  <c r="HJ58" i="14608"/>
  <c r="HK58" i="14608"/>
  <c r="HL58" i="14608"/>
  <c r="HM58" i="14608"/>
  <c r="HN58" i="14608"/>
  <c r="HO58" i="14608"/>
  <c r="HP58" i="14608"/>
  <c r="HQ58" i="14608"/>
  <c r="HR58" i="14608"/>
  <c r="HS58" i="14608"/>
  <c r="HT58" i="14608"/>
  <c r="HU58" i="14608"/>
  <c r="HV58" i="14608"/>
  <c r="HW58" i="14608"/>
  <c r="HX58" i="14608"/>
  <c r="HY58" i="14608"/>
  <c r="HZ58" i="14608"/>
  <c r="IA58" i="14608"/>
  <c r="IB58" i="14608"/>
  <c r="IC58" i="14608"/>
  <c r="ID58" i="14608"/>
  <c r="IE58" i="14608"/>
  <c r="IF58" i="14608"/>
  <c r="IG58" i="14608"/>
  <c r="IH58" i="14608"/>
  <c r="II58" i="14608"/>
  <c r="IJ58" i="14608"/>
  <c r="IK58" i="14608"/>
  <c r="IL58" i="14608"/>
  <c r="IM58" i="14608"/>
  <c r="IN58" i="14608"/>
  <c r="IO58" i="14608"/>
  <c r="IP58" i="14608"/>
  <c r="IQ58" i="14608"/>
  <c r="IR58" i="14608"/>
  <c r="IS58" i="14608"/>
  <c r="IT58" i="14608"/>
  <c r="IU58" i="14608"/>
  <c r="IV58" i="14608"/>
  <c r="A57" i="14608"/>
  <c r="B57" i="14608"/>
  <c r="C57" i="14608"/>
  <c r="D57" i="14608"/>
  <c r="E57" i="14608"/>
  <c r="F57" i="14608"/>
  <c r="G57" i="14608"/>
  <c r="H57" i="14608"/>
  <c r="I57" i="14608"/>
  <c r="J57" i="14608"/>
  <c r="K57" i="14608"/>
  <c r="L57" i="14608"/>
  <c r="M57" i="14608"/>
  <c r="N57" i="14608"/>
  <c r="O57" i="14608"/>
  <c r="P57" i="14608"/>
  <c r="Q57" i="14608"/>
  <c r="R57" i="14608"/>
  <c r="S57" i="14608"/>
  <c r="T57" i="14608"/>
  <c r="U57" i="14608"/>
  <c r="V57" i="14608"/>
  <c r="W57" i="14608"/>
  <c r="X57" i="14608"/>
  <c r="Y57" i="14608"/>
  <c r="Z57" i="14608"/>
  <c r="AA57" i="14608"/>
  <c r="AB57" i="14608"/>
  <c r="AC57" i="14608"/>
  <c r="AD57" i="14608"/>
  <c r="AE57" i="14608"/>
  <c r="AF57" i="14608"/>
  <c r="AG57" i="14608"/>
  <c r="AH57" i="14608"/>
  <c r="AI57" i="14608"/>
  <c r="AJ57" i="14608"/>
  <c r="AK57" i="14608"/>
  <c r="AL57" i="14608"/>
  <c r="AM57" i="14608"/>
  <c r="AN57" i="14608"/>
  <c r="AO57" i="14608"/>
  <c r="AP57" i="14608"/>
  <c r="AQ57" i="14608"/>
  <c r="AR57" i="14608"/>
  <c r="AS57" i="14608"/>
  <c r="AT57" i="14608"/>
  <c r="AU57" i="14608"/>
  <c r="AV57" i="14608"/>
  <c r="AW57" i="14608"/>
  <c r="AX57" i="14608"/>
  <c r="AY57" i="14608"/>
  <c r="AZ57" i="14608"/>
  <c r="BA57" i="14608"/>
  <c r="BB57" i="14608"/>
  <c r="BC57" i="14608"/>
  <c r="BD57" i="14608"/>
  <c r="BE57" i="14608"/>
  <c r="BF57" i="14608"/>
  <c r="BG57" i="14608"/>
  <c r="BH57" i="14608"/>
  <c r="BI57" i="14608"/>
  <c r="BJ57" i="14608"/>
  <c r="BK57" i="14608"/>
  <c r="BL57" i="14608"/>
  <c r="BM57" i="14608"/>
  <c r="BN57" i="14608"/>
  <c r="BO57" i="14608"/>
  <c r="BP57" i="14608"/>
  <c r="BQ57" i="14608"/>
  <c r="BR57" i="14608"/>
  <c r="BS57" i="14608"/>
  <c r="BT57" i="14608"/>
  <c r="BU57" i="14608"/>
  <c r="BV57" i="14608"/>
  <c r="BW57" i="14608"/>
  <c r="BX57" i="14608"/>
  <c r="BY57" i="14608"/>
  <c r="BZ57" i="14608"/>
  <c r="CA57" i="14608"/>
  <c r="CB57" i="14608"/>
  <c r="CC57" i="14608"/>
  <c r="CD57" i="14608"/>
  <c r="CE57" i="14608"/>
  <c r="CF57" i="14608"/>
  <c r="CG57" i="14608"/>
  <c r="CH57" i="14608"/>
  <c r="CI57" i="14608"/>
  <c r="CJ57" i="14608"/>
  <c r="CK57" i="14608"/>
  <c r="CL57" i="14608"/>
  <c r="CM57" i="14608"/>
  <c r="CN57" i="14608"/>
  <c r="CO57" i="14608"/>
  <c r="CP57" i="14608"/>
  <c r="CQ57" i="14608"/>
  <c r="CR57" i="14608"/>
  <c r="CS57" i="14608"/>
  <c r="CT57" i="14608"/>
  <c r="CU57" i="14608"/>
  <c r="CV57" i="14608"/>
  <c r="CW57" i="14608"/>
  <c r="CX57" i="14608"/>
  <c r="CY57" i="14608"/>
  <c r="CZ57" i="14608"/>
  <c r="DA57" i="14608"/>
  <c r="DB57" i="14608"/>
  <c r="DC57" i="14608"/>
  <c r="DD57" i="14608"/>
  <c r="DE57" i="14608"/>
  <c r="DF57" i="14608"/>
  <c r="DG57" i="14608"/>
  <c r="DH57" i="14608"/>
  <c r="DI57" i="14608"/>
  <c r="DJ57" i="14608"/>
  <c r="DK57" i="14608"/>
  <c r="DL57" i="14608"/>
  <c r="DM57" i="14608"/>
  <c r="DN57" i="14608"/>
  <c r="DO57" i="14608"/>
  <c r="DP57" i="14608"/>
  <c r="DQ57" i="14608"/>
  <c r="DR57" i="14608"/>
  <c r="DS57" i="14608"/>
  <c r="DT57" i="14608"/>
  <c r="DU57" i="14608"/>
  <c r="DV57" i="14608"/>
  <c r="DW57" i="14608"/>
  <c r="DX57" i="14608"/>
  <c r="DY57" i="14608"/>
  <c r="DZ57" i="14608"/>
  <c r="EA57" i="14608"/>
  <c r="EB57" i="14608"/>
  <c r="EC57" i="14608"/>
  <c r="ED57" i="14608"/>
  <c r="EE57" i="14608"/>
  <c r="EF57" i="14608"/>
  <c r="EG57" i="14608"/>
  <c r="EH57" i="14608"/>
  <c r="EI57" i="14608"/>
  <c r="EJ57" i="14608"/>
  <c r="EK57" i="14608"/>
  <c r="EL57" i="14608"/>
  <c r="EM57" i="14608"/>
  <c r="EN57" i="14608"/>
  <c r="EO57" i="14608"/>
  <c r="EP57" i="14608"/>
  <c r="EQ57" i="14608"/>
  <c r="ER57" i="14608"/>
  <c r="ES57" i="14608"/>
  <c r="ET57" i="14608"/>
  <c r="EU57" i="14608"/>
  <c r="EV57" i="14608"/>
  <c r="EW57" i="14608"/>
  <c r="EX57" i="14608"/>
  <c r="EY57" i="14608"/>
  <c r="EZ57" i="14608"/>
  <c r="FA57" i="14608"/>
  <c r="FB57" i="14608"/>
  <c r="FC57" i="14608"/>
  <c r="FD57" i="14608"/>
  <c r="FE57" i="14608"/>
  <c r="FF57" i="14608"/>
  <c r="FG57" i="14608"/>
  <c r="FH57" i="14608"/>
  <c r="FI57" i="14608"/>
  <c r="FJ57" i="14608"/>
  <c r="FK57" i="14608"/>
  <c r="FL57" i="14608"/>
  <c r="FM57" i="14608"/>
  <c r="FN57" i="14608"/>
  <c r="FO57" i="14608"/>
  <c r="FP57" i="14608"/>
  <c r="FQ57" i="14608"/>
  <c r="FR57" i="14608"/>
  <c r="FS57" i="14608"/>
  <c r="FT57" i="14608"/>
  <c r="FU57" i="14608"/>
  <c r="FV57" i="14608"/>
  <c r="FW57" i="14608"/>
  <c r="FX57" i="14608"/>
  <c r="FY57" i="14608"/>
  <c r="FZ57" i="14608"/>
  <c r="GA57" i="14608"/>
  <c r="GB57" i="14608"/>
  <c r="GC57" i="14608"/>
  <c r="GD57" i="14608"/>
  <c r="GE57" i="14608"/>
  <c r="GF57" i="14608"/>
  <c r="GG57" i="14608"/>
  <c r="GH57" i="14608"/>
  <c r="GI57" i="14608"/>
  <c r="GJ57" i="14608"/>
  <c r="GK57" i="14608"/>
  <c r="GL57" i="14608"/>
  <c r="GM57" i="14608"/>
  <c r="GN57" i="14608"/>
  <c r="GO57" i="14608"/>
  <c r="GP57" i="14608"/>
  <c r="GQ57" i="14608"/>
  <c r="GR57" i="14608"/>
  <c r="GS57" i="14608"/>
  <c r="GT57" i="14608"/>
  <c r="GU57" i="14608"/>
  <c r="GV57" i="14608"/>
  <c r="GW57" i="14608"/>
  <c r="GX57" i="14608"/>
  <c r="GY57" i="14608"/>
  <c r="GZ57" i="14608"/>
  <c r="HA57" i="14608"/>
  <c r="HB57" i="14608"/>
  <c r="HC57" i="14608"/>
  <c r="HD57" i="14608"/>
  <c r="HE57" i="14608"/>
  <c r="HF57" i="14608"/>
  <c r="HG57" i="14608"/>
  <c r="HH57" i="14608"/>
  <c r="HI57" i="14608"/>
  <c r="HJ57" i="14608"/>
  <c r="HK57" i="14608"/>
  <c r="HL57" i="14608"/>
  <c r="HM57" i="14608"/>
  <c r="HN57" i="14608"/>
  <c r="HO57" i="14608"/>
  <c r="HP57" i="14608"/>
  <c r="HQ57" i="14608"/>
  <c r="HR57" i="14608"/>
  <c r="HS57" i="14608"/>
  <c r="HT57" i="14608"/>
  <c r="HU57" i="14608"/>
  <c r="HV57" i="14608"/>
  <c r="HW57" i="14608"/>
  <c r="HX57" i="14608"/>
  <c r="HY57" i="14608"/>
  <c r="HZ57" i="14608"/>
  <c r="IA57" i="14608"/>
  <c r="IB57" i="14608"/>
  <c r="IC57" i="14608"/>
  <c r="ID57" i="14608"/>
  <c r="IE57" i="14608"/>
  <c r="IF57" i="14608"/>
  <c r="IG57" i="14608"/>
  <c r="IH57" i="14608"/>
  <c r="II57" i="14608"/>
  <c r="IJ57" i="14608"/>
  <c r="IK57" i="14608"/>
  <c r="IL57" i="14608"/>
  <c r="IM57" i="14608"/>
  <c r="IN57" i="14608"/>
  <c r="IO57" i="14608"/>
  <c r="IP57" i="14608"/>
  <c r="IQ57" i="14608"/>
  <c r="IR57" i="14608"/>
  <c r="IS57" i="14608"/>
  <c r="IT57" i="14608"/>
  <c r="IU57" i="14608"/>
  <c r="IV57" i="14608"/>
  <c r="A56" i="14608"/>
  <c r="B56" i="14608"/>
  <c r="C56" i="14608"/>
  <c r="D56" i="14608"/>
  <c r="E56" i="14608"/>
  <c r="F56" i="14608"/>
  <c r="G56" i="14608"/>
  <c r="H56" i="14608"/>
  <c r="I56" i="14608"/>
  <c r="J56" i="14608"/>
  <c r="K56" i="14608"/>
  <c r="L56" i="14608"/>
  <c r="M56" i="14608"/>
  <c r="N56" i="14608"/>
  <c r="O56" i="14608"/>
  <c r="P56" i="14608"/>
  <c r="Q56" i="14608"/>
  <c r="R56" i="14608"/>
  <c r="S56" i="14608"/>
  <c r="T56" i="14608"/>
  <c r="U56" i="14608"/>
  <c r="V56" i="14608"/>
  <c r="W56" i="14608"/>
  <c r="X56" i="14608"/>
  <c r="Y56" i="14608"/>
  <c r="Z56" i="14608"/>
  <c r="AA56" i="14608"/>
  <c r="AB56" i="14608"/>
  <c r="AC56" i="14608"/>
  <c r="AD56" i="14608"/>
  <c r="AE56" i="14608"/>
  <c r="AF56" i="14608"/>
  <c r="AG56" i="14608"/>
  <c r="AH56" i="14608"/>
  <c r="AI56" i="14608"/>
  <c r="AJ56" i="14608"/>
  <c r="AK56" i="14608"/>
  <c r="AL56" i="14608"/>
  <c r="AM56" i="14608"/>
  <c r="AN56" i="14608"/>
  <c r="AO56" i="14608"/>
  <c r="AP56" i="14608"/>
  <c r="AQ56" i="14608"/>
  <c r="AR56" i="14608"/>
  <c r="AS56" i="14608"/>
  <c r="AT56" i="14608"/>
  <c r="AU56" i="14608"/>
  <c r="AV56" i="14608"/>
  <c r="AW56" i="14608"/>
  <c r="AX56" i="14608"/>
  <c r="AY56" i="14608"/>
  <c r="AZ56" i="14608"/>
  <c r="BA56" i="14608"/>
  <c r="BB56" i="14608"/>
  <c r="BC56" i="14608"/>
  <c r="BD56" i="14608"/>
  <c r="BE56" i="14608"/>
  <c r="BF56" i="14608"/>
  <c r="BG56" i="14608"/>
  <c r="BH56" i="14608"/>
  <c r="BI56" i="14608"/>
  <c r="BJ56" i="14608"/>
  <c r="BK56" i="14608"/>
  <c r="BL56" i="14608"/>
  <c r="BM56" i="14608"/>
  <c r="BN56" i="14608"/>
  <c r="BO56" i="14608"/>
  <c r="BP56" i="14608"/>
  <c r="BQ56" i="14608"/>
  <c r="BR56" i="14608"/>
  <c r="BS56" i="14608"/>
  <c r="BT56" i="14608"/>
  <c r="BU56" i="14608"/>
  <c r="BV56" i="14608"/>
  <c r="BW56" i="14608"/>
  <c r="BX56" i="14608"/>
  <c r="BY56" i="14608"/>
  <c r="BZ56" i="14608"/>
  <c r="CA56" i="14608"/>
  <c r="CB56" i="14608"/>
  <c r="CC56" i="14608"/>
  <c r="CD56" i="14608"/>
  <c r="CE56" i="14608"/>
  <c r="CF56" i="14608"/>
  <c r="CG56" i="14608"/>
  <c r="CH56" i="14608"/>
  <c r="CI56" i="14608"/>
  <c r="CJ56" i="14608"/>
  <c r="CK56" i="14608"/>
  <c r="CL56" i="14608"/>
  <c r="CM56" i="14608"/>
  <c r="CN56" i="14608"/>
  <c r="CO56" i="14608"/>
  <c r="CP56" i="14608"/>
  <c r="CQ56" i="14608"/>
  <c r="CR56" i="14608"/>
  <c r="CS56" i="14608"/>
  <c r="CT56" i="14608"/>
  <c r="CU56" i="14608"/>
  <c r="CV56" i="14608"/>
  <c r="CW56" i="14608"/>
  <c r="CX56" i="14608"/>
  <c r="CY56" i="14608"/>
  <c r="CZ56" i="14608"/>
  <c r="DA56" i="14608"/>
  <c r="DB56" i="14608"/>
  <c r="DC56" i="14608"/>
  <c r="DD56" i="14608"/>
  <c r="DE56" i="14608"/>
  <c r="DF56" i="14608"/>
  <c r="DG56" i="14608"/>
  <c r="DH56" i="14608"/>
  <c r="DI56" i="14608"/>
  <c r="DJ56" i="14608"/>
  <c r="DK56" i="14608"/>
  <c r="DL56" i="14608"/>
  <c r="DM56" i="14608"/>
  <c r="DN56" i="14608"/>
  <c r="DO56" i="14608"/>
  <c r="DP56" i="14608"/>
  <c r="DQ56" i="14608"/>
  <c r="DR56" i="14608"/>
  <c r="DS56" i="14608"/>
  <c r="DT56" i="14608"/>
  <c r="DU56" i="14608"/>
  <c r="DV56" i="14608"/>
  <c r="DW56" i="14608"/>
  <c r="DX56" i="14608"/>
  <c r="DY56" i="14608"/>
  <c r="DZ56" i="14608"/>
  <c r="EA56" i="14608"/>
  <c r="EB56" i="14608"/>
  <c r="EC56" i="14608"/>
  <c r="ED56" i="14608"/>
  <c r="EE56" i="14608"/>
  <c r="EF56" i="14608"/>
  <c r="EG56" i="14608"/>
  <c r="EH56" i="14608"/>
  <c r="EI56" i="14608"/>
  <c r="EJ56" i="14608"/>
  <c r="EK56" i="14608"/>
  <c r="EL56" i="14608"/>
  <c r="EM56" i="14608"/>
  <c r="EN56" i="14608"/>
  <c r="EO56" i="14608"/>
  <c r="EP56" i="14608"/>
  <c r="EQ56" i="14608"/>
  <c r="ER56" i="14608"/>
  <c r="ES56" i="14608"/>
  <c r="ET56" i="14608"/>
  <c r="EU56" i="14608"/>
  <c r="EV56" i="14608"/>
  <c r="EW56" i="14608"/>
  <c r="EX56" i="14608"/>
  <c r="EY56" i="14608"/>
  <c r="EZ56" i="14608"/>
  <c r="FA56" i="14608"/>
  <c r="FB56" i="14608"/>
  <c r="FC56" i="14608"/>
  <c r="FD56" i="14608"/>
  <c r="FE56" i="14608"/>
  <c r="FF56" i="14608"/>
  <c r="FG56" i="14608"/>
  <c r="FH56" i="14608"/>
  <c r="FI56" i="14608"/>
  <c r="FJ56" i="14608"/>
  <c r="FK56" i="14608"/>
  <c r="FL56" i="14608"/>
  <c r="FM56" i="14608"/>
  <c r="FN56" i="14608"/>
  <c r="FO56" i="14608"/>
  <c r="FP56" i="14608"/>
  <c r="FQ56" i="14608"/>
  <c r="FR56" i="14608"/>
  <c r="FS56" i="14608"/>
  <c r="FT56" i="14608"/>
  <c r="FU56" i="14608"/>
  <c r="FV56" i="14608"/>
  <c r="FW56" i="14608"/>
  <c r="FX56" i="14608"/>
  <c r="FY56" i="14608"/>
  <c r="FZ56" i="14608"/>
  <c r="GA56" i="14608"/>
  <c r="GB56" i="14608"/>
  <c r="GC56" i="14608"/>
  <c r="GD56" i="14608"/>
  <c r="GE56" i="14608"/>
  <c r="GF56" i="14608"/>
  <c r="GG56" i="14608"/>
  <c r="GH56" i="14608"/>
  <c r="GI56" i="14608"/>
  <c r="GJ56" i="14608"/>
  <c r="GK56" i="14608"/>
  <c r="GL56" i="14608"/>
  <c r="GM56" i="14608"/>
  <c r="GN56" i="14608"/>
  <c r="GO56" i="14608"/>
  <c r="GP56" i="14608"/>
  <c r="GQ56" i="14608"/>
  <c r="GR56" i="14608"/>
  <c r="GS56" i="14608"/>
  <c r="GT56" i="14608"/>
  <c r="GU56" i="14608"/>
  <c r="GV56" i="14608"/>
  <c r="GW56" i="14608"/>
  <c r="GX56" i="14608"/>
  <c r="GY56" i="14608"/>
  <c r="GZ56" i="14608"/>
  <c r="HA56" i="14608"/>
  <c r="HB56" i="14608"/>
  <c r="HC56" i="14608"/>
  <c r="HD56" i="14608"/>
  <c r="HE56" i="14608"/>
  <c r="HF56" i="14608"/>
  <c r="HG56" i="14608"/>
  <c r="HH56" i="14608"/>
  <c r="HI56" i="14608"/>
  <c r="HJ56" i="14608"/>
  <c r="HK56" i="14608"/>
  <c r="HL56" i="14608"/>
  <c r="HM56" i="14608"/>
  <c r="HN56" i="14608"/>
  <c r="HO56" i="14608"/>
  <c r="HP56" i="14608"/>
  <c r="HQ56" i="14608"/>
  <c r="HR56" i="14608"/>
  <c r="HS56" i="14608"/>
  <c r="HT56" i="14608"/>
  <c r="HU56" i="14608"/>
  <c r="HV56" i="14608"/>
  <c r="HW56" i="14608"/>
  <c r="HX56" i="14608"/>
  <c r="HY56" i="14608"/>
  <c r="HZ56" i="14608"/>
  <c r="IA56" i="14608"/>
  <c r="IB56" i="14608"/>
  <c r="IC56" i="14608"/>
  <c r="ID56" i="14608"/>
  <c r="IE56" i="14608"/>
  <c r="IF56" i="14608"/>
  <c r="IG56" i="14608"/>
  <c r="IH56" i="14608"/>
  <c r="II56" i="14608"/>
  <c r="IJ56" i="14608"/>
  <c r="IK56" i="14608"/>
  <c r="IL56" i="14608"/>
  <c r="IM56" i="14608"/>
  <c r="IN56" i="14608"/>
  <c r="IO56" i="14608"/>
  <c r="IP56" i="14608"/>
  <c r="IQ56" i="14608"/>
  <c r="IR56" i="14608"/>
  <c r="IS56" i="14608"/>
  <c r="IT56" i="14608"/>
  <c r="IU56" i="14608"/>
  <c r="IV56" i="14608"/>
  <c r="A55" i="14608"/>
  <c r="B55" i="14608"/>
  <c r="C55" i="14608"/>
  <c r="D55" i="14608"/>
  <c r="E55" i="14608"/>
  <c r="F55" i="14608"/>
  <c r="G55" i="14608"/>
  <c r="H55" i="14608"/>
  <c r="I55" i="14608"/>
  <c r="J55" i="14608"/>
  <c r="K55" i="14608"/>
  <c r="L55" i="14608"/>
  <c r="M55" i="14608"/>
  <c r="N55" i="14608"/>
  <c r="O55" i="14608"/>
  <c r="P55" i="14608"/>
  <c r="Q55" i="14608"/>
  <c r="R55" i="14608"/>
  <c r="S55" i="14608"/>
  <c r="T55" i="14608"/>
  <c r="U55" i="14608"/>
  <c r="V55" i="14608"/>
  <c r="W55" i="14608"/>
  <c r="X55" i="14608"/>
  <c r="Y55" i="14608"/>
  <c r="Z55" i="14608"/>
  <c r="AA55" i="14608"/>
  <c r="AB55" i="14608"/>
  <c r="AC55" i="14608"/>
  <c r="AD55" i="14608"/>
  <c r="AE55" i="14608"/>
  <c r="AF55" i="14608"/>
  <c r="AG55" i="14608"/>
  <c r="AH55" i="14608"/>
  <c r="AI55" i="14608"/>
  <c r="AJ55" i="14608"/>
  <c r="AK55" i="14608"/>
  <c r="AL55" i="14608"/>
  <c r="AM55" i="14608"/>
  <c r="AN55" i="14608"/>
  <c r="AO55" i="14608"/>
  <c r="AP55" i="14608"/>
  <c r="AQ55" i="14608"/>
  <c r="AR55" i="14608"/>
  <c r="AS55" i="14608"/>
  <c r="AT55" i="14608"/>
  <c r="AU55" i="14608"/>
  <c r="AV55" i="14608"/>
  <c r="AW55" i="14608"/>
  <c r="AX55" i="14608"/>
  <c r="AY55" i="14608"/>
  <c r="AZ55" i="14608"/>
  <c r="BA55" i="14608"/>
  <c r="BB55" i="14608"/>
  <c r="BC55" i="14608"/>
  <c r="BD55" i="14608"/>
  <c r="BE55" i="14608"/>
  <c r="BF55" i="14608"/>
  <c r="BG55" i="14608"/>
  <c r="BH55" i="14608"/>
  <c r="BI55" i="14608"/>
  <c r="BJ55" i="14608"/>
  <c r="BK55" i="14608"/>
  <c r="BL55" i="14608"/>
  <c r="BM55" i="14608"/>
  <c r="BN55" i="14608"/>
  <c r="BO55" i="14608"/>
  <c r="BP55" i="14608"/>
  <c r="BQ55" i="14608"/>
  <c r="BR55" i="14608"/>
  <c r="BS55" i="14608"/>
  <c r="BT55" i="14608"/>
  <c r="BU55" i="14608"/>
  <c r="BV55" i="14608"/>
  <c r="BW55" i="14608"/>
  <c r="BX55" i="14608"/>
  <c r="BY55" i="14608"/>
  <c r="BZ55" i="14608"/>
  <c r="CA55" i="14608"/>
  <c r="CB55" i="14608"/>
  <c r="CC55" i="14608"/>
  <c r="CD55" i="14608"/>
  <c r="CE55" i="14608"/>
  <c r="CF55" i="14608"/>
  <c r="CG55" i="14608"/>
  <c r="CH55" i="14608"/>
  <c r="CI55" i="14608"/>
  <c r="CJ55" i="14608"/>
  <c r="CK55" i="14608"/>
  <c r="CL55" i="14608"/>
  <c r="CM55" i="14608"/>
  <c r="CN55" i="14608"/>
  <c r="CO55" i="14608"/>
  <c r="CP55" i="14608"/>
  <c r="CQ55" i="14608"/>
  <c r="CR55" i="14608"/>
  <c r="CS55" i="14608"/>
  <c r="CT55" i="14608"/>
  <c r="CU55" i="14608"/>
  <c r="CV55" i="14608"/>
  <c r="CW55" i="14608"/>
  <c r="CX55" i="14608"/>
  <c r="CY55" i="14608"/>
  <c r="CZ55" i="14608"/>
  <c r="DA55" i="14608"/>
  <c r="DB55" i="14608"/>
  <c r="DC55" i="14608"/>
  <c r="DD55" i="14608"/>
  <c r="DE55" i="14608"/>
  <c r="DF55" i="14608"/>
  <c r="DG55" i="14608"/>
  <c r="DH55" i="14608"/>
  <c r="DI55" i="14608"/>
  <c r="DJ55" i="14608"/>
  <c r="DK55" i="14608"/>
  <c r="DL55" i="14608"/>
  <c r="DM55" i="14608"/>
  <c r="DN55" i="14608"/>
  <c r="DO55" i="14608"/>
  <c r="DP55" i="14608"/>
  <c r="DQ55" i="14608"/>
  <c r="DR55" i="14608"/>
  <c r="DS55" i="14608"/>
  <c r="DT55" i="14608"/>
  <c r="DU55" i="14608"/>
  <c r="DV55" i="14608"/>
  <c r="DW55" i="14608"/>
  <c r="DX55" i="14608"/>
  <c r="DY55" i="14608"/>
  <c r="DZ55" i="14608"/>
  <c r="EA55" i="14608"/>
  <c r="EB55" i="14608"/>
  <c r="EC55" i="14608"/>
  <c r="ED55" i="14608"/>
  <c r="EE55" i="14608"/>
  <c r="EF55" i="14608"/>
  <c r="EG55" i="14608"/>
  <c r="EH55" i="14608"/>
  <c r="EI55" i="14608"/>
  <c r="EJ55" i="14608"/>
  <c r="EK55" i="14608"/>
  <c r="EL55" i="14608"/>
  <c r="EM55" i="14608"/>
  <c r="EN55" i="14608"/>
  <c r="EO55" i="14608"/>
  <c r="EP55" i="14608"/>
  <c r="EQ55" i="14608"/>
  <c r="ER55" i="14608"/>
  <c r="ES55" i="14608"/>
  <c r="ET55" i="14608"/>
  <c r="EU55" i="14608"/>
  <c r="EV55" i="14608"/>
  <c r="EW55" i="14608"/>
  <c r="EX55" i="14608"/>
  <c r="EY55" i="14608"/>
  <c r="EZ55" i="14608"/>
  <c r="FA55" i="14608"/>
  <c r="FB55" i="14608"/>
  <c r="FC55" i="14608"/>
  <c r="FD55" i="14608"/>
  <c r="FE55" i="14608"/>
  <c r="FF55" i="14608"/>
  <c r="FG55" i="14608"/>
  <c r="FH55" i="14608"/>
  <c r="FI55" i="14608"/>
  <c r="FJ55" i="14608"/>
  <c r="FK55" i="14608"/>
  <c r="FL55" i="14608"/>
  <c r="FM55" i="14608"/>
  <c r="FN55" i="14608"/>
  <c r="FO55" i="14608"/>
  <c r="FP55" i="14608"/>
  <c r="FQ55" i="14608"/>
  <c r="FR55" i="14608"/>
  <c r="FS55" i="14608"/>
  <c r="FT55" i="14608"/>
  <c r="FU55" i="14608"/>
  <c r="FV55" i="14608"/>
  <c r="FW55" i="14608"/>
  <c r="FX55" i="14608"/>
  <c r="FY55" i="14608"/>
  <c r="FZ55" i="14608"/>
  <c r="GA55" i="14608"/>
  <c r="GB55" i="14608"/>
  <c r="GC55" i="14608"/>
  <c r="GD55" i="14608"/>
  <c r="GE55" i="14608"/>
  <c r="GF55" i="14608"/>
  <c r="GG55" i="14608"/>
  <c r="GH55" i="14608"/>
  <c r="GI55" i="14608"/>
  <c r="GJ55" i="14608"/>
  <c r="GK55" i="14608"/>
  <c r="GL55" i="14608"/>
  <c r="GM55" i="14608"/>
  <c r="GN55" i="14608"/>
  <c r="GO55" i="14608"/>
  <c r="GP55" i="14608"/>
  <c r="GQ55" i="14608"/>
  <c r="GR55" i="14608"/>
  <c r="GS55" i="14608"/>
  <c r="GT55" i="14608"/>
  <c r="GU55" i="14608"/>
  <c r="GV55" i="14608"/>
  <c r="GW55" i="14608"/>
  <c r="GX55" i="14608"/>
  <c r="GY55" i="14608"/>
  <c r="GZ55" i="14608"/>
  <c r="HA55" i="14608"/>
  <c r="HB55" i="14608"/>
  <c r="HC55" i="14608"/>
  <c r="HD55" i="14608"/>
  <c r="HE55" i="14608"/>
  <c r="HF55" i="14608"/>
  <c r="HG55" i="14608"/>
  <c r="HH55" i="14608"/>
  <c r="HI55" i="14608"/>
  <c r="HJ55" i="14608"/>
  <c r="HK55" i="14608"/>
  <c r="HL55" i="14608"/>
  <c r="HM55" i="14608"/>
  <c r="HN55" i="14608"/>
  <c r="HO55" i="14608"/>
  <c r="HP55" i="14608"/>
  <c r="HQ55" i="14608"/>
  <c r="HR55" i="14608"/>
  <c r="HS55" i="14608"/>
  <c r="HT55" i="14608"/>
  <c r="HU55" i="14608"/>
  <c r="HV55" i="14608"/>
  <c r="HW55" i="14608"/>
  <c r="HX55" i="14608"/>
  <c r="HY55" i="14608"/>
  <c r="HZ55" i="14608"/>
  <c r="IA55" i="14608"/>
  <c r="IB55" i="14608"/>
  <c r="IC55" i="14608"/>
  <c r="ID55" i="14608"/>
  <c r="IE55" i="14608"/>
  <c r="IF55" i="14608"/>
  <c r="IG55" i="14608"/>
  <c r="IH55" i="14608"/>
  <c r="II55" i="14608"/>
  <c r="IJ55" i="14608"/>
  <c r="IK55" i="14608"/>
  <c r="IL55" i="14608"/>
  <c r="IM55" i="14608"/>
  <c r="IN55" i="14608"/>
  <c r="IO55" i="14608"/>
  <c r="IP55" i="14608"/>
  <c r="IQ55" i="14608"/>
  <c r="IR55" i="14608"/>
  <c r="IS55" i="14608"/>
  <c r="IT55" i="14608"/>
  <c r="IU55" i="14608"/>
  <c r="IV55" i="14608"/>
  <c r="A54" i="14608"/>
  <c r="B54" i="14608"/>
  <c r="C54" i="14608"/>
  <c r="D54" i="14608"/>
  <c r="E54" i="14608"/>
  <c r="F54" i="14608"/>
  <c r="G54" i="14608"/>
  <c r="H54" i="14608"/>
  <c r="I54" i="14608"/>
  <c r="J54" i="14608"/>
  <c r="K54" i="14608"/>
  <c r="L54" i="14608"/>
  <c r="M54" i="14608"/>
  <c r="N54" i="14608"/>
  <c r="O54" i="14608"/>
  <c r="P54" i="14608"/>
  <c r="Q54" i="14608"/>
  <c r="R54" i="14608"/>
  <c r="S54" i="14608"/>
  <c r="T54" i="14608"/>
  <c r="U54" i="14608"/>
  <c r="V54" i="14608"/>
  <c r="W54" i="14608"/>
  <c r="X54" i="14608"/>
  <c r="Y54" i="14608"/>
  <c r="Z54" i="14608"/>
  <c r="AA54" i="14608"/>
  <c r="AB54" i="14608"/>
  <c r="AC54" i="14608"/>
  <c r="AD54" i="14608"/>
  <c r="AE54" i="14608"/>
  <c r="AF54" i="14608"/>
  <c r="AG54" i="14608"/>
  <c r="AH54" i="14608"/>
  <c r="AI54" i="14608"/>
  <c r="AJ54" i="14608"/>
  <c r="AK54" i="14608"/>
  <c r="AL54" i="14608"/>
  <c r="AM54" i="14608"/>
  <c r="AN54" i="14608"/>
  <c r="AO54" i="14608"/>
  <c r="AP54" i="14608"/>
  <c r="AQ54" i="14608"/>
  <c r="AR54" i="14608"/>
  <c r="AS54" i="14608"/>
  <c r="AT54" i="14608"/>
  <c r="AU54" i="14608"/>
  <c r="AV54" i="14608"/>
  <c r="AW54" i="14608"/>
  <c r="AX54" i="14608"/>
  <c r="AY54" i="14608"/>
  <c r="AZ54" i="14608"/>
  <c r="BA54" i="14608"/>
  <c r="BB54" i="14608"/>
  <c r="BC54" i="14608"/>
  <c r="BD54" i="14608"/>
  <c r="BE54" i="14608"/>
  <c r="BF54" i="14608"/>
  <c r="BG54" i="14608"/>
  <c r="BH54" i="14608"/>
  <c r="BI54" i="14608"/>
  <c r="BJ54" i="14608"/>
  <c r="BK54" i="14608"/>
  <c r="BL54" i="14608"/>
  <c r="BM54" i="14608"/>
  <c r="BN54" i="14608"/>
  <c r="BO54" i="14608"/>
  <c r="BP54" i="14608"/>
  <c r="BQ54" i="14608"/>
  <c r="BR54" i="14608"/>
  <c r="BS54" i="14608"/>
  <c r="BT54" i="14608"/>
  <c r="BU54" i="14608"/>
  <c r="BV54" i="14608"/>
  <c r="BW54" i="14608"/>
  <c r="BX54" i="14608"/>
  <c r="BY54" i="14608"/>
  <c r="BZ54" i="14608"/>
  <c r="CA54" i="14608"/>
  <c r="CB54" i="14608"/>
  <c r="CC54" i="14608"/>
  <c r="CD54" i="14608"/>
  <c r="CE54" i="14608"/>
  <c r="CF54" i="14608"/>
  <c r="CG54" i="14608"/>
  <c r="CH54" i="14608"/>
  <c r="CI54" i="14608"/>
  <c r="CJ54" i="14608"/>
  <c r="CK54" i="14608"/>
  <c r="CL54" i="14608"/>
  <c r="CM54" i="14608"/>
  <c r="CN54" i="14608"/>
  <c r="CO54" i="14608"/>
  <c r="CP54" i="14608"/>
  <c r="CQ54" i="14608"/>
  <c r="CR54" i="14608"/>
  <c r="CS54" i="14608"/>
  <c r="CT54" i="14608"/>
  <c r="CU54" i="14608"/>
  <c r="CV54" i="14608"/>
  <c r="CW54" i="14608"/>
  <c r="CX54" i="14608"/>
  <c r="CY54" i="14608"/>
  <c r="CZ54" i="14608"/>
  <c r="DA54" i="14608"/>
  <c r="DB54" i="14608"/>
  <c r="DC54" i="14608"/>
  <c r="DD54" i="14608"/>
  <c r="DE54" i="14608"/>
  <c r="DF54" i="14608"/>
  <c r="DG54" i="14608"/>
  <c r="DH54" i="14608"/>
  <c r="DI54" i="14608"/>
  <c r="DJ54" i="14608"/>
  <c r="DK54" i="14608"/>
  <c r="DL54" i="14608"/>
  <c r="DM54" i="14608"/>
  <c r="DN54" i="14608"/>
  <c r="DO54" i="14608"/>
  <c r="DP54" i="14608"/>
  <c r="DQ54" i="14608"/>
  <c r="DR54" i="14608"/>
  <c r="DS54" i="14608"/>
  <c r="DT54" i="14608"/>
  <c r="DU54" i="14608"/>
  <c r="DV54" i="14608"/>
  <c r="DW54" i="14608"/>
  <c r="DX54" i="14608"/>
  <c r="DY54" i="14608"/>
  <c r="DZ54" i="14608"/>
  <c r="EA54" i="14608"/>
  <c r="EB54" i="14608"/>
  <c r="EC54" i="14608"/>
  <c r="ED54" i="14608"/>
  <c r="EE54" i="14608"/>
  <c r="EF54" i="14608"/>
  <c r="EG54" i="14608"/>
  <c r="EH54" i="14608"/>
  <c r="EI54" i="14608"/>
  <c r="EJ54" i="14608"/>
  <c r="EK54" i="14608"/>
  <c r="EL54" i="14608"/>
  <c r="EM54" i="14608"/>
  <c r="EN54" i="14608"/>
  <c r="EO54" i="14608"/>
  <c r="EP54" i="14608"/>
  <c r="EQ54" i="14608"/>
  <c r="ER54" i="14608"/>
  <c r="ES54" i="14608"/>
  <c r="ET54" i="14608"/>
  <c r="EU54" i="14608"/>
  <c r="EV54" i="14608"/>
  <c r="EW54" i="14608"/>
  <c r="EX54" i="14608"/>
  <c r="EY54" i="14608"/>
  <c r="EZ54" i="14608"/>
  <c r="FA54" i="14608"/>
  <c r="FB54" i="14608"/>
  <c r="FC54" i="14608"/>
  <c r="FD54" i="14608"/>
  <c r="FE54" i="14608"/>
  <c r="FF54" i="14608"/>
  <c r="FG54" i="14608"/>
  <c r="FH54" i="14608"/>
  <c r="FI54" i="14608"/>
  <c r="FJ54" i="14608"/>
  <c r="FK54" i="14608"/>
  <c r="FL54" i="14608"/>
  <c r="FM54" i="14608"/>
  <c r="FN54" i="14608"/>
  <c r="FO54" i="14608"/>
  <c r="FP54" i="14608"/>
  <c r="FQ54" i="14608"/>
  <c r="FR54" i="14608"/>
  <c r="FS54" i="14608"/>
  <c r="FT54" i="14608"/>
  <c r="FU54" i="14608"/>
  <c r="FV54" i="14608"/>
  <c r="FW54" i="14608"/>
  <c r="FX54" i="14608"/>
  <c r="FY54" i="14608"/>
  <c r="FZ54" i="14608"/>
  <c r="GA54" i="14608"/>
  <c r="GB54" i="14608"/>
  <c r="GC54" i="14608"/>
  <c r="GD54" i="14608"/>
  <c r="GE54" i="14608"/>
  <c r="GF54" i="14608"/>
  <c r="GG54" i="14608"/>
  <c r="GH54" i="14608"/>
  <c r="GI54" i="14608"/>
  <c r="GJ54" i="14608"/>
  <c r="GK54" i="14608"/>
  <c r="GL54" i="14608"/>
  <c r="GM54" i="14608"/>
  <c r="GN54" i="14608"/>
  <c r="GO54" i="14608"/>
  <c r="GP54" i="14608"/>
  <c r="GQ54" i="14608"/>
  <c r="GR54" i="14608"/>
  <c r="GS54" i="14608"/>
  <c r="GT54" i="14608"/>
  <c r="GU54" i="14608"/>
  <c r="GV54" i="14608"/>
  <c r="GW54" i="14608"/>
  <c r="GX54" i="14608"/>
  <c r="GY54" i="14608"/>
  <c r="GZ54" i="14608"/>
  <c r="HA54" i="14608"/>
  <c r="HB54" i="14608"/>
  <c r="HC54" i="14608"/>
  <c r="HD54" i="14608"/>
  <c r="HE54" i="14608"/>
  <c r="HF54" i="14608"/>
  <c r="HG54" i="14608"/>
  <c r="HH54" i="14608"/>
  <c r="HI54" i="14608"/>
  <c r="HJ54" i="14608"/>
  <c r="HK54" i="14608"/>
  <c r="HL54" i="14608"/>
  <c r="HM54" i="14608"/>
  <c r="HN54" i="14608"/>
  <c r="HO54" i="14608"/>
  <c r="HP54" i="14608"/>
  <c r="HQ54" i="14608"/>
  <c r="HR54" i="14608"/>
  <c r="HS54" i="14608"/>
  <c r="HT54" i="14608"/>
  <c r="HU54" i="14608"/>
  <c r="HV54" i="14608"/>
  <c r="HW54" i="14608"/>
  <c r="HX54" i="14608"/>
  <c r="HY54" i="14608"/>
  <c r="HZ54" i="14608"/>
  <c r="IA54" i="14608"/>
  <c r="IB54" i="14608"/>
  <c r="IC54" i="14608"/>
  <c r="ID54" i="14608"/>
  <c r="IE54" i="14608"/>
  <c r="IF54" i="14608"/>
  <c r="IG54" i="14608"/>
  <c r="IH54" i="14608"/>
  <c r="II54" i="14608"/>
  <c r="IJ54" i="14608"/>
  <c r="IK54" i="14608"/>
  <c r="IL54" i="14608"/>
  <c r="IM54" i="14608"/>
  <c r="IN54" i="14608"/>
  <c r="IO54" i="14608"/>
  <c r="IP54" i="14608"/>
  <c r="IQ54" i="14608"/>
  <c r="IR54" i="14608"/>
  <c r="IS54" i="14608"/>
  <c r="IT54" i="14608"/>
  <c r="IU54" i="14608"/>
  <c r="IV54" i="14608"/>
  <c r="A53" i="14608"/>
  <c r="B53" i="14608"/>
  <c r="C53" i="14608"/>
  <c r="D53" i="14608"/>
  <c r="E53" i="14608"/>
  <c r="F53" i="14608"/>
  <c r="G53" i="14608"/>
  <c r="H53" i="14608"/>
  <c r="I53" i="14608"/>
  <c r="J53" i="14608"/>
  <c r="K53" i="14608"/>
  <c r="L53" i="14608"/>
  <c r="M53" i="14608"/>
  <c r="N53" i="14608"/>
  <c r="O53" i="14608"/>
  <c r="P53" i="14608"/>
  <c r="Q53" i="14608"/>
  <c r="R53" i="14608"/>
  <c r="S53" i="14608"/>
  <c r="T53" i="14608"/>
  <c r="U53" i="14608"/>
  <c r="V53" i="14608"/>
  <c r="W53" i="14608"/>
  <c r="X53" i="14608"/>
  <c r="Y53" i="14608"/>
  <c r="Z53" i="14608"/>
  <c r="AA53" i="14608"/>
  <c r="AB53" i="14608"/>
  <c r="AC53" i="14608"/>
  <c r="AD53" i="14608"/>
  <c r="AE53" i="14608"/>
  <c r="AF53" i="14608"/>
  <c r="AG53" i="14608"/>
  <c r="AH53" i="14608"/>
  <c r="AI53" i="14608"/>
  <c r="AJ53" i="14608"/>
  <c r="AK53" i="14608"/>
  <c r="AL53" i="14608"/>
  <c r="AM53" i="14608"/>
  <c r="AN53" i="14608"/>
  <c r="AO53" i="14608"/>
  <c r="AP53" i="14608"/>
  <c r="AQ53" i="14608"/>
  <c r="AR53" i="14608"/>
  <c r="AS53" i="14608"/>
  <c r="AT53" i="14608"/>
  <c r="AU53" i="14608"/>
  <c r="AV53" i="14608"/>
  <c r="AW53" i="14608"/>
  <c r="AX53" i="14608"/>
  <c r="AY53" i="14608"/>
  <c r="AZ53" i="14608"/>
  <c r="BA53" i="14608"/>
  <c r="BB53" i="14608"/>
  <c r="BC53" i="14608"/>
  <c r="BD53" i="14608"/>
  <c r="BE53" i="14608"/>
  <c r="BF53" i="14608"/>
  <c r="BG53" i="14608"/>
  <c r="BH53" i="14608"/>
  <c r="BI53" i="14608"/>
  <c r="BJ53" i="14608"/>
  <c r="BK53" i="14608"/>
  <c r="BL53" i="14608"/>
  <c r="BM53" i="14608"/>
  <c r="BN53" i="14608"/>
  <c r="BO53" i="14608"/>
  <c r="BP53" i="14608"/>
  <c r="BQ53" i="14608"/>
  <c r="BR53" i="14608"/>
  <c r="BS53" i="14608"/>
  <c r="BT53" i="14608"/>
  <c r="BU53" i="14608"/>
  <c r="BV53" i="14608"/>
  <c r="BW53" i="14608"/>
  <c r="BX53" i="14608"/>
  <c r="BY53" i="14608"/>
  <c r="BZ53" i="14608"/>
  <c r="CA53" i="14608"/>
  <c r="CB53" i="14608"/>
  <c r="CC53" i="14608"/>
  <c r="CD53" i="14608"/>
  <c r="CE53" i="14608"/>
  <c r="CF53" i="14608"/>
  <c r="CG53" i="14608"/>
  <c r="CH53" i="14608"/>
  <c r="CI53" i="14608"/>
  <c r="CJ53" i="14608"/>
  <c r="CK53" i="14608"/>
  <c r="CL53" i="14608"/>
  <c r="CM53" i="14608"/>
  <c r="CN53" i="14608"/>
  <c r="CO53" i="14608"/>
  <c r="CP53" i="14608"/>
  <c r="CQ53" i="14608"/>
  <c r="CR53" i="14608"/>
  <c r="CS53" i="14608"/>
  <c r="CT53" i="14608"/>
  <c r="CU53" i="14608"/>
  <c r="CV53" i="14608"/>
  <c r="CW53" i="14608"/>
  <c r="CX53" i="14608"/>
  <c r="CY53" i="14608"/>
  <c r="CZ53" i="14608"/>
  <c r="DA53" i="14608"/>
  <c r="DB53" i="14608"/>
  <c r="DC53" i="14608"/>
  <c r="DD53" i="14608"/>
  <c r="DE53" i="14608"/>
  <c r="DF53" i="14608"/>
  <c r="DG53" i="14608"/>
  <c r="DH53" i="14608"/>
  <c r="DI53" i="14608"/>
  <c r="DJ53" i="14608"/>
  <c r="DK53" i="14608"/>
  <c r="DL53" i="14608"/>
  <c r="DM53" i="14608"/>
  <c r="DN53" i="14608"/>
  <c r="DO53" i="14608"/>
  <c r="DP53" i="14608"/>
  <c r="DQ53" i="14608"/>
  <c r="DR53" i="14608"/>
  <c r="DS53" i="14608"/>
  <c r="DT53" i="14608"/>
  <c r="DU53" i="14608"/>
  <c r="DV53" i="14608"/>
  <c r="DW53" i="14608"/>
  <c r="DX53" i="14608"/>
  <c r="DY53" i="14608"/>
  <c r="DZ53" i="14608"/>
  <c r="EA53" i="14608"/>
  <c r="EB53" i="14608"/>
  <c r="EC53" i="14608"/>
  <c r="ED53" i="14608"/>
  <c r="EE53" i="14608"/>
  <c r="EF53" i="14608"/>
  <c r="EG53" i="14608"/>
  <c r="EH53" i="14608"/>
  <c r="EI53" i="14608"/>
  <c r="EJ53" i="14608"/>
  <c r="EK53" i="14608"/>
  <c r="EL53" i="14608"/>
  <c r="EM53" i="14608"/>
  <c r="EN53" i="14608"/>
  <c r="EO53" i="14608"/>
  <c r="EP53" i="14608"/>
  <c r="EQ53" i="14608"/>
  <c r="ER53" i="14608"/>
  <c r="ES53" i="14608"/>
  <c r="ET53" i="14608"/>
  <c r="EU53" i="14608"/>
  <c r="EV53" i="14608"/>
  <c r="EW53" i="14608"/>
  <c r="EX53" i="14608"/>
  <c r="EY53" i="14608"/>
  <c r="EZ53" i="14608"/>
  <c r="FA53" i="14608"/>
  <c r="FB53" i="14608"/>
  <c r="FC53" i="14608"/>
  <c r="FD53" i="14608"/>
  <c r="FE53" i="14608"/>
  <c r="FF53" i="14608"/>
  <c r="FG53" i="14608"/>
  <c r="FH53" i="14608"/>
  <c r="FI53" i="14608"/>
  <c r="FJ53" i="14608"/>
  <c r="FK53" i="14608"/>
  <c r="FL53" i="14608"/>
  <c r="FM53" i="14608"/>
  <c r="FN53" i="14608"/>
  <c r="FO53" i="14608"/>
  <c r="FP53" i="14608"/>
  <c r="FQ53" i="14608"/>
  <c r="FR53" i="14608"/>
  <c r="FS53" i="14608"/>
  <c r="FT53" i="14608"/>
  <c r="FU53" i="14608"/>
  <c r="FV53" i="14608"/>
  <c r="FW53" i="14608"/>
  <c r="FX53" i="14608"/>
  <c r="FY53" i="14608"/>
  <c r="FZ53" i="14608"/>
  <c r="GA53" i="14608"/>
  <c r="GB53" i="14608"/>
  <c r="GC53" i="14608"/>
  <c r="GD53" i="14608"/>
  <c r="GE53" i="14608"/>
  <c r="GF53" i="14608"/>
  <c r="GG53" i="14608"/>
  <c r="GH53" i="14608"/>
  <c r="GI53" i="14608"/>
  <c r="GJ53" i="14608"/>
  <c r="GK53" i="14608"/>
  <c r="GL53" i="14608"/>
  <c r="GM53" i="14608"/>
  <c r="GN53" i="14608"/>
  <c r="GO53" i="14608"/>
  <c r="GP53" i="14608"/>
  <c r="GQ53" i="14608"/>
  <c r="GR53" i="14608"/>
  <c r="GS53" i="14608"/>
  <c r="GT53" i="14608"/>
  <c r="GU53" i="14608"/>
  <c r="GV53" i="14608"/>
  <c r="GW53" i="14608"/>
  <c r="GX53" i="14608"/>
  <c r="GY53" i="14608"/>
  <c r="GZ53" i="14608"/>
  <c r="HA53" i="14608"/>
  <c r="HB53" i="14608"/>
  <c r="HC53" i="14608"/>
  <c r="HD53" i="14608"/>
  <c r="HE53" i="14608"/>
  <c r="HF53" i="14608"/>
  <c r="HG53" i="14608"/>
  <c r="HH53" i="14608"/>
  <c r="HI53" i="14608"/>
  <c r="HJ53" i="14608"/>
  <c r="HK53" i="14608"/>
  <c r="HL53" i="14608"/>
  <c r="HM53" i="14608"/>
  <c r="HN53" i="14608"/>
  <c r="HO53" i="14608"/>
  <c r="HP53" i="14608"/>
  <c r="HQ53" i="14608"/>
  <c r="HR53" i="14608"/>
  <c r="HS53" i="14608"/>
  <c r="HT53" i="14608"/>
  <c r="HU53" i="14608"/>
  <c r="HV53" i="14608"/>
  <c r="HW53" i="14608"/>
  <c r="HX53" i="14608"/>
  <c r="HY53" i="14608"/>
  <c r="HZ53" i="14608"/>
  <c r="IA53" i="14608"/>
  <c r="IB53" i="14608"/>
  <c r="IC53" i="14608"/>
  <c r="ID53" i="14608"/>
  <c r="IE53" i="14608"/>
  <c r="IF53" i="14608"/>
  <c r="IG53" i="14608"/>
  <c r="IH53" i="14608"/>
  <c r="II53" i="14608"/>
  <c r="IJ53" i="14608"/>
  <c r="IK53" i="14608"/>
  <c r="IL53" i="14608"/>
  <c r="IM53" i="14608"/>
  <c r="IN53" i="14608"/>
  <c r="IO53" i="14608"/>
  <c r="IP53" i="14608"/>
  <c r="IQ53" i="14608"/>
  <c r="IR53" i="14608"/>
  <c r="IS53" i="14608"/>
  <c r="IT53" i="14608"/>
  <c r="IU53" i="14608"/>
  <c r="IV53" i="14608"/>
  <c r="A52" i="14608"/>
  <c r="B52" i="14608"/>
  <c r="C52" i="14608"/>
  <c r="D52" i="14608"/>
  <c r="E52" i="14608"/>
  <c r="F52" i="14608"/>
  <c r="G52" i="14608"/>
  <c r="H52" i="14608"/>
  <c r="I52" i="14608"/>
  <c r="J52" i="14608"/>
  <c r="K52" i="14608"/>
  <c r="L52" i="14608"/>
  <c r="M52" i="14608"/>
  <c r="N52" i="14608"/>
  <c r="O52" i="14608"/>
  <c r="P52" i="14608"/>
  <c r="Q52" i="14608"/>
  <c r="R52" i="14608"/>
  <c r="S52" i="14608"/>
  <c r="T52" i="14608"/>
  <c r="U52" i="14608"/>
  <c r="V52" i="14608"/>
  <c r="W52" i="14608"/>
  <c r="X52" i="14608"/>
  <c r="Y52" i="14608"/>
  <c r="Z52" i="14608"/>
  <c r="AA52" i="14608"/>
  <c r="AB52" i="14608"/>
  <c r="AC52" i="14608"/>
  <c r="AD52" i="14608"/>
  <c r="AE52" i="14608"/>
  <c r="AF52" i="14608"/>
  <c r="AG52" i="14608"/>
  <c r="AH52" i="14608"/>
  <c r="AI52" i="14608"/>
  <c r="AJ52" i="14608"/>
  <c r="AK52" i="14608"/>
  <c r="AL52" i="14608"/>
  <c r="AM52" i="14608"/>
  <c r="AN52" i="14608"/>
  <c r="AO52" i="14608"/>
  <c r="AP52" i="14608"/>
  <c r="AQ52" i="14608"/>
  <c r="AR52" i="14608"/>
  <c r="AS52" i="14608"/>
  <c r="AT52" i="14608"/>
  <c r="AU52" i="14608"/>
  <c r="AV52" i="14608"/>
  <c r="AW52" i="14608"/>
  <c r="AX52" i="14608"/>
  <c r="AY52" i="14608"/>
  <c r="AZ52" i="14608"/>
  <c r="BA52" i="14608"/>
  <c r="BB52" i="14608"/>
  <c r="BC52" i="14608"/>
  <c r="BD52" i="14608"/>
  <c r="BE52" i="14608"/>
  <c r="BF52" i="14608"/>
  <c r="BG52" i="14608"/>
  <c r="BH52" i="14608"/>
  <c r="BI52" i="14608"/>
  <c r="BJ52" i="14608"/>
  <c r="BK52" i="14608"/>
  <c r="BL52" i="14608"/>
  <c r="BM52" i="14608"/>
  <c r="BN52" i="14608"/>
  <c r="BO52" i="14608"/>
  <c r="BP52" i="14608"/>
  <c r="BQ52" i="14608"/>
  <c r="BR52" i="14608"/>
  <c r="BS52" i="14608"/>
  <c r="BT52" i="14608"/>
  <c r="BU52" i="14608"/>
  <c r="BV52" i="14608"/>
  <c r="BW52" i="14608"/>
  <c r="BX52" i="14608"/>
  <c r="BY52" i="14608"/>
  <c r="BZ52" i="14608"/>
  <c r="CA52" i="14608"/>
  <c r="CB52" i="14608"/>
  <c r="CC52" i="14608"/>
  <c r="CD52" i="14608"/>
  <c r="CE52" i="14608"/>
  <c r="CF52" i="14608"/>
  <c r="CG52" i="14608"/>
  <c r="CH52" i="14608"/>
  <c r="CI52" i="14608"/>
  <c r="CJ52" i="14608"/>
  <c r="CK52" i="14608"/>
  <c r="CL52" i="14608"/>
  <c r="CM52" i="14608"/>
  <c r="CN52" i="14608"/>
  <c r="CO52" i="14608"/>
  <c r="CP52" i="14608"/>
  <c r="CQ52" i="14608"/>
  <c r="CR52" i="14608"/>
  <c r="CS52" i="14608"/>
  <c r="CT52" i="14608"/>
  <c r="CU52" i="14608"/>
  <c r="CV52" i="14608"/>
  <c r="CW52" i="14608"/>
  <c r="CX52" i="14608"/>
  <c r="CY52" i="14608"/>
  <c r="CZ52" i="14608"/>
  <c r="DA52" i="14608"/>
  <c r="DB52" i="14608"/>
  <c r="DC52" i="14608"/>
  <c r="DD52" i="14608"/>
  <c r="DE52" i="14608"/>
  <c r="DF52" i="14608"/>
  <c r="DG52" i="14608"/>
  <c r="DH52" i="14608"/>
  <c r="DI52" i="14608"/>
  <c r="DJ52" i="14608"/>
  <c r="DK52" i="14608"/>
  <c r="DL52" i="14608"/>
  <c r="DM52" i="14608"/>
  <c r="DN52" i="14608"/>
  <c r="DO52" i="14608"/>
  <c r="DP52" i="14608"/>
  <c r="DQ52" i="14608"/>
  <c r="DR52" i="14608"/>
  <c r="DS52" i="14608"/>
  <c r="DT52" i="14608"/>
  <c r="DU52" i="14608"/>
  <c r="DV52" i="14608"/>
  <c r="DW52" i="14608"/>
  <c r="DX52" i="14608"/>
  <c r="DY52" i="14608"/>
  <c r="DZ52" i="14608"/>
  <c r="EA52" i="14608"/>
  <c r="EB52" i="14608"/>
  <c r="EC52" i="14608"/>
  <c r="ED52" i="14608"/>
  <c r="EE52" i="14608"/>
  <c r="EF52" i="14608"/>
  <c r="EG52" i="14608"/>
  <c r="EH52" i="14608"/>
  <c r="EI52" i="14608"/>
  <c r="EJ52" i="14608"/>
  <c r="EK52" i="14608"/>
  <c r="EL52" i="14608"/>
  <c r="EM52" i="14608"/>
  <c r="EN52" i="14608"/>
  <c r="EO52" i="14608"/>
  <c r="EP52" i="14608"/>
  <c r="EQ52" i="14608"/>
  <c r="ER52" i="14608"/>
  <c r="ES52" i="14608"/>
  <c r="ET52" i="14608"/>
  <c r="EU52" i="14608"/>
  <c r="EV52" i="14608"/>
  <c r="EW52" i="14608"/>
  <c r="EX52" i="14608"/>
  <c r="EY52" i="14608"/>
  <c r="EZ52" i="14608"/>
  <c r="FA52" i="14608"/>
  <c r="FB52" i="14608"/>
  <c r="FC52" i="14608"/>
  <c r="FD52" i="14608"/>
  <c r="FE52" i="14608"/>
  <c r="FF52" i="14608"/>
  <c r="FG52" i="14608"/>
  <c r="FH52" i="14608"/>
  <c r="FI52" i="14608"/>
  <c r="FJ52" i="14608"/>
  <c r="FK52" i="14608"/>
  <c r="FL52" i="14608"/>
  <c r="FM52" i="14608"/>
  <c r="FN52" i="14608"/>
  <c r="FO52" i="14608"/>
  <c r="FP52" i="14608"/>
  <c r="FQ52" i="14608"/>
  <c r="FR52" i="14608"/>
  <c r="FS52" i="14608"/>
  <c r="FT52" i="14608"/>
  <c r="FU52" i="14608"/>
  <c r="FV52" i="14608"/>
  <c r="FW52" i="14608"/>
  <c r="FX52" i="14608"/>
  <c r="FY52" i="14608"/>
  <c r="FZ52" i="14608"/>
  <c r="GA52" i="14608"/>
  <c r="GB52" i="14608"/>
  <c r="GC52" i="14608"/>
  <c r="GD52" i="14608"/>
  <c r="GE52" i="14608"/>
  <c r="GF52" i="14608"/>
  <c r="GG52" i="14608"/>
  <c r="GH52" i="14608"/>
  <c r="GI52" i="14608"/>
  <c r="GJ52" i="14608"/>
  <c r="GK52" i="14608"/>
  <c r="GL52" i="14608"/>
  <c r="GM52" i="14608"/>
  <c r="GN52" i="14608"/>
  <c r="GO52" i="14608"/>
  <c r="GP52" i="14608"/>
  <c r="GQ52" i="14608"/>
  <c r="GR52" i="14608"/>
  <c r="GS52" i="14608"/>
  <c r="GT52" i="14608"/>
  <c r="GU52" i="14608"/>
  <c r="GV52" i="14608"/>
  <c r="GW52" i="14608"/>
  <c r="GX52" i="14608"/>
  <c r="GY52" i="14608"/>
  <c r="GZ52" i="14608"/>
  <c r="HA52" i="14608"/>
  <c r="HB52" i="14608"/>
  <c r="HC52" i="14608"/>
  <c r="HD52" i="14608"/>
  <c r="HE52" i="14608"/>
  <c r="HF52" i="14608"/>
  <c r="HG52" i="14608"/>
  <c r="HH52" i="14608"/>
  <c r="HI52" i="14608"/>
  <c r="HJ52" i="14608"/>
  <c r="HK52" i="14608"/>
  <c r="HL52" i="14608"/>
  <c r="HM52" i="14608"/>
  <c r="HN52" i="14608"/>
  <c r="HO52" i="14608"/>
  <c r="HP52" i="14608"/>
  <c r="HQ52" i="14608"/>
  <c r="HR52" i="14608"/>
  <c r="HS52" i="14608"/>
  <c r="HT52" i="14608"/>
  <c r="HU52" i="14608"/>
  <c r="HV52" i="14608"/>
  <c r="HW52" i="14608"/>
  <c r="HX52" i="14608"/>
  <c r="HY52" i="14608"/>
  <c r="HZ52" i="14608"/>
  <c r="IA52" i="14608"/>
  <c r="IB52" i="14608"/>
  <c r="IC52" i="14608"/>
  <c r="ID52" i="14608"/>
  <c r="IE52" i="14608"/>
  <c r="IF52" i="14608"/>
  <c r="IG52" i="14608"/>
  <c r="IH52" i="14608"/>
  <c r="II52" i="14608"/>
  <c r="IJ52" i="14608"/>
  <c r="IK52" i="14608"/>
  <c r="IL52" i="14608"/>
  <c r="IM52" i="14608"/>
  <c r="IN52" i="14608"/>
  <c r="IO52" i="14608"/>
  <c r="IP52" i="14608"/>
  <c r="IQ52" i="14608"/>
  <c r="IR52" i="14608"/>
  <c r="IS52" i="14608"/>
  <c r="IT52" i="14608"/>
  <c r="IU52" i="14608"/>
  <c r="IV52" i="14608"/>
  <c r="A51" i="14608"/>
  <c r="B51" i="14608"/>
  <c r="C51" i="14608"/>
  <c r="D51" i="14608"/>
  <c r="E51" i="14608"/>
  <c r="F51" i="14608"/>
  <c r="G51" i="14608"/>
  <c r="H51" i="14608"/>
  <c r="I51" i="14608"/>
  <c r="J51" i="14608"/>
  <c r="K51" i="14608"/>
  <c r="L51" i="14608"/>
  <c r="M51" i="14608"/>
  <c r="N51" i="14608"/>
  <c r="O51" i="14608"/>
  <c r="P51" i="14608"/>
  <c r="Q51" i="14608"/>
  <c r="R51" i="14608"/>
  <c r="S51" i="14608"/>
  <c r="T51" i="14608"/>
  <c r="U51" i="14608"/>
  <c r="V51" i="14608"/>
  <c r="W51" i="14608"/>
  <c r="X51" i="14608"/>
  <c r="Y51" i="14608"/>
  <c r="Z51" i="14608"/>
  <c r="AA51" i="14608"/>
  <c r="AB51" i="14608"/>
  <c r="AC51" i="14608"/>
  <c r="AD51" i="14608"/>
  <c r="AE51" i="14608"/>
  <c r="AF51" i="14608"/>
  <c r="AG51" i="14608"/>
  <c r="AH51" i="14608"/>
  <c r="AI51" i="14608"/>
  <c r="AJ51" i="14608"/>
  <c r="AK51" i="14608"/>
  <c r="AL51" i="14608"/>
  <c r="AM51" i="14608"/>
  <c r="AN51" i="14608"/>
  <c r="AO51" i="14608"/>
  <c r="AP51" i="14608"/>
  <c r="AQ51" i="14608"/>
  <c r="AR51" i="14608"/>
  <c r="AS51" i="14608"/>
  <c r="AT51" i="14608"/>
  <c r="AU51" i="14608"/>
  <c r="AV51" i="14608"/>
  <c r="AW51" i="14608"/>
  <c r="AX51" i="14608"/>
  <c r="AY51" i="14608"/>
  <c r="AZ51" i="14608"/>
  <c r="BA51" i="14608"/>
  <c r="BB51" i="14608"/>
  <c r="BC51" i="14608"/>
  <c r="BD51" i="14608"/>
  <c r="BE51" i="14608"/>
  <c r="BF51" i="14608"/>
  <c r="BG51" i="14608"/>
  <c r="BH51" i="14608"/>
  <c r="BI51" i="14608"/>
  <c r="BJ51" i="14608"/>
  <c r="BK51" i="14608"/>
  <c r="BL51" i="14608"/>
  <c r="BM51" i="14608"/>
  <c r="BN51" i="14608"/>
  <c r="BO51" i="14608"/>
  <c r="BP51" i="14608"/>
  <c r="BQ51" i="14608"/>
  <c r="BR51" i="14608"/>
  <c r="BS51" i="14608"/>
  <c r="BT51" i="14608"/>
  <c r="BU51" i="14608"/>
  <c r="BV51" i="14608"/>
  <c r="BW51" i="14608"/>
  <c r="BX51" i="14608"/>
  <c r="BY51" i="14608"/>
  <c r="BZ51" i="14608"/>
  <c r="CA51" i="14608"/>
  <c r="CB51" i="14608"/>
  <c r="CC51" i="14608"/>
  <c r="CD51" i="14608"/>
  <c r="CE51" i="14608"/>
  <c r="CF51" i="14608"/>
  <c r="CG51" i="14608"/>
  <c r="CH51" i="14608"/>
  <c r="CI51" i="14608"/>
  <c r="CJ51" i="14608"/>
  <c r="CK51" i="14608"/>
  <c r="CL51" i="14608"/>
  <c r="CM51" i="14608"/>
  <c r="CN51" i="14608"/>
  <c r="CO51" i="14608"/>
  <c r="CP51" i="14608"/>
  <c r="CQ51" i="14608"/>
  <c r="CR51" i="14608"/>
  <c r="CS51" i="14608"/>
  <c r="CT51" i="14608"/>
  <c r="CU51" i="14608"/>
  <c r="CV51" i="14608"/>
  <c r="CW51" i="14608"/>
  <c r="CX51" i="14608"/>
  <c r="CY51" i="14608"/>
  <c r="CZ51" i="14608"/>
  <c r="DA51" i="14608"/>
  <c r="DB51" i="14608"/>
  <c r="DC51" i="14608"/>
  <c r="DD51" i="14608"/>
  <c r="DE51" i="14608"/>
  <c r="DF51" i="14608"/>
  <c r="DG51" i="14608"/>
  <c r="DH51" i="14608"/>
  <c r="DI51" i="14608"/>
  <c r="DJ51" i="14608"/>
  <c r="DK51" i="14608"/>
  <c r="DL51" i="14608"/>
  <c r="DM51" i="14608"/>
  <c r="DN51" i="14608"/>
  <c r="DO51" i="14608"/>
  <c r="DP51" i="14608"/>
  <c r="DQ51" i="14608"/>
  <c r="DR51" i="14608"/>
  <c r="DS51" i="14608"/>
  <c r="DT51" i="14608"/>
  <c r="DU51" i="14608"/>
  <c r="DV51" i="14608"/>
  <c r="DW51" i="14608"/>
  <c r="DX51" i="14608"/>
  <c r="DY51" i="14608"/>
  <c r="DZ51" i="14608"/>
  <c r="EA51" i="14608"/>
  <c r="EB51" i="14608"/>
  <c r="EC51" i="14608"/>
  <c r="ED51" i="14608"/>
  <c r="EE51" i="14608"/>
  <c r="EF51" i="14608"/>
  <c r="EG51" i="14608"/>
  <c r="EH51" i="14608"/>
  <c r="EI51" i="14608"/>
  <c r="EJ51" i="14608"/>
  <c r="EK51" i="14608"/>
  <c r="EL51" i="14608"/>
  <c r="EM51" i="14608"/>
  <c r="EN51" i="14608"/>
  <c r="EO51" i="14608"/>
  <c r="EP51" i="14608"/>
  <c r="EQ51" i="14608"/>
  <c r="ER51" i="14608"/>
  <c r="ES51" i="14608"/>
  <c r="ET51" i="14608"/>
  <c r="EU51" i="14608"/>
  <c r="EV51" i="14608"/>
  <c r="EW51" i="14608"/>
  <c r="EX51" i="14608"/>
  <c r="EY51" i="14608"/>
  <c r="EZ51" i="14608"/>
  <c r="FA51" i="14608"/>
  <c r="FB51" i="14608"/>
  <c r="FC51" i="14608"/>
  <c r="FD51" i="14608"/>
  <c r="FE51" i="14608"/>
  <c r="FF51" i="14608"/>
  <c r="FG51" i="14608"/>
  <c r="FH51" i="14608"/>
  <c r="FI51" i="14608"/>
  <c r="FJ51" i="14608"/>
  <c r="FK51" i="14608"/>
  <c r="FL51" i="14608"/>
  <c r="FM51" i="14608"/>
  <c r="FN51" i="14608"/>
  <c r="FO51" i="14608"/>
  <c r="FP51" i="14608"/>
  <c r="FQ51" i="14608"/>
  <c r="FR51" i="14608"/>
  <c r="FS51" i="14608"/>
  <c r="FT51" i="14608"/>
  <c r="FU51" i="14608"/>
  <c r="FV51" i="14608"/>
  <c r="FW51" i="14608"/>
  <c r="FX51" i="14608"/>
  <c r="FY51" i="14608"/>
  <c r="FZ51" i="14608"/>
  <c r="GA51" i="14608"/>
  <c r="GB51" i="14608"/>
  <c r="GC51" i="14608"/>
  <c r="GD51" i="14608"/>
  <c r="GE51" i="14608"/>
  <c r="GF51" i="14608"/>
  <c r="GG51" i="14608"/>
  <c r="GH51" i="14608"/>
  <c r="GI51" i="14608"/>
  <c r="GJ51" i="14608"/>
  <c r="GK51" i="14608"/>
  <c r="GL51" i="14608"/>
  <c r="GM51" i="14608"/>
  <c r="GN51" i="14608"/>
  <c r="GO51" i="14608"/>
  <c r="GP51" i="14608"/>
  <c r="GQ51" i="14608"/>
  <c r="GR51" i="14608"/>
  <c r="GS51" i="14608"/>
  <c r="GT51" i="14608"/>
  <c r="GU51" i="14608"/>
  <c r="GV51" i="14608"/>
  <c r="GW51" i="14608"/>
  <c r="GX51" i="14608"/>
  <c r="GY51" i="14608"/>
  <c r="GZ51" i="14608"/>
  <c r="HA51" i="14608"/>
  <c r="HB51" i="14608"/>
  <c r="HC51" i="14608"/>
  <c r="HD51" i="14608"/>
  <c r="HE51" i="14608"/>
  <c r="HF51" i="14608"/>
  <c r="HG51" i="14608"/>
  <c r="HH51" i="14608"/>
  <c r="HI51" i="14608"/>
  <c r="HJ51" i="14608"/>
  <c r="HK51" i="14608"/>
  <c r="HL51" i="14608"/>
  <c r="HM51" i="14608"/>
  <c r="HN51" i="14608"/>
  <c r="HO51" i="14608"/>
  <c r="HP51" i="14608"/>
  <c r="HQ51" i="14608"/>
  <c r="HR51" i="14608"/>
  <c r="HS51" i="14608"/>
  <c r="HT51" i="14608"/>
  <c r="HU51" i="14608"/>
  <c r="HV51" i="14608"/>
  <c r="HW51" i="14608"/>
  <c r="HX51" i="14608"/>
  <c r="HY51" i="14608"/>
  <c r="HZ51" i="14608"/>
  <c r="IA51" i="14608"/>
  <c r="IB51" i="14608"/>
  <c r="IC51" i="14608"/>
  <c r="ID51" i="14608"/>
  <c r="IE51" i="14608"/>
  <c r="IF51" i="14608"/>
  <c r="IG51" i="14608"/>
  <c r="IH51" i="14608"/>
  <c r="II51" i="14608"/>
  <c r="IJ51" i="14608"/>
  <c r="IK51" i="14608"/>
  <c r="IL51" i="14608"/>
  <c r="IM51" i="14608"/>
  <c r="IN51" i="14608"/>
  <c r="IO51" i="14608"/>
  <c r="IP51" i="14608"/>
  <c r="IQ51" i="14608"/>
  <c r="IR51" i="14608"/>
  <c r="IS51" i="14608"/>
  <c r="IT51" i="14608"/>
  <c r="IU51" i="14608"/>
  <c r="IV51" i="14608"/>
  <c r="A50" i="14608"/>
  <c r="B50" i="14608"/>
  <c r="C50" i="14608"/>
  <c r="D50" i="14608"/>
  <c r="E50" i="14608"/>
  <c r="F50" i="14608"/>
  <c r="G50" i="14608"/>
  <c r="H50" i="14608"/>
  <c r="I50" i="14608"/>
  <c r="J50" i="14608"/>
  <c r="K50" i="14608"/>
  <c r="L50" i="14608"/>
  <c r="M50" i="14608"/>
  <c r="N50" i="14608"/>
  <c r="O50" i="14608"/>
  <c r="P50" i="14608"/>
  <c r="Q50" i="14608"/>
  <c r="R50" i="14608"/>
  <c r="S50" i="14608"/>
  <c r="T50" i="14608"/>
  <c r="U50" i="14608"/>
  <c r="V50" i="14608"/>
  <c r="W50" i="14608"/>
  <c r="X50" i="14608"/>
  <c r="Y50" i="14608"/>
  <c r="Z50" i="14608"/>
  <c r="AA50" i="14608"/>
  <c r="AB50" i="14608"/>
  <c r="AC50" i="14608"/>
  <c r="AD50" i="14608"/>
  <c r="AE50" i="14608"/>
  <c r="AF50" i="14608"/>
  <c r="AG50" i="14608"/>
  <c r="AH50" i="14608"/>
  <c r="AI50" i="14608"/>
  <c r="AJ50" i="14608"/>
  <c r="AK50" i="14608"/>
  <c r="AL50" i="14608"/>
  <c r="AM50" i="14608"/>
  <c r="AN50" i="14608"/>
  <c r="AO50" i="14608"/>
  <c r="AP50" i="14608"/>
  <c r="AQ50" i="14608"/>
  <c r="AR50" i="14608"/>
  <c r="AS50" i="14608"/>
  <c r="AT50" i="14608"/>
  <c r="AU50" i="14608"/>
  <c r="AV50" i="14608"/>
  <c r="AW50" i="14608"/>
  <c r="AX50" i="14608"/>
  <c r="AY50" i="14608"/>
  <c r="AZ50" i="14608"/>
  <c r="BA50" i="14608"/>
  <c r="BB50" i="14608"/>
  <c r="BC50" i="14608"/>
  <c r="BD50" i="14608"/>
  <c r="BE50" i="14608"/>
  <c r="BF50" i="14608"/>
  <c r="BG50" i="14608"/>
  <c r="BH50" i="14608"/>
  <c r="BI50" i="14608"/>
  <c r="BJ50" i="14608"/>
  <c r="BK50" i="14608"/>
  <c r="BL50" i="14608"/>
  <c r="BM50" i="14608"/>
  <c r="BN50" i="14608"/>
  <c r="BO50" i="14608"/>
  <c r="BP50" i="14608"/>
  <c r="BQ50" i="14608"/>
  <c r="BR50" i="14608"/>
  <c r="BS50" i="14608"/>
  <c r="BT50" i="14608"/>
  <c r="BU50" i="14608"/>
  <c r="BV50" i="14608"/>
  <c r="BW50" i="14608"/>
  <c r="BX50" i="14608"/>
  <c r="BY50" i="14608"/>
  <c r="BZ50" i="14608"/>
  <c r="CA50" i="14608"/>
  <c r="CB50" i="14608"/>
  <c r="CC50" i="14608"/>
  <c r="CD50" i="14608"/>
  <c r="CE50" i="14608"/>
  <c r="CF50" i="14608"/>
  <c r="CG50" i="14608"/>
  <c r="CH50" i="14608"/>
  <c r="CI50" i="14608"/>
  <c r="CJ50" i="14608"/>
  <c r="CK50" i="14608"/>
  <c r="CL50" i="14608"/>
  <c r="CM50" i="14608"/>
  <c r="CN50" i="14608"/>
  <c r="CO50" i="14608"/>
  <c r="CP50" i="14608"/>
  <c r="CQ50" i="14608"/>
  <c r="CR50" i="14608"/>
  <c r="CS50" i="14608"/>
  <c r="CT50" i="14608"/>
  <c r="CU50" i="14608"/>
  <c r="CV50" i="14608"/>
  <c r="CW50" i="14608"/>
  <c r="CX50" i="14608"/>
  <c r="CY50" i="14608"/>
  <c r="CZ50" i="14608"/>
  <c r="DA50" i="14608"/>
  <c r="DB50" i="14608"/>
  <c r="DC50" i="14608"/>
  <c r="DD50" i="14608"/>
  <c r="DE50" i="14608"/>
  <c r="DF50" i="14608"/>
  <c r="DG50" i="14608"/>
  <c r="DH50" i="14608"/>
  <c r="DI50" i="14608"/>
  <c r="DJ50" i="14608"/>
  <c r="DK50" i="14608"/>
  <c r="DL50" i="14608"/>
  <c r="DM50" i="14608"/>
  <c r="DN50" i="14608"/>
  <c r="DO50" i="14608"/>
  <c r="DP50" i="14608"/>
  <c r="DQ50" i="14608"/>
  <c r="DR50" i="14608"/>
  <c r="DS50" i="14608"/>
  <c r="DT50" i="14608"/>
  <c r="DU50" i="14608"/>
  <c r="DV50" i="14608"/>
  <c r="DW50" i="14608"/>
  <c r="DX50" i="14608"/>
  <c r="DY50" i="14608"/>
  <c r="DZ50" i="14608"/>
  <c r="EA50" i="14608"/>
  <c r="EB50" i="14608"/>
  <c r="EC50" i="14608"/>
  <c r="ED50" i="14608"/>
  <c r="EE50" i="14608"/>
  <c r="EF50" i="14608"/>
  <c r="EG50" i="14608"/>
  <c r="EH50" i="14608"/>
  <c r="EI50" i="14608"/>
  <c r="EJ50" i="14608"/>
  <c r="EK50" i="14608"/>
  <c r="EL50" i="14608"/>
  <c r="EM50" i="14608"/>
  <c r="EN50" i="14608"/>
  <c r="EO50" i="14608"/>
  <c r="EP50" i="14608"/>
  <c r="EQ50" i="14608"/>
  <c r="ER50" i="14608"/>
  <c r="ES50" i="14608"/>
  <c r="ET50" i="14608"/>
  <c r="EU50" i="14608"/>
  <c r="EV50" i="14608"/>
  <c r="EW50" i="14608"/>
  <c r="EX50" i="14608"/>
  <c r="EY50" i="14608"/>
  <c r="EZ50" i="14608"/>
  <c r="FA50" i="14608"/>
  <c r="FB50" i="14608"/>
  <c r="FC50" i="14608"/>
  <c r="FD50" i="14608"/>
  <c r="FE50" i="14608"/>
  <c r="FF50" i="14608"/>
  <c r="FG50" i="14608"/>
  <c r="FH50" i="14608"/>
  <c r="FI50" i="14608"/>
  <c r="FJ50" i="14608"/>
  <c r="FK50" i="14608"/>
  <c r="FL50" i="14608"/>
  <c r="FM50" i="14608"/>
  <c r="FN50" i="14608"/>
  <c r="FO50" i="14608"/>
  <c r="FP50" i="14608"/>
  <c r="FQ50" i="14608"/>
  <c r="FR50" i="14608"/>
  <c r="FS50" i="14608"/>
  <c r="FT50" i="14608"/>
  <c r="FU50" i="14608"/>
  <c r="FV50" i="14608"/>
  <c r="FW50" i="14608"/>
  <c r="FX50" i="14608"/>
  <c r="FY50" i="14608"/>
  <c r="FZ50" i="14608"/>
  <c r="GA50" i="14608"/>
  <c r="GB50" i="14608"/>
  <c r="GC50" i="14608"/>
  <c r="GD50" i="14608"/>
  <c r="GE50" i="14608"/>
  <c r="GF50" i="14608"/>
  <c r="GG50" i="14608"/>
  <c r="GH50" i="14608"/>
  <c r="GI50" i="14608"/>
  <c r="GJ50" i="14608"/>
  <c r="GK50" i="14608"/>
  <c r="GL50" i="14608"/>
  <c r="GM50" i="14608"/>
  <c r="GN50" i="14608"/>
  <c r="GO50" i="14608"/>
  <c r="GP50" i="14608"/>
  <c r="GQ50" i="14608"/>
  <c r="GR50" i="14608"/>
  <c r="GS50" i="14608"/>
  <c r="GT50" i="14608"/>
  <c r="GU50" i="14608"/>
  <c r="GV50" i="14608"/>
  <c r="GW50" i="14608"/>
  <c r="GX50" i="14608"/>
  <c r="GY50" i="14608"/>
  <c r="GZ50" i="14608"/>
  <c r="HA50" i="14608"/>
  <c r="HB50" i="14608"/>
  <c r="HC50" i="14608"/>
  <c r="HD50" i="14608"/>
  <c r="HE50" i="14608"/>
  <c r="HF50" i="14608"/>
  <c r="HG50" i="14608"/>
  <c r="HH50" i="14608"/>
  <c r="HI50" i="14608"/>
  <c r="HJ50" i="14608"/>
  <c r="HK50" i="14608"/>
  <c r="HL50" i="14608"/>
  <c r="HM50" i="14608"/>
  <c r="HN50" i="14608"/>
  <c r="HO50" i="14608"/>
  <c r="HP50" i="14608"/>
  <c r="HQ50" i="14608"/>
  <c r="HR50" i="14608"/>
  <c r="HS50" i="14608"/>
  <c r="HT50" i="14608"/>
  <c r="HU50" i="14608"/>
  <c r="HV50" i="14608"/>
  <c r="HW50" i="14608"/>
  <c r="HX50" i="14608"/>
  <c r="HY50" i="14608"/>
  <c r="HZ50" i="14608"/>
  <c r="IA50" i="14608"/>
  <c r="IB50" i="14608"/>
  <c r="IC50" i="14608"/>
  <c r="ID50" i="14608"/>
  <c r="IE50" i="14608"/>
  <c r="IF50" i="14608"/>
  <c r="IG50" i="14608"/>
  <c r="IH50" i="14608"/>
  <c r="II50" i="14608"/>
  <c r="IJ50" i="14608"/>
  <c r="IK50" i="14608"/>
  <c r="IL50" i="14608"/>
  <c r="IM50" i="14608"/>
  <c r="IN50" i="14608"/>
  <c r="IO50" i="14608"/>
  <c r="IP50" i="14608"/>
  <c r="IQ50" i="14608"/>
  <c r="IR50" i="14608"/>
  <c r="IS50" i="14608"/>
  <c r="IT50" i="14608"/>
  <c r="IU50" i="14608"/>
  <c r="IV50" i="14608"/>
  <c r="A49" i="14608"/>
  <c r="B49" i="14608"/>
  <c r="C49" i="14608"/>
  <c r="D49" i="14608"/>
  <c r="E49" i="14608"/>
  <c r="F49" i="14608"/>
  <c r="G49" i="14608"/>
  <c r="H49" i="14608"/>
  <c r="I49" i="14608"/>
  <c r="J49" i="14608"/>
  <c r="K49" i="14608"/>
  <c r="L49" i="14608"/>
  <c r="M49" i="14608"/>
  <c r="N49" i="14608"/>
  <c r="O49" i="14608"/>
  <c r="P49" i="14608"/>
  <c r="Q49" i="14608"/>
  <c r="R49" i="14608"/>
  <c r="S49" i="14608"/>
  <c r="T49" i="14608"/>
  <c r="U49" i="14608"/>
  <c r="V49" i="14608"/>
  <c r="W49" i="14608"/>
  <c r="X49" i="14608"/>
  <c r="Y49" i="14608"/>
  <c r="Z49" i="14608"/>
  <c r="AA49" i="14608"/>
  <c r="AB49" i="14608"/>
  <c r="AC49" i="14608"/>
  <c r="AD49" i="14608"/>
  <c r="AE49" i="14608"/>
  <c r="AF49" i="14608"/>
  <c r="AG49" i="14608"/>
  <c r="AH49" i="14608"/>
  <c r="AI49" i="14608"/>
  <c r="AJ49" i="14608"/>
  <c r="AK49" i="14608"/>
  <c r="AL49" i="14608"/>
  <c r="AM49" i="14608"/>
  <c r="AN49" i="14608"/>
  <c r="AO49" i="14608"/>
  <c r="AP49" i="14608"/>
  <c r="AQ49" i="14608"/>
  <c r="AR49" i="14608"/>
  <c r="AS49" i="14608"/>
  <c r="AT49" i="14608"/>
  <c r="AU49" i="14608"/>
  <c r="AV49" i="14608"/>
  <c r="AW49" i="14608"/>
  <c r="AX49" i="14608"/>
  <c r="AY49" i="14608"/>
  <c r="AZ49" i="14608"/>
  <c r="BA49" i="14608"/>
  <c r="BB49" i="14608"/>
  <c r="BC49" i="14608"/>
  <c r="BD49" i="14608"/>
  <c r="BE49" i="14608"/>
  <c r="BF49" i="14608"/>
  <c r="BG49" i="14608"/>
  <c r="BH49" i="14608"/>
  <c r="BI49" i="14608"/>
  <c r="BJ49" i="14608"/>
  <c r="BK49" i="14608"/>
  <c r="BL49" i="14608"/>
  <c r="BM49" i="14608"/>
  <c r="BN49" i="14608"/>
  <c r="BO49" i="14608"/>
  <c r="BP49" i="14608"/>
  <c r="BQ49" i="14608"/>
  <c r="BR49" i="14608"/>
  <c r="BS49" i="14608"/>
  <c r="BT49" i="14608"/>
  <c r="BU49" i="14608"/>
  <c r="BV49" i="14608"/>
  <c r="BW49" i="14608"/>
  <c r="BX49" i="14608"/>
  <c r="BY49" i="14608"/>
  <c r="BZ49" i="14608"/>
  <c r="CA49" i="14608"/>
  <c r="CB49" i="14608"/>
  <c r="CC49" i="14608"/>
  <c r="CD49" i="14608"/>
  <c r="CE49" i="14608"/>
  <c r="CF49" i="14608"/>
  <c r="CG49" i="14608"/>
  <c r="CH49" i="14608"/>
  <c r="CI49" i="14608"/>
  <c r="CJ49" i="14608"/>
  <c r="CK49" i="14608"/>
  <c r="CL49" i="14608"/>
  <c r="CM49" i="14608"/>
  <c r="CN49" i="14608"/>
  <c r="CO49" i="14608"/>
  <c r="CP49" i="14608"/>
  <c r="CQ49" i="14608"/>
  <c r="CR49" i="14608"/>
  <c r="CS49" i="14608"/>
  <c r="CT49" i="14608"/>
  <c r="CU49" i="14608"/>
  <c r="CV49" i="14608"/>
  <c r="CW49" i="14608"/>
  <c r="CX49" i="14608"/>
  <c r="CY49" i="14608"/>
  <c r="CZ49" i="14608"/>
  <c r="DA49" i="14608"/>
  <c r="DB49" i="14608"/>
  <c r="DC49" i="14608"/>
  <c r="DD49" i="14608"/>
  <c r="DE49" i="14608"/>
  <c r="DF49" i="14608"/>
  <c r="DG49" i="14608"/>
  <c r="DH49" i="14608"/>
  <c r="DI49" i="14608"/>
  <c r="DJ49" i="14608"/>
  <c r="DK49" i="14608"/>
  <c r="DL49" i="14608"/>
  <c r="DM49" i="14608"/>
  <c r="DN49" i="14608"/>
  <c r="DO49" i="14608"/>
  <c r="DP49" i="14608"/>
  <c r="DQ49" i="14608"/>
  <c r="DR49" i="14608"/>
  <c r="DS49" i="14608"/>
  <c r="DT49" i="14608"/>
  <c r="DU49" i="14608"/>
  <c r="DV49" i="14608"/>
  <c r="DW49" i="14608"/>
  <c r="DX49" i="14608"/>
  <c r="DY49" i="14608"/>
  <c r="DZ49" i="14608"/>
  <c r="EA49" i="14608"/>
  <c r="EB49" i="14608"/>
  <c r="EC49" i="14608"/>
  <c r="ED49" i="14608"/>
  <c r="EE49" i="14608"/>
  <c r="EF49" i="14608"/>
  <c r="EG49" i="14608"/>
  <c r="EH49" i="14608"/>
  <c r="EI49" i="14608"/>
  <c r="EJ49" i="14608"/>
  <c r="EK49" i="14608"/>
  <c r="EL49" i="14608"/>
  <c r="EM49" i="14608"/>
  <c r="EN49" i="14608"/>
  <c r="EO49" i="14608"/>
  <c r="EP49" i="14608"/>
  <c r="EQ49" i="14608"/>
  <c r="ER49" i="14608"/>
  <c r="ES49" i="14608"/>
  <c r="ET49" i="14608"/>
  <c r="EU49" i="14608"/>
  <c r="EV49" i="14608"/>
  <c r="EW49" i="14608"/>
  <c r="EX49" i="14608"/>
  <c r="EY49" i="14608"/>
  <c r="EZ49" i="14608"/>
  <c r="FA49" i="14608"/>
  <c r="FB49" i="14608"/>
  <c r="FC49" i="14608"/>
  <c r="FD49" i="14608"/>
  <c r="FE49" i="14608"/>
  <c r="FF49" i="14608"/>
  <c r="FG49" i="14608"/>
  <c r="FH49" i="14608"/>
  <c r="FI49" i="14608"/>
  <c r="FJ49" i="14608"/>
  <c r="FK49" i="14608"/>
  <c r="FL49" i="14608"/>
  <c r="FM49" i="14608"/>
  <c r="FN49" i="14608"/>
  <c r="FO49" i="14608"/>
  <c r="FP49" i="14608"/>
  <c r="FQ49" i="14608"/>
  <c r="FR49" i="14608"/>
  <c r="FS49" i="14608"/>
  <c r="FT49" i="14608"/>
  <c r="FU49" i="14608"/>
  <c r="FV49" i="14608"/>
  <c r="FW49" i="14608"/>
  <c r="FX49" i="14608"/>
  <c r="FY49" i="14608"/>
  <c r="FZ49" i="14608"/>
  <c r="GA49" i="14608"/>
  <c r="GB49" i="14608"/>
  <c r="GC49" i="14608"/>
  <c r="GD49" i="14608"/>
  <c r="GE49" i="14608"/>
  <c r="GF49" i="14608"/>
  <c r="GG49" i="14608"/>
  <c r="GH49" i="14608"/>
  <c r="GI49" i="14608"/>
  <c r="GJ49" i="14608"/>
  <c r="GK49" i="14608"/>
  <c r="GL49" i="14608"/>
  <c r="GM49" i="14608"/>
  <c r="GN49" i="14608"/>
  <c r="GO49" i="14608"/>
  <c r="GP49" i="14608"/>
  <c r="GQ49" i="14608"/>
  <c r="GR49" i="14608"/>
  <c r="GS49" i="14608"/>
  <c r="GT49" i="14608"/>
  <c r="GU49" i="14608"/>
  <c r="GV49" i="14608"/>
  <c r="GW49" i="14608"/>
  <c r="GX49" i="14608"/>
  <c r="GY49" i="14608"/>
  <c r="GZ49" i="14608"/>
  <c r="HA49" i="14608"/>
  <c r="HB49" i="14608"/>
  <c r="HC49" i="14608"/>
  <c r="HD49" i="14608"/>
  <c r="HE49" i="14608"/>
  <c r="HF49" i="14608"/>
  <c r="HG49" i="14608"/>
  <c r="HH49" i="14608"/>
  <c r="HI49" i="14608"/>
  <c r="HJ49" i="14608"/>
  <c r="HK49" i="14608"/>
  <c r="HL49" i="14608"/>
  <c r="HM49" i="14608"/>
  <c r="HN49" i="14608"/>
  <c r="HO49" i="14608"/>
  <c r="HP49" i="14608"/>
  <c r="HQ49" i="14608"/>
  <c r="HR49" i="14608"/>
  <c r="HS49" i="14608"/>
  <c r="HT49" i="14608"/>
  <c r="HU49" i="14608"/>
  <c r="HV49" i="14608"/>
  <c r="HW49" i="14608"/>
  <c r="HX49" i="14608"/>
  <c r="HY49" i="14608"/>
  <c r="HZ49" i="14608"/>
  <c r="IA49" i="14608"/>
  <c r="IB49" i="14608"/>
  <c r="IC49" i="14608"/>
  <c r="ID49" i="14608"/>
  <c r="IE49" i="14608"/>
  <c r="IF49" i="14608"/>
  <c r="IG49" i="14608"/>
  <c r="IH49" i="14608"/>
  <c r="II49" i="14608"/>
  <c r="IJ49" i="14608"/>
  <c r="IK49" i="14608"/>
  <c r="IL49" i="14608"/>
  <c r="IM49" i="14608"/>
  <c r="IN49" i="14608"/>
  <c r="IO49" i="14608"/>
  <c r="IP49" i="14608"/>
  <c r="IQ49" i="14608"/>
  <c r="IR49" i="14608"/>
  <c r="IS49" i="14608"/>
  <c r="IT49" i="14608"/>
  <c r="IU49" i="14608"/>
  <c r="IV49" i="14608"/>
  <c r="A48" i="14608"/>
  <c r="B48" i="14608"/>
  <c r="C48" i="14608"/>
  <c r="D48" i="14608"/>
  <c r="E48" i="14608"/>
  <c r="F48" i="14608"/>
  <c r="G48" i="14608"/>
  <c r="H48" i="14608"/>
  <c r="I48" i="14608"/>
  <c r="J48" i="14608"/>
  <c r="K48" i="14608"/>
  <c r="L48" i="14608"/>
  <c r="M48" i="14608"/>
  <c r="N48" i="14608"/>
  <c r="O48" i="14608"/>
  <c r="P48" i="14608"/>
  <c r="Q48" i="14608"/>
  <c r="R48" i="14608"/>
  <c r="S48" i="14608"/>
  <c r="T48" i="14608"/>
  <c r="U48" i="14608"/>
  <c r="V48" i="14608"/>
  <c r="W48" i="14608"/>
  <c r="X48" i="14608"/>
  <c r="Y48" i="14608"/>
  <c r="Z48" i="14608"/>
  <c r="AA48" i="14608"/>
  <c r="AB48" i="14608"/>
  <c r="AC48" i="14608"/>
  <c r="AD48" i="14608"/>
  <c r="AE48" i="14608"/>
  <c r="AF48" i="14608"/>
  <c r="AG48" i="14608"/>
  <c r="AH48" i="14608"/>
  <c r="AI48" i="14608"/>
  <c r="AJ48" i="14608"/>
  <c r="AK48" i="14608"/>
  <c r="AL48" i="14608"/>
  <c r="AM48" i="14608"/>
  <c r="AN48" i="14608"/>
  <c r="AO48" i="14608"/>
  <c r="AP48" i="14608"/>
  <c r="AQ48" i="14608"/>
  <c r="AR48" i="14608"/>
  <c r="AS48" i="14608"/>
  <c r="AT48" i="14608"/>
  <c r="AU48" i="14608"/>
  <c r="AV48" i="14608"/>
  <c r="AW48" i="14608"/>
  <c r="AX48" i="14608"/>
  <c r="AY48" i="14608"/>
  <c r="AZ48" i="14608"/>
  <c r="BA48" i="14608"/>
  <c r="BB48" i="14608"/>
  <c r="BC48" i="14608"/>
  <c r="BD48" i="14608"/>
  <c r="BE48" i="14608"/>
  <c r="BF48" i="14608"/>
  <c r="BG48" i="14608"/>
  <c r="BH48" i="14608"/>
  <c r="BI48" i="14608"/>
  <c r="BJ48" i="14608"/>
  <c r="BK48" i="14608"/>
  <c r="BL48" i="14608"/>
  <c r="BM48" i="14608"/>
  <c r="BN48" i="14608"/>
  <c r="BO48" i="14608"/>
  <c r="BP48" i="14608"/>
  <c r="BQ48" i="14608"/>
  <c r="BR48" i="14608"/>
  <c r="BS48" i="14608"/>
  <c r="BT48" i="14608"/>
  <c r="BU48" i="14608"/>
  <c r="BV48" i="14608"/>
  <c r="BW48" i="14608"/>
  <c r="BX48" i="14608"/>
  <c r="BY48" i="14608"/>
  <c r="BZ48" i="14608"/>
  <c r="CA48" i="14608"/>
  <c r="CB48" i="14608"/>
  <c r="CC48" i="14608"/>
  <c r="CD48" i="14608"/>
  <c r="CE48" i="14608"/>
  <c r="CF48" i="14608"/>
  <c r="CG48" i="14608"/>
  <c r="CH48" i="14608"/>
  <c r="CI48" i="14608"/>
  <c r="CJ48" i="14608"/>
  <c r="CK48" i="14608"/>
  <c r="CL48" i="14608"/>
  <c r="CM48" i="14608"/>
  <c r="CN48" i="14608"/>
  <c r="CO48" i="14608"/>
  <c r="CP48" i="14608"/>
  <c r="CQ48" i="14608"/>
  <c r="CR48" i="14608"/>
  <c r="CS48" i="14608"/>
  <c r="CT48" i="14608"/>
  <c r="CU48" i="14608"/>
  <c r="CV48" i="14608"/>
  <c r="CW48" i="14608"/>
  <c r="CX48" i="14608"/>
  <c r="CY48" i="14608"/>
  <c r="CZ48" i="14608"/>
  <c r="DA48" i="14608"/>
  <c r="DB48" i="14608"/>
  <c r="DC48" i="14608"/>
  <c r="DD48" i="14608"/>
  <c r="DE48" i="14608"/>
  <c r="DF48" i="14608"/>
  <c r="DG48" i="14608"/>
  <c r="DH48" i="14608"/>
  <c r="DI48" i="14608"/>
  <c r="DJ48" i="14608"/>
  <c r="DK48" i="14608"/>
  <c r="DL48" i="14608"/>
  <c r="DM48" i="14608"/>
  <c r="DN48" i="14608"/>
  <c r="DO48" i="14608"/>
  <c r="DP48" i="14608"/>
  <c r="DQ48" i="14608"/>
  <c r="DR48" i="14608"/>
  <c r="DS48" i="14608"/>
  <c r="DT48" i="14608"/>
  <c r="DU48" i="14608"/>
  <c r="DV48" i="14608"/>
  <c r="DW48" i="14608"/>
  <c r="DX48" i="14608"/>
  <c r="DY48" i="14608"/>
  <c r="DZ48" i="14608"/>
  <c r="EA48" i="14608"/>
  <c r="EB48" i="14608"/>
  <c r="EC48" i="14608"/>
  <c r="ED48" i="14608"/>
  <c r="EE48" i="14608"/>
  <c r="EF48" i="14608"/>
  <c r="EG48" i="14608"/>
  <c r="EH48" i="14608"/>
  <c r="EI48" i="14608"/>
  <c r="EJ48" i="14608"/>
  <c r="EK48" i="14608"/>
  <c r="EL48" i="14608"/>
  <c r="EM48" i="14608"/>
  <c r="EN48" i="14608"/>
  <c r="EO48" i="14608"/>
  <c r="EP48" i="14608"/>
  <c r="EQ48" i="14608"/>
  <c r="ER48" i="14608"/>
  <c r="ES48" i="14608"/>
  <c r="ET48" i="14608"/>
  <c r="EU48" i="14608"/>
  <c r="EV48" i="14608"/>
  <c r="EW48" i="14608"/>
  <c r="EX48" i="14608"/>
  <c r="EY48" i="14608"/>
  <c r="EZ48" i="14608"/>
  <c r="FA48" i="14608"/>
  <c r="FB48" i="14608"/>
  <c r="FC48" i="14608"/>
  <c r="FF48" i="14608"/>
  <c r="FG48" i="14608"/>
  <c r="FH48" i="14608"/>
  <c r="FI48" i="14608"/>
  <c r="FJ48" i="14608"/>
  <c r="FK48" i="14608"/>
  <c r="FL48" i="14608"/>
  <c r="FM48" i="14608"/>
  <c r="FN48" i="14608"/>
  <c r="FO48" i="14608"/>
  <c r="FP48" i="14608"/>
  <c r="FQ48" i="14608"/>
  <c r="FR48" i="14608"/>
  <c r="FT48" i="14608"/>
  <c r="FU48" i="14608"/>
  <c r="FV48" i="14608"/>
  <c r="FW48" i="14608"/>
  <c r="FX48" i="14608"/>
  <c r="GE48" i="14608"/>
  <c r="GF48" i="14608"/>
  <c r="GL48" i="14608"/>
  <c r="GM48" i="14608"/>
  <c r="GT48" i="14608"/>
  <c r="GW48" i="14608"/>
  <c r="GX48" i="14608"/>
  <c r="GY48" i="14608"/>
  <c r="GZ48" i="14608"/>
  <c r="HA48" i="14608"/>
  <c r="HB48" i="14608"/>
  <c r="HC48" i="14608"/>
  <c r="HD48" i="14608"/>
  <c r="HE48" i="14608"/>
  <c r="HF48" i="14608"/>
  <c r="HG48" i="14608"/>
  <c r="HH48" i="14608"/>
  <c r="HI48" i="14608"/>
  <c r="HJ48" i="14608"/>
  <c r="HK48" i="14608"/>
  <c r="HL48" i="14608"/>
  <c r="HM48" i="14608"/>
  <c r="HN48" i="14608"/>
  <c r="HO48" i="14608"/>
  <c r="HP48" i="14608"/>
  <c r="HQ48" i="14608"/>
  <c r="HR48" i="14608"/>
  <c r="HS48" i="14608"/>
  <c r="HT48" i="14608"/>
  <c r="HU48" i="14608"/>
  <c r="HV48" i="14608"/>
  <c r="HW48" i="14608"/>
  <c r="HX48" i="14608"/>
  <c r="HY48" i="14608"/>
  <c r="HZ48" i="14608"/>
  <c r="IA48" i="14608"/>
  <c r="IB48" i="14608"/>
  <c r="IC48" i="14608"/>
  <c r="ID48" i="14608"/>
  <c r="IE48" i="14608"/>
  <c r="IF48" i="14608"/>
  <c r="IG48" i="14608"/>
  <c r="IH48" i="14608"/>
  <c r="II48" i="14608"/>
  <c r="IJ48" i="14608"/>
  <c r="IK48" i="14608"/>
  <c r="IL48" i="14608"/>
  <c r="IM48" i="14608"/>
  <c r="IN48" i="14608"/>
  <c r="IO48" i="14608"/>
  <c r="IP48" i="14608"/>
  <c r="IQ48" i="14608"/>
  <c r="IR48" i="14608"/>
  <c r="IS48" i="14608"/>
  <c r="IT48" i="14608"/>
  <c r="IU48" i="14608"/>
  <c r="IV48" i="14608"/>
  <c r="A47" i="14608"/>
  <c r="B47" i="14608"/>
  <c r="C47" i="14608"/>
  <c r="D47" i="14608"/>
  <c r="E47" i="14608"/>
  <c r="F47" i="14608"/>
  <c r="G47" i="14608"/>
  <c r="H47" i="14608"/>
  <c r="I47" i="14608"/>
  <c r="J47" i="14608"/>
  <c r="K47" i="14608"/>
  <c r="L47" i="14608"/>
  <c r="M47" i="14608"/>
  <c r="N47" i="14608"/>
  <c r="O47" i="14608"/>
  <c r="P47" i="14608"/>
  <c r="Q47" i="14608"/>
  <c r="R47" i="14608"/>
  <c r="S47" i="14608"/>
  <c r="T47" i="14608"/>
  <c r="U47" i="14608"/>
  <c r="V47" i="14608"/>
  <c r="W47" i="14608"/>
  <c r="X47" i="14608"/>
  <c r="Y47" i="14608"/>
  <c r="Z47" i="14608"/>
  <c r="AA47" i="14608"/>
  <c r="AB47" i="14608"/>
  <c r="AC47" i="14608"/>
  <c r="AD47" i="14608"/>
  <c r="AE47" i="14608"/>
  <c r="AF47" i="14608"/>
  <c r="AG47" i="14608"/>
  <c r="AH47" i="14608"/>
  <c r="AI47" i="14608"/>
  <c r="AJ47" i="14608"/>
  <c r="AK47" i="14608"/>
  <c r="AL47" i="14608"/>
  <c r="AM47" i="14608"/>
  <c r="AN47" i="14608"/>
  <c r="AO47" i="14608"/>
  <c r="AP47" i="14608"/>
  <c r="AQ47" i="14608"/>
  <c r="AR47" i="14608"/>
  <c r="AS47" i="14608"/>
  <c r="AT47" i="14608"/>
  <c r="AU47" i="14608"/>
  <c r="AV47" i="14608"/>
  <c r="AW47" i="14608"/>
  <c r="AX47" i="14608"/>
  <c r="AY47" i="14608"/>
  <c r="AZ47" i="14608"/>
  <c r="BA47" i="14608"/>
  <c r="BB47" i="14608"/>
  <c r="BC47" i="14608"/>
  <c r="BD47" i="14608"/>
  <c r="BE47" i="14608"/>
  <c r="BF47" i="14608"/>
  <c r="BG47" i="14608"/>
  <c r="BH47" i="14608"/>
  <c r="BI47" i="14608"/>
  <c r="BJ47" i="14608"/>
  <c r="BK47" i="14608"/>
  <c r="BL47" i="14608"/>
  <c r="BM47" i="14608"/>
  <c r="BN47" i="14608"/>
  <c r="BO47" i="14608"/>
  <c r="BP47" i="14608"/>
  <c r="BQ47" i="14608"/>
  <c r="BR47" i="14608"/>
  <c r="BS47" i="14608"/>
  <c r="BT47" i="14608"/>
  <c r="BU47" i="14608"/>
  <c r="BV47" i="14608"/>
  <c r="BW47" i="14608"/>
  <c r="BX47" i="14608"/>
  <c r="BY47" i="14608"/>
  <c r="BZ47" i="14608"/>
  <c r="CA47" i="14608"/>
  <c r="CB47" i="14608"/>
  <c r="CC47" i="14608"/>
  <c r="CD47" i="14608"/>
  <c r="CE47" i="14608"/>
  <c r="CF47" i="14608"/>
  <c r="CG47" i="14608"/>
  <c r="CH47" i="14608"/>
  <c r="CI47" i="14608"/>
  <c r="CJ47" i="14608"/>
  <c r="CK47" i="14608"/>
  <c r="CL47" i="14608"/>
  <c r="CM47" i="14608"/>
  <c r="CN47" i="14608"/>
  <c r="CO47" i="14608"/>
  <c r="CP47" i="14608"/>
  <c r="CQ47" i="14608"/>
  <c r="CR47" i="14608"/>
  <c r="CS47" i="14608"/>
  <c r="CT47" i="14608"/>
  <c r="CU47" i="14608"/>
  <c r="CV47" i="14608"/>
  <c r="CW47" i="14608"/>
  <c r="CX47" i="14608"/>
  <c r="CY47" i="14608"/>
  <c r="CZ47" i="14608"/>
  <c r="DA47" i="14608"/>
  <c r="DB47" i="14608"/>
  <c r="DC47" i="14608"/>
  <c r="DD47" i="14608"/>
  <c r="DE47" i="14608"/>
  <c r="DF47" i="14608"/>
  <c r="DG47" i="14608"/>
  <c r="DH47" i="14608"/>
  <c r="DI47" i="14608"/>
  <c r="DJ47" i="14608"/>
  <c r="DK47" i="14608"/>
  <c r="DL47" i="14608"/>
  <c r="DM47" i="14608"/>
  <c r="DN47" i="14608"/>
  <c r="DO47" i="14608"/>
  <c r="DP47" i="14608"/>
  <c r="DQ47" i="14608"/>
  <c r="DR47" i="14608"/>
  <c r="DS47" i="14608"/>
  <c r="DT47" i="14608"/>
  <c r="DU47" i="14608"/>
  <c r="DV47" i="14608"/>
  <c r="DW47" i="14608"/>
  <c r="DX47" i="14608"/>
  <c r="DY47" i="14608"/>
  <c r="DZ47" i="14608"/>
  <c r="EA47" i="14608"/>
  <c r="EB47" i="14608"/>
  <c r="EC47" i="14608"/>
  <c r="ED47" i="14608"/>
  <c r="EE47" i="14608"/>
  <c r="EF47" i="14608"/>
  <c r="EG47" i="14608"/>
  <c r="EH47" i="14608"/>
  <c r="EI47" i="14608"/>
  <c r="EJ47" i="14608"/>
  <c r="EK47" i="14608"/>
  <c r="EL47" i="14608"/>
  <c r="EM47" i="14608"/>
  <c r="EN47" i="14608"/>
  <c r="EO47" i="14608"/>
  <c r="EP47" i="14608"/>
  <c r="EQ47" i="14608"/>
  <c r="ER47" i="14608"/>
  <c r="ES47" i="14608"/>
  <c r="ET47" i="14608"/>
  <c r="EU47" i="14608"/>
  <c r="EV47" i="14608"/>
  <c r="EW47" i="14608"/>
  <c r="EX47" i="14608"/>
  <c r="EY47" i="14608"/>
  <c r="EZ47" i="14608"/>
  <c r="FA47" i="14608"/>
  <c r="FB47" i="14608"/>
  <c r="FC47" i="14608"/>
  <c r="FD47" i="14608"/>
  <c r="FE47" i="14608"/>
  <c r="FF47" i="14608"/>
  <c r="FG47" i="14608"/>
  <c r="FH47" i="14608"/>
  <c r="FI47" i="14608"/>
  <c r="FJ47" i="14608"/>
  <c r="FK47" i="14608"/>
  <c r="FL47" i="14608"/>
  <c r="FM47" i="14608"/>
  <c r="FN47" i="14608"/>
  <c r="FO47" i="14608"/>
  <c r="FP47" i="14608"/>
  <c r="FQ47" i="14608"/>
  <c r="FR47" i="14608"/>
  <c r="FS47" i="14608"/>
  <c r="FT47" i="14608"/>
  <c r="FU47" i="14608"/>
  <c r="FV47" i="14608"/>
  <c r="FW47" i="14608"/>
  <c r="FX47" i="14608"/>
  <c r="FY47" i="14608"/>
  <c r="FZ47" i="14608"/>
  <c r="GA47" i="14608"/>
  <c r="GB47" i="14608"/>
  <c r="GC47" i="14608"/>
  <c r="GD47" i="14608"/>
  <c r="GE47" i="14608"/>
  <c r="GF47" i="14608"/>
  <c r="GG47" i="14608"/>
  <c r="GH47" i="14608"/>
  <c r="GI47" i="14608"/>
  <c r="GJ47" i="14608"/>
  <c r="GK47" i="14608"/>
  <c r="GL47" i="14608"/>
  <c r="GM47" i="14608"/>
  <c r="GN47" i="14608"/>
  <c r="GO47" i="14608"/>
  <c r="GP47" i="14608"/>
  <c r="GQ47" i="14608"/>
  <c r="GR47" i="14608"/>
  <c r="GS47" i="14608"/>
  <c r="GT47" i="14608"/>
  <c r="GU47" i="14608"/>
  <c r="GV47" i="14608"/>
  <c r="GW47" i="14608"/>
  <c r="GX47" i="14608"/>
  <c r="GY47" i="14608"/>
  <c r="GZ47" i="14608"/>
  <c r="HA47" i="14608"/>
  <c r="HB47" i="14608"/>
  <c r="HC47" i="14608"/>
  <c r="HD47" i="14608"/>
  <c r="HE47" i="14608"/>
  <c r="HF47" i="14608"/>
  <c r="HG47" i="14608"/>
  <c r="HH47" i="14608"/>
  <c r="HI47" i="14608"/>
  <c r="HJ47" i="14608"/>
  <c r="HK47" i="14608"/>
  <c r="HL47" i="14608"/>
  <c r="HM47" i="14608"/>
  <c r="HN47" i="14608"/>
  <c r="HO47" i="14608"/>
  <c r="HP47" i="14608"/>
  <c r="HQ47" i="14608"/>
  <c r="HR47" i="14608"/>
  <c r="HS47" i="14608"/>
  <c r="HT47" i="14608"/>
  <c r="HU47" i="14608"/>
  <c r="HV47" i="14608"/>
  <c r="HW47" i="14608"/>
  <c r="HX47" i="14608"/>
  <c r="HY47" i="14608"/>
  <c r="HZ47" i="14608"/>
  <c r="IA47" i="14608"/>
  <c r="IB47" i="14608"/>
  <c r="IC47" i="14608"/>
  <c r="ID47" i="14608"/>
  <c r="IE47" i="14608"/>
  <c r="IF47" i="14608"/>
  <c r="IG47" i="14608"/>
  <c r="IH47" i="14608"/>
  <c r="II47" i="14608"/>
  <c r="IJ47" i="14608"/>
  <c r="IK47" i="14608"/>
  <c r="IL47" i="14608"/>
  <c r="IM47" i="14608"/>
  <c r="IN47" i="14608"/>
  <c r="IO47" i="14608"/>
  <c r="IP47" i="14608"/>
  <c r="IQ47" i="14608"/>
  <c r="IR47" i="14608"/>
  <c r="IS47" i="14608"/>
  <c r="IT47" i="14608"/>
  <c r="IU47" i="14608"/>
  <c r="IV47" i="14608"/>
  <c r="A46" i="14608"/>
  <c r="B46" i="14608"/>
  <c r="C46" i="14608"/>
  <c r="D46" i="14608"/>
  <c r="E46" i="14608"/>
  <c r="F46" i="14608"/>
  <c r="G46" i="14608"/>
  <c r="H46" i="14608"/>
  <c r="I46" i="14608"/>
  <c r="J46" i="14608"/>
  <c r="K46" i="14608"/>
  <c r="L46" i="14608"/>
  <c r="M46" i="14608"/>
  <c r="N46" i="14608"/>
  <c r="O46" i="14608"/>
  <c r="P46" i="14608"/>
  <c r="Q46" i="14608"/>
  <c r="R46" i="14608"/>
  <c r="S46" i="14608"/>
  <c r="T46" i="14608"/>
  <c r="U46" i="14608"/>
  <c r="V46" i="14608"/>
  <c r="W46" i="14608"/>
  <c r="X46" i="14608"/>
  <c r="Y46" i="14608"/>
  <c r="Z46" i="14608"/>
  <c r="AA46" i="14608"/>
  <c r="AB46" i="14608"/>
  <c r="AC46" i="14608"/>
  <c r="AD46" i="14608"/>
  <c r="AE46" i="14608"/>
  <c r="AF46" i="14608"/>
  <c r="AG46" i="14608"/>
  <c r="AH46" i="14608"/>
  <c r="AI46" i="14608"/>
  <c r="AJ46" i="14608"/>
  <c r="AK46" i="14608"/>
  <c r="AL46" i="14608"/>
  <c r="AM46" i="14608"/>
  <c r="AN46" i="14608"/>
  <c r="AO46" i="14608"/>
  <c r="AP46" i="14608"/>
  <c r="AQ46" i="14608"/>
  <c r="AR46" i="14608"/>
  <c r="AS46" i="14608"/>
  <c r="AT46" i="14608"/>
  <c r="AU46" i="14608"/>
  <c r="AV46" i="14608"/>
  <c r="AW46" i="14608"/>
  <c r="AX46" i="14608"/>
  <c r="AY46" i="14608"/>
  <c r="AZ46" i="14608"/>
  <c r="BA46" i="14608"/>
  <c r="BB46" i="14608"/>
  <c r="BC46" i="14608"/>
  <c r="BD46" i="14608"/>
  <c r="BE46" i="14608"/>
  <c r="BF46" i="14608"/>
  <c r="BG46" i="14608"/>
  <c r="BH46" i="14608"/>
  <c r="BI46" i="14608"/>
  <c r="BJ46" i="14608"/>
  <c r="BK46" i="14608"/>
  <c r="BL46" i="14608"/>
  <c r="BM46" i="14608"/>
  <c r="BN46" i="14608"/>
  <c r="BO46" i="14608"/>
  <c r="BP46" i="14608"/>
  <c r="BQ46" i="14608"/>
  <c r="BR46" i="14608"/>
  <c r="BS46" i="14608"/>
  <c r="BT46" i="14608"/>
  <c r="BU46" i="14608"/>
  <c r="BV46" i="14608"/>
  <c r="BW46" i="14608"/>
  <c r="BX46" i="14608"/>
  <c r="BY46" i="14608"/>
  <c r="BZ46" i="14608"/>
  <c r="CA46" i="14608"/>
  <c r="CB46" i="14608"/>
  <c r="CC46" i="14608"/>
  <c r="CD46" i="14608"/>
  <c r="CE46" i="14608"/>
  <c r="CF46" i="14608"/>
  <c r="CG46" i="14608"/>
  <c r="CH46" i="14608"/>
  <c r="CI46" i="14608"/>
  <c r="CJ46" i="14608"/>
  <c r="CK46" i="14608"/>
  <c r="CL46" i="14608"/>
  <c r="CM46" i="14608"/>
  <c r="CN46" i="14608"/>
  <c r="CO46" i="14608"/>
  <c r="CP46" i="14608"/>
  <c r="CQ46" i="14608"/>
  <c r="CR46" i="14608"/>
  <c r="CS46" i="14608"/>
  <c r="CT46" i="14608"/>
  <c r="CU46" i="14608"/>
  <c r="CV46" i="14608"/>
  <c r="CW46" i="14608"/>
  <c r="CX46" i="14608"/>
  <c r="CY46" i="14608"/>
  <c r="CZ46" i="14608"/>
  <c r="DA46" i="14608"/>
  <c r="DB46" i="14608"/>
  <c r="DC46" i="14608"/>
  <c r="DD46" i="14608"/>
  <c r="DE46" i="14608"/>
  <c r="DF46" i="14608"/>
  <c r="DG46" i="14608"/>
  <c r="DH46" i="14608"/>
  <c r="DI46" i="14608"/>
  <c r="DJ46" i="14608"/>
  <c r="DK46" i="14608"/>
  <c r="DL46" i="14608"/>
  <c r="DM46" i="14608"/>
  <c r="DN46" i="14608"/>
  <c r="DO46" i="14608"/>
  <c r="DP46" i="14608"/>
  <c r="DQ46" i="14608"/>
  <c r="DR46" i="14608"/>
  <c r="DS46" i="14608"/>
  <c r="DT46" i="14608"/>
  <c r="DU46" i="14608"/>
  <c r="DV46" i="14608"/>
  <c r="DW46" i="14608"/>
  <c r="DX46" i="14608"/>
  <c r="DY46" i="14608"/>
  <c r="DZ46" i="14608"/>
  <c r="EA46" i="14608"/>
  <c r="EB46" i="14608"/>
  <c r="EC46" i="14608"/>
  <c r="ED46" i="14608"/>
  <c r="EE46" i="14608"/>
  <c r="EF46" i="14608"/>
  <c r="EG46" i="14608"/>
  <c r="EH46" i="14608"/>
  <c r="EI46" i="14608"/>
  <c r="EJ46" i="14608"/>
  <c r="EK46" i="14608"/>
  <c r="EL46" i="14608"/>
  <c r="EM46" i="14608"/>
  <c r="EN46" i="14608"/>
  <c r="EO46" i="14608"/>
  <c r="EP46" i="14608"/>
  <c r="EQ46" i="14608"/>
  <c r="ER46" i="14608"/>
  <c r="ES46" i="14608"/>
  <c r="ET46" i="14608"/>
  <c r="EU46" i="14608"/>
  <c r="EV46" i="14608"/>
  <c r="EW46" i="14608"/>
  <c r="EX46" i="14608"/>
  <c r="EY46" i="14608"/>
  <c r="EZ46" i="14608"/>
  <c r="FA46" i="14608"/>
  <c r="FB46" i="14608"/>
  <c r="FC46" i="14608"/>
  <c r="FD46" i="14608"/>
  <c r="FE46" i="14608"/>
  <c r="FF46" i="14608"/>
  <c r="FG46" i="14608"/>
  <c r="FH46" i="14608"/>
  <c r="FI46" i="14608"/>
  <c r="FJ46" i="14608"/>
  <c r="FK46" i="14608"/>
  <c r="FL46" i="14608"/>
  <c r="FM46" i="14608"/>
  <c r="FN46" i="14608"/>
  <c r="FO46" i="14608"/>
  <c r="FP46" i="14608"/>
  <c r="FQ46" i="14608"/>
  <c r="FR46" i="14608"/>
  <c r="FS46" i="14608"/>
  <c r="FT46" i="14608"/>
  <c r="FU46" i="14608"/>
  <c r="FV46" i="14608"/>
  <c r="FW46" i="14608"/>
  <c r="FX46" i="14608"/>
  <c r="FY46" i="14608"/>
  <c r="FZ46" i="14608"/>
  <c r="GA46" i="14608"/>
  <c r="GB46" i="14608"/>
  <c r="GC46" i="14608"/>
  <c r="GD46" i="14608"/>
  <c r="GE46" i="14608"/>
  <c r="GF46" i="14608"/>
  <c r="GG46" i="14608"/>
  <c r="GH46" i="14608"/>
  <c r="GI46" i="14608"/>
  <c r="GJ46" i="14608"/>
  <c r="GK46" i="14608"/>
  <c r="GL46" i="14608"/>
  <c r="GM46" i="14608"/>
  <c r="GN46" i="14608"/>
  <c r="GO46" i="14608"/>
  <c r="GP46" i="14608"/>
  <c r="GQ46" i="14608"/>
  <c r="GR46" i="14608"/>
  <c r="GS46" i="14608"/>
  <c r="GT46" i="14608"/>
  <c r="GU46" i="14608"/>
  <c r="GV46" i="14608"/>
  <c r="GW46" i="14608"/>
  <c r="GX46" i="14608"/>
  <c r="GY46" i="14608"/>
  <c r="GZ46" i="14608"/>
  <c r="HA46" i="14608"/>
  <c r="HB46" i="14608"/>
  <c r="HC46" i="14608"/>
  <c r="HD46" i="14608"/>
  <c r="HE46" i="14608"/>
  <c r="HF46" i="14608"/>
  <c r="HG46" i="14608"/>
  <c r="HH46" i="14608"/>
  <c r="HI46" i="14608"/>
  <c r="HJ46" i="14608"/>
  <c r="HK46" i="14608"/>
  <c r="HL46" i="14608"/>
  <c r="HM46" i="14608"/>
  <c r="HN46" i="14608"/>
  <c r="HO46" i="14608"/>
  <c r="HP46" i="14608"/>
  <c r="HQ46" i="14608"/>
  <c r="HR46" i="14608"/>
  <c r="HS46" i="14608"/>
  <c r="HT46" i="14608"/>
  <c r="HU46" i="14608"/>
  <c r="HV46" i="14608"/>
  <c r="HW46" i="14608"/>
  <c r="HX46" i="14608"/>
  <c r="HY46" i="14608"/>
  <c r="HZ46" i="14608"/>
  <c r="IA46" i="14608"/>
  <c r="IB46" i="14608"/>
  <c r="IC46" i="14608"/>
  <c r="ID46" i="14608"/>
  <c r="IE46" i="14608"/>
  <c r="IF46" i="14608"/>
  <c r="IG46" i="14608"/>
  <c r="IH46" i="14608"/>
  <c r="II46" i="14608"/>
  <c r="IJ46" i="14608"/>
  <c r="IK46" i="14608"/>
  <c r="IL46" i="14608"/>
  <c r="IM46" i="14608"/>
  <c r="IN46" i="14608"/>
  <c r="IO46" i="14608"/>
  <c r="IP46" i="14608"/>
  <c r="IQ46" i="14608"/>
  <c r="IR46" i="14608"/>
  <c r="IS46" i="14608"/>
  <c r="IT46" i="14608"/>
  <c r="IU46" i="14608"/>
  <c r="IV46" i="14608"/>
  <c r="A45" i="14608"/>
  <c r="B45" i="14608"/>
  <c r="C45" i="14608"/>
  <c r="D45" i="14608"/>
  <c r="E45" i="14608"/>
  <c r="F45" i="14608"/>
  <c r="G45" i="14608"/>
  <c r="H45" i="14608"/>
  <c r="I45" i="14608"/>
  <c r="J45" i="14608"/>
  <c r="K45" i="14608"/>
  <c r="L45" i="14608"/>
  <c r="M45" i="14608"/>
  <c r="N45" i="14608"/>
  <c r="O45" i="14608"/>
  <c r="P45" i="14608"/>
  <c r="Q45" i="14608"/>
  <c r="R45" i="14608"/>
  <c r="S45" i="14608"/>
  <c r="T45" i="14608"/>
  <c r="U45" i="14608"/>
  <c r="V45" i="14608"/>
  <c r="W45" i="14608"/>
  <c r="X45" i="14608"/>
  <c r="Y45" i="14608"/>
  <c r="Z45" i="14608"/>
  <c r="AA45" i="14608"/>
  <c r="AB45" i="14608"/>
  <c r="AC45" i="14608"/>
  <c r="AD45" i="14608"/>
  <c r="AE45" i="14608"/>
  <c r="AF45" i="14608"/>
  <c r="AG45" i="14608"/>
  <c r="AH45" i="14608"/>
  <c r="AI45" i="14608"/>
  <c r="AJ45" i="14608"/>
  <c r="AK45" i="14608"/>
  <c r="AL45" i="14608"/>
  <c r="AM45" i="14608"/>
  <c r="AN45" i="14608"/>
  <c r="AO45" i="14608"/>
  <c r="AP45" i="14608"/>
  <c r="AQ45" i="14608"/>
  <c r="AR45" i="14608"/>
  <c r="AS45" i="14608"/>
  <c r="AT45" i="14608"/>
  <c r="AU45" i="14608"/>
  <c r="AV45" i="14608"/>
  <c r="AW45" i="14608"/>
  <c r="AX45" i="14608"/>
  <c r="AY45" i="14608"/>
  <c r="AZ45" i="14608"/>
  <c r="BA45" i="14608"/>
  <c r="BB45" i="14608"/>
  <c r="BC45" i="14608"/>
  <c r="BD45" i="14608"/>
  <c r="BE45" i="14608"/>
  <c r="BF45" i="14608"/>
  <c r="BG45" i="14608"/>
  <c r="BH45" i="14608"/>
  <c r="BI45" i="14608"/>
  <c r="BJ45" i="14608"/>
  <c r="BK45" i="14608"/>
  <c r="BL45" i="14608"/>
  <c r="BM45" i="14608"/>
  <c r="BN45" i="14608"/>
  <c r="BO45" i="14608"/>
  <c r="BP45" i="14608"/>
  <c r="BQ45" i="14608"/>
  <c r="BR45" i="14608"/>
  <c r="BS45" i="14608"/>
  <c r="BT45" i="14608"/>
  <c r="BU45" i="14608"/>
  <c r="BV45" i="14608"/>
  <c r="BW45" i="14608"/>
  <c r="BX45" i="14608"/>
  <c r="BY45" i="14608"/>
  <c r="BZ45" i="14608"/>
  <c r="CA45" i="14608"/>
  <c r="CB45" i="14608"/>
  <c r="CC45" i="14608"/>
  <c r="CD45" i="14608"/>
  <c r="CE45" i="14608"/>
  <c r="CF45" i="14608"/>
  <c r="CG45" i="14608"/>
  <c r="CH45" i="14608"/>
  <c r="CI45" i="14608"/>
  <c r="CJ45" i="14608"/>
  <c r="CK45" i="14608"/>
  <c r="CL45" i="14608"/>
  <c r="CM45" i="14608"/>
  <c r="CN45" i="14608"/>
  <c r="CO45" i="14608"/>
  <c r="CP45" i="14608"/>
  <c r="CQ45" i="14608"/>
  <c r="CR45" i="14608"/>
  <c r="CS45" i="14608"/>
  <c r="CT45" i="14608"/>
  <c r="CU45" i="14608"/>
  <c r="CV45" i="14608"/>
  <c r="CW45" i="14608"/>
  <c r="CX45" i="14608"/>
  <c r="CY45" i="14608"/>
  <c r="CZ45" i="14608"/>
  <c r="DA45" i="14608"/>
  <c r="DB45" i="14608"/>
  <c r="DC45" i="14608"/>
  <c r="DD45" i="14608"/>
  <c r="DE45" i="14608"/>
  <c r="DF45" i="14608"/>
  <c r="DG45" i="14608"/>
  <c r="DH45" i="14608"/>
  <c r="DI45" i="14608"/>
  <c r="DJ45" i="14608"/>
  <c r="DK45" i="14608"/>
  <c r="DL45" i="14608"/>
  <c r="DM45" i="14608"/>
  <c r="DN45" i="14608"/>
  <c r="DO45" i="14608"/>
  <c r="DP45" i="14608"/>
  <c r="DQ45" i="14608"/>
  <c r="DR45" i="14608"/>
  <c r="DS45" i="14608"/>
  <c r="DT45" i="14608"/>
  <c r="DU45" i="14608"/>
  <c r="DV45" i="14608"/>
  <c r="DW45" i="14608"/>
  <c r="DX45" i="14608"/>
  <c r="DY45" i="14608"/>
  <c r="DZ45" i="14608"/>
  <c r="EA45" i="14608"/>
  <c r="EB45" i="14608"/>
  <c r="EC45" i="14608"/>
  <c r="ED45" i="14608"/>
  <c r="EE45" i="14608"/>
  <c r="EF45" i="14608"/>
  <c r="EG45" i="14608"/>
  <c r="EH45" i="14608"/>
  <c r="EI45" i="14608"/>
  <c r="EJ45" i="14608"/>
  <c r="EK45" i="14608"/>
  <c r="EL45" i="14608"/>
  <c r="EM45" i="14608"/>
  <c r="EN45" i="14608"/>
  <c r="EO45" i="14608"/>
  <c r="EP45" i="14608"/>
  <c r="EQ45" i="14608"/>
  <c r="ER45" i="14608"/>
  <c r="ES45" i="14608"/>
  <c r="ET45" i="14608"/>
  <c r="EU45" i="14608"/>
  <c r="EV45" i="14608"/>
  <c r="EW45" i="14608"/>
  <c r="EX45" i="14608"/>
  <c r="EY45" i="14608"/>
  <c r="EZ45" i="14608"/>
  <c r="FA45" i="14608"/>
  <c r="FB45" i="14608"/>
  <c r="FC45" i="14608"/>
  <c r="FD45" i="14608"/>
  <c r="FE45" i="14608"/>
  <c r="FF45" i="14608"/>
  <c r="FG45" i="14608"/>
  <c r="FH45" i="14608"/>
  <c r="FI45" i="14608"/>
  <c r="FJ45" i="14608"/>
  <c r="FK45" i="14608"/>
  <c r="FL45" i="14608"/>
  <c r="FM45" i="14608"/>
  <c r="FN45" i="14608"/>
  <c r="FO45" i="14608"/>
  <c r="FP45" i="14608"/>
  <c r="FQ45" i="14608"/>
  <c r="FR45" i="14608"/>
  <c r="FS45" i="14608"/>
  <c r="FT45" i="14608"/>
  <c r="FU45" i="14608"/>
  <c r="FV45" i="14608"/>
  <c r="FW45" i="14608"/>
  <c r="FX45" i="14608"/>
  <c r="FY45" i="14608"/>
  <c r="FZ45" i="14608"/>
  <c r="GA45" i="14608"/>
  <c r="GB45" i="14608"/>
  <c r="GC45" i="14608"/>
  <c r="GD45" i="14608"/>
  <c r="GE45" i="14608"/>
  <c r="GF45" i="14608"/>
  <c r="GG45" i="14608"/>
  <c r="GH45" i="14608"/>
  <c r="GI45" i="14608"/>
  <c r="GJ45" i="14608"/>
  <c r="GK45" i="14608"/>
  <c r="GL45" i="14608"/>
  <c r="GM45" i="14608"/>
  <c r="GN45" i="14608"/>
  <c r="GO45" i="14608"/>
  <c r="GP45" i="14608"/>
  <c r="GQ45" i="14608"/>
  <c r="GR45" i="14608"/>
  <c r="GS45" i="14608"/>
  <c r="GT45" i="14608"/>
  <c r="GU45" i="14608"/>
  <c r="GV45" i="14608"/>
  <c r="GW45" i="14608"/>
  <c r="GX45" i="14608"/>
  <c r="GY45" i="14608"/>
  <c r="GZ45" i="14608"/>
  <c r="HA45" i="14608"/>
  <c r="HB45" i="14608"/>
  <c r="HC45" i="14608"/>
  <c r="HD45" i="14608"/>
  <c r="HE45" i="14608"/>
  <c r="HF45" i="14608"/>
  <c r="HG45" i="14608"/>
  <c r="HH45" i="14608"/>
  <c r="HI45" i="14608"/>
  <c r="HJ45" i="14608"/>
  <c r="HK45" i="14608"/>
  <c r="HL45" i="14608"/>
  <c r="HM45" i="14608"/>
  <c r="HN45" i="14608"/>
  <c r="HO45" i="14608"/>
  <c r="HP45" i="14608"/>
  <c r="HQ45" i="14608"/>
  <c r="HR45" i="14608"/>
  <c r="HS45" i="14608"/>
  <c r="HT45" i="14608"/>
  <c r="HU45" i="14608"/>
  <c r="HV45" i="14608"/>
  <c r="HW45" i="14608"/>
  <c r="HX45" i="14608"/>
  <c r="HY45" i="14608"/>
  <c r="HZ45" i="14608"/>
  <c r="IA45" i="14608"/>
  <c r="IB45" i="14608"/>
  <c r="IC45" i="14608"/>
  <c r="ID45" i="14608"/>
  <c r="IE45" i="14608"/>
  <c r="IF45" i="14608"/>
  <c r="IG45" i="14608"/>
  <c r="IH45" i="14608"/>
  <c r="II45" i="14608"/>
  <c r="IJ45" i="14608"/>
  <c r="IK45" i="14608"/>
  <c r="IL45" i="14608"/>
  <c r="IM45" i="14608"/>
  <c r="IN45" i="14608"/>
  <c r="IO45" i="14608"/>
  <c r="IP45" i="14608"/>
  <c r="IQ45" i="14608"/>
  <c r="IR45" i="14608"/>
  <c r="IS45" i="14608"/>
  <c r="IT45" i="14608"/>
  <c r="IU45" i="14608"/>
  <c r="IV45" i="14608"/>
  <c r="A44" i="14608"/>
  <c r="B44" i="14608"/>
  <c r="C44" i="14608"/>
  <c r="D44" i="14608"/>
  <c r="E44" i="14608"/>
  <c r="F44" i="14608"/>
  <c r="G44" i="14608"/>
  <c r="H44" i="14608"/>
  <c r="I44" i="14608"/>
  <c r="J44" i="14608"/>
  <c r="K44" i="14608"/>
  <c r="L44" i="14608"/>
  <c r="M44" i="14608"/>
  <c r="N44" i="14608"/>
  <c r="O44" i="14608"/>
  <c r="P44" i="14608"/>
  <c r="Q44" i="14608"/>
  <c r="R44" i="14608"/>
  <c r="S44" i="14608"/>
  <c r="T44" i="14608"/>
  <c r="U44" i="14608"/>
  <c r="V44" i="14608"/>
  <c r="W44" i="14608"/>
  <c r="X44" i="14608"/>
  <c r="Y44" i="14608"/>
  <c r="Z44" i="14608"/>
  <c r="AA44" i="14608"/>
  <c r="AB44" i="14608"/>
  <c r="AC44" i="14608"/>
  <c r="AD44" i="14608"/>
  <c r="AE44" i="14608"/>
  <c r="AF44" i="14608"/>
  <c r="AG44" i="14608"/>
  <c r="AH44" i="14608"/>
  <c r="AI44" i="14608"/>
  <c r="AJ44" i="14608"/>
  <c r="AK44" i="14608"/>
  <c r="AL44" i="14608"/>
  <c r="AM44" i="14608"/>
  <c r="AN44" i="14608"/>
  <c r="AO44" i="14608"/>
  <c r="AP44" i="14608"/>
  <c r="AQ44" i="14608"/>
  <c r="AR44" i="14608"/>
  <c r="AS44" i="14608"/>
  <c r="AT44" i="14608"/>
  <c r="AU44" i="14608"/>
  <c r="AV44" i="14608"/>
  <c r="AW44" i="14608"/>
  <c r="AX44" i="14608"/>
  <c r="AY44" i="14608"/>
  <c r="AZ44" i="14608"/>
  <c r="BA44" i="14608"/>
  <c r="BB44" i="14608"/>
  <c r="BC44" i="14608"/>
  <c r="BD44" i="14608"/>
  <c r="BE44" i="14608"/>
  <c r="BF44" i="14608"/>
  <c r="BG44" i="14608"/>
  <c r="BH44" i="14608"/>
  <c r="BI44" i="14608"/>
  <c r="BJ44" i="14608"/>
  <c r="BK44" i="14608"/>
  <c r="BL44" i="14608"/>
  <c r="BM44" i="14608"/>
  <c r="BN44" i="14608"/>
  <c r="BO44" i="14608"/>
  <c r="BP44" i="14608"/>
  <c r="BQ44" i="14608"/>
  <c r="BR44" i="14608"/>
  <c r="BS44" i="14608"/>
  <c r="BT44" i="14608"/>
  <c r="BU44" i="14608"/>
  <c r="BV44" i="14608"/>
  <c r="BW44" i="14608"/>
  <c r="BX44" i="14608"/>
  <c r="BY44" i="14608"/>
  <c r="BZ44" i="14608"/>
  <c r="CA44" i="14608"/>
  <c r="CB44" i="14608"/>
  <c r="CC44" i="14608"/>
  <c r="CD44" i="14608"/>
  <c r="CE44" i="14608"/>
  <c r="CF44" i="14608"/>
  <c r="CG44" i="14608"/>
  <c r="CH44" i="14608"/>
  <c r="CI44" i="14608"/>
  <c r="CJ44" i="14608"/>
  <c r="CK44" i="14608"/>
  <c r="CL44" i="14608"/>
  <c r="CM44" i="14608"/>
  <c r="CN44" i="14608"/>
  <c r="CO44" i="14608"/>
  <c r="CP44" i="14608"/>
  <c r="CQ44" i="14608"/>
  <c r="CR44" i="14608"/>
  <c r="CS44" i="14608"/>
  <c r="CT44" i="14608"/>
  <c r="CU44" i="14608"/>
  <c r="CV44" i="14608"/>
  <c r="CW44" i="14608"/>
  <c r="CX44" i="14608"/>
  <c r="CY44" i="14608"/>
  <c r="CZ44" i="14608"/>
  <c r="DA44" i="14608"/>
  <c r="DB44" i="14608"/>
  <c r="DC44" i="14608"/>
  <c r="DD44" i="14608"/>
  <c r="DE44" i="14608"/>
  <c r="DF44" i="14608"/>
  <c r="DG44" i="14608"/>
  <c r="DH44" i="14608"/>
  <c r="DI44" i="14608"/>
  <c r="DJ44" i="14608"/>
  <c r="DK44" i="14608"/>
  <c r="DL44" i="14608"/>
  <c r="DM44" i="14608"/>
  <c r="DN44" i="14608"/>
  <c r="DO44" i="14608"/>
  <c r="DP44" i="14608"/>
  <c r="DQ44" i="14608"/>
  <c r="DR44" i="14608"/>
  <c r="DS44" i="14608"/>
  <c r="DT44" i="14608"/>
  <c r="DU44" i="14608"/>
  <c r="DV44" i="14608"/>
  <c r="DW44" i="14608"/>
  <c r="DX44" i="14608"/>
  <c r="DY44" i="14608"/>
  <c r="DZ44" i="14608"/>
  <c r="EA44" i="14608"/>
  <c r="EB44" i="14608"/>
  <c r="EC44" i="14608"/>
  <c r="ED44" i="14608"/>
  <c r="EE44" i="14608"/>
  <c r="EF44" i="14608"/>
  <c r="EG44" i="14608"/>
  <c r="EH44" i="14608"/>
  <c r="EI44" i="14608"/>
  <c r="EJ44" i="14608"/>
  <c r="EK44" i="14608"/>
  <c r="EL44" i="14608"/>
  <c r="EM44" i="14608"/>
  <c r="EN44" i="14608"/>
  <c r="EO44" i="14608"/>
  <c r="EP44" i="14608"/>
  <c r="EQ44" i="14608"/>
  <c r="ER44" i="14608"/>
  <c r="ES44" i="14608"/>
  <c r="ET44" i="14608"/>
  <c r="EU44" i="14608"/>
  <c r="EV44" i="14608"/>
  <c r="EW44" i="14608"/>
  <c r="EX44" i="14608"/>
  <c r="EY44" i="14608"/>
  <c r="EZ44" i="14608"/>
  <c r="FA44" i="14608"/>
  <c r="FB44" i="14608"/>
  <c r="FC44" i="14608"/>
  <c r="FD44" i="14608"/>
  <c r="FE44" i="14608"/>
  <c r="FF44" i="14608"/>
  <c r="FG44" i="14608"/>
  <c r="FH44" i="14608"/>
  <c r="FI44" i="14608"/>
  <c r="FJ44" i="14608"/>
  <c r="FK44" i="14608"/>
  <c r="FL44" i="14608"/>
  <c r="FM44" i="14608"/>
  <c r="FN44" i="14608"/>
  <c r="FO44" i="14608"/>
  <c r="FP44" i="14608"/>
  <c r="FQ44" i="14608"/>
  <c r="FR44" i="14608"/>
  <c r="FS44" i="14608"/>
  <c r="FT44" i="14608"/>
  <c r="FU44" i="14608"/>
  <c r="FV44" i="14608"/>
  <c r="FW44" i="14608"/>
  <c r="FX44" i="14608"/>
  <c r="FY44" i="14608"/>
  <c r="FZ44" i="14608"/>
  <c r="GA44" i="14608"/>
  <c r="GB44" i="14608"/>
  <c r="GC44" i="14608"/>
  <c r="GD44" i="14608"/>
  <c r="GE44" i="14608"/>
  <c r="GF44" i="14608"/>
  <c r="GG44" i="14608"/>
  <c r="GH44" i="14608"/>
  <c r="GI44" i="14608"/>
  <c r="GJ44" i="14608"/>
  <c r="GK44" i="14608"/>
  <c r="GL44" i="14608"/>
  <c r="GM44" i="14608"/>
  <c r="GN44" i="14608"/>
  <c r="GO44" i="14608"/>
  <c r="GP44" i="14608"/>
  <c r="GQ44" i="14608"/>
  <c r="GR44" i="14608"/>
  <c r="GS44" i="14608"/>
  <c r="GT44" i="14608"/>
  <c r="GU44" i="14608"/>
  <c r="GV44" i="14608"/>
  <c r="GW44" i="14608"/>
  <c r="GX44" i="14608"/>
  <c r="GY44" i="14608"/>
  <c r="GZ44" i="14608"/>
  <c r="HA44" i="14608"/>
  <c r="HB44" i="14608"/>
  <c r="HC44" i="14608"/>
  <c r="HD44" i="14608"/>
  <c r="HE44" i="14608"/>
  <c r="HF44" i="14608"/>
  <c r="HG44" i="14608"/>
  <c r="HH44" i="14608"/>
  <c r="HI44" i="14608"/>
  <c r="HJ44" i="14608"/>
  <c r="HK44" i="14608"/>
  <c r="HL44" i="14608"/>
  <c r="HM44" i="14608"/>
  <c r="HN44" i="14608"/>
  <c r="HO44" i="14608"/>
  <c r="HP44" i="14608"/>
  <c r="HQ44" i="14608"/>
  <c r="HR44" i="14608"/>
  <c r="HS44" i="14608"/>
  <c r="HT44" i="14608"/>
  <c r="HU44" i="14608"/>
  <c r="HV44" i="14608"/>
  <c r="HW44" i="14608"/>
  <c r="HX44" i="14608"/>
  <c r="HY44" i="14608"/>
  <c r="HZ44" i="14608"/>
  <c r="IA44" i="14608"/>
  <c r="IB44" i="14608"/>
  <c r="IC44" i="14608"/>
  <c r="ID44" i="14608"/>
  <c r="IE44" i="14608"/>
  <c r="IF44" i="14608"/>
  <c r="IG44" i="14608"/>
  <c r="IH44" i="14608"/>
  <c r="II44" i="14608"/>
  <c r="IJ44" i="14608"/>
  <c r="IK44" i="14608"/>
  <c r="IL44" i="14608"/>
  <c r="IM44" i="14608"/>
  <c r="IN44" i="14608"/>
  <c r="IO44" i="14608"/>
  <c r="IP44" i="14608"/>
  <c r="IQ44" i="14608"/>
  <c r="IR44" i="14608"/>
  <c r="IS44" i="14608"/>
  <c r="IT44" i="14608"/>
  <c r="IU44" i="14608"/>
  <c r="IV44" i="14608"/>
  <c r="A43" i="14608"/>
  <c r="B43" i="14608"/>
  <c r="C43" i="14608"/>
  <c r="D43" i="14608"/>
  <c r="E43" i="14608"/>
  <c r="F43" i="14608"/>
  <c r="G43" i="14608"/>
  <c r="H43" i="14608"/>
  <c r="I43" i="14608"/>
  <c r="J43" i="14608"/>
  <c r="K43" i="14608"/>
  <c r="L43" i="14608"/>
  <c r="M43" i="14608"/>
  <c r="N43" i="14608"/>
  <c r="O43" i="14608"/>
  <c r="P43" i="14608"/>
  <c r="Q43" i="14608"/>
  <c r="R43" i="14608"/>
  <c r="S43" i="14608"/>
  <c r="T43" i="14608"/>
  <c r="U43" i="14608"/>
  <c r="V43" i="14608"/>
  <c r="W43" i="14608"/>
  <c r="X43" i="14608"/>
  <c r="Y43" i="14608"/>
  <c r="Z43" i="14608"/>
  <c r="AA43" i="14608"/>
  <c r="AB43" i="14608"/>
  <c r="AC43" i="14608"/>
  <c r="AD43" i="14608"/>
  <c r="AE43" i="14608"/>
  <c r="AF43" i="14608"/>
  <c r="AG43" i="14608"/>
  <c r="AH43" i="14608"/>
  <c r="AI43" i="14608"/>
  <c r="AJ43" i="14608"/>
  <c r="AK43" i="14608"/>
  <c r="AL43" i="14608"/>
  <c r="AM43" i="14608"/>
  <c r="AN43" i="14608"/>
  <c r="AO43" i="14608"/>
  <c r="AP43" i="14608"/>
  <c r="AQ43" i="14608"/>
  <c r="AR43" i="14608"/>
  <c r="AS43" i="14608"/>
  <c r="AT43" i="14608"/>
  <c r="AU43" i="14608"/>
  <c r="AV43" i="14608"/>
  <c r="AW43" i="14608"/>
  <c r="AX43" i="14608"/>
  <c r="AY43" i="14608"/>
  <c r="AZ43" i="14608"/>
  <c r="BA43" i="14608"/>
  <c r="BB43" i="14608"/>
  <c r="BC43" i="14608"/>
  <c r="BD43" i="14608"/>
  <c r="BE43" i="14608"/>
  <c r="BF43" i="14608"/>
  <c r="BG43" i="14608"/>
  <c r="BH43" i="14608"/>
  <c r="BI43" i="14608"/>
  <c r="BJ43" i="14608"/>
  <c r="BK43" i="14608"/>
  <c r="BL43" i="14608"/>
  <c r="BM43" i="14608"/>
  <c r="BN43" i="14608"/>
  <c r="BO43" i="14608"/>
  <c r="BP43" i="14608"/>
  <c r="BQ43" i="14608"/>
  <c r="BR43" i="14608"/>
  <c r="BS43" i="14608"/>
  <c r="BT43" i="14608"/>
  <c r="BU43" i="14608"/>
  <c r="BV43" i="14608"/>
  <c r="BW43" i="14608"/>
  <c r="BX43" i="14608"/>
  <c r="BY43" i="14608"/>
  <c r="BZ43" i="14608"/>
  <c r="CA43" i="14608"/>
  <c r="CB43" i="14608"/>
  <c r="CC43" i="14608"/>
  <c r="CD43" i="14608"/>
  <c r="CE43" i="14608"/>
  <c r="CF43" i="14608"/>
  <c r="CG43" i="14608"/>
  <c r="CH43" i="14608"/>
  <c r="CI43" i="14608"/>
  <c r="CJ43" i="14608"/>
  <c r="CK43" i="14608"/>
  <c r="CL43" i="14608"/>
  <c r="CM43" i="14608"/>
  <c r="CN43" i="14608"/>
  <c r="CO43" i="14608"/>
  <c r="CP43" i="14608"/>
  <c r="CQ43" i="14608"/>
  <c r="CR43" i="14608"/>
  <c r="CS43" i="14608"/>
  <c r="CT43" i="14608"/>
  <c r="CU43" i="14608"/>
  <c r="CV43" i="14608"/>
  <c r="CW43" i="14608"/>
  <c r="CX43" i="14608"/>
  <c r="CY43" i="14608"/>
  <c r="CZ43" i="14608"/>
  <c r="DA43" i="14608"/>
  <c r="DB43" i="14608"/>
  <c r="DC43" i="14608"/>
  <c r="DD43" i="14608"/>
  <c r="DE43" i="14608"/>
  <c r="DF43" i="14608"/>
  <c r="DG43" i="14608"/>
  <c r="DH43" i="14608"/>
  <c r="DI43" i="14608"/>
  <c r="DJ43" i="14608"/>
  <c r="DK43" i="14608"/>
  <c r="DL43" i="14608"/>
  <c r="DM43" i="14608"/>
  <c r="DN43" i="14608"/>
  <c r="DO43" i="14608"/>
  <c r="DP43" i="14608"/>
  <c r="DQ43" i="14608"/>
  <c r="DR43" i="14608"/>
  <c r="DS43" i="14608"/>
  <c r="DT43" i="14608"/>
  <c r="DU43" i="14608"/>
  <c r="DV43" i="14608"/>
  <c r="DW43" i="14608"/>
  <c r="DX43" i="14608"/>
  <c r="DY43" i="14608"/>
  <c r="DZ43" i="14608"/>
  <c r="EA43" i="14608"/>
  <c r="EB43" i="14608"/>
  <c r="EC43" i="14608"/>
  <c r="ED43" i="14608"/>
  <c r="EE43" i="14608"/>
  <c r="EF43" i="14608"/>
  <c r="EG43" i="14608"/>
  <c r="EH43" i="14608"/>
  <c r="EI43" i="14608"/>
  <c r="EJ43" i="14608"/>
  <c r="EK43" i="14608"/>
  <c r="EL43" i="14608"/>
  <c r="EM43" i="14608"/>
  <c r="EN43" i="14608"/>
  <c r="EO43" i="14608"/>
  <c r="EP43" i="14608"/>
  <c r="EQ43" i="14608"/>
  <c r="ER43" i="14608"/>
  <c r="ES43" i="14608"/>
  <c r="ET43" i="14608"/>
  <c r="EU43" i="14608"/>
  <c r="EV43" i="14608"/>
  <c r="EW43" i="14608"/>
  <c r="EX43" i="14608"/>
  <c r="EY43" i="14608"/>
  <c r="EZ43" i="14608"/>
  <c r="FA43" i="14608"/>
  <c r="FB43" i="14608"/>
  <c r="FC43" i="14608"/>
  <c r="FD43" i="14608"/>
  <c r="FE43" i="14608"/>
  <c r="FF43" i="14608"/>
  <c r="FG43" i="14608"/>
  <c r="FH43" i="14608"/>
  <c r="FI43" i="14608"/>
  <c r="FJ43" i="14608"/>
  <c r="FK43" i="14608"/>
  <c r="FL43" i="14608"/>
  <c r="FM43" i="14608"/>
  <c r="FN43" i="14608"/>
  <c r="FO43" i="14608"/>
  <c r="FP43" i="14608"/>
  <c r="FQ43" i="14608"/>
  <c r="FR43" i="14608"/>
  <c r="FS43" i="14608"/>
  <c r="FT43" i="14608"/>
  <c r="FU43" i="14608"/>
  <c r="FV43" i="14608"/>
  <c r="FW43" i="14608"/>
  <c r="FX43" i="14608"/>
  <c r="FY43" i="14608"/>
  <c r="FZ43" i="14608"/>
  <c r="GA43" i="14608"/>
  <c r="GB43" i="14608"/>
  <c r="GC43" i="14608"/>
  <c r="GD43" i="14608"/>
  <c r="GE43" i="14608"/>
  <c r="GF43" i="14608"/>
  <c r="GG43" i="14608"/>
  <c r="GH43" i="14608"/>
  <c r="GI43" i="14608"/>
  <c r="GJ43" i="14608"/>
  <c r="GK43" i="14608"/>
  <c r="GL43" i="14608"/>
  <c r="GM43" i="14608"/>
  <c r="GN43" i="14608"/>
  <c r="GO43" i="14608"/>
  <c r="GP43" i="14608"/>
  <c r="GQ43" i="14608"/>
  <c r="GR43" i="14608"/>
  <c r="GS43" i="14608"/>
  <c r="GT43" i="14608"/>
  <c r="GU43" i="14608"/>
  <c r="GV43" i="14608"/>
  <c r="GW43" i="14608"/>
  <c r="GX43" i="14608"/>
  <c r="GY43" i="14608"/>
  <c r="GZ43" i="14608"/>
  <c r="HA43" i="14608"/>
  <c r="HB43" i="14608"/>
  <c r="HC43" i="14608"/>
  <c r="HD43" i="14608"/>
  <c r="HE43" i="14608"/>
  <c r="HF43" i="14608"/>
  <c r="HG43" i="14608"/>
  <c r="HH43" i="14608"/>
  <c r="HI43" i="14608"/>
  <c r="HJ43" i="14608"/>
  <c r="HK43" i="14608"/>
  <c r="HL43" i="14608"/>
  <c r="HM43" i="14608"/>
  <c r="HN43" i="14608"/>
  <c r="HO43" i="14608"/>
  <c r="HP43" i="14608"/>
  <c r="HQ43" i="14608"/>
  <c r="HR43" i="14608"/>
  <c r="HS43" i="14608"/>
  <c r="HT43" i="14608"/>
  <c r="HU43" i="14608"/>
  <c r="HV43" i="14608"/>
  <c r="HW43" i="14608"/>
  <c r="HX43" i="14608"/>
  <c r="HY43" i="14608"/>
  <c r="HZ43" i="14608"/>
  <c r="IA43" i="14608"/>
  <c r="IB43" i="14608"/>
  <c r="IC43" i="14608"/>
  <c r="ID43" i="14608"/>
  <c r="IE43" i="14608"/>
  <c r="IF43" i="14608"/>
  <c r="IG43" i="14608"/>
  <c r="IH43" i="14608"/>
  <c r="II43" i="14608"/>
  <c r="IJ43" i="14608"/>
  <c r="IK43" i="14608"/>
  <c r="IL43" i="14608"/>
  <c r="IM43" i="14608"/>
  <c r="IN43" i="14608"/>
  <c r="IO43" i="14608"/>
  <c r="IP43" i="14608"/>
  <c r="IQ43" i="14608"/>
  <c r="IR43" i="14608"/>
  <c r="IS43" i="14608"/>
  <c r="IT43" i="14608"/>
  <c r="IU43" i="14608"/>
  <c r="IV43" i="14608"/>
  <c r="A42" i="14608"/>
  <c r="B42" i="14608"/>
  <c r="C42" i="14608"/>
  <c r="D42" i="14608"/>
  <c r="E42" i="14608"/>
  <c r="F42" i="14608"/>
  <c r="G42" i="14608"/>
  <c r="H42" i="14608"/>
  <c r="I42" i="14608"/>
  <c r="J42" i="14608"/>
  <c r="K42" i="14608"/>
  <c r="L42" i="14608"/>
  <c r="M42" i="14608"/>
  <c r="N42" i="14608"/>
  <c r="O42" i="14608"/>
  <c r="P42" i="14608"/>
  <c r="Q42" i="14608"/>
  <c r="R42" i="14608"/>
  <c r="S42" i="14608"/>
  <c r="T42" i="14608"/>
  <c r="U42" i="14608"/>
  <c r="V42" i="14608"/>
  <c r="W42" i="14608"/>
  <c r="X42" i="14608"/>
  <c r="Y42" i="14608"/>
  <c r="Z42" i="14608"/>
  <c r="AA42" i="14608"/>
  <c r="AB42" i="14608"/>
  <c r="AC42" i="14608"/>
  <c r="AD42" i="14608"/>
  <c r="AE42" i="14608"/>
  <c r="AF42" i="14608"/>
  <c r="AG42" i="14608"/>
  <c r="AH42" i="14608"/>
  <c r="AI42" i="14608"/>
  <c r="AJ42" i="14608"/>
  <c r="AK42" i="14608"/>
  <c r="AL42" i="14608"/>
  <c r="AM42" i="14608"/>
  <c r="AN42" i="14608"/>
  <c r="AO42" i="14608"/>
  <c r="AP42" i="14608"/>
  <c r="AQ42" i="14608"/>
  <c r="AR42" i="14608"/>
  <c r="AS42" i="14608"/>
  <c r="AT42" i="14608"/>
  <c r="AU42" i="14608"/>
  <c r="AV42" i="14608"/>
  <c r="AW42" i="14608"/>
  <c r="AX42" i="14608"/>
  <c r="AY42" i="14608"/>
  <c r="AZ42" i="14608"/>
  <c r="BA42" i="14608"/>
  <c r="BB42" i="14608"/>
  <c r="BC42" i="14608"/>
  <c r="BD42" i="14608"/>
  <c r="BE42" i="14608"/>
  <c r="BF42" i="14608"/>
  <c r="BG42" i="14608"/>
  <c r="BH42" i="14608"/>
  <c r="BI42" i="14608"/>
  <c r="BJ42" i="14608"/>
  <c r="BK42" i="14608"/>
  <c r="BL42" i="14608"/>
  <c r="BM42" i="14608"/>
  <c r="BN42" i="14608"/>
  <c r="BO42" i="14608"/>
  <c r="BP42" i="14608"/>
  <c r="BQ42" i="14608"/>
  <c r="BR42" i="14608"/>
  <c r="BS42" i="14608"/>
  <c r="BT42" i="14608"/>
  <c r="BU42" i="14608"/>
  <c r="BV42" i="14608"/>
  <c r="BW42" i="14608"/>
  <c r="BX42" i="14608"/>
  <c r="BY42" i="14608"/>
  <c r="BZ42" i="14608"/>
  <c r="CA42" i="14608"/>
  <c r="CB42" i="14608"/>
  <c r="CC42" i="14608"/>
  <c r="CD42" i="14608"/>
  <c r="CE42" i="14608"/>
  <c r="CF42" i="14608"/>
  <c r="CG42" i="14608"/>
  <c r="CH42" i="14608"/>
  <c r="CI42" i="14608"/>
  <c r="CJ42" i="14608"/>
  <c r="CK42" i="14608"/>
  <c r="CL42" i="14608"/>
  <c r="CM42" i="14608"/>
  <c r="CN42" i="14608"/>
  <c r="CO42" i="14608"/>
  <c r="CP42" i="14608"/>
  <c r="CQ42" i="14608"/>
  <c r="CR42" i="14608"/>
  <c r="CS42" i="14608"/>
  <c r="CT42" i="14608"/>
  <c r="CU42" i="14608"/>
  <c r="CV42" i="14608"/>
  <c r="CW42" i="14608"/>
  <c r="CX42" i="14608"/>
  <c r="CY42" i="14608"/>
  <c r="CZ42" i="14608"/>
  <c r="DA42" i="14608"/>
  <c r="DB42" i="14608"/>
  <c r="DC42" i="14608"/>
  <c r="DD42" i="14608"/>
  <c r="DE42" i="14608"/>
  <c r="DF42" i="14608"/>
  <c r="DG42" i="14608"/>
  <c r="DH42" i="14608"/>
  <c r="DI42" i="14608"/>
  <c r="DJ42" i="14608"/>
  <c r="DK42" i="14608"/>
  <c r="DL42" i="14608"/>
  <c r="DM42" i="14608"/>
  <c r="DN42" i="14608"/>
  <c r="DO42" i="14608"/>
  <c r="DP42" i="14608"/>
  <c r="DQ42" i="14608"/>
  <c r="DR42" i="14608"/>
  <c r="DS42" i="14608"/>
  <c r="DT42" i="14608"/>
  <c r="DU42" i="14608"/>
  <c r="DV42" i="14608"/>
  <c r="DW42" i="14608"/>
  <c r="DX42" i="14608"/>
  <c r="DY42" i="14608"/>
  <c r="DZ42" i="14608"/>
  <c r="EA42" i="14608"/>
  <c r="EB42" i="14608"/>
  <c r="EC42" i="14608"/>
  <c r="ED42" i="14608"/>
  <c r="EE42" i="14608"/>
  <c r="EF42" i="14608"/>
  <c r="EG42" i="14608"/>
  <c r="EH42" i="14608"/>
  <c r="EI42" i="14608"/>
  <c r="EJ42" i="14608"/>
  <c r="EK42" i="14608"/>
  <c r="EL42" i="14608"/>
  <c r="EM42" i="14608"/>
  <c r="EN42" i="14608"/>
  <c r="EO42" i="14608"/>
  <c r="EP42" i="14608"/>
  <c r="EQ42" i="14608"/>
  <c r="ER42" i="14608"/>
  <c r="ES42" i="14608"/>
  <c r="ET42" i="14608"/>
  <c r="EU42" i="14608"/>
  <c r="EV42" i="14608"/>
  <c r="EW42" i="14608"/>
  <c r="EX42" i="14608"/>
  <c r="EY42" i="14608"/>
  <c r="EZ42" i="14608"/>
  <c r="FA42" i="14608"/>
  <c r="FB42" i="14608"/>
  <c r="FC42" i="14608"/>
  <c r="FD42" i="14608"/>
  <c r="FE42" i="14608"/>
  <c r="FF42" i="14608"/>
  <c r="FG42" i="14608"/>
  <c r="FH42" i="14608"/>
  <c r="FI42" i="14608"/>
  <c r="FJ42" i="14608"/>
  <c r="FK42" i="14608"/>
  <c r="FL42" i="14608"/>
  <c r="FM42" i="14608"/>
  <c r="FN42" i="14608"/>
  <c r="FO42" i="14608"/>
  <c r="FP42" i="14608"/>
  <c r="FQ42" i="14608"/>
  <c r="FR42" i="14608"/>
  <c r="FS42" i="14608"/>
  <c r="FT42" i="14608"/>
  <c r="FU42" i="14608"/>
  <c r="FV42" i="14608"/>
  <c r="FW42" i="14608"/>
  <c r="FX42" i="14608"/>
  <c r="FY42" i="14608"/>
  <c r="FZ42" i="14608"/>
  <c r="GA42" i="14608"/>
  <c r="GB42" i="14608"/>
  <c r="GC42" i="14608"/>
  <c r="GD42" i="14608"/>
  <c r="GE42" i="14608"/>
  <c r="GF42" i="14608"/>
  <c r="GG42" i="14608"/>
  <c r="GH42" i="14608"/>
  <c r="GI42" i="14608"/>
  <c r="GJ42" i="14608"/>
  <c r="GK42" i="14608"/>
  <c r="GL42" i="14608"/>
  <c r="GM42" i="14608"/>
  <c r="GN42" i="14608"/>
  <c r="GO42" i="14608"/>
  <c r="GP42" i="14608"/>
  <c r="GQ42" i="14608"/>
  <c r="GR42" i="14608"/>
  <c r="GS42" i="14608"/>
  <c r="GT42" i="14608"/>
  <c r="GU42" i="14608"/>
  <c r="GV42" i="14608"/>
  <c r="GW42" i="14608"/>
  <c r="GX42" i="14608"/>
  <c r="GY42" i="14608"/>
  <c r="GZ42" i="14608"/>
  <c r="HA42" i="14608"/>
  <c r="HB42" i="14608"/>
  <c r="HC42" i="14608"/>
  <c r="HD42" i="14608"/>
  <c r="HE42" i="14608"/>
  <c r="HF42" i="14608"/>
  <c r="HG42" i="14608"/>
  <c r="HH42" i="14608"/>
  <c r="HI42" i="14608"/>
  <c r="HJ42" i="14608"/>
  <c r="HK42" i="14608"/>
  <c r="HL42" i="14608"/>
  <c r="HM42" i="14608"/>
  <c r="HN42" i="14608"/>
  <c r="HO42" i="14608"/>
  <c r="HP42" i="14608"/>
  <c r="HQ42" i="14608"/>
  <c r="HR42" i="14608"/>
  <c r="HS42" i="14608"/>
  <c r="HT42" i="14608"/>
  <c r="HU42" i="14608"/>
  <c r="HV42" i="14608"/>
  <c r="HW42" i="14608"/>
  <c r="HX42" i="14608"/>
  <c r="HY42" i="14608"/>
  <c r="HZ42" i="14608"/>
  <c r="IA42" i="14608"/>
  <c r="IB42" i="14608"/>
  <c r="IC42" i="14608"/>
  <c r="ID42" i="14608"/>
  <c r="IE42" i="14608"/>
  <c r="IF42" i="14608"/>
  <c r="IG42" i="14608"/>
  <c r="IH42" i="14608"/>
  <c r="II42" i="14608"/>
  <c r="IJ42" i="14608"/>
  <c r="IK42" i="14608"/>
  <c r="IL42" i="14608"/>
  <c r="IM42" i="14608"/>
  <c r="IN42" i="14608"/>
  <c r="IO42" i="14608"/>
  <c r="IP42" i="14608"/>
  <c r="IQ42" i="14608"/>
  <c r="IR42" i="14608"/>
  <c r="IS42" i="14608"/>
  <c r="IT42" i="14608"/>
  <c r="IU42" i="14608"/>
  <c r="IV42" i="14608"/>
  <c r="A41" i="14608"/>
  <c r="B41" i="14608"/>
  <c r="C41" i="14608"/>
  <c r="D41" i="14608"/>
  <c r="E41" i="14608"/>
  <c r="F41" i="14608"/>
  <c r="G41" i="14608"/>
  <c r="H41" i="14608"/>
  <c r="I41" i="14608"/>
  <c r="J41" i="14608"/>
  <c r="K41" i="14608"/>
  <c r="L41" i="14608"/>
  <c r="M41" i="14608"/>
  <c r="N41" i="14608"/>
  <c r="O41" i="14608"/>
  <c r="P41" i="14608"/>
  <c r="Q41" i="14608"/>
  <c r="R41" i="14608"/>
  <c r="S41" i="14608"/>
  <c r="T41" i="14608"/>
  <c r="U41" i="14608"/>
  <c r="V41" i="14608"/>
  <c r="W41" i="14608"/>
  <c r="X41" i="14608"/>
  <c r="Y41" i="14608"/>
  <c r="Z41" i="14608"/>
  <c r="AA41" i="14608"/>
  <c r="AB41" i="14608"/>
  <c r="AC41" i="14608"/>
  <c r="AD41" i="14608"/>
  <c r="AE41" i="14608"/>
  <c r="AF41" i="14608"/>
  <c r="AG41" i="14608"/>
  <c r="AH41" i="14608"/>
  <c r="AI41" i="14608"/>
  <c r="AJ41" i="14608"/>
  <c r="AK41" i="14608"/>
  <c r="AL41" i="14608"/>
  <c r="AM41" i="14608"/>
  <c r="AN41" i="14608"/>
  <c r="AO41" i="14608"/>
  <c r="AP41" i="14608"/>
  <c r="AQ41" i="14608"/>
  <c r="AR41" i="14608"/>
  <c r="AS41" i="14608"/>
  <c r="AT41" i="14608"/>
  <c r="AU41" i="14608"/>
  <c r="AV41" i="14608"/>
  <c r="AW41" i="14608"/>
  <c r="AX41" i="14608"/>
  <c r="AY41" i="14608"/>
  <c r="AZ41" i="14608"/>
  <c r="BA41" i="14608"/>
  <c r="BB41" i="14608"/>
  <c r="BC41" i="14608"/>
  <c r="BD41" i="14608"/>
  <c r="BE41" i="14608"/>
  <c r="BF41" i="14608"/>
  <c r="BG41" i="14608"/>
  <c r="BH41" i="14608"/>
  <c r="BI41" i="14608"/>
  <c r="BJ41" i="14608"/>
  <c r="BK41" i="14608"/>
  <c r="BL41" i="14608"/>
  <c r="BM41" i="14608"/>
  <c r="BN41" i="14608"/>
  <c r="BO41" i="14608"/>
  <c r="BP41" i="14608"/>
  <c r="BQ41" i="14608"/>
  <c r="BR41" i="14608"/>
  <c r="BS41" i="14608"/>
  <c r="BT41" i="14608"/>
  <c r="BU41" i="14608"/>
  <c r="BV41" i="14608"/>
  <c r="BW41" i="14608"/>
  <c r="BX41" i="14608"/>
  <c r="BY41" i="14608"/>
  <c r="BZ41" i="14608"/>
  <c r="CA41" i="14608"/>
  <c r="CB41" i="14608"/>
  <c r="CC41" i="14608"/>
  <c r="CD41" i="14608"/>
  <c r="CE41" i="14608"/>
  <c r="CF41" i="14608"/>
  <c r="CG41" i="14608"/>
  <c r="CH41" i="14608"/>
  <c r="CI41" i="14608"/>
  <c r="CJ41" i="14608"/>
  <c r="CK41" i="14608"/>
  <c r="CL41" i="14608"/>
  <c r="CM41" i="14608"/>
  <c r="CN41" i="14608"/>
  <c r="CO41" i="14608"/>
  <c r="CP41" i="14608"/>
  <c r="CQ41" i="14608"/>
  <c r="CR41" i="14608"/>
  <c r="CS41" i="14608"/>
  <c r="CT41" i="14608"/>
  <c r="CU41" i="14608"/>
  <c r="CV41" i="14608"/>
  <c r="CW41" i="14608"/>
  <c r="CX41" i="14608"/>
  <c r="CY41" i="14608"/>
  <c r="CZ41" i="14608"/>
  <c r="DA41" i="14608"/>
  <c r="DB41" i="14608"/>
  <c r="DC41" i="14608"/>
  <c r="DD41" i="14608"/>
  <c r="DE41" i="14608"/>
  <c r="DF41" i="14608"/>
  <c r="DG41" i="14608"/>
  <c r="DH41" i="14608"/>
  <c r="DI41" i="14608"/>
  <c r="DJ41" i="14608"/>
  <c r="DK41" i="14608"/>
  <c r="DL41" i="14608"/>
  <c r="DM41" i="14608"/>
  <c r="DN41" i="14608"/>
  <c r="DO41" i="14608"/>
  <c r="DP41" i="14608"/>
  <c r="DQ41" i="14608"/>
  <c r="DR41" i="14608"/>
  <c r="DS41" i="14608"/>
  <c r="DT41" i="14608"/>
  <c r="DU41" i="14608"/>
  <c r="DV41" i="14608"/>
  <c r="DW41" i="14608"/>
  <c r="DX41" i="14608"/>
  <c r="DY41" i="14608"/>
  <c r="DZ41" i="14608"/>
  <c r="EA41" i="14608"/>
  <c r="EB41" i="14608"/>
  <c r="EC41" i="14608"/>
  <c r="ED41" i="14608"/>
  <c r="EE41" i="14608"/>
  <c r="EF41" i="14608"/>
  <c r="EG41" i="14608"/>
  <c r="EH41" i="14608"/>
  <c r="EI41" i="14608"/>
  <c r="EJ41" i="14608"/>
  <c r="EK41" i="14608"/>
  <c r="EL41" i="14608"/>
  <c r="EM41" i="14608"/>
  <c r="EN41" i="14608"/>
  <c r="EO41" i="14608"/>
  <c r="EP41" i="14608"/>
  <c r="EQ41" i="14608"/>
  <c r="ER41" i="14608"/>
  <c r="ES41" i="14608"/>
  <c r="ET41" i="14608"/>
  <c r="EU41" i="14608"/>
  <c r="EV41" i="14608"/>
  <c r="EW41" i="14608"/>
  <c r="EX41" i="14608"/>
  <c r="EY41" i="14608"/>
  <c r="EZ41" i="14608"/>
  <c r="FA41" i="14608"/>
  <c r="FB41" i="14608"/>
  <c r="FC41" i="14608"/>
  <c r="FD41" i="14608"/>
  <c r="FE41" i="14608"/>
  <c r="FF41" i="14608"/>
  <c r="FG41" i="14608"/>
  <c r="FH41" i="14608"/>
  <c r="FI41" i="14608"/>
  <c r="FJ41" i="14608"/>
  <c r="FK41" i="14608"/>
  <c r="FL41" i="14608"/>
  <c r="FM41" i="14608"/>
  <c r="FN41" i="14608"/>
  <c r="FO41" i="14608"/>
  <c r="FP41" i="14608"/>
  <c r="FQ41" i="14608"/>
  <c r="FR41" i="14608"/>
  <c r="FS41" i="14608"/>
  <c r="FT41" i="14608"/>
  <c r="FU41" i="14608"/>
  <c r="FV41" i="14608"/>
  <c r="FW41" i="14608"/>
  <c r="FX41" i="14608"/>
  <c r="FY41" i="14608"/>
  <c r="FZ41" i="14608"/>
  <c r="GA41" i="14608"/>
  <c r="GB41" i="14608"/>
  <c r="GC41" i="14608"/>
  <c r="GD41" i="14608"/>
  <c r="GE41" i="14608"/>
  <c r="GF41" i="14608"/>
  <c r="GG41" i="14608"/>
  <c r="GH41" i="14608"/>
  <c r="GI41" i="14608"/>
  <c r="GJ41" i="14608"/>
  <c r="GK41" i="14608"/>
  <c r="GL41" i="14608"/>
  <c r="GM41" i="14608"/>
  <c r="GN41" i="14608"/>
  <c r="GO41" i="14608"/>
  <c r="GP41" i="14608"/>
  <c r="GQ41" i="14608"/>
  <c r="GR41" i="14608"/>
  <c r="GS41" i="14608"/>
  <c r="GT41" i="14608"/>
  <c r="GU41" i="14608"/>
  <c r="GV41" i="14608"/>
  <c r="GW41" i="14608"/>
  <c r="GX41" i="14608"/>
  <c r="GY41" i="14608"/>
  <c r="GZ41" i="14608"/>
  <c r="HA41" i="14608"/>
  <c r="HB41" i="14608"/>
  <c r="HC41" i="14608"/>
  <c r="HD41" i="14608"/>
  <c r="HE41" i="14608"/>
  <c r="HF41" i="14608"/>
  <c r="HG41" i="14608"/>
  <c r="HH41" i="14608"/>
  <c r="HI41" i="14608"/>
  <c r="HJ41" i="14608"/>
  <c r="HK41" i="14608"/>
  <c r="HL41" i="14608"/>
  <c r="HM41" i="14608"/>
  <c r="HN41" i="14608"/>
  <c r="HO41" i="14608"/>
  <c r="HP41" i="14608"/>
  <c r="HQ41" i="14608"/>
  <c r="HR41" i="14608"/>
  <c r="HS41" i="14608"/>
  <c r="HT41" i="14608"/>
  <c r="HU41" i="14608"/>
  <c r="HV41" i="14608"/>
  <c r="HW41" i="14608"/>
  <c r="HX41" i="14608"/>
  <c r="HY41" i="14608"/>
  <c r="HZ41" i="14608"/>
  <c r="IA41" i="14608"/>
  <c r="IB41" i="14608"/>
  <c r="IC41" i="14608"/>
  <c r="ID41" i="14608"/>
  <c r="IE41" i="14608"/>
  <c r="IF41" i="14608"/>
  <c r="IG41" i="14608"/>
  <c r="IH41" i="14608"/>
  <c r="II41" i="14608"/>
  <c r="IJ41" i="14608"/>
  <c r="IK41" i="14608"/>
  <c r="IL41" i="14608"/>
  <c r="IM41" i="14608"/>
  <c r="IN41" i="14608"/>
  <c r="IO41" i="14608"/>
  <c r="IP41" i="14608"/>
  <c r="IQ41" i="14608"/>
  <c r="IR41" i="14608"/>
  <c r="IS41" i="14608"/>
  <c r="IT41" i="14608"/>
  <c r="IU41" i="14608"/>
  <c r="IV41" i="14608"/>
  <c r="A40" i="14608"/>
  <c r="B40" i="14608"/>
  <c r="C40" i="14608"/>
  <c r="D40" i="14608"/>
  <c r="E40" i="14608"/>
  <c r="F40" i="14608"/>
  <c r="G40" i="14608"/>
  <c r="H40" i="14608"/>
  <c r="I40" i="14608"/>
  <c r="J40" i="14608"/>
  <c r="K40" i="14608"/>
  <c r="L40" i="14608"/>
  <c r="M40" i="14608"/>
  <c r="N40" i="14608"/>
  <c r="O40" i="14608"/>
  <c r="P40" i="14608"/>
  <c r="Q40" i="14608"/>
  <c r="R40" i="14608"/>
  <c r="S40" i="14608"/>
  <c r="T40" i="14608"/>
  <c r="U40" i="14608"/>
  <c r="V40" i="14608"/>
  <c r="W40" i="14608"/>
  <c r="X40" i="14608"/>
  <c r="Y40" i="14608"/>
  <c r="Z40" i="14608"/>
  <c r="AA40" i="14608"/>
  <c r="AB40" i="14608"/>
  <c r="AC40" i="14608"/>
  <c r="AD40" i="14608"/>
  <c r="AE40" i="14608"/>
  <c r="AF40" i="14608"/>
  <c r="AG40" i="14608"/>
  <c r="AH40" i="14608"/>
  <c r="AI40" i="14608"/>
  <c r="AJ40" i="14608"/>
  <c r="AK40" i="14608"/>
  <c r="AL40" i="14608"/>
  <c r="AM40" i="14608"/>
  <c r="AN40" i="14608"/>
  <c r="AO40" i="14608"/>
  <c r="AP40" i="14608"/>
  <c r="AQ40" i="14608"/>
  <c r="AR40" i="14608"/>
  <c r="AS40" i="14608"/>
  <c r="AT40" i="14608"/>
  <c r="AU40" i="14608"/>
  <c r="AV40" i="14608"/>
  <c r="AW40" i="14608"/>
  <c r="AX40" i="14608"/>
  <c r="AY40" i="14608"/>
  <c r="AZ40" i="14608"/>
  <c r="BA40" i="14608"/>
  <c r="BB40" i="14608"/>
  <c r="BC40" i="14608"/>
  <c r="BD40" i="14608"/>
  <c r="BE40" i="14608"/>
  <c r="BF40" i="14608"/>
  <c r="BG40" i="14608"/>
  <c r="BH40" i="14608"/>
  <c r="BI40" i="14608"/>
  <c r="BJ40" i="14608"/>
  <c r="BK40" i="14608"/>
  <c r="BL40" i="14608"/>
  <c r="BM40" i="14608"/>
  <c r="BN40" i="14608"/>
  <c r="BO40" i="14608"/>
  <c r="BP40" i="14608"/>
  <c r="BQ40" i="14608"/>
  <c r="BR40" i="14608"/>
  <c r="BS40" i="14608"/>
  <c r="BT40" i="14608"/>
  <c r="BU40" i="14608"/>
  <c r="BV40" i="14608"/>
  <c r="BW40" i="14608"/>
  <c r="BX40" i="14608"/>
  <c r="BY40" i="14608"/>
  <c r="BZ40" i="14608"/>
  <c r="CA40" i="14608"/>
  <c r="CB40" i="14608"/>
  <c r="CC40" i="14608"/>
  <c r="CD40" i="14608"/>
  <c r="CE40" i="14608"/>
  <c r="CF40" i="14608"/>
  <c r="CG40" i="14608"/>
  <c r="CH40" i="14608"/>
  <c r="CI40" i="14608"/>
  <c r="CJ40" i="14608"/>
  <c r="CK40" i="14608"/>
  <c r="CL40" i="14608"/>
  <c r="CM40" i="14608"/>
  <c r="CN40" i="14608"/>
  <c r="CO40" i="14608"/>
  <c r="CP40" i="14608"/>
  <c r="CQ40" i="14608"/>
  <c r="CR40" i="14608"/>
  <c r="CS40" i="14608"/>
  <c r="CT40" i="14608"/>
  <c r="CU40" i="14608"/>
  <c r="CV40" i="14608"/>
  <c r="CW40" i="14608"/>
  <c r="CX40" i="14608"/>
  <c r="CY40" i="14608"/>
  <c r="CZ40" i="14608"/>
  <c r="DA40" i="14608"/>
  <c r="DB40" i="14608"/>
  <c r="DC40" i="14608"/>
  <c r="DD40" i="14608"/>
  <c r="DE40" i="14608"/>
  <c r="DF40" i="14608"/>
  <c r="DG40" i="14608"/>
  <c r="DH40" i="14608"/>
  <c r="DI40" i="14608"/>
  <c r="DJ40" i="14608"/>
  <c r="DK40" i="14608"/>
  <c r="DL40" i="14608"/>
  <c r="DM40" i="14608"/>
  <c r="DN40" i="14608"/>
  <c r="DO40" i="14608"/>
  <c r="DP40" i="14608"/>
  <c r="DQ40" i="14608"/>
  <c r="DR40" i="14608"/>
  <c r="DS40" i="14608"/>
  <c r="DT40" i="14608"/>
  <c r="DU40" i="14608"/>
  <c r="DV40" i="14608"/>
  <c r="DW40" i="14608"/>
  <c r="DX40" i="14608"/>
  <c r="DY40" i="14608"/>
  <c r="DZ40" i="14608"/>
  <c r="EA40" i="14608"/>
  <c r="EB40" i="14608"/>
  <c r="EC40" i="14608"/>
  <c r="ED40" i="14608"/>
  <c r="EE40" i="14608"/>
  <c r="EF40" i="14608"/>
  <c r="EG40" i="14608"/>
  <c r="EH40" i="14608"/>
  <c r="EI40" i="14608"/>
  <c r="EJ40" i="14608"/>
  <c r="EK40" i="14608"/>
  <c r="EL40" i="14608"/>
  <c r="EM40" i="14608"/>
  <c r="EN40" i="14608"/>
  <c r="EO40" i="14608"/>
  <c r="EP40" i="14608"/>
  <c r="EQ40" i="14608"/>
  <c r="ER40" i="14608"/>
  <c r="ES40" i="14608"/>
  <c r="ET40" i="14608"/>
  <c r="EU40" i="14608"/>
  <c r="EV40" i="14608"/>
  <c r="EW40" i="14608"/>
  <c r="EX40" i="14608"/>
  <c r="EY40" i="14608"/>
  <c r="EZ40" i="14608"/>
  <c r="FA40" i="14608"/>
  <c r="FB40" i="14608"/>
  <c r="FC40" i="14608"/>
  <c r="FD40" i="14608"/>
  <c r="FE40" i="14608"/>
  <c r="FF40" i="14608"/>
  <c r="FG40" i="14608"/>
  <c r="FH40" i="14608"/>
  <c r="FI40" i="14608"/>
  <c r="FJ40" i="14608"/>
  <c r="FK40" i="14608"/>
  <c r="FL40" i="14608"/>
  <c r="FM40" i="14608"/>
  <c r="FN40" i="14608"/>
  <c r="FO40" i="14608"/>
  <c r="FP40" i="14608"/>
  <c r="FQ40" i="14608"/>
  <c r="FR40" i="14608"/>
  <c r="FS40" i="14608"/>
  <c r="FT40" i="14608"/>
  <c r="FU40" i="14608"/>
  <c r="FV40" i="14608"/>
  <c r="FW40" i="14608"/>
  <c r="FX40" i="14608"/>
  <c r="FY40" i="14608"/>
  <c r="FZ40" i="14608"/>
  <c r="GA40" i="14608"/>
  <c r="GB40" i="14608"/>
  <c r="GC40" i="14608"/>
  <c r="GD40" i="14608"/>
  <c r="GE40" i="14608"/>
  <c r="GF40" i="14608"/>
  <c r="GG40" i="14608"/>
  <c r="GH40" i="14608"/>
  <c r="GI40" i="14608"/>
  <c r="GJ40" i="14608"/>
  <c r="GK40" i="14608"/>
  <c r="GL40" i="14608"/>
  <c r="GM40" i="14608"/>
  <c r="GN40" i="14608"/>
  <c r="GO40" i="14608"/>
  <c r="GP40" i="14608"/>
  <c r="GQ40" i="14608"/>
  <c r="GR40" i="14608"/>
  <c r="GS40" i="14608"/>
  <c r="GT40" i="14608"/>
  <c r="GU40" i="14608"/>
  <c r="GV40" i="14608"/>
  <c r="GW40" i="14608"/>
  <c r="GX40" i="14608"/>
  <c r="GY40" i="14608"/>
  <c r="GZ40" i="14608"/>
  <c r="HA40" i="14608"/>
  <c r="HB40" i="14608"/>
  <c r="HC40" i="14608"/>
  <c r="HD40" i="14608"/>
  <c r="HE40" i="14608"/>
  <c r="HF40" i="14608"/>
  <c r="HG40" i="14608"/>
  <c r="HH40" i="14608"/>
  <c r="HI40" i="14608"/>
  <c r="HJ40" i="14608"/>
  <c r="HK40" i="14608"/>
  <c r="HL40" i="14608"/>
  <c r="HM40" i="14608"/>
  <c r="HN40" i="14608"/>
  <c r="HO40" i="14608"/>
  <c r="HP40" i="14608"/>
  <c r="HQ40" i="14608"/>
  <c r="HR40" i="14608"/>
  <c r="HS40" i="14608"/>
  <c r="HT40" i="14608"/>
  <c r="HU40" i="14608"/>
  <c r="HV40" i="14608"/>
  <c r="HW40" i="14608"/>
  <c r="HX40" i="14608"/>
  <c r="HY40" i="14608"/>
  <c r="HZ40" i="14608"/>
  <c r="IA40" i="14608"/>
  <c r="IB40" i="14608"/>
  <c r="IC40" i="14608"/>
  <c r="ID40" i="14608"/>
  <c r="IE40" i="14608"/>
  <c r="IF40" i="14608"/>
  <c r="IG40" i="14608"/>
  <c r="IH40" i="14608"/>
  <c r="II40" i="14608"/>
  <c r="IJ40" i="14608"/>
  <c r="IK40" i="14608"/>
  <c r="IL40" i="14608"/>
  <c r="IM40" i="14608"/>
  <c r="IN40" i="14608"/>
  <c r="IO40" i="14608"/>
  <c r="IP40" i="14608"/>
  <c r="IQ40" i="14608"/>
  <c r="IR40" i="14608"/>
  <c r="IS40" i="14608"/>
  <c r="IT40" i="14608"/>
  <c r="IU40" i="14608"/>
  <c r="IV40" i="14608"/>
  <c r="A39" i="14608"/>
  <c r="B39" i="14608"/>
  <c r="C39" i="14608"/>
  <c r="D39" i="14608"/>
  <c r="E39" i="14608"/>
  <c r="F39" i="14608"/>
  <c r="G39" i="14608"/>
  <c r="H39" i="14608"/>
  <c r="I39" i="14608"/>
  <c r="J39" i="14608"/>
  <c r="K39" i="14608"/>
  <c r="L39" i="14608"/>
  <c r="M39" i="14608"/>
  <c r="N39" i="14608"/>
  <c r="O39" i="14608"/>
  <c r="P39" i="14608"/>
  <c r="Q39" i="14608"/>
  <c r="R39" i="14608"/>
  <c r="S39" i="14608"/>
  <c r="T39" i="14608"/>
  <c r="U39" i="14608"/>
  <c r="V39" i="14608"/>
  <c r="W39" i="14608"/>
  <c r="X39" i="14608"/>
  <c r="Y39" i="14608"/>
  <c r="Z39" i="14608"/>
  <c r="AA39" i="14608"/>
  <c r="AB39" i="14608"/>
  <c r="AC39" i="14608"/>
  <c r="AD39" i="14608"/>
  <c r="AE39" i="14608"/>
  <c r="AF39" i="14608"/>
  <c r="AG39" i="14608"/>
  <c r="AH39" i="14608"/>
  <c r="AI39" i="14608"/>
  <c r="AJ39" i="14608"/>
  <c r="AK39" i="14608"/>
  <c r="AL39" i="14608"/>
  <c r="AM39" i="14608"/>
  <c r="AN39" i="14608"/>
  <c r="AO39" i="14608"/>
  <c r="AP39" i="14608"/>
  <c r="AR39" i="14608"/>
  <c r="AS39" i="14608"/>
  <c r="AT39" i="14608"/>
  <c r="AU39" i="14608"/>
  <c r="AV39" i="14608"/>
  <c r="AW39" i="14608"/>
  <c r="AX39" i="14608"/>
  <c r="AY39" i="14608"/>
  <c r="AZ39" i="14608"/>
  <c r="BA39" i="14608"/>
  <c r="BB39" i="14608"/>
  <c r="BC39" i="14608"/>
  <c r="BD39" i="14608"/>
  <c r="BE39" i="14608"/>
  <c r="BF39" i="14608"/>
  <c r="BG39" i="14608"/>
  <c r="BH39" i="14608"/>
  <c r="BI39" i="14608"/>
  <c r="BJ39" i="14608"/>
  <c r="BK39" i="14608"/>
  <c r="BL39" i="14608"/>
  <c r="BM39" i="14608"/>
  <c r="BN39" i="14608"/>
  <c r="BO39" i="14608"/>
  <c r="BP39" i="14608"/>
  <c r="BQ39" i="14608"/>
  <c r="BR39" i="14608"/>
  <c r="BS39" i="14608"/>
  <c r="BT39" i="14608"/>
  <c r="BU39" i="14608"/>
  <c r="BV39" i="14608"/>
  <c r="BW39" i="14608"/>
  <c r="BX39" i="14608"/>
  <c r="BY39" i="14608"/>
  <c r="BZ39" i="14608"/>
  <c r="CA39" i="14608"/>
  <c r="CB39" i="14608"/>
  <c r="CC39" i="14608"/>
  <c r="CD39" i="14608"/>
  <c r="CE39" i="14608"/>
  <c r="CF39" i="14608"/>
  <c r="CG39" i="14608"/>
  <c r="CH39" i="14608"/>
  <c r="CI39" i="14608"/>
  <c r="CJ39" i="14608"/>
  <c r="CK39" i="14608"/>
  <c r="CL39" i="14608"/>
  <c r="CM39" i="14608"/>
  <c r="CN39" i="14608"/>
  <c r="CO39" i="14608"/>
  <c r="CP39" i="14608"/>
  <c r="CQ39" i="14608"/>
  <c r="CR39" i="14608"/>
  <c r="CS39" i="14608"/>
  <c r="CT39" i="14608"/>
  <c r="CU39" i="14608"/>
  <c r="CV39" i="14608"/>
  <c r="CW39" i="14608"/>
  <c r="CX39" i="14608"/>
  <c r="CY39" i="14608"/>
  <c r="CZ39" i="14608"/>
  <c r="DA39" i="14608"/>
  <c r="DB39" i="14608"/>
  <c r="DC39" i="14608"/>
  <c r="DD39" i="14608"/>
  <c r="DE39" i="14608"/>
  <c r="DF39" i="14608"/>
  <c r="DG39" i="14608"/>
  <c r="DH39" i="14608"/>
  <c r="DI39" i="14608"/>
  <c r="DJ39" i="14608"/>
  <c r="DK39" i="14608"/>
  <c r="DL39" i="14608"/>
  <c r="DM39" i="14608"/>
  <c r="DN39" i="14608"/>
  <c r="DO39" i="14608"/>
  <c r="DP39" i="14608"/>
  <c r="DQ39" i="14608"/>
  <c r="DR39" i="14608"/>
  <c r="DS39" i="14608"/>
  <c r="DT39" i="14608"/>
  <c r="DU39" i="14608"/>
  <c r="DV39" i="14608"/>
  <c r="DW39" i="14608"/>
  <c r="DX39" i="14608"/>
  <c r="DY39" i="14608"/>
  <c r="DZ39" i="14608"/>
  <c r="EA39" i="14608"/>
  <c r="EB39" i="14608"/>
  <c r="EC39" i="14608"/>
  <c r="ED39" i="14608"/>
  <c r="EE39" i="14608"/>
  <c r="EF39" i="14608"/>
  <c r="EG39" i="14608"/>
  <c r="EH39" i="14608"/>
  <c r="EI39" i="14608"/>
  <c r="EJ39" i="14608"/>
  <c r="EK39" i="14608"/>
  <c r="EL39" i="14608"/>
  <c r="EM39" i="14608"/>
  <c r="EN39" i="14608"/>
  <c r="EO39" i="14608"/>
  <c r="EP39" i="14608"/>
  <c r="EQ39" i="14608"/>
  <c r="ER39" i="14608"/>
  <c r="ES39" i="14608"/>
  <c r="ET39" i="14608"/>
  <c r="EU39" i="14608"/>
  <c r="EV39" i="14608"/>
  <c r="EW39" i="14608"/>
  <c r="EX39" i="14608"/>
  <c r="EY39" i="14608"/>
  <c r="EZ39" i="14608"/>
  <c r="FA39" i="14608"/>
  <c r="FB39" i="14608"/>
  <c r="FC39" i="14608"/>
  <c r="FD39" i="14608"/>
  <c r="FE39" i="14608"/>
  <c r="FF39" i="14608"/>
  <c r="FG39" i="14608"/>
  <c r="FH39" i="14608"/>
  <c r="FI39" i="14608"/>
  <c r="FJ39" i="14608"/>
  <c r="FK39" i="14608"/>
  <c r="FL39" i="14608"/>
  <c r="FM39" i="14608"/>
  <c r="FN39" i="14608"/>
  <c r="FO39" i="14608"/>
  <c r="FP39" i="14608"/>
  <c r="FQ39" i="14608"/>
  <c r="FR39" i="14608"/>
  <c r="FS39" i="14608"/>
  <c r="FT39" i="14608"/>
  <c r="FU39" i="14608"/>
  <c r="FV39" i="14608"/>
  <c r="FW39" i="14608"/>
  <c r="FX39" i="14608"/>
  <c r="FY39" i="14608"/>
  <c r="FZ39" i="14608"/>
  <c r="GA39" i="14608"/>
  <c r="GB39" i="14608"/>
  <c r="GC39" i="14608"/>
  <c r="GD39" i="14608"/>
  <c r="GE39" i="14608"/>
  <c r="GF39" i="14608"/>
  <c r="GG39" i="14608"/>
  <c r="GH39" i="14608"/>
  <c r="GI39" i="14608"/>
  <c r="GJ39" i="14608"/>
  <c r="GK39" i="14608"/>
  <c r="GL39" i="14608"/>
  <c r="GM39" i="14608"/>
  <c r="GN39" i="14608"/>
  <c r="GO39" i="14608"/>
  <c r="GP39" i="14608"/>
  <c r="GQ39" i="14608"/>
  <c r="GR39" i="14608"/>
  <c r="GS39" i="14608"/>
  <c r="GT39" i="14608"/>
  <c r="GU39" i="14608"/>
  <c r="GV39" i="14608"/>
  <c r="GW39" i="14608"/>
  <c r="GX39" i="14608"/>
  <c r="GY39" i="14608"/>
  <c r="GZ39" i="14608"/>
  <c r="HA39" i="14608"/>
  <c r="HB39" i="14608"/>
  <c r="HC39" i="14608"/>
  <c r="HD39" i="14608"/>
  <c r="HE39" i="14608"/>
  <c r="HF39" i="14608"/>
  <c r="HG39" i="14608"/>
  <c r="HH39" i="14608"/>
  <c r="HI39" i="14608"/>
  <c r="HJ39" i="14608"/>
  <c r="HK39" i="14608"/>
  <c r="HL39" i="14608"/>
  <c r="HM39" i="14608"/>
  <c r="HN39" i="14608"/>
  <c r="HO39" i="14608"/>
  <c r="HP39" i="14608"/>
  <c r="HQ39" i="14608"/>
  <c r="HR39" i="14608"/>
  <c r="HS39" i="14608"/>
  <c r="HT39" i="14608"/>
  <c r="HU39" i="14608"/>
  <c r="HV39" i="14608"/>
  <c r="HW39" i="14608"/>
  <c r="HX39" i="14608"/>
  <c r="HY39" i="14608"/>
  <c r="HZ39" i="14608"/>
  <c r="IA39" i="14608"/>
  <c r="IB39" i="14608"/>
  <c r="IC39" i="14608"/>
  <c r="ID39" i="14608"/>
  <c r="IE39" i="14608"/>
  <c r="IF39" i="14608"/>
  <c r="IG39" i="14608"/>
  <c r="IH39" i="14608"/>
  <c r="II39" i="14608"/>
  <c r="IJ39" i="14608"/>
  <c r="IK39" i="14608"/>
  <c r="IL39" i="14608"/>
  <c r="IM39" i="14608"/>
  <c r="IN39" i="14608"/>
  <c r="IO39" i="14608"/>
  <c r="IP39" i="14608"/>
  <c r="IQ39" i="14608"/>
  <c r="IR39" i="14608"/>
  <c r="IS39" i="14608"/>
  <c r="IT39" i="14608"/>
  <c r="IU39" i="14608"/>
  <c r="IV39" i="14608"/>
  <c r="A38" i="14608"/>
  <c r="B38" i="14608"/>
  <c r="C38" i="14608"/>
  <c r="D38" i="14608"/>
  <c r="E38" i="14608"/>
  <c r="F38" i="14608"/>
  <c r="G38" i="14608"/>
  <c r="H38" i="14608"/>
  <c r="I38" i="14608"/>
  <c r="J38" i="14608"/>
  <c r="K38" i="14608"/>
  <c r="L38" i="14608"/>
  <c r="M38" i="14608"/>
  <c r="N38" i="14608"/>
  <c r="O38" i="14608"/>
  <c r="P38" i="14608"/>
  <c r="Q38" i="14608"/>
  <c r="R38" i="14608"/>
  <c r="S38" i="14608"/>
  <c r="T38" i="14608"/>
  <c r="U38" i="14608"/>
  <c r="V38" i="14608"/>
  <c r="W38" i="14608"/>
  <c r="X38" i="14608"/>
  <c r="Y38" i="14608"/>
  <c r="Z38" i="14608"/>
  <c r="AA38" i="14608"/>
  <c r="AB38" i="14608"/>
  <c r="AC38" i="14608"/>
  <c r="AD38" i="14608"/>
  <c r="AE38" i="14608"/>
  <c r="AF38" i="14608"/>
  <c r="AG38" i="14608"/>
  <c r="AH38" i="14608"/>
  <c r="AI38" i="14608"/>
  <c r="AJ38" i="14608"/>
  <c r="AK38" i="14608"/>
  <c r="AL38" i="14608"/>
  <c r="AM38" i="14608"/>
  <c r="AN38" i="14608"/>
  <c r="AO38" i="14608"/>
  <c r="AP38" i="14608"/>
  <c r="AQ38" i="14608"/>
  <c r="AR38" i="14608"/>
  <c r="AS38" i="14608"/>
  <c r="AT38" i="14608"/>
  <c r="AU38" i="14608"/>
  <c r="AV38" i="14608"/>
  <c r="AW38" i="14608"/>
  <c r="AX38" i="14608"/>
  <c r="AY38" i="14608"/>
  <c r="AZ38" i="14608"/>
  <c r="BA38" i="14608"/>
  <c r="BB38" i="14608"/>
  <c r="BC38" i="14608"/>
  <c r="BD38" i="14608"/>
  <c r="BE38" i="14608"/>
  <c r="BF38" i="14608"/>
  <c r="BG38" i="14608"/>
  <c r="BH38" i="14608"/>
  <c r="BI38" i="14608"/>
  <c r="BJ38" i="14608"/>
  <c r="BK38" i="14608"/>
  <c r="BL38" i="14608"/>
  <c r="BM38" i="14608"/>
  <c r="BN38" i="14608"/>
  <c r="BO38" i="14608"/>
  <c r="BP38" i="14608"/>
  <c r="BQ38" i="14608"/>
  <c r="BR38" i="14608"/>
  <c r="BS38" i="14608"/>
  <c r="BT38" i="14608"/>
  <c r="BU38" i="14608"/>
  <c r="BV38" i="14608"/>
  <c r="BW38" i="14608"/>
  <c r="BX38" i="14608"/>
  <c r="BY38" i="14608"/>
  <c r="BZ38" i="14608"/>
  <c r="CA38" i="14608"/>
  <c r="CB38" i="14608"/>
  <c r="CC38" i="14608"/>
  <c r="CD38" i="14608"/>
  <c r="CE38" i="14608"/>
  <c r="CF38" i="14608"/>
  <c r="CG38" i="14608"/>
  <c r="CH38" i="14608"/>
  <c r="CI38" i="14608"/>
  <c r="CJ38" i="14608"/>
  <c r="CK38" i="14608"/>
  <c r="CL38" i="14608"/>
  <c r="CM38" i="14608"/>
  <c r="CN38" i="14608"/>
  <c r="CO38" i="14608"/>
  <c r="CP38" i="14608"/>
  <c r="CQ38" i="14608"/>
  <c r="CR38" i="14608"/>
  <c r="CS38" i="14608"/>
  <c r="CT38" i="14608"/>
  <c r="CU38" i="14608"/>
  <c r="CV38" i="14608"/>
  <c r="CW38" i="14608"/>
  <c r="CX38" i="14608"/>
  <c r="CY38" i="14608"/>
  <c r="CZ38" i="14608"/>
  <c r="DA38" i="14608"/>
  <c r="DB38" i="14608"/>
  <c r="DC38" i="14608"/>
  <c r="DD38" i="14608"/>
  <c r="DE38" i="14608"/>
  <c r="DF38" i="14608"/>
  <c r="DG38" i="14608"/>
  <c r="DH38" i="14608"/>
  <c r="DI38" i="14608"/>
  <c r="DJ38" i="14608"/>
  <c r="DK38" i="14608"/>
  <c r="DL38" i="14608"/>
  <c r="DM38" i="14608"/>
  <c r="DN38" i="14608"/>
  <c r="DO38" i="14608"/>
  <c r="DP38" i="14608"/>
  <c r="DQ38" i="14608"/>
  <c r="DR38" i="14608"/>
  <c r="DS38" i="14608"/>
  <c r="DT38" i="14608"/>
  <c r="DU38" i="14608"/>
  <c r="DV38" i="14608"/>
  <c r="DW38" i="14608"/>
  <c r="DX38" i="14608"/>
  <c r="DY38" i="14608"/>
  <c r="DZ38" i="14608"/>
  <c r="EA38" i="14608"/>
  <c r="EB38" i="14608"/>
  <c r="EC38" i="14608"/>
  <c r="ED38" i="14608"/>
  <c r="EE38" i="14608"/>
  <c r="EF38" i="14608"/>
  <c r="EG38" i="14608"/>
  <c r="EH38" i="14608"/>
  <c r="EI38" i="14608"/>
  <c r="EJ38" i="14608"/>
  <c r="EK38" i="14608"/>
  <c r="EL38" i="14608"/>
  <c r="EM38" i="14608"/>
  <c r="EN38" i="14608"/>
  <c r="EO38" i="14608"/>
  <c r="EP38" i="14608"/>
  <c r="EQ38" i="14608"/>
  <c r="ER38" i="14608"/>
  <c r="ES38" i="14608"/>
  <c r="ET38" i="14608"/>
  <c r="EU38" i="14608"/>
  <c r="EV38" i="14608"/>
  <c r="EW38" i="14608"/>
  <c r="EX38" i="14608"/>
  <c r="EY38" i="14608"/>
  <c r="EZ38" i="14608"/>
  <c r="FA38" i="14608"/>
  <c r="FB38" i="14608"/>
  <c r="FC38" i="14608"/>
  <c r="FD38" i="14608"/>
  <c r="FE38" i="14608"/>
  <c r="FF38" i="14608"/>
  <c r="FG38" i="14608"/>
  <c r="FH38" i="14608"/>
  <c r="FI38" i="14608"/>
  <c r="FJ38" i="14608"/>
  <c r="FK38" i="14608"/>
  <c r="FL38" i="14608"/>
  <c r="FM38" i="14608"/>
  <c r="FN38" i="14608"/>
  <c r="FO38" i="14608"/>
  <c r="FP38" i="14608"/>
  <c r="FQ38" i="14608"/>
  <c r="FR38" i="14608"/>
  <c r="FS38" i="14608"/>
  <c r="FT38" i="14608"/>
  <c r="FU38" i="14608"/>
  <c r="FV38" i="14608"/>
  <c r="FW38" i="14608"/>
  <c r="FX38" i="14608"/>
  <c r="FY38" i="14608"/>
  <c r="FZ38" i="14608"/>
  <c r="GA38" i="14608"/>
  <c r="GB38" i="14608"/>
  <c r="GC38" i="14608"/>
  <c r="GD38" i="14608"/>
  <c r="GE38" i="14608"/>
  <c r="GF38" i="14608"/>
  <c r="GG38" i="14608"/>
  <c r="GH38" i="14608"/>
  <c r="GI38" i="14608"/>
  <c r="GJ38" i="14608"/>
  <c r="GK38" i="14608"/>
  <c r="GL38" i="14608"/>
  <c r="GM38" i="14608"/>
  <c r="GN38" i="14608"/>
  <c r="GO38" i="14608"/>
  <c r="GP38" i="14608"/>
  <c r="GQ38" i="14608"/>
  <c r="GR38" i="14608"/>
  <c r="GS38" i="14608"/>
  <c r="GT38" i="14608"/>
  <c r="GU38" i="14608"/>
  <c r="GV38" i="14608"/>
  <c r="GW38" i="14608"/>
  <c r="GX38" i="14608"/>
  <c r="GY38" i="14608"/>
  <c r="GZ38" i="14608"/>
  <c r="HA38" i="14608"/>
  <c r="HB38" i="14608"/>
  <c r="HC38" i="14608"/>
  <c r="HD38" i="14608"/>
  <c r="HE38" i="14608"/>
  <c r="HF38" i="14608"/>
  <c r="HG38" i="14608"/>
  <c r="HH38" i="14608"/>
  <c r="HI38" i="14608"/>
  <c r="HJ38" i="14608"/>
  <c r="HK38" i="14608"/>
  <c r="HL38" i="14608"/>
  <c r="HM38" i="14608"/>
  <c r="HN38" i="14608"/>
  <c r="HO38" i="14608"/>
  <c r="HP38" i="14608"/>
  <c r="HQ38" i="14608"/>
  <c r="HR38" i="14608"/>
  <c r="HS38" i="14608"/>
  <c r="HT38" i="14608"/>
  <c r="HU38" i="14608"/>
  <c r="HV38" i="14608"/>
  <c r="HW38" i="14608"/>
  <c r="HX38" i="14608"/>
  <c r="HY38" i="14608"/>
  <c r="HZ38" i="14608"/>
  <c r="IA38" i="14608"/>
  <c r="IB38" i="14608"/>
  <c r="IC38" i="14608"/>
  <c r="ID38" i="14608"/>
  <c r="IE38" i="14608"/>
  <c r="IF38" i="14608"/>
  <c r="IG38" i="14608"/>
  <c r="IH38" i="14608"/>
  <c r="II38" i="14608"/>
  <c r="IJ38" i="14608"/>
  <c r="IK38" i="14608"/>
  <c r="IL38" i="14608"/>
  <c r="IM38" i="14608"/>
  <c r="IN38" i="14608"/>
  <c r="IO38" i="14608"/>
  <c r="IP38" i="14608"/>
  <c r="IQ38" i="14608"/>
  <c r="IR38" i="14608"/>
  <c r="IS38" i="14608"/>
  <c r="IT38" i="14608"/>
  <c r="IU38" i="14608"/>
  <c r="IV38" i="14608"/>
  <c r="A37" i="14608"/>
  <c r="B37" i="14608"/>
  <c r="C37" i="14608"/>
  <c r="D37" i="14608"/>
  <c r="E37" i="14608"/>
  <c r="F37" i="14608"/>
  <c r="G37" i="14608"/>
  <c r="H37" i="14608"/>
  <c r="I37" i="14608"/>
  <c r="J37" i="14608"/>
  <c r="K37" i="14608"/>
  <c r="L37" i="14608"/>
  <c r="M37" i="14608"/>
  <c r="N37" i="14608"/>
  <c r="O37" i="14608"/>
  <c r="P37" i="14608"/>
  <c r="Q37" i="14608"/>
  <c r="R37" i="14608"/>
  <c r="S37" i="14608"/>
  <c r="T37" i="14608"/>
  <c r="U37" i="14608"/>
  <c r="V37" i="14608"/>
  <c r="W37" i="14608"/>
  <c r="X37" i="14608"/>
  <c r="Y37" i="14608"/>
  <c r="Z37" i="14608"/>
  <c r="AA37" i="14608"/>
  <c r="AB37" i="14608"/>
  <c r="AC37" i="14608"/>
  <c r="AE37" i="14608"/>
  <c r="AF37" i="14608"/>
  <c r="AG37" i="14608"/>
  <c r="AH37" i="14608"/>
  <c r="AI37" i="14608"/>
  <c r="AJ37" i="14608"/>
  <c r="AK37" i="14608"/>
  <c r="AL37" i="14608"/>
  <c r="AM37" i="14608"/>
  <c r="AN37" i="14608"/>
  <c r="AO37" i="14608"/>
  <c r="AP37" i="14608"/>
  <c r="AQ37" i="14608"/>
  <c r="AR37" i="14608"/>
  <c r="AS37" i="14608"/>
  <c r="AT37" i="14608"/>
  <c r="AU37" i="14608"/>
  <c r="AV37" i="14608"/>
  <c r="AW37" i="14608"/>
  <c r="AX37" i="14608"/>
  <c r="AY37" i="14608"/>
  <c r="AZ37" i="14608"/>
  <c r="BA37" i="14608"/>
  <c r="BB37" i="14608"/>
  <c r="BC37" i="14608"/>
  <c r="BD37" i="14608"/>
  <c r="BE37" i="14608"/>
  <c r="BF37" i="14608"/>
  <c r="BG37" i="14608"/>
  <c r="BH37" i="14608"/>
  <c r="BI37" i="14608"/>
  <c r="BJ37" i="14608"/>
  <c r="BK37" i="14608"/>
  <c r="BL37" i="14608"/>
  <c r="BM37" i="14608"/>
  <c r="BN37" i="14608"/>
  <c r="BO37" i="14608"/>
  <c r="BP37" i="14608"/>
  <c r="BQ37" i="14608"/>
  <c r="BR37" i="14608"/>
  <c r="BS37" i="14608"/>
  <c r="BT37" i="14608"/>
  <c r="BU37" i="14608"/>
  <c r="BV37" i="14608"/>
  <c r="BW37" i="14608"/>
  <c r="BX37" i="14608"/>
  <c r="BY37" i="14608"/>
  <c r="BZ37" i="14608"/>
  <c r="CA37" i="14608"/>
  <c r="CB37" i="14608"/>
  <c r="CC37" i="14608"/>
  <c r="CD37" i="14608"/>
  <c r="CE37" i="14608"/>
  <c r="CF37" i="14608"/>
  <c r="CG37" i="14608"/>
  <c r="CH37" i="14608"/>
  <c r="CI37" i="14608"/>
  <c r="CJ37" i="14608"/>
  <c r="CK37" i="14608"/>
  <c r="CL37" i="14608"/>
  <c r="CM37" i="14608"/>
  <c r="CN37" i="14608"/>
  <c r="CO37" i="14608"/>
  <c r="CP37" i="14608"/>
  <c r="CQ37" i="14608"/>
  <c r="CR37" i="14608"/>
  <c r="CS37" i="14608"/>
  <c r="CT37" i="14608"/>
  <c r="CU37" i="14608"/>
  <c r="CV37" i="14608"/>
  <c r="CW37" i="14608"/>
  <c r="CX37" i="14608"/>
  <c r="CY37" i="14608"/>
  <c r="CZ37" i="14608"/>
  <c r="DA37" i="14608"/>
  <c r="DB37" i="14608"/>
  <c r="DC37" i="14608"/>
  <c r="DD37" i="14608"/>
  <c r="DE37" i="14608"/>
  <c r="DF37" i="14608"/>
  <c r="DG37" i="14608"/>
  <c r="DH37" i="14608"/>
  <c r="DI37" i="14608"/>
  <c r="DJ37" i="14608"/>
  <c r="DK37" i="14608"/>
  <c r="DL37" i="14608"/>
  <c r="DM37" i="14608"/>
  <c r="DN37" i="14608"/>
  <c r="DO37" i="14608"/>
  <c r="DP37" i="14608"/>
  <c r="DQ37" i="14608"/>
  <c r="DR37" i="14608"/>
  <c r="DS37" i="14608"/>
  <c r="DT37" i="14608"/>
  <c r="DU37" i="14608"/>
  <c r="DV37" i="14608"/>
  <c r="DW37" i="14608"/>
  <c r="DX37" i="14608"/>
  <c r="DY37" i="14608"/>
  <c r="DZ37" i="14608"/>
  <c r="EA37" i="14608"/>
  <c r="EB37" i="14608"/>
  <c r="EC37" i="14608"/>
  <c r="ED37" i="14608"/>
  <c r="EE37" i="14608"/>
  <c r="EF37" i="14608"/>
  <c r="EG37" i="14608"/>
  <c r="EH37" i="14608"/>
  <c r="EI37" i="14608"/>
  <c r="EJ37" i="14608"/>
  <c r="EK37" i="14608"/>
  <c r="EL37" i="14608"/>
  <c r="EM37" i="14608"/>
  <c r="EN37" i="14608"/>
  <c r="EO37" i="14608"/>
  <c r="EP37" i="14608"/>
  <c r="EQ37" i="14608"/>
  <c r="ER37" i="14608"/>
  <c r="ES37" i="14608"/>
  <c r="ET37" i="14608"/>
  <c r="EU37" i="14608"/>
  <c r="EV37" i="14608"/>
  <c r="EW37" i="14608"/>
  <c r="EX37" i="14608"/>
  <c r="EY37" i="14608"/>
  <c r="EZ37" i="14608"/>
  <c r="FA37" i="14608"/>
  <c r="FB37" i="14608"/>
  <c r="FC37" i="14608"/>
  <c r="FD37" i="14608"/>
  <c r="FE37" i="14608"/>
  <c r="FF37" i="14608"/>
  <c r="FG37" i="14608"/>
  <c r="FH37" i="14608"/>
  <c r="FI37" i="14608"/>
  <c r="FJ37" i="14608"/>
  <c r="FK37" i="14608"/>
  <c r="FL37" i="14608"/>
  <c r="FM37" i="14608"/>
  <c r="FN37" i="14608"/>
  <c r="FO37" i="14608"/>
  <c r="FP37" i="14608"/>
  <c r="FQ37" i="14608"/>
  <c r="FR37" i="14608"/>
  <c r="FS37" i="14608"/>
  <c r="FT37" i="14608"/>
  <c r="FU37" i="14608"/>
  <c r="FV37" i="14608"/>
  <c r="FW37" i="14608"/>
  <c r="FX37" i="14608"/>
  <c r="FY37" i="14608"/>
  <c r="FZ37" i="14608"/>
  <c r="GA37" i="14608"/>
  <c r="GB37" i="14608"/>
  <c r="GC37" i="14608"/>
  <c r="GD37" i="14608"/>
  <c r="GE37" i="14608"/>
  <c r="GF37" i="14608"/>
  <c r="GG37" i="14608"/>
  <c r="GH37" i="14608"/>
  <c r="GI37" i="14608"/>
  <c r="GJ37" i="14608"/>
  <c r="GK37" i="14608"/>
  <c r="GL37" i="14608"/>
  <c r="GM37" i="14608"/>
  <c r="GN37" i="14608"/>
  <c r="GO37" i="14608"/>
  <c r="GP37" i="14608"/>
  <c r="GQ37" i="14608"/>
  <c r="GR37" i="14608"/>
  <c r="GS37" i="14608"/>
  <c r="GT37" i="14608"/>
  <c r="GU37" i="14608"/>
  <c r="GV37" i="14608"/>
  <c r="GW37" i="14608"/>
  <c r="GX37" i="14608"/>
  <c r="GY37" i="14608"/>
  <c r="GZ37" i="14608"/>
  <c r="HA37" i="14608"/>
  <c r="HB37" i="14608"/>
  <c r="HC37" i="14608"/>
  <c r="HD37" i="14608"/>
  <c r="HE37" i="14608"/>
  <c r="HF37" i="14608"/>
  <c r="HG37" i="14608"/>
  <c r="HH37" i="14608"/>
  <c r="HI37" i="14608"/>
  <c r="HJ37" i="14608"/>
  <c r="HK37" i="14608"/>
  <c r="HL37" i="14608"/>
  <c r="HM37" i="14608"/>
  <c r="HN37" i="14608"/>
  <c r="HO37" i="14608"/>
  <c r="HP37" i="14608"/>
  <c r="HQ37" i="14608"/>
  <c r="HR37" i="14608"/>
  <c r="HS37" i="14608"/>
  <c r="HT37" i="14608"/>
  <c r="HU37" i="14608"/>
  <c r="HV37" i="14608"/>
  <c r="HW37" i="14608"/>
  <c r="HX37" i="14608"/>
  <c r="HY37" i="14608"/>
  <c r="HZ37" i="14608"/>
  <c r="IA37" i="14608"/>
  <c r="IB37" i="14608"/>
  <c r="IC37" i="14608"/>
  <c r="ID37" i="14608"/>
  <c r="IE37" i="14608"/>
  <c r="IF37" i="14608"/>
  <c r="IG37" i="14608"/>
  <c r="IH37" i="14608"/>
  <c r="II37" i="14608"/>
  <c r="IJ37" i="14608"/>
  <c r="IK37" i="14608"/>
  <c r="IL37" i="14608"/>
  <c r="IM37" i="14608"/>
  <c r="IN37" i="14608"/>
  <c r="IO37" i="14608"/>
  <c r="IP37" i="14608"/>
  <c r="IQ37" i="14608"/>
  <c r="IR37" i="14608"/>
  <c r="IS37" i="14608"/>
  <c r="IT37" i="14608"/>
  <c r="IU37" i="14608"/>
  <c r="IV37" i="14608"/>
  <c r="A36" i="14608"/>
  <c r="B36" i="14608"/>
  <c r="C36" i="14608"/>
  <c r="D36" i="14608"/>
  <c r="E36" i="14608"/>
  <c r="F36" i="14608"/>
  <c r="G36" i="14608"/>
  <c r="H36" i="14608"/>
  <c r="I36" i="14608"/>
  <c r="J36" i="14608"/>
  <c r="K36" i="14608"/>
  <c r="L36" i="14608"/>
  <c r="M36" i="14608"/>
  <c r="N36" i="14608"/>
  <c r="O36" i="14608"/>
  <c r="P36" i="14608"/>
  <c r="Q36" i="14608"/>
  <c r="R36" i="14608"/>
  <c r="S36" i="14608"/>
  <c r="T36" i="14608"/>
  <c r="U36" i="14608"/>
  <c r="V36" i="14608"/>
  <c r="W36" i="14608"/>
  <c r="X36" i="14608"/>
  <c r="Y36" i="14608"/>
  <c r="Z36" i="14608"/>
  <c r="AA36" i="14608"/>
  <c r="AB36" i="14608"/>
  <c r="AC36" i="14608"/>
  <c r="AD36" i="14608"/>
  <c r="AE36" i="14608"/>
  <c r="AF36" i="14608"/>
  <c r="AG36" i="14608"/>
  <c r="AH36" i="14608"/>
  <c r="AI36" i="14608"/>
  <c r="AJ36" i="14608"/>
  <c r="AK36" i="14608"/>
  <c r="AL36" i="14608"/>
  <c r="AM36" i="14608"/>
  <c r="AN36" i="14608"/>
  <c r="AO36" i="14608"/>
  <c r="AP36" i="14608"/>
  <c r="AQ36" i="14608"/>
  <c r="AR36" i="14608"/>
  <c r="AS36" i="14608"/>
  <c r="AT36" i="14608"/>
  <c r="AU36" i="14608"/>
  <c r="AV36" i="14608"/>
  <c r="AW36" i="14608"/>
  <c r="AX36" i="14608"/>
  <c r="AY36" i="14608"/>
  <c r="AZ36" i="14608"/>
  <c r="BA36" i="14608"/>
  <c r="BB36" i="14608"/>
  <c r="BC36" i="14608"/>
  <c r="BD36" i="14608"/>
  <c r="BE36" i="14608"/>
  <c r="BF36" i="14608"/>
  <c r="BG36" i="14608"/>
  <c r="BH36" i="14608"/>
  <c r="BI36" i="14608"/>
  <c r="BJ36" i="14608"/>
  <c r="BK36" i="14608"/>
  <c r="BL36" i="14608"/>
  <c r="BM36" i="14608"/>
  <c r="BN36" i="14608"/>
  <c r="BO36" i="14608"/>
  <c r="BP36" i="14608"/>
  <c r="BQ36" i="14608"/>
  <c r="BR36" i="14608"/>
  <c r="BS36" i="14608"/>
  <c r="BT36" i="14608"/>
  <c r="BU36" i="14608"/>
  <c r="BV36" i="14608"/>
  <c r="BW36" i="14608"/>
  <c r="BX36" i="14608"/>
  <c r="BY36" i="14608"/>
  <c r="BZ36" i="14608"/>
  <c r="CA36" i="14608"/>
  <c r="CB36" i="14608"/>
  <c r="CC36" i="14608"/>
  <c r="CD36" i="14608"/>
  <c r="CE36" i="14608"/>
  <c r="CF36" i="14608"/>
  <c r="CG36" i="14608"/>
  <c r="CH36" i="14608"/>
  <c r="CI36" i="14608"/>
  <c r="CJ36" i="14608"/>
  <c r="CK36" i="14608"/>
  <c r="CL36" i="14608"/>
  <c r="CM36" i="14608"/>
  <c r="CN36" i="14608"/>
  <c r="CO36" i="14608"/>
  <c r="CP36" i="14608"/>
  <c r="CQ36" i="14608"/>
  <c r="CR36" i="14608"/>
  <c r="CS36" i="14608"/>
  <c r="CT36" i="14608"/>
  <c r="CU36" i="14608"/>
  <c r="CV36" i="14608"/>
  <c r="CW36" i="14608"/>
  <c r="CX36" i="14608"/>
  <c r="CY36" i="14608"/>
  <c r="CZ36" i="14608"/>
  <c r="DA36" i="14608"/>
  <c r="DB36" i="14608"/>
  <c r="DC36" i="14608"/>
  <c r="DD36" i="14608"/>
  <c r="DE36" i="14608"/>
  <c r="DF36" i="14608"/>
  <c r="DG36" i="14608"/>
  <c r="DH36" i="14608"/>
  <c r="DI36" i="14608"/>
  <c r="DJ36" i="14608"/>
  <c r="DK36" i="14608"/>
  <c r="DL36" i="14608"/>
  <c r="DM36" i="14608"/>
  <c r="DN36" i="14608"/>
  <c r="DO36" i="14608"/>
  <c r="DP36" i="14608"/>
  <c r="DQ36" i="14608"/>
  <c r="DR36" i="14608"/>
  <c r="DS36" i="14608"/>
  <c r="DT36" i="14608"/>
  <c r="DU36" i="14608"/>
  <c r="DV36" i="14608"/>
  <c r="DW36" i="14608"/>
  <c r="DX36" i="14608"/>
  <c r="DY36" i="14608"/>
  <c r="DZ36" i="14608"/>
  <c r="EA36" i="14608"/>
  <c r="EB36" i="14608"/>
  <c r="EC36" i="14608"/>
  <c r="ED36" i="14608"/>
  <c r="EE36" i="14608"/>
  <c r="EF36" i="14608"/>
  <c r="EG36" i="14608"/>
  <c r="EH36" i="14608"/>
  <c r="EI36" i="14608"/>
  <c r="EJ36" i="14608"/>
  <c r="EK36" i="14608"/>
  <c r="EL36" i="14608"/>
  <c r="EM36" i="14608"/>
  <c r="EN36" i="14608"/>
  <c r="EO36" i="14608"/>
  <c r="EP36" i="14608"/>
  <c r="EQ36" i="14608"/>
  <c r="ER36" i="14608"/>
  <c r="ES36" i="14608"/>
  <c r="ET36" i="14608"/>
  <c r="EU36" i="14608"/>
  <c r="EV36" i="14608"/>
  <c r="EW36" i="14608"/>
  <c r="EX36" i="14608"/>
  <c r="EY36" i="14608"/>
  <c r="EZ36" i="14608"/>
  <c r="FA36" i="14608"/>
  <c r="FB36" i="14608"/>
  <c r="FC36" i="14608"/>
  <c r="FD36" i="14608"/>
  <c r="FE36" i="14608"/>
  <c r="FF36" i="14608"/>
  <c r="FG36" i="14608"/>
  <c r="FH36" i="14608"/>
  <c r="FI36" i="14608"/>
  <c r="FJ36" i="14608"/>
  <c r="FK36" i="14608"/>
  <c r="FL36" i="14608"/>
  <c r="FM36" i="14608"/>
  <c r="FN36" i="14608"/>
  <c r="FO36" i="14608"/>
  <c r="FP36" i="14608"/>
  <c r="FQ36" i="14608"/>
  <c r="FR36" i="14608"/>
  <c r="FS36" i="14608"/>
  <c r="FT36" i="14608"/>
  <c r="FU36" i="14608"/>
  <c r="FV36" i="14608"/>
  <c r="FW36" i="14608"/>
  <c r="FX36" i="14608"/>
  <c r="FY36" i="14608"/>
  <c r="FZ36" i="14608"/>
  <c r="GA36" i="14608"/>
  <c r="GB36" i="14608"/>
  <c r="GC36" i="14608"/>
  <c r="GD36" i="14608"/>
  <c r="GE36" i="14608"/>
  <c r="GF36" i="14608"/>
  <c r="GG36" i="14608"/>
  <c r="GH36" i="14608"/>
  <c r="GI36" i="14608"/>
  <c r="GJ36" i="14608"/>
  <c r="GK36" i="14608"/>
  <c r="GL36" i="14608"/>
  <c r="GM36" i="14608"/>
  <c r="GN36" i="14608"/>
  <c r="GO36" i="14608"/>
  <c r="GP36" i="14608"/>
  <c r="GQ36" i="14608"/>
  <c r="GR36" i="14608"/>
  <c r="GS36" i="14608"/>
  <c r="GT36" i="14608"/>
  <c r="GU36" i="14608"/>
  <c r="GV36" i="14608"/>
  <c r="GW36" i="14608"/>
  <c r="GX36" i="14608"/>
  <c r="GY36" i="14608"/>
  <c r="GZ36" i="14608"/>
  <c r="HA36" i="14608"/>
  <c r="HB36" i="14608"/>
  <c r="HC36" i="14608"/>
  <c r="HD36" i="14608"/>
  <c r="HE36" i="14608"/>
  <c r="HF36" i="14608"/>
  <c r="HG36" i="14608"/>
  <c r="HH36" i="14608"/>
  <c r="HI36" i="14608"/>
  <c r="HJ36" i="14608"/>
  <c r="HK36" i="14608"/>
  <c r="HL36" i="14608"/>
  <c r="HM36" i="14608"/>
  <c r="HN36" i="14608"/>
  <c r="HO36" i="14608"/>
  <c r="HP36" i="14608"/>
  <c r="HQ36" i="14608"/>
  <c r="HR36" i="14608"/>
  <c r="HS36" i="14608"/>
  <c r="HT36" i="14608"/>
  <c r="HU36" i="14608"/>
  <c r="HV36" i="14608"/>
  <c r="HW36" i="14608"/>
  <c r="HX36" i="14608"/>
  <c r="HY36" i="14608"/>
  <c r="HZ36" i="14608"/>
  <c r="IA36" i="14608"/>
  <c r="IB36" i="14608"/>
  <c r="IC36" i="14608"/>
  <c r="ID36" i="14608"/>
  <c r="IE36" i="14608"/>
  <c r="IF36" i="14608"/>
  <c r="IG36" i="14608"/>
  <c r="IH36" i="14608"/>
  <c r="II36" i="14608"/>
  <c r="IJ36" i="14608"/>
  <c r="IK36" i="14608"/>
  <c r="IL36" i="14608"/>
  <c r="IM36" i="14608"/>
  <c r="IN36" i="14608"/>
  <c r="IO36" i="14608"/>
  <c r="IP36" i="14608"/>
  <c r="IQ36" i="14608"/>
  <c r="IR36" i="14608"/>
  <c r="IS36" i="14608"/>
  <c r="IT36" i="14608"/>
  <c r="IU36" i="14608"/>
  <c r="IV36" i="14608"/>
  <c r="A35" i="14608"/>
  <c r="B35" i="14608"/>
  <c r="C35" i="14608"/>
  <c r="D35" i="14608"/>
  <c r="E35" i="14608"/>
  <c r="F35" i="14608"/>
  <c r="G35" i="14608"/>
  <c r="H35" i="14608"/>
  <c r="I35" i="14608"/>
  <c r="J35" i="14608"/>
  <c r="K35" i="14608"/>
  <c r="L35" i="14608"/>
  <c r="M35" i="14608"/>
  <c r="N35" i="14608"/>
  <c r="O35" i="14608"/>
  <c r="P35" i="14608"/>
  <c r="Q35" i="14608"/>
  <c r="R35" i="14608"/>
  <c r="S35" i="14608"/>
  <c r="T35" i="14608"/>
  <c r="U35" i="14608"/>
  <c r="V35" i="14608"/>
  <c r="W35" i="14608"/>
  <c r="X35" i="14608"/>
  <c r="Y35" i="14608"/>
  <c r="Z35" i="14608"/>
  <c r="AA35" i="14608"/>
  <c r="AB35" i="14608"/>
  <c r="AC35" i="14608"/>
  <c r="AD35" i="14608"/>
  <c r="AE35" i="14608"/>
  <c r="AF35" i="14608"/>
  <c r="AG35" i="14608"/>
  <c r="AH35" i="14608"/>
  <c r="AI35" i="14608"/>
  <c r="AJ35" i="14608"/>
  <c r="AK35" i="14608"/>
  <c r="AL35" i="14608"/>
  <c r="AM35" i="14608"/>
  <c r="AN35" i="14608"/>
  <c r="AO35" i="14608"/>
  <c r="AP35" i="14608"/>
  <c r="AQ35" i="14608"/>
  <c r="AR35" i="14608"/>
  <c r="AS35" i="14608"/>
  <c r="AT35" i="14608"/>
  <c r="AU35" i="14608"/>
  <c r="AV35" i="14608"/>
  <c r="AW35" i="14608"/>
  <c r="AX35" i="14608"/>
  <c r="AY35" i="14608"/>
  <c r="AZ35" i="14608"/>
  <c r="BA35" i="14608"/>
  <c r="BB35" i="14608"/>
  <c r="BC35" i="14608"/>
  <c r="BD35" i="14608"/>
  <c r="BE35" i="14608"/>
  <c r="BF35" i="14608"/>
  <c r="BG35" i="14608"/>
  <c r="BH35" i="14608"/>
  <c r="BI35" i="14608"/>
  <c r="BJ35" i="14608"/>
  <c r="BK35" i="14608"/>
  <c r="BL35" i="14608"/>
  <c r="BM35" i="14608"/>
  <c r="BN35" i="14608"/>
  <c r="BO35" i="14608"/>
  <c r="BP35" i="14608"/>
  <c r="BQ35" i="14608"/>
  <c r="BR35" i="14608"/>
  <c r="BS35" i="14608"/>
  <c r="BT35" i="14608"/>
  <c r="BU35" i="14608"/>
  <c r="BV35" i="14608"/>
  <c r="BW35" i="14608"/>
  <c r="BX35" i="14608"/>
  <c r="BY35" i="14608"/>
  <c r="BZ35" i="14608"/>
  <c r="CA35" i="14608"/>
  <c r="CB35" i="14608"/>
  <c r="CC35" i="14608"/>
  <c r="CD35" i="14608"/>
  <c r="CE35" i="14608"/>
  <c r="CF35" i="14608"/>
  <c r="CG35" i="14608"/>
  <c r="CH35" i="14608"/>
  <c r="CI35" i="14608"/>
  <c r="CJ35" i="14608"/>
  <c r="CK35" i="14608"/>
  <c r="CL35" i="14608"/>
  <c r="CM35" i="14608"/>
  <c r="CN35" i="14608"/>
  <c r="CO35" i="14608"/>
  <c r="CP35" i="14608"/>
  <c r="CQ35" i="14608"/>
  <c r="CR35" i="14608"/>
  <c r="CS35" i="14608"/>
  <c r="CT35" i="14608"/>
  <c r="CU35" i="14608"/>
  <c r="CV35" i="14608"/>
  <c r="CW35" i="14608"/>
  <c r="CX35" i="14608"/>
  <c r="CY35" i="14608"/>
  <c r="CZ35" i="14608"/>
  <c r="DA35" i="14608"/>
  <c r="DB35" i="14608"/>
  <c r="DC35" i="14608"/>
  <c r="DD35" i="14608"/>
  <c r="DE35" i="14608"/>
  <c r="DF35" i="14608"/>
  <c r="DG35" i="14608"/>
  <c r="DH35" i="14608"/>
  <c r="DI35" i="14608"/>
  <c r="DJ35" i="14608"/>
  <c r="DK35" i="14608"/>
  <c r="DL35" i="14608"/>
  <c r="DM35" i="14608"/>
  <c r="DN35" i="14608"/>
  <c r="DO35" i="14608"/>
  <c r="DP35" i="14608"/>
  <c r="DQ35" i="14608"/>
  <c r="DR35" i="14608"/>
  <c r="DS35" i="14608"/>
  <c r="DT35" i="14608"/>
  <c r="DU35" i="14608"/>
  <c r="DV35" i="14608"/>
  <c r="DW35" i="14608"/>
  <c r="DX35" i="14608"/>
  <c r="DY35" i="14608"/>
  <c r="DZ35" i="14608"/>
  <c r="EA35" i="14608"/>
  <c r="EB35" i="14608"/>
  <c r="EC35" i="14608"/>
  <c r="ED35" i="14608"/>
  <c r="EE35" i="14608"/>
  <c r="EF35" i="14608"/>
  <c r="EG35" i="14608"/>
  <c r="EH35" i="14608"/>
  <c r="EI35" i="14608"/>
  <c r="EJ35" i="14608"/>
  <c r="EK35" i="14608"/>
  <c r="EL35" i="14608"/>
  <c r="EM35" i="14608"/>
  <c r="EN35" i="14608"/>
  <c r="EO35" i="14608"/>
  <c r="EP35" i="14608"/>
  <c r="EQ35" i="14608"/>
  <c r="ER35" i="14608"/>
  <c r="ES35" i="14608"/>
  <c r="ET35" i="14608"/>
  <c r="EU35" i="14608"/>
  <c r="EV35" i="14608"/>
  <c r="EW35" i="14608"/>
  <c r="EX35" i="14608"/>
  <c r="EY35" i="14608"/>
  <c r="EZ35" i="14608"/>
  <c r="FA35" i="14608"/>
  <c r="FB35" i="14608"/>
  <c r="FC35" i="14608"/>
  <c r="FD35" i="14608"/>
  <c r="FE35" i="14608"/>
  <c r="FF35" i="14608"/>
  <c r="FG35" i="14608"/>
  <c r="FH35" i="14608"/>
  <c r="FI35" i="14608"/>
  <c r="FJ35" i="14608"/>
  <c r="FK35" i="14608"/>
  <c r="FL35" i="14608"/>
  <c r="FM35" i="14608"/>
  <c r="FN35" i="14608"/>
  <c r="FO35" i="14608"/>
  <c r="FP35" i="14608"/>
  <c r="FQ35" i="14608"/>
  <c r="FR35" i="14608"/>
  <c r="FS35" i="14608"/>
  <c r="FT35" i="14608"/>
  <c r="FU35" i="14608"/>
  <c r="FV35" i="14608"/>
  <c r="FW35" i="14608"/>
  <c r="FX35" i="14608"/>
  <c r="FY35" i="14608"/>
  <c r="FZ35" i="14608"/>
  <c r="GA35" i="14608"/>
  <c r="GB35" i="14608"/>
  <c r="GC35" i="14608"/>
  <c r="GD35" i="14608"/>
  <c r="GE35" i="14608"/>
  <c r="GF35" i="14608"/>
  <c r="GG35" i="14608"/>
  <c r="GH35" i="14608"/>
  <c r="GI35" i="14608"/>
  <c r="GJ35" i="14608"/>
  <c r="GK35" i="14608"/>
  <c r="GL35" i="14608"/>
  <c r="GM35" i="14608"/>
  <c r="GN35" i="14608"/>
  <c r="GO35" i="14608"/>
  <c r="GP35" i="14608"/>
  <c r="GQ35" i="14608"/>
  <c r="GR35" i="14608"/>
  <c r="GS35" i="14608"/>
  <c r="GT35" i="14608"/>
  <c r="GU35" i="14608"/>
  <c r="GV35" i="14608"/>
  <c r="GW35" i="14608"/>
  <c r="GX35" i="14608"/>
  <c r="GY35" i="14608"/>
  <c r="GZ35" i="14608"/>
  <c r="HA35" i="14608"/>
  <c r="HB35" i="14608"/>
  <c r="HC35" i="14608"/>
  <c r="HD35" i="14608"/>
  <c r="HE35" i="14608"/>
  <c r="HF35" i="14608"/>
  <c r="HG35" i="14608"/>
  <c r="HH35" i="14608"/>
  <c r="HI35" i="14608"/>
  <c r="HJ35" i="14608"/>
  <c r="HK35" i="14608"/>
  <c r="HL35" i="14608"/>
  <c r="HM35" i="14608"/>
  <c r="HN35" i="14608"/>
  <c r="HO35" i="14608"/>
  <c r="HP35" i="14608"/>
  <c r="HQ35" i="14608"/>
  <c r="HR35" i="14608"/>
  <c r="HS35" i="14608"/>
  <c r="HT35" i="14608"/>
  <c r="HU35" i="14608"/>
  <c r="HV35" i="14608"/>
  <c r="HW35" i="14608"/>
  <c r="HX35" i="14608"/>
  <c r="HY35" i="14608"/>
  <c r="HZ35" i="14608"/>
  <c r="IA35" i="14608"/>
  <c r="IB35" i="14608"/>
  <c r="IC35" i="14608"/>
  <c r="ID35" i="14608"/>
  <c r="IE35" i="14608"/>
  <c r="IF35" i="14608"/>
  <c r="IG35" i="14608"/>
  <c r="IH35" i="14608"/>
  <c r="II35" i="14608"/>
  <c r="IJ35" i="14608"/>
  <c r="IK35" i="14608"/>
  <c r="IL35" i="14608"/>
  <c r="IM35" i="14608"/>
  <c r="IN35" i="14608"/>
  <c r="IO35" i="14608"/>
  <c r="IP35" i="14608"/>
  <c r="IQ35" i="14608"/>
  <c r="IR35" i="14608"/>
  <c r="IS35" i="14608"/>
  <c r="IT35" i="14608"/>
  <c r="IU35" i="14608"/>
  <c r="IV35" i="14608"/>
  <c r="A34" i="14608"/>
  <c r="B34" i="14608"/>
  <c r="C34" i="14608"/>
  <c r="D34" i="14608"/>
  <c r="E34" i="14608"/>
  <c r="F34" i="14608"/>
  <c r="G34" i="14608"/>
  <c r="H34" i="14608"/>
  <c r="I34" i="14608"/>
  <c r="J34" i="14608"/>
  <c r="K34" i="14608"/>
  <c r="L34" i="14608"/>
  <c r="M34" i="14608"/>
  <c r="N34" i="14608"/>
  <c r="O34" i="14608"/>
  <c r="P34" i="14608"/>
  <c r="Q34" i="14608"/>
  <c r="R34" i="14608"/>
  <c r="S34" i="14608"/>
  <c r="T34" i="14608"/>
  <c r="U34" i="14608"/>
  <c r="V34" i="14608"/>
  <c r="W34" i="14608"/>
  <c r="X34" i="14608"/>
  <c r="Y34" i="14608"/>
  <c r="Z34" i="14608"/>
  <c r="AA34" i="14608"/>
  <c r="AB34" i="14608"/>
  <c r="AC34" i="14608"/>
  <c r="AD34" i="14608"/>
  <c r="AE34" i="14608"/>
  <c r="AF34" i="14608"/>
  <c r="AG34" i="14608"/>
  <c r="AH34" i="14608"/>
  <c r="AI34" i="14608"/>
  <c r="AJ34" i="14608"/>
  <c r="AK34" i="14608"/>
  <c r="AL34" i="14608"/>
  <c r="AM34" i="14608"/>
  <c r="AN34" i="14608"/>
  <c r="AO34" i="14608"/>
  <c r="AP34" i="14608"/>
  <c r="AQ34" i="14608"/>
  <c r="AR34" i="14608"/>
  <c r="AS34" i="14608"/>
  <c r="AT34" i="14608"/>
  <c r="AU34" i="14608"/>
  <c r="AV34" i="14608"/>
  <c r="AW34" i="14608"/>
  <c r="AX34" i="14608"/>
  <c r="AY34" i="14608"/>
  <c r="AZ34" i="14608"/>
  <c r="BA34" i="14608"/>
  <c r="BB34" i="14608"/>
  <c r="BC34" i="14608"/>
  <c r="BD34" i="14608"/>
  <c r="BE34" i="14608"/>
  <c r="BF34" i="14608"/>
  <c r="BG34" i="14608"/>
  <c r="BH34" i="14608"/>
  <c r="BI34" i="14608"/>
  <c r="BJ34" i="14608"/>
  <c r="BK34" i="14608"/>
  <c r="BL34" i="14608"/>
  <c r="BM34" i="14608"/>
  <c r="BN34" i="14608"/>
  <c r="BO34" i="14608"/>
  <c r="BP34" i="14608"/>
  <c r="BQ34" i="14608"/>
  <c r="BR34" i="14608"/>
  <c r="BS34" i="14608"/>
  <c r="BT34" i="14608"/>
  <c r="BU34" i="14608"/>
  <c r="BV34" i="14608"/>
  <c r="BW34" i="14608"/>
  <c r="BX34" i="14608"/>
  <c r="BY34" i="14608"/>
  <c r="BZ34" i="14608"/>
  <c r="CA34" i="14608"/>
  <c r="CB34" i="14608"/>
  <c r="CC34" i="14608"/>
  <c r="CD34" i="14608"/>
  <c r="CE34" i="14608"/>
  <c r="CF34" i="14608"/>
  <c r="CG34" i="14608"/>
  <c r="CH34" i="14608"/>
  <c r="CI34" i="14608"/>
  <c r="CJ34" i="14608"/>
  <c r="CK34" i="14608"/>
  <c r="CL34" i="14608"/>
  <c r="CM34" i="14608"/>
  <c r="CN34" i="14608"/>
  <c r="CO34" i="14608"/>
  <c r="CP34" i="14608"/>
  <c r="CQ34" i="14608"/>
  <c r="CR34" i="14608"/>
  <c r="CS34" i="14608"/>
  <c r="CT34" i="14608"/>
  <c r="CU34" i="14608"/>
  <c r="CV34" i="14608"/>
  <c r="CW34" i="14608"/>
  <c r="CX34" i="14608"/>
  <c r="CY34" i="14608"/>
  <c r="CZ34" i="14608"/>
  <c r="DA34" i="14608"/>
  <c r="DB34" i="14608"/>
  <c r="DC34" i="14608"/>
  <c r="DD34" i="14608"/>
  <c r="DE34" i="14608"/>
  <c r="DF34" i="14608"/>
  <c r="DG34" i="14608"/>
  <c r="DH34" i="14608"/>
  <c r="DI34" i="14608"/>
  <c r="DJ34" i="14608"/>
  <c r="DK34" i="14608"/>
  <c r="DL34" i="14608"/>
  <c r="DM34" i="14608"/>
  <c r="DN34" i="14608"/>
  <c r="DO34" i="14608"/>
  <c r="DP34" i="14608"/>
  <c r="DQ34" i="14608"/>
  <c r="DR34" i="14608"/>
  <c r="DS34" i="14608"/>
  <c r="DT34" i="14608"/>
  <c r="DU34" i="14608"/>
  <c r="DV34" i="14608"/>
  <c r="DW34" i="14608"/>
  <c r="DX34" i="14608"/>
  <c r="DY34" i="14608"/>
  <c r="DZ34" i="14608"/>
  <c r="EA34" i="14608"/>
  <c r="EB34" i="14608"/>
  <c r="EC34" i="14608"/>
  <c r="ED34" i="14608"/>
  <c r="EE34" i="14608"/>
  <c r="EF34" i="14608"/>
  <c r="EG34" i="14608"/>
  <c r="EH34" i="14608"/>
  <c r="EI34" i="14608"/>
  <c r="EJ34" i="14608"/>
  <c r="EK34" i="14608"/>
  <c r="EL34" i="14608"/>
  <c r="EM34" i="14608"/>
  <c r="EN34" i="14608"/>
  <c r="EO34" i="14608"/>
  <c r="EP34" i="14608"/>
  <c r="EQ34" i="14608"/>
  <c r="ER34" i="14608"/>
  <c r="ES34" i="14608"/>
  <c r="ET34" i="14608"/>
  <c r="EU34" i="14608"/>
  <c r="EV34" i="14608"/>
  <c r="EW34" i="14608"/>
  <c r="EX34" i="14608"/>
  <c r="EY34" i="14608"/>
  <c r="EZ34" i="14608"/>
  <c r="FA34" i="14608"/>
  <c r="FB34" i="14608"/>
  <c r="FC34" i="14608"/>
  <c r="FD34" i="14608"/>
  <c r="FE34" i="14608"/>
  <c r="FF34" i="14608"/>
  <c r="FG34" i="14608"/>
  <c r="FH34" i="14608"/>
  <c r="FI34" i="14608"/>
  <c r="FJ34" i="14608"/>
  <c r="FK34" i="14608"/>
  <c r="FL34" i="14608"/>
  <c r="FM34" i="14608"/>
  <c r="FN34" i="14608"/>
  <c r="FO34" i="14608"/>
  <c r="FP34" i="14608"/>
  <c r="FQ34" i="14608"/>
  <c r="FR34" i="14608"/>
  <c r="FS34" i="14608"/>
  <c r="FT34" i="14608"/>
  <c r="FU34" i="14608"/>
  <c r="FV34" i="14608"/>
  <c r="FW34" i="14608"/>
  <c r="FX34" i="14608"/>
  <c r="FY34" i="14608"/>
  <c r="FZ34" i="14608"/>
  <c r="GA34" i="14608"/>
  <c r="GB34" i="14608"/>
  <c r="GC34" i="14608"/>
  <c r="GD34" i="14608"/>
  <c r="GE34" i="14608"/>
  <c r="GF34" i="14608"/>
  <c r="GG34" i="14608"/>
  <c r="GH34" i="14608"/>
  <c r="GI34" i="14608"/>
  <c r="GJ34" i="14608"/>
  <c r="GK34" i="14608"/>
  <c r="GL34" i="14608"/>
  <c r="GM34" i="14608"/>
  <c r="GN34" i="14608"/>
  <c r="GO34" i="14608"/>
  <c r="GP34" i="14608"/>
  <c r="GQ34" i="14608"/>
  <c r="GR34" i="14608"/>
  <c r="GS34" i="14608"/>
  <c r="GT34" i="14608"/>
  <c r="GU34" i="14608"/>
  <c r="GV34" i="14608"/>
  <c r="GW34" i="14608"/>
  <c r="GX34" i="14608"/>
  <c r="GY34" i="14608"/>
  <c r="GZ34" i="14608"/>
  <c r="HA34" i="14608"/>
  <c r="HB34" i="14608"/>
  <c r="HC34" i="14608"/>
  <c r="HD34" i="14608"/>
  <c r="HE34" i="14608"/>
  <c r="HF34" i="14608"/>
  <c r="HG34" i="14608"/>
  <c r="HH34" i="14608"/>
  <c r="HI34" i="14608"/>
  <c r="HJ34" i="14608"/>
  <c r="HK34" i="14608"/>
  <c r="HL34" i="14608"/>
  <c r="HM34" i="14608"/>
  <c r="HN34" i="14608"/>
  <c r="HO34" i="14608"/>
  <c r="HP34" i="14608"/>
  <c r="HQ34" i="14608"/>
  <c r="HR34" i="14608"/>
  <c r="HS34" i="14608"/>
  <c r="HT34" i="14608"/>
  <c r="HU34" i="14608"/>
  <c r="HV34" i="14608"/>
  <c r="HW34" i="14608"/>
  <c r="HX34" i="14608"/>
  <c r="HY34" i="14608"/>
  <c r="HZ34" i="14608"/>
  <c r="IA34" i="14608"/>
  <c r="IB34" i="14608"/>
  <c r="IC34" i="14608"/>
  <c r="ID34" i="14608"/>
  <c r="IE34" i="14608"/>
  <c r="IF34" i="14608"/>
  <c r="IG34" i="14608"/>
  <c r="IH34" i="14608"/>
  <c r="II34" i="14608"/>
  <c r="IJ34" i="14608"/>
  <c r="IK34" i="14608"/>
  <c r="IL34" i="14608"/>
  <c r="IM34" i="14608"/>
  <c r="IN34" i="14608"/>
  <c r="IO34" i="14608"/>
  <c r="IP34" i="14608"/>
  <c r="IQ34" i="14608"/>
  <c r="IR34" i="14608"/>
  <c r="IS34" i="14608"/>
  <c r="IT34" i="14608"/>
  <c r="IU34" i="14608"/>
  <c r="IV34" i="14608"/>
  <c r="A33" i="14608"/>
  <c r="B33" i="14608"/>
  <c r="C33" i="14608"/>
  <c r="D33" i="14608"/>
  <c r="E33" i="14608"/>
  <c r="F33" i="14608"/>
  <c r="G33" i="14608"/>
  <c r="H33" i="14608"/>
  <c r="I33" i="14608"/>
  <c r="J33" i="14608"/>
  <c r="K33" i="14608"/>
  <c r="L33" i="14608"/>
  <c r="M33" i="14608"/>
  <c r="N33" i="14608"/>
  <c r="O33" i="14608"/>
  <c r="P33" i="14608"/>
  <c r="Q33" i="14608"/>
  <c r="R33" i="14608"/>
  <c r="S33" i="14608"/>
  <c r="T33" i="14608"/>
  <c r="U33" i="14608"/>
  <c r="V33" i="14608"/>
  <c r="W33" i="14608"/>
  <c r="X33" i="14608"/>
  <c r="Y33" i="14608"/>
  <c r="Z33" i="14608"/>
  <c r="AA33" i="14608"/>
  <c r="AB33" i="14608"/>
  <c r="AC33" i="14608"/>
  <c r="AD33" i="14608"/>
  <c r="AE33" i="14608"/>
  <c r="AF33" i="14608"/>
  <c r="AG33" i="14608"/>
  <c r="AH33" i="14608"/>
  <c r="AI33" i="14608"/>
  <c r="AJ33" i="14608"/>
  <c r="AK33" i="14608"/>
  <c r="AL33" i="14608"/>
  <c r="AM33" i="14608"/>
  <c r="AN33" i="14608"/>
  <c r="AO33" i="14608"/>
  <c r="AP33" i="14608"/>
  <c r="AQ33" i="14608"/>
  <c r="AR33" i="14608"/>
  <c r="AS33" i="14608"/>
  <c r="AT33" i="14608"/>
  <c r="AU33" i="14608"/>
  <c r="AV33" i="14608"/>
  <c r="AW33" i="14608"/>
  <c r="AX33" i="14608"/>
  <c r="AY33" i="14608"/>
  <c r="AZ33" i="14608"/>
  <c r="BA33" i="14608"/>
  <c r="BB33" i="14608"/>
  <c r="BC33" i="14608"/>
  <c r="BD33" i="14608"/>
  <c r="BE33" i="14608"/>
  <c r="BF33" i="14608"/>
  <c r="BG33" i="14608"/>
  <c r="BH33" i="14608"/>
  <c r="BI33" i="14608"/>
  <c r="BJ33" i="14608"/>
  <c r="BK33" i="14608"/>
  <c r="BL33" i="14608"/>
  <c r="BM33" i="14608"/>
  <c r="BN33" i="14608"/>
  <c r="BO33" i="14608"/>
  <c r="BP33" i="14608"/>
  <c r="BQ33" i="14608"/>
  <c r="BR33" i="14608"/>
  <c r="BS33" i="14608"/>
  <c r="BT33" i="14608"/>
  <c r="BU33" i="14608"/>
  <c r="BV33" i="14608"/>
  <c r="BW33" i="14608"/>
  <c r="BX33" i="14608"/>
  <c r="BY33" i="14608"/>
  <c r="BZ33" i="14608"/>
  <c r="CA33" i="14608"/>
  <c r="CB33" i="14608"/>
  <c r="CC33" i="14608"/>
  <c r="CD33" i="14608"/>
  <c r="CE33" i="14608"/>
  <c r="CF33" i="14608"/>
  <c r="CG33" i="14608"/>
  <c r="CH33" i="14608"/>
  <c r="CI33" i="14608"/>
  <c r="CJ33" i="14608"/>
  <c r="CK33" i="14608"/>
  <c r="CL33" i="14608"/>
  <c r="CM33" i="14608"/>
  <c r="CN33" i="14608"/>
  <c r="CO33" i="14608"/>
  <c r="CP33" i="14608"/>
  <c r="CQ33" i="14608"/>
  <c r="CR33" i="14608"/>
  <c r="CS33" i="14608"/>
  <c r="CT33" i="14608"/>
  <c r="CU33" i="14608"/>
  <c r="CV33" i="14608"/>
  <c r="CW33" i="14608"/>
  <c r="CX33" i="14608"/>
  <c r="CY33" i="14608"/>
  <c r="CZ33" i="14608"/>
  <c r="DA33" i="14608"/>
  <c r="DB33" i="14608"/>
  <c r="DC33" i="14608"/>
  <c r="DD33" i="14608"/>
  <c r="DE33" i="14608"/>
  <c r="DF33" i="14608"/>
  <c r="DG33" i="14608"/>
  <c r="DH33" i="14608"/>
  <c r="DI33" i="14608"/>
  <c r="DJ33" i="14608"/>
  <c r="DK33" i="14608"/>
  <c r="DL33" i="14608"/>
  <c r="DM33" i="14608"/>
  <c r="DN33" i="14608"/>
  <c r="DO33" i="14608"/>
  <c r="DP33" i="14608"/>
  <c r="DQ33" i="14608"/>
  <c r="DR33" i="14608"/>
  <c r="DS33" i="14608"/>
  <c r="DT33" i="14608"/>
  <c r="DU33" i="14608"/>
  <c r="DV33" i="14608"/>
  <c r="DW33" i="14608"/>
  <c r="DX33" i="14608"/>
  <c r="DY33" i="14608"/>
  <c r="DZ33" i="14608"/>
  <c r="EA33" i="14608"/>
  <c r="EB33" i="14608"/>
  <c r="EC33" i="14608"/>
  <c r="ED33" i="14608"/>
  <c r="EE33" i="14608"/>
  <c r="EF33" i="14608"/>
  <c r="EG33" i="14608"/>
  <c r="EH33" i="14608"/>
  <c r="EI33" i="14608"/>
  <c r="EJ33" i="14608"/>
  <c r="EK33" i="14608"/>
  <c r="EL33" i="14608"/>
  <c r="EM33" i="14608"/>
  <c r="EN33" i="14608"/>
  <c r="EO33" i="14608"/>
  <c r="EP33" i="14608"/>
  <c r="EQ33" i="14608"/>
  <c r="ER33" i="14608"/>
  <c r="ES33" i="14608"/>
  <c r="ET33" i="14608"/>
  <c r="EU33" i="14608"/>
  <c r="EV33" i="14608"/>
  <c r="EW33" i="14608"/>
  <c r="EX33" i="14608"/>
  <c r="EY33" i="14608"/>
  <c r="EZ33" i="14608"/>
  <c r="FA33" i="14608"/>
  <c r="FB33" i="14608"/>
  <c r="FC33" i="14608"/>
  <c r="FD33" i="14608"/>
  <c r="FE33" i="14608"/>
  <c r="FF33" i="14608"/>
  <c r="FG33" i="14608"/>
  <c r="FH33" i="14608"/>
  <c r="FI33" i="14608"/>
  <c r="FJ33" i="14608"/>
  <c r="FK33" i="14608"/>
  <c r="FL33" i="14608"/>
  <c r="FM33" i="14608"/>
  <c r="FN33" i="14608"/>
  <c r="FO33" i="14608"/>
  <c r="FP33" i="14608"/>
  <c r="FQ33" i="14608"/>
  <c r="FR33" i="14608"/>
  <c r="FS33" i="14608"/>
  <c r="FT33" i="14608"/>
  <c r="FU33" i="14608"/>
  <c r="FV33" i="14608"/>
  <c r="FW33" i="14608"/>
  <c r="FX33" i="14608"/>
  <c r="FY33" i="14608"/>
  <c r="FZ33" i="14608"/>
  <c r="GA33" i="14608"/>
  <c r="GB33" i="14608"/>
  <c r="GC33" i="14608"/>
  <c r="GD33" i="14608"/>
  <c r="GE33" i="14608"/>
  <c r="GF33" i="14608"/>
  <c r="GG33" i="14608"/>
  <c r="GH33" i="14608"/>
  <c r="GI33" i="14608"/>
  <c r="GJ33" i="14608"/>
  <c r="GK33" i="14608"/>
  <c r="GL33" i="14608"/>
  <c r="GM33" i="14608"/>
  <c r="GN33" i="14608"/>
  <c r="GO33" i="14608"/>
  <c r="GP33" i="14608"/>
  <c r="GQ33" i="14608"/>
  <c r="GR33" i="14608"/>
  <c r="GS33" i="14608"/>
  <c r="GT33" i="14608"/>
  <c r="GU33" i="14608"/>
  <c r="GV33" i="14608"/>
  <c r="GW33" i="14608"/>
  <c r="GX33" i="14608"/>
  <c r="GY33" i="14608"/>
  <c r="GZ33" i="14608"/>
  <c r="HA33" i="14608"/>
  <c r="HB33" i="14608"/>
  <c r="HC33" i="14608"/>
  <c r="HD33" i="14608"/>
  <c r="HE33" i="14608"/>
  <c r="HF33" i="14608"/>
  <c r="HG33" i="14608"/>
  <c r="HH33" i="14608"/>
  <c r="HI33" i="14608"/>
  <c r="HJ33" i="14608"/>
  <c r="HK33" i="14608"/>
  <c r="HL33" i="14608"/>
  <c r="HM33" i="14608"/>
  <c r="HN33" i="14608"/>
  <c r="HO33" i="14608"/>
  <c r="HP33" i="14608"/>
  <c r="HQ33" i="14608"/>
  <c r="HR33" i="14608"/>
  <c r="HS33" i="14608"/>
  <c r="HT33" i="14608"/>
  <c r="HU33" i="14608"/>
  <c r="HV33" i="14608"/>
  <c r="HW33" i="14608"/>
  <c r="HX33" i="14608"/>
  <c r="HY33" i="14608"/>
  <c r="HZ33" i="14608"/>
  <c r="IA33" i="14608"/>
  <c r="IB33" i="14608"/>
  <c r="IC33" i="14608"/>
  <c r="ID33" i="14608"/>
  <c r="IE33" i="14608"/>
  <c r="IF33" i="14608"/>
  <c r="IG33" i="14608"/>
  <c r="IH33" i="14608"/>
  <c r="II33" i="14608"/>
  <c r="IJ33" i="14608"/>
  <c r="IK33" i="14608"/>
  <c r="IL33" i="14608"/>
  <c r="IM33" i="14608"/>
  <c r="IN33" i="14608"/>
  <c r="IO33" i="14608"/>
  <c r="IP33" i="14608"/>
  <c r="IQ33" i="14608"/>
  <c r="IR33" i="14608"/>
  <c r="IS33" i="14608"/>
  <c r="IT33" i="14608"/>
  <c r="IU33" i="14608"/>
  <c r="IV33" i="14608"/>
  <c r="A32" i="14608"/>
  <c r="B32" i="14608"/>
  <c r="C32" i="14608"/>
  <c r="D32" i="14608"/>
  <c r="E32" i="14608"/>
  <c r="F32" i="14608"/>
  <c r="G32" i="14608"/>
  <c r="H32" i="14608"/>
  <c r="I32" i="14608"/>
  <c r="J32" i="14608"/>
  <c r="K32" i="14608"/>
  <c r="L32" i="14608"/>
  <c r="M32" i="14608"/>
  <c r="N32" i="14608"/>
  <c r="O32" i="14608"/>
  <c r="P32" i="14608"/>
  <c r="Q32" i="14608"/>
  <c r="R32" i="14608"/>
  <c r="S32" i="14608"/>
  <c r="T32" i="14608"/>
  <c r="U32" i="14608"/>
  <c r="V32" i="14608"/>
  <c r="W32" i="14608"/>
  <c r="X32" i="14608"/>
  <c r="Y32" i="14608"/>
  <c r="Z32" i="14608"/>
  <c r="AA32" i="14608"/>
  <c r="AB32" i="14608"/>
  <c r="AC32" i="14608"/>
  <c r="AD32" i="14608"/>
  <c r="AE32" i="14608"/>
  <c r="AF32" i="14608"/>
  <c r="AG32" i="14608"/>
  <c r="AH32" i="14608"/>
  <c r="AI32" i="14608"/>
  <c r="AJ32" i="14608"/>
  <c r="AK32" i="14608"/>
  <c r="AL32" i="14608"/>
  <c r="AM32" i="14608"/>
  <c r="AN32" i="14608"/>
  <c r="AO32" i="14608"/>
  <c r="AP32" i="14608"/>
  <c r="AQ32" i="14608"/>
  <c r="AR32" i="14608"/>
  <c r="AS32" i="14608"/>
  <c r="AT32" i="14608"/>
  <c r="AU32" i="14608"/>
  <c r="AV32" i="14608"/>
  <c r="AW32" i="14608"/>
  <c r="AX32" i="14608"/>
  <c r="AY32" i="14608"/>
  <c r="AZ32" i="14608"/>
  <c r="BA32" i="14608"/>
  <c r="BB32" i="14608"/>
  <c r="BC32" i="14608"/>
  <c r="BD32" i="14608"/>
  <c r="BE32" i="14608"/>
  <c r="BF32" i="14608"/>
  <c r="BG32" i="14608"/>
  <c r="BH32" i="14608"/>
  <c r="BI32" i="14608"/>
  <c r="BJ32" i="14608"/>
  <c r="BK32" i="14608"/>
  <c r="BL32" i="14608"/>
  <c r="BM32" i="14608"/>
  <c r="BN32" i="14608"/>
  <c r="BO32" i="14608"/>
  <c r="BP32" i="14608"/>
  <c r="BQ32" i="14608"/>
  <c r="BR32" i="14608"/>
  <c r="BS32" i="14608"/>
  <c r="BT32" i="14608"/>
  <c r="BU32" i="14608"/>
  <c r="BV32" i="14608"/>
  <c r="BW32" i="14608"/>
  <c r="BX32" i="14608"/>
  <c r="BY32" i="14608"/>
  <c r="BZ32" i="14608"/>
  <c r="CA32" i="14608"/>
  <c r="CB32" i="14608"/>
  <c r="CC32" i="14608"/>
  <c r="CD32" i="14608"/>
  <c r="CE32" i="14608"/>
  <c r="CF32" i="14608"/>
  <c r="CG32" i="14608"/>
  <c r="CH32" i="14608"/>
  <c r="CI32" i="14608"/>
  <c r="CJ32" i="14608"/>
  <c r="CK32" i="14608"/>
  <c r="CL32" i="14608"/>
  <c r="CM32" i="14608"/>
  <c r="CN32" i="14608"/>
  <c r="CO32" i="14608"/>
  <c r="CP32" i="14608"/>
  <c r="CQ32" i="14608"/>
  <c r="CR32" i="14608"/>
  <c r="CS32" i="14608"/>
  <c r="CT32" i="14608"/>
  <c r="CU32" i="14608"/>
  <c r="CV32" i="14608"/>
  <c r="CW32" i="14608"/>
  <c r="CX32" i="14608"/>
  <c r="CY32" i="14608"/>
  <c r="CZ32" i="14608"/>
  <c r="DA32" i="14608"/>
  <c r="DB32" i="14608"/>
  <c r="DC32" i="14608"/>
  <c r="DD32" i="14608"/>
  <c r="DE32" i="14608"/>
  <c r="DF32" i="14608"/>
  <c r="DG32" i="14608"/>
  <c r="DH32" i="14608"/>
  <c r="DI32" i="14608"/>
  <c r="DJ32" i="14608"/>
  <c r="DK32" i="14608"/>
  <c r="DL32" i="14608"/>
  <c r="DM32" i="14608"/>
  <c r="DN32" i="14608"/>
  <c r="DO32" i="14608"/>
  <c r="DP32" i="14608"/>
  <c r="DQ32" i="14608"/>
  <c r="DR32" i="14608"/>
  <c r="DS32" i="14608"/>
  <c r="DT32" i="14608"/>
  <c r="DU32" i="14608"/>
  <c r="DV32" i="14608"/>
  <c r="DW32" i="14608"/>
  <c r="DX32" i="14608"/>
  <c r="DY32" i="14608"/>
  <c r="DZ32" i="14608"/>
  <c r="EA32" i="14608"/>
  <c r="EB32" i="14608"/>
  <c r="EC32" i="14608"/>
  <c r="ED32" i="14608"/>
  <c r="EE32" i="14608"/>
  <c r="EF32" i="14608"/>
  <c r="EG32" i="14608"/>
  <c r="EH32" i="14608"/>
  <c r="EI32" i="14608"/>
  <c r="EJ32" i="14608"/>
  <c r="EK32" i="14608"/>
  <c r="EL32" i="14608"/>
  <c r="EM32" i="14608"/>
  <c r="EN32" i="14608"/>
  <c r="EO32" i="14608"/>
  <c r="EP32" i="14608"/>
  <c r="EQ32" i="14608"/>
  <c r="ER32" i="14608"/>
  <c r="ES32" i="14608"/>
  <c r="ET32" i="14608"/>
  <c r="EU32" i="14608"/>
  <c r="EV32" i="14608"/>
  <c r="EW32" i="14608"/>
  <c r="EX32" i="14608"/>
  <c r="EY32" i="14608"/>
  <c r="EZ32" i="14608"/>
  <c r="FA32" i="14608"/>
  <c r="FB32" i="14608"/>
  <c r="FC32" i="14608"/>
  <c r="FD32" i="14608"/>
  <c r="FE32" i="14608"/>
  <c r="FF32" i="14608"/>
  <c r="FG32" i="14608"/>
  <c r="FH32" i="14608"/>
  <c r="FI32" i="14608"/>
  <c r="FJ32" i="14608"/>
  <c r="FK32" i="14608"/>
  <c r="FL32" i="14608"/>
  <c r="FM32" i="14608"/>
  <c r="FN32" i="14608"/>
  <c r="FO32" i="14608"/>
  <c r="FP32" i="14608"/>
  <c r="FQ32" i="14608"/>
  <c r="FR32" i="14608"/>
  <c r="FS32" i="14608"/>
  <c r="FT32" i="14608"/>
  <c r="FU32" i="14608"/>
  <c r="FV32" i="14608"/>
  <c r="FW32" i="14608"/>
  <c r="FX32" i="14608"/>
  <c r="FY32" i="14608"/>
  <c r="FZ32" i="14608"/>
  <c r="GA32" i="14608"/>
  <c r="GB32" i="14608"/>
  <c r="GC32" i="14608"/>
  <c r="GD32" i="14608"/>
  <c r="GE32" i="14608"/>
  <c r="GF32" i="14608"/>
  <c r="GG32" i="14608"/>
  <c r="GH32" i="14608"/>
  <c r="GI32" i="14608"/>
  <c r="GJ32" i="14608"/>
  <c r="GK32" i="14608"/>
  <c r="GL32" i="14608"/>
  <c r="GM32" i="14608"/>
  <c r="GN32" i="14608"/>
  <c r="GO32" i="14608"/>
  <c r="GP32" i="14608"/>
  <c r="GQ32" i="14608"/>
  <c r="GR32" i="14608"/>
  <c r="GS32" i="14608"/>
  <c r="GT32" i="14608"/>
  <c r="GU32" i="14608"/>
  <c r="GV32" i="14608"/>
  <c r="GW32" i="14608"/>
  <c r="GX32" i="14608"/>
  <c r="GY32" i="14608"/>
  <c r="GZ32" i="14608"/>
  <c r="HA32" i="14608"/>
  <c r="HB32" i="14608"/>
  <c r="HC32" i="14608"/>
  <c r="HD32" i="14608"/>
  <c r="HE32" i="14608"/>
  <c r="HF32" i="14608"/>
  <c r="HG32" i="14608"/>
  <c r="HH32" i="14608"/>
  <c r="HI32" i="14608"/>
  <c r="HJ32" i="14608"/>
  <c r="HK32" i="14608"/>
  <c r="HL32" i="14608"/>
  <c r="HM32" i="14608"/>
  <c r="HN32" i="14608"/>
  <c r="HO32" i="14608"/>
  <c r="HP32" i="14608"/>
  <c r="HQ32" i="14608"/>
  <c r="HR32" i="14608"/>
  <c r="HS32" i="14608"/>
  <c r="HT32" i="14608"/>
  <c r="HU32" i="14608"/>
  <c r="HV32" i="14608"/>
  <c r="HW32" i="14608"/>
  <c r="HX32" i="14608"/>
  <c r="HY32" i="14608"/>
  <c r="HZ32" i="14608"/>
  <c r="IA32" i="14608"/>
  <c r="IB32" i="14608"/>
  <c r="IC32" i="14608"/>
  <c r="ID32" i="14608"/>
  <c r="IE32" i="14608"/>
  <c r="IF32" i="14608"/>
  <c r="IG32" i="14608"/>
  <c r="IH32" i="14608"/>
  <c r="II32" i="14608"/>
  <c r="IJ32" i="14608"/>
  <c r="IK32" i="14608"/>
  <c r="IL32" i="14608"/>
  <c r="IM32" i="14608"/>
  <c r="IN32" i="14608"/>
  <c r="IO32" i="14608"/>
  <c r="IP32" i="14608"/>
  <c r="IQ32" i="14608"/>
  <c r="IR32" i="14608"/>
  <c r="IS32" i="14608"/>
  <c r="IT32" i="14608"/>
  <c r="IU32" i="14608"/>
  <c r="IV32" i="14608"/>
  <c r="A31" i="14608"/>
  <c r="B31" i="14608"/>
  <c r="C31" i="14608"/>
  <c r="D31" i="14608"/>
  <c r="E31" i="14608"/>
  <c r="F31" i="14608"/>
  <c r="G31" i="14608"/>
  <c r="H31" i="14608"/>
  <c r="I31" i="14608"/>
  <c r="J31" i="14608"/>
  <c r="K31" i="14608"/>
  <c r="L31" i="14608"/>
  <c r="M31" i="14608"/>
  <c r="N31" i="14608"/>
  <c r="O31" i="14608"/>
  <c r="P31" i="14608"/>
  <c r="Q31" i="14608"/>
  <c r="R31" i="14608"/>
  <c r="S31" i="14608"/>
  <c r="T31" i="14608"/>
  <c r="U31" i="14608"/>
  <c r="V31" i="14608"/>
  <c r="W31" i="14608"/>
  <c r="X31" i="14608"/>
  <c r="Y31" i="14608"/>
  <c r="Z31" i="14608"/>
  <c r="AA31" i="14608"/>
  <c r="AB31" i="14608"/>
  <c r="AC31" i="14608"/>
  <c r="AD31" i="14608"/>
  <c r="AE31" i="14608"/>
  <c r="AF31" i="14608"/>
  <c r="AG31" i="14608"/>
  <c r="AH31" i="14608"/>
  <c r="AI31" i="14608"/>
  <c r="AJ31" i="14608"/>
  <c r="AK31" i="14608"/>
  <c r="AL31" i="14608"/>
  <c r="AM31" i="14608"/>
  <c r="AN31" i="14608"/>
  <c r="AO31" i="14608"/>
  <c r="AP31" i="14608"/>
  <c r="AQ31" i="14608"/>
  <c r="AR31" i="14608"/>
  <c r="AS31" i="14608"/>
  <c r="AT31" i="14608"/>
  <c r="AU31" i="14608"/>
  <c r="AV31" i="14608"/>
  <c r="AW31" i="14608"/>
  <c r="AX31" i="14608"/>
  <c r="AY31" i="14608"/>
  <c r="AZ31" i="14608"/>
  <c r="BA31" i="14608"/>
  <c r="BB31" i="14608"/>
  <c r="BC31" i="14608"/>
  <c r="BD31" i="14608"/>
  <c r="BE31" i="14608"/>
  <c r="BF31" i="14608"/>
  <c r="BG31" i="14608"/>
  <c r="BH31" i="14608"/>
  <c r="BI31" i="14608"/>
  <c r="BJ31" i="14608"/>
  <c r="BK31" i="14608"/>
  <c r="BL31" i="14608"/>
  <c r="BM31" i="14608"/>
  <c r="BN31" i="14608"/>
  <c r="BO31" i="14608"/>
  <c r="BP31" i="14608"/>
  <c r="BQ31" i="14608"/>
  <c r="BR31" i="14608"/>
  <c r="BS31" i="14608"/>
  <c r="BT31" i="14608"/>
  <c r="BU31" i="14608"/>
  <c r="BV31" i="14608"/>
  <c r="BW31" i="14608"/>
  <c r="BX31" i="14608"/>
  <c r="BY31" i="14608"/>
  <c r="BZ31" i="14608"/>
  <c r="CA31" i="14608"/>
  <c r="CB31" i="14608"/>
  <c r="CC31" i="14608"/>
  <c r="CD31" i="14608"/>
  <c r="CE31" i="14608"/>
  <c r="CF31" i="14608"/>
  <c r="CG31" i="14608"/>
  <c r="CH31" i="14608"/>
  <c r="CI31" i="14608"/>
  <c r="CJ31" i="14608"/>
  <c r="CK31" i="14608"/>
  <c r="CL31" i="14608"/>
  <c r="CM31" i="14608"/>
  <c r="CN31" i="14608"/>
  <c r="CO31" i="14608"/>
  <c r="CP31" i="14608"/>
  <c r="CQ31" i="14608"/>
  <c r="CR31" i="14608"/>
  <c r="CS31" i="14608"/>
  <c r="CT31" i="14608"/>
  <c r="CU31" i="14608"/>
  <c r="CV31" i="14608"/>
  <c r="CW31" i="14608"/>
  <c r="CX31" i="14608"/>
  <c r="CY31" i="14608"/>
  <c r="CZ31" i="14608"/>
  <c r="DA31" i="14608"/>
  <c r="DB31" i="14608"/>
  <c r="DC31" i="14608"/>
  <c r="DD31" i="14608"/>
  <c r="DE31" i="14608"/>
  <c r="DF31" i="14608"/>
  <c r="DG31" i="14608"/>
  <c r="DH31" i="14608"/>
  <c r="DI31" i="14608"/>
  <c r="DJ31" i="14608"/>
  <c r="DK31" i="14608"/>
  <c r="DL31" i="14608"/>
  <c r="DM31" i="14608"/>
  <c r="DN31" i="14608"/>
  <c r="DO31" i="14608"/>
  <c r="DP31" i="14608"/>
  <c r="DQ31" i="14608"/>
  <c r="DR31" i="14608"/>
  <c r="DS31" i="14608"/>
  <c r="DT31" i="14608"/>
  <c r="DU31" i="14608"/>
  <c r="DV31" i="14608"/>
  <c r="DW31" i="14608"/>
  <c r="DX31" i="14608"/>
  <c r="DY31" i="14608"/>
  <c r="DZ31" i="14608"/>
  <c r="EA31" i="14608"/>
  <c r="EB31" i="14608"/>
  <c r="EC31" i="14608"/>
  <c r="ED31" i="14608"/>
  <c r="EE31" i="14608"/>
  <c r="EF31" i="14608"/>
  <c r="EG31" i="14608"/>
  <c r="EH31" i="14608"/>
  <c r="EI31" i="14608"/>
  <c r="EJ31" i="14608"/>
  <c r="EK31" i="14608"/>
  <c r="EL31" i="14608"/>
  <c r="EM31" i="14608"/>
  <c r="EN31" i="14608"/>
  <c r="EO31" i="14608"/>
  <c r="EP31" i="14608"/>
  <c r="EQ31" i="14608"/>
  <c r="ER31" i="14608"/>
  <c r="ES31" i="14608"/>
  <c r="ET31" i="14608"/>
  <c r="EU31" i="14608"/>
  <c r="EV31" i="14608"/>
  <c r="EW31" i="14608"/>
  <c r="EX31" i="14608"/>
  <c r="EY31" i="14608"/>
  <c r="EZ31" i="14608"/>
  <c r="FA31" i="14608"/>
  <c r="FB31" i="14608"/>
  <c r="FC31" i="14608"/>
  <c r="FD31" i="14608"/>
  <c r="FE31" i="14608"/>
  <c r="FF31" i="14608"/>
  <c r="FG31" i="14608"/>
  <c r="FH31" i="14608"/>
  <c r="FI31" i="14608"/>
  <c r="FJ31" i="14608"/>
  <c r="FK31" i="14608"/>
  <c r="FL31" i="14608"/>
  <c r="FM31" i="14608"/>
  <c r="FN31" i="14608"/>
  <c r="FO31" i="14608"/>
  <c r="FP31" i="14608"/>
  <c r="FQ31" i="14608"/>
  <c r="FR31" i="14608"/>
  <c r="FS31" i="14608"/>
  <c r="FT31" i="14608"/>
  <c r="FU31" i="14608"/>
  <c r="FV31" i="14608"/>
  <c r="FW31" i="14608"/>
  <c r="FX31" i="14608"/>
  <c r="FY31" i="14608"/>
  <c r="FZ31" i="14608"/>
  <c r="GA31" i="14608"/>
  <c r="GB31" i="14608"/>
  <c r="GC31" i="14608"/>
  <c r="GD31" i="14608"/>
  <c r="GE31" i="14608"/>
  <c r="GF31" i="14608"/>
  <c r="GG31" i="14608"/>
  <c r="GH31" i="14608"/>
  <c r="GI31" i="14608"/>
  <c r="GJ31" i="14608"/>
  <c r="GK31" i="14608"/>
  <c r="GL31" i="14608"/>
  <c r="GM31" i="14608"/>
  <c r="GN31" i="14608"/>
  <c r="GO31" i="14608"/>
  <c r="GP31" i="14608"/>
  <c r="GQ31" i="14608"/>
  <c r="GR31" i="14608"/>
  <c r="GS31" i="14608"/>
  <c r="GT31" i="14608"/>
  <c r="GU31" i="14608"/>
  <c r="GV31" i="14608"/>
  <c r="GW31" i="14608"/>
  <c r="GX31" i="14608"/>
  <c r="GY31" i="14608"/>
  <c r="GZ31" i="14608"/>
  <c r="HA31" i="14608"/>
  <c r="HB31" i="14608"/>
  <c r="HC31" i="14608"/>
  <c r="HD31" i="14608"/>
  <c r="HE31" i="14608"/>
  <c r="HF31" i="14608"/>
  <c r="HG31" i="14608"/>
  <c r="HH31" i="14608"/>
  <c r="HI31" i="14608"/>
  <c r="HJ31" i="14608"/>
  <c r="HK31" i="14608"/>
  <c r="HL31" i="14608"/>
  <c r="HM31" i="14608"/>
  <c r="HN31" i="14608"/>
  <c r="HO31" i="14608"/>
  <c r="HP31" i="14608"/>
  <c r="HQ31" i="14608"/>
  <c r="HR31" i="14608"/>
  <c r="HS31" i="14608"/>
  <c r="HT31" i="14608"/>
  <c r="HU31" i="14608"/>
  <c r="HV31" i="14608"/>
  <c r="HW31" i="14608"/>
  <c r="HX31" i="14608"/>
  <c r="HY31" i="14608"/>
  <c r="HZ31" i="14608"/>
  <c r="IA31" i="14608"/>
  <c r="IB31" i="14608"/>
  <c r="IC31" i="14608"/>
  <c r="ID31" i="14608"/>
  <c r="IE31" i="14608"/>
  <c r="IF31" i="14608"/>
  <c r="IG31" i="14608"/>
  <c r="IH31" i="14608"/>
  <c r="II31" i="14608"/>
  <c r="IJ31" i="14608"/>
  <c r="IK31" i="14608"/>
  <c r="IL31" i="14608"/>
  <c r="IM31" i="14608"/>
  <c r="IN31" i="14608"/>
  <c r="IO31" i="14608"/>
  <c r="IP31" i="14608"/>
  <c r="IQ31" i="14608"/>
  <c r="IR31" i="14608"/>
  <c r="IS31" i="14608"/>
  <c r="IT31" i="14608"/>
  <c r="IU31" i="14608"/>
  <c r="IV31" i="14608"/>
  <c r="A30" i="14608"/>
  <c r="B30" i="14608"/>
  <c r="C30" i="14608"/>
  <c r="D30" i="14608"/>
  <c r="E30" i="14608"/>
  <c r="F30" i="14608"/>
  <c r="G30" i="14608"/>
  <c r="H30" i="14608"/>
  <c r="I30" i="14608"/>
  <c r="J30" i="14608"/>
  <c r="K30" i="14608"/>
  <c r="L30" i="14608"/>
  <c r="M30" i="14608"/>
  <c r="N30" i="14608"/>
  <c r="O30" i="14608"/>
  <c r="P30" i="14608"/>
  <c r="Q30" i="14608"/>
  <c r="R30" i="14608"/>
  <c r="S30" i="14608"/>
  <c r="T30" i="14608"/>
  <c r="U30" i="14608"/>
  <c r="V30" i="14608"/>
  <c r="W30" i="14608"/>
  <c r="X30" i="14608"/>
  <c r="Y30" i="14608"/>
  <c r="Z30" i="14608"/>
  <c r="AA30" i="14608"/>
  <c r="AB30" i="14608"/>
  <c r="AC30" i="14608"/>
  <c r="AD30" i="14608"/>
  <c r="AE30" i="14608"/>
  <c r="AF30" i="14608"/>
  <c r="AG30" i="14608"/>
  <c r="AH30" i="14608"/>
  <c r="AI30" i="14608"/>
  <c r="AJ30" i="14608"/>
  <c r="AK30" i="14608"/>
  <c r="AL30" i="14608"/>
  <c r="AM30" i="14608"/>
  <c r="AN30" i="14608"/>
  <c r="AO30" i="14608"/>
  <c r="AP30" i="14608"/>
  <c r="AQ30" i="14608"/>
  <c r="AR30" i="14608"/>
  <c r="AS30" i="14608"/>
  <c r="AT30" i="14608"/>
  <c r="AU30" i="14608"/>
  <c r="AV30" i="14608"/>
  <c r="AW30" i="14608"/>
  <c r="AX30" i="14608"/>
  <c r="AY30" i="14608"/>
  <c r="AZ30" i="14608"/>
  <c r="BA30" i="14608"/>
  <c r="BB30" i="14608"/>
  <c r="BC30" i="14608"/>
  <c r="BD30" i="14608"/>
  <c r="BE30" i="14608"/>
  <c r="BF30" i="14608"/>
  <c r="BG30" i="14608"/>
  <c r="BH30" i="14608"/>
  <c r="BI30" i="14608"/>
  <c r="BJ30" i="14608"/>
  <c r="BK30" i="14608"/>
  <c r="BL30" i="14608"/>
  <c r="BM30" i="14608"/>
  <c r="BN30" i="14608"/>
  <c r="BO30" i="14608"/>
  <c r="BP30" i="14608"/>
  <c r="BQ30" i="14608"/>
  <c r="BR30" i="14608"/>
  <c r="BS30" i="14608"/>
  <c r="BT30" i="14608"/>
  <c r="BU30" i="14608"/>
  <c r="BV30" i="14608"/>
  <c r="BW30" i="14608"/>
  <c r="BX30" i="14608"/>
  <c r="BY30" i="14608"/>
  <c r="BZ30" i="14608"/>
  <c r="CA30" i="14608"/>
  <c r="CB30" i="14608"/>
  <c r="CC30" i="14608"/>
  <c r="CD30" i="14608"/>
  <c r="CE30" i="14608"/>
  <c r="CF30" i="14608"/>
  <c r="CG30" i="14608"/>
  <c r="CH30" i="14608"/>
  <c r="CI30" i="14608"/>
  <c r="CJ30" i="14608"/>
  <c r="CK30" i="14608"/>
  <c r="CL30" i="14608"/>
  <c r="CM30" i="14608"/>
  <c r="CN30" i="14608"/>
  <c r="CO30" i="14608"/>
  <c r="CP30" i="14608"/>
  <c r="CQ30" i="14608"/>
  <c r="CR30" i="14608"/>
  <c r="CS30" i="14608"/>
  <c r="CT30" i="14608"/>
  <c r="CU30" i="14608"/>
  <c r="CV30" i="14608"/>
  <c r="CW30" i="14608"/>
  <c r="CX30" i="14608"/>
  <c r="CY30" i="14608"/>
  <c r="CZ30" i="14608"/>
  <c r="DA30" i="14608"/>
  <c r="DB30" i="14608"/>
  <c r="DC30" i="14608"/>
  <c r="DD30" i="14608"/>
  <c r="DE30" i="14608"/>
  <c r="DF30" i="14608"/>
  <c r="DG30" i="14608"/>
  <c r="DH30" i="14608"/>
  <c r="DI30" i="14608"/>
  <c r="DJ30" i="14608"/>
  <c r="DK30" i="14608"/>
  <c r="DL30" i="14608"/>
  <c r="DM30" i="14608"/>
  <c r="DN30" i="14608"/>
  <c r="DO30" i="14608"/>
  <c r="DP30" i="14608"/>
  <c r="DQ30" i="14608"/>
  <c r="DR30" i="14608"/>
  <c r="DS30" i="14608"/>
  <c r="DT30" i="14608"/>
  <c r="DU30" i="14608"/>
  <c r="DV30" i="14608"/>
  <c r="DW30" i="14608"/>
  <c r="DX30" i="14608"/>
  <c r="DY30" i="14608"/>
  <c r="DZ30" i="14608"/>
  <c r="EA30" i="14608"/>
  <c r="EB30" i="14608"/>
  <c r="EC30" i="14608"/>
  <c r="ED30" i="14608"/>
  <c r="EE30" i="14608"/>
  <c r="EF30" i="14608"/>
  <c r="EG30" i="14608"/>
  <c r="EH30" i="14608"/>
  <c r="EI30" i="14608"/>
  <c r="EJ30" i="14608"/>
  <c r="EK30" i="14608"/>
  <c r="EL30" i="14608"/>
  <c r="EM30" i="14608"/>
  <c r="EN30" i="14608"/>
  <c r="EO30" i="14608"/>
  <c r="EP30" i="14608"/>
  <c r="EQ30" i="14608"/>
  <c r="ER30" i="14608"/>
  <c r="ES30" i="14608"/>
  <c r="ET30" i="14608"/>
  <c r="EU30" i="14608"/>
  <c r="EV30" i="14608"/>
  <c r="EW30" i="14608"/>
  <c r="EX30" i="14608"/>
  <c r="EY30" i="14608"/>
  <c r="EZ30" i="14608"/>
  <c r="FA30" i="14608"/>
  <c r="FB30" i="14608"/>
  <c r="FC30" i="14608"/>
  <c r="FD30" i="14608"/>
  <c r="FE30" i="14608"/>
  <c r="FF30" i="14608"/>
  <c r="FG30" i="14608"/>
  <c r="FH30" i="14608"/>
  <c r="FI30" i="14608"/>
  <c r="FJ30" i="14608"/>
  <c r="FK30" i="14608"/>
  <c r="FL30" i="14608"/>
  <c r="FM30" i="14608"/>
  <c r="FN30" i="14608"/>
  <c r="FO30" i="14608"/>
  <c r="FP30" i="14608"/>
  <c r="FQ30" i="14608"/>
  <c r="FR30" i="14608"/>
  <c r="FS30" i="14608"/>
  <c r="FT30" i="14608"/>
  <c r="FU30" i="14608"/>
  <c r="FV30" i="14608"/>
  <c r="FW30" i="14608"/>
  <c r="FX30" i="14608"/>
  <c r="FY30" i="14608"/>
  <c r="FZ30" i="14608"/>
  <c r="GA30" i="14608"/>
  <c r="GB30" i="14608"/>
  <c r="GC30" i="14608"/>
  <c r="GD30" i="14608"/>
  <c r="GE30" i="14608"/>
  <c r="GF30" i="14608"/>
  <c r="GG30" i="14608"/>
  <c r="GH30" i="14608"/>
  <c r="GI30" i="14608"/>
  <c r="GJ30" i="14608"/>
  <c r="GK30" i="14608"/>
  <c r="GL30" i="14608"/>
  <c r="GM30" i="14608"/>
  <c r="GN30" i="14608"/>
  <c r="GO30" i="14608"/>
  <c r="GP30" i="14608"/>
  <c r="GQ30" i="14608"/>
  <c r="GR30" i="14608"/>
  <c r="GS30" i="14608"/>
  <c r="GT30" i="14608"/>
  <c r="GU30" i="14608"/>
  <c r="GV30" i="14608"/>
  <c r="GW30" i="14608"/>
  <c r="GX30" i="14608"/>
  <c r="GY30" i="14608"/>
  <c r="GZ30" i="14608"/>
  <c r="HA30" i="14608"/>
  <c r="HB30" i="14608"/>
  <c r="HC30" i="14608"/>
  <c r="HD30" i="14608"/>
  <c r="HE30" i="14608"/>
  <c r="HF30" i="14608"/>
  <c r="HG30" i="14608"/>
  <c r="HH30" i="14608"/>
  <c r="HI30" i="14608"/>
  <c r="HJ30" i="14608"/>
  <c r="HK30" i="14608"/>
  <c r="HL30" i="14608"/>
  <c r="HM30" i="14608"/>
  <c r="HN30" i="14608"/>
  <c r="HO30" i="14608"/>
  <c r="HP30" i="14608"/>
  <c r="HQ30" i="14608"/>
  <c r="HR30" i="14608"/>
  <c r="HS30" i="14608"/>
  <c r="HT30" i="14608"/>
  <c r="HU30" i="14608"/>
  <c r="HV30" i="14608"/>
  <c r="HW30" i="14608"/>
  <c r="HX30" i="14608"/>
  <c r="HY30" i="14608"/>
  <c r="HZ30" i="14608"/>
  <c r="IA30" i="14608"/>
  <c r="IB30" i="14608"/>
  <c r="IC30" i="14608"/>
  <c r="ID30" i="14608"/>
  <c r="IE30" i="14608"/>
  <c r="IF30" i="14608"/>
  <c r="IG30" i="14608"/>
  <c r="IH30" i="14608"/>
  <c r="II30" i="14608"/>
  <c r="IJ30" i="14608"/>
  <c r="IK30" i="14608"/>
  <c r="IL30" i="14608"/>
  <c r="IM30" i="14608"/>
  <c r="IN30" i="14608"/>
  <c r="IO30" i="14608"/>
  <c r="IP30" i="14608"/>
  <c r="IQ30" i="14608"/>
  <c r="IR30" i="14608"/>
  <c r="IS30" i="14608"/>
  <c r="IT30" i="14608"/>
  <c r="IU30" i="14608"/>
  <c r="IV30" i="14608"/>
  <c r="A29" i="14608"/>
  <c r="B29" i="14608"/>
  <c r="C29" i="14608"/>
  <c r="D29" i="14608"/>
  <c r="E29" i="14608"/>
  <c r="F29" i="14608"/>
  <c r="G29" i="14608"/>
  <c r="H29" i="14608"/>
  <c r="I29" i="14608"/>
  <c r="J29" i="14608"/>
  <c r="K29" i="14608"/>
  <c r="L29" i="14608"/>
  <c r="M29" i="14608"/>
  <c r="N29" i="14608"/>
  <c r="O29" i="14608"/>
  <c r="P29" i="14608"/>
  <c r="Q29" i="14608"/>
  <c r="R29" i="14608"/>
  <c r="S29" i="14608"/>
  <c r="T29" i="14608"/>
  <c r="U29" i="14608"/>
  <c r="V29" i="14608"/>
  <c r="W29" i="14608"/>
  <c r="X29" i="14608"/>
  <c r="Y29" i="14608"/>
  <c r="Z29" i="14608"/>
  <c r="AA29" i="14608"/>
  <c r="AB29" i="14608"/>
  <c r="AC29" i="14608"/>
  <c r="AD29" i="14608"/>
  <c r="AE29" i="14608"/>
  <c r="AF29" i="14608"/>
  <c r="AG29" i="14608"/>
  <c r="AH29" i="14608"/>
  <c r="AI29" i="14608"/>
  <c r="AJ29" i="14608"/>
  <c r="AK29" i="14608"/>
  <c r="AL29" i="14608"/>
  <c r="AM29" i="14608"/>
  <c r="AN29" i="14608"/>
  <c r="AO29" i="14608"/>
  <c r="AP29" i="14608"/>
  <c r="AQ29" i="14608"/>
  <c r="AR29" i="14608"/>
  <c r="AS29" i="14608"/>
  <c r="AT29" i="14608"/>
  <c r="AU29" i="14608"/>
  <c r="AV29" i="14608"/>
  <c r="AW29" i="14608"/>
  <c r="AX29" i="14608"/>
  <c r="AY29" i="14608"/>
  <c r="AZ29" i="14608"/>
  <c r="BA29" i="14608"/>
  <c r="BB29" i="14608"/>
  <c r="BC29" i="14608"/>
  <c r="BD29" i="14608"/>
  <c r="BE29" i="14608"/>
  <c r="BF29" i="14608"/>
  <c r="BG29" i="14608"/>
  <c r="BH29" i="14608"/>
  <c r="BI29" i="14608"/>
  <c r="BJ29" i="14608"/>
  <c r="BK29" i="14608"/>
  <c r="BL29" i="14608"/>
  <c r="BM29" i="14608"/>
  <c r="BN29" i="14608"/>
  <c r="BO29" i="14608"/>
  <c r="BP29" i="14608"/>
  <c r="BQ29" i="14608"/>
  <c r="BR29" i="14608"/>
  <c r="BS29" i="14608"/>
  <c r="BT29" i="14608"/>
  <c r="BU29" i="14608"/>
  <c r="BV29" i="14608"/>
  <c r="BW29" i="14608"/>
  <c r="BX29" i="14608"/>
  <c r="BY29" i="14608"/>
  <c r="BZ29" i="14608"/>
  <c r="CA29" i="14608"/>
  <c r="CB29" i="14608"/>
  <c r="CC29" i="14608"/>
  <c r="CD29" i="14608"/>
  <c r="CE29" i="14608"/>
  <c r="CF29" i="14608"/>
  <c r="CG29" i="14608"/>
  <c r="CH29" i="14608"/>
  <c r="CI29" i="14608"/>
  <c r="CJ29" i="14608"/>
  <c r="CK29" i="14608"/>
  <c r="CL29" i="14608"/>
  <c r="CM29" i="14608"/>
  <c r="CN29" i="14608"/>
  <c r="CO29" i="14608"/>
  <c r="CP29" i="14608"/>
  <c r="CQ29" i="14608"/>
  <c r="CR29" i="14608"/>
  <c r="CS29" i="14608"/>
  <c r="CT29" i="14608"/>
  <c r="CU29" i="14608"/>
  <c r="CV29" i="14608"/>
  <c r="CW29" i="14608"/>
  <c r="CX29" i="14608"/>
  <c r="CY29" i="14608"/>
  <c r="CZ29" i="14608"/>
  <c r="DA29" i="14608"/>
  <c r="DB29" i="14608"/>
  <c r="DC29" i="14608"/>
  <c r="DD29" i="14608"/>
  <c r="DE29" i="14608"/>
  <c r="DF29" i="14608"/>
  <c r="DG29" i="14608"/>
  <c r="DH29" i="14608"/>
  <c r="DI29" i="14608"/>
  <c r="DJ29" i="14608"/>
  <c r="DK29" i="14608"/>
  <c r="DL29" i="14608"/>
  <c r="DM29" i="14608"/>
  <c r="DN29" i="14608"/>
  <c r="DO29" i="14608"/>
  <c r="DP29" i="14608"/>
  <c r="DQ29" i="14608"/>
  <c r="DR29" i="14608"/>
  <c r="DS29" i="14608"/>
  <c r="DT29" i="14608"/>
  <c r="DU29" i="14608"/>
  <c r="DV29" i="14608"/>
  <c r="DW29" i="14608"/>
  <c r="DX29" i="14608"/>
  <c r="DY29" i="14608"/>
  <c r="DZ29" i="14608"/>
  <c r="EA29" i="14608"/>
  <c r="EB29" i="14608"/>
  <c r="EC29" i="14608"/>
  <c r="ED29" i="14608"/>
  <c r="EE29" i="14608"/>
  <c r="EF29" i="14608"/>
  <c r="EG29" i="14608"/>
  <c r="EH29" i="14608"/>
  <c r="EI29" i="14608"/>
  <c r="EJ29" i="14608"/>
  <c r="EK29" i="14608"/>
  <c r="EL29" i="14608"/>
  <c r="EM29" i="14608"/>
  <c r="EN29" i="14608"/>
  <c r="EO29" i="14608"/>
  <c r="EP29" i="14608"/>
  <c r="EQ29" i="14608"/>
  <c r="ER29" i="14608"/>
  <c r="ES29" i="14608"/>
  <c r="ET29" i="14608"/>
  <c r="EU29" i="14608"/>
  <c r="EV29" i="14608"/>
  <c r="EW29" i="14608"/>
  <c r="EX29" i="14608"/>
  <c r="EY29" i="14608"/>
  <c r="EZ29" i="14608"/>
  <c r="FA29" i="14608"/>
  <c r="FB29" i="14608"/>
  <c r="FC29" i="14608"/>
  <c r="FD29" i="14608"/>
  <c r="FE29" i="14608"/>
  <c r="FF29" i="14608"/>
  <c r="FG29" i="14608"/>
  <c r="FH29" i="14608"/>
  <c r="FI29" i="14608"/>
  <c r="FJ29" i="14608"/>
  <c r="FK29" i="14608"/>
  <c r="FL29" i="14608"/>
  <c r="FM29" i="14608"/>
  <c r="FN29" i="14608"/>
  <c r="FO29" i="14608"/>
  <c r="FP29" i="14608"/>
  <c r="FQ29" i="14608"/>
  <c r="FR29" i="14608"/>
  <c r="FS29" i="14608"/>
  <c r="FT29" i="14608"/>
  <c r="FU29" i="14608"/>
  <c r="FV29" i="14608"/>
  <c r="FW29" i="14608"/>
  <c r="FX29" i="14608"/>
  <c r="FY29" i="14608"/>
  <c r="FZ29" i="14608"/>
  <c r="GA29" i="14608"/>
  <c r="GB29" i="14608"/>
  <c r="GC29" i="14608"/>
  <c r="GD29" i="14608"/>
  <c r="GE29" i="14608"/>
  <c r="GF29" i="14608"/>
  <c r="GG29" i="14608"/>
  <c r="GH29" i="14608"/>
  <c r="GI29" i="14608"/>
  <c r="GJ29" i="14608"/>
  <c r="GK29" i="14608"/>
  <c r="GL29" i="14608"/>
  <c r="GM29" i="14608"/>
  <c r="GN29" i="14608"/>
  <c r="GO29" i="14608"/>
  <c r="GP29" i="14608"/>
  <c r="GQ29" i="14608"/>
  <c r="GR29" i="14608"/>
  <c r="GS29" i="14608"/>
  <c r="GT29" i="14608"/>
  <c r="GU29" i="14608"/>
  <c r="GV29" i="14608"/>
  <c r="GW29" i="14608"/>
  <c r="GX29" i="14608"/>
  <c r="GY29" i="14608"/>
  <c r="GZ29" i="14608"/>
  <c r="HA29" i="14608"/>
  <c r="HB29" i="14608"/>
  <c r="HC29" i="14608"/>
  <c r="HD29" i="14608"/>
  <c r="HE29" i="14608"/>
  <c r="HF29" i="14608"/>
  <c r="HG29" i="14608"/>
  <c r="HH29" i="14608"/>
  <c r="HI29" i="14608"/>
  <c r="HJ29" i="14608"/>
  <c r="HK29" i="14608"/>
  <c r="HL29" i="14608"/>
  <c r="HM29" i="14608"/>
  <c r="HN29" i="14608"/>
  <c r="HO29" i="14608"/>
  <c r="HP29" i="14608"/>
  <c r="HQ29" i="14608"/>
  <c r="HR29" i="14608"/>
  <c r="HS29" i="14608"/>
  <c r="HT29" i="14608"/>
  <c r="HU29" i="14608"/>
  <c r="HV29" i="14608"/>
  <c r="HW29" i="14608"/>
  <c r="HX29" i="14608"/>
  <c r="HY29" i="14608"/>
  <c r="HZ29" i="14608"/>
  <c r="IA29" i="14608"/>
  <c r="IB29" i="14608"/>
  <c r="IC29" i="14608"/>
  <c r="ID29" i="14608"/>
  <c r="IE29" i="14608"/>
  <c r="IF29" i="14608"/>
  <c r="IG29" i="14608"/>
  <c r="IH29" i="14608"/>
  <c r="II29" i="14608"/>
  <c r="IJ29" i="14608"/>
  <c r="IK29" i="14608"/>
  <c r="IL29" i="14608"/>
  <c r="IM29" i="14608"/>
  <c r="IN29" i="14608"/>
  <c r="IO29" i="14608"/>
  <c r="IP29" i="14608"/>
  <c r="IQ29" i="14608"/>
  <c r="IR29" i="14608"/>
  <c r="IS29" i="14608"/>
  <c r="IT29" i="14608"/>
  <c r="IU29" i="14608"/>
  <c r="IV29" i="14608"/>
  <c r="A28" i="14608"/>
  <c r="B28" i="14608"/>
  <c r="C28" i="14608"/>
  <c r="D28" i="14608"/>
  <c r="E28" i="14608"/>
  <c r="F28" i="14608"/>
  <c r="G28" i="14608"/>
  <c r="H28" i="14608"/>
  <c r="I28" i="14608"/>
  <c r="J28" i="14608"/>
  <c r="K28" i="14608"/>
  <c r="L28" i="14608"/>
  <c r="M28" i="14608"/>
  <c r="N28" i="14608"/>
  <c r="O28" i="14608"/>
  <c r="P28" i="14608"/>
  <c r="Q28" i="14608"/>
  <c r="R28" i="14608"/>
  <c r="S28" i="14608"/>
  <c r="T28" i="14608"/>
  <c r="U28" i="14608"/>
  <c r="V28" i="14608"/>
  <c r="W28" i="14608"/>
  <c r="X28" i="14608"/>
  <c r="Y28" i="14608"/>
  <c r="Z28" i="14608"/>
  <c r="AA28" i="14608"/>
  <c r="AB28" i="14608"/>
  <c r="AC28" i="14608"/>
  <c r="AD28" i="14608"/>
  <c r="AE28" i="14608"/>
  <c r="AF28" i="14608"/>
  <c r="AG28" i="14608"/>
  <c r="AH28" i="14608"/>
  <c r="AI28" i="14608"/>
  <c r="AJ28" i="14608"/>
  <c r="AK28" i="14608"/>
  <c r="AL28" i="14608"/>
  <c r="AM28" i="14608"/>
  <c r="AN28" i="14608"/>
  <c r="AO28" i="14608"/>
  <c r="AP28" i="14608"/>
  <c r="AQ28" i="14608"/>
  <c r="AR28" i="14608"/>
  <c r="AS28" i="14608"/>
  <c r="AT28" i="14608"/>
  <c r="AU28" i="14608"/>
  <c r="AV28" i="14608"/>
  <c r="AW28" i="14608"/>
  <c r="AX28" i="14608"/>
  <c r="AY28" i="14608"/>
  <c r="AZ28" i="14608"/>
  <c r="BA28" i="14608"/>
  <c r="BB28" i="14608"/>
  <c r="BC28" i="14608"/>
  <c r="BD28" i="14608"/>
  <c r="BE28" i="14608"/>
  <c r="BF28" i="14608"/>
  <c r="BG28" i="14608"/>
  <c r="BH28" i="14608"/>
  <c r="BI28" i="14608"/>
  <c r="BJ28" i="14608"/>
  <c r="BK28" i="14608"/>
  <c r="BL28" i="14608"/>
  <c r="BM28" i="14608"/>
  <c r="BN28" i="14608"/>
  <c r="BO28" i="14608"/>
  <c r="BP28" i="14608"/>
  <c r="BQ28" i="14608"/>
  <c r="BR28" i="14608"/>
  <c r="BS28" i="14608"/>
  <c r="BT28" i="14608"/>
  <c r="BU28" i="14608"/>
  <c r="BV28" i="14608"/>
  <c r="BW28" i="14608"/>
  <c r="BX28" i="14608"/>
  <c r="BY28" i="14608"/>
  <c r="BZ28" i="14608"/>
  <c r="CA28" i="14608"/>
  <c r="CB28" i="14608"/>
  <c r="CC28" i="14608"/>
  <c r="CD28" i="14608"/>
  <c r="CE28" i="14608"/>
  <c r="CF28" i="14608"/>
  <c r="CG28" i="14608"/>
  <c r="CH28" i="14608"/>
  <c r="CI28" i="14608"/>
  <c r="CJ28" i="14608"/>
  <c r="CK28" i="14608"/>
  <c r="CL28" i="14608"/>
  <c r="CM28" i="14608"/>
  <c r="CN28" i="14608"/>
  <c r="CO28" i="14608"/>
  <c r="CP28" i="14608"/>
  <c r="CQ28" i="14608"/>
  <c r="CR28" i="14608"/>
  <c r="CS28" i="14608"/>
  <c r="CT28" i="14608"/>
  <c r="CU28" i="14608"/>
  <c r="CV28" i="14608"/>
  <c r="CW28" i="14608"/>
  <c r="CX28" i="14608"/>
  <c r="CY28" i="14608"/>
  <c r="CZ28" i="14608"/>
  <c r="DA28" i="14608"/>
  <c r="DB28" i="14608"/>
  <c r="DC28" i="14608"/>
  <c r="DD28" i="14608"/>
  <c r="DE28" i="14608"/>
  <c r="DF28" i="14608"/>
  <c r="DG28" i="14608"/>
  <c r="DH28" i="14608"/>
  <c r="DI28" i="14608"/>
  <c r="DJ28" i="14608"/>
  <c r="DK28" i="14608"/>
  <c r="DL28" i="14608"/>
  <c r="DM28" i="14608"/>
  <c r="DN28" i="14608"/>
  <c r="DO28" i="14608"/>
  <c r="DP28" i="14608"/>
  <c r="DQ28" i="14608"/>
  <c r="DR28" i="14608"/>
  <c r="DS28" i="14608"/>
  <c r="DT28" i="14608"/>
  <c r="DU28" i="14608"/>
  <c r="DV28" i="14608"/>
  <c r="DW28" i="14608"/>
  <c r="DX28" i="14608"/>
  <c r="DY28" i="14608"/>
  <c r="DZ28" i="14608"/>
  <c r="EA28" i="14608"/>
  <c r="EB28" i="14608"/>
  <c r="EC28" i="14608"/>
  <c r="ED28" i="14608"/>
  <c r="EE28" i="14608"/>
  <c r="EF28" i="14608"/>
  <c r="EG28" i="14608"/>
  <c r="EH28" i="14608"/>
  <c r="EI28" i="14608"/>
  <c r="EJ28" i="14608"/>
  <c r="EK28" i="14608"/>
  <c r="EL28" i="14608"/>
  <c r="EM28" i="14608"/>
  <c r="EN28" i="14608"/>
  <c r="EO28" i="14608"/>
  <c r="EP28" i="14608"/>
  <c r="EQ28" i="14608"/>
  <c r="ER28" i="14608"/>
  <c r="ES28" i="14608"/>
  <c r="ET28" i="14608"/>
  <c r="EU28" i="14608"/>
  <c r="EV28" i="14608"/>
  <c r="EW28" i="14608"/>
  <c r="EX28" i="14608"/>
  <c r="EY28" i="14608"/>
  <c r="EZ28" i="14608"/>
  <c r="FA28" i="14608"/>
  <c r="FB28" i="14608"/>
  <c r="FC28" i="14608"/>
  <c r="FD28" i="14608"/>
  <c r="FE28" i="14608"/>
  <c r="FF28" i="14608"/>
  <c r="FG28" i="14608"/>
  <c r="FH28" i="14608"/>
  <c r="FI28" i="14608"/>
  <c r="FJ28" i="14608"/>
  <c r="FK28" i="14608"/>
  <c r="FL28" i="14608"/>
  <c r="FM28" i="14608"/>
  <c r="FN28" i="14608"/>
  <c r="FO28" i="14608"/>
  <c r="FP28" i="14608"/>
  <c r="FQ28" i="14608"/>
  <c r="FR28" i="14608"/>
  <c r="FS28" i="14608"/>
  <c r="FT28" i="14608"/>
  <c r="FU28" i="14608"/>
  <c r="FV28" i="14608"/>
  <c r="FW28" i="14608"/>
  <c r="FX28" i="14608"/>
  <c r="FY28" i="14608"/>
  <c r="FZ28" i="14608"/>
  <c r="GA28" i="14608"/>
  <c r="GB28" i="14608"/>
  <c r="GC28" i="14608"/>
  <c r="GD28" i="14608"/>
  <c r="GE28" i="14608"/>
  <c r="GF28" i="14608"/>
  <c r="GG28" i="14608"/>
  <c r="GH28" i="14608"/>
  <c r="GI28" i="14608"/>
  <c r="GJ28" i="14608"/>
  <c r="GK28" i="14608"/>
  <c r="GL28" i="14608"/>
  <c r="GM28" i="14608"/>
  <c r="GN28" i="14608"/>
  <c r="GO28" i="14608"/>
  <c r="GP28" i="14608"/>
  <c r="GQ28" i="14608"/>
  <c r="GR28" i="14608"/>
  <c r="GS28" i="14608"/>
  <c r="GT28" i="14608"/>
  <c r="GU28" i="14608"/>
  <c r="GV28" i="14608"/>
  <c r="GW28" i="14608"/>
  <c r="GX28" i="14608"/>
  <c r="GY28" i="14608"/>
  <c r="GZ28" i="14608"/>
  <c r="HA28" i="14608"/>
  <c r="HB28" i="14608"/>
  <c r="HC28" i="14608"/>
  <c r="HD28" i="14608"/>
  <c r="HE28" i="14608"/>
  <c r="HF28" i="14608"/>
  <c r="HG28" i="14608"/>
  <c r="HH28" i="14608"/>
  <c r="HI28" i="14608"/>
  <c r="HJ28" i="14608"/>
  <c r="HK28" i="14608"/>
  <c r="HL28" i="14608"/>
  <c r="HM28" i="14608"/>
  <c r="HN28" i="14608"/>
  <c r="HO28" i="14608"/>
  <c r="HP28" i="14608"/>
  <c r="HQ28" i="14608"/>
  <c r="HR28" i="14608"/>
  <c r="HS28" i="14608"/>
  <c r="HT28" i="14608"/>
  <c r="HU28" i="14608"/>
  <c r="HV28" i="14608"/>
  <c r="HW28" i="14608"/>
  <c r="HX28" i="14608"/>
  <c r="HY28" i="14608"/>
  <c r="HZ28" i="14608"/>
  <c r="IA28" i="14608"/>
  <c r="IB28" i="14608"/>
  <c r="IC28" i="14608"/>
  <c r="ID28" i="14608"/>
  <c r="IE28" i="14608"/>
  <c r="IF28" i="14608"/>
  <c r="IG28" i="14608"/>
  <c r="IH28" i="14608"/>
  <c r="II28" i="14608"/>
  <c r="IJ28" i="14608"/>
  <c r="IK28" i="14608"/>
  <c r="IL28" i="14608"/>
  <c r="IM28" i="14608"/>
  <c r="IN28" i="14608"/>
  <c r="IO28" i="14608"/>
  <c r="IP28" i="14608"/>
  <c r="IQ28" i="14608"/>
  <c r="IR28" i="14608"/>
  <c r="IS28" i="14608"/>
  <c r="IT28" i="14608"/>
  <c r="IU28" i="14608"/>
  <c r="IV28" i="14608"/>
  <c r="A27" i="14608"/>
  <c r="B27" i="14608"/>
  <c r="C27" i="14608"/>
  <c r="G27" i="14608"/>
  <c r="H27" i="14608"/>
  <c r="I27" i="14608"/>
  <c r="J27" i="14608"/>
  <c r="K27" i="14608"/>
  <c r="L27" i="14608"/>
  <c r="M27" i="14608"/>
  <c r="N27" i="14608"/>
  <c r="O27" i="14608"/>
  <c r="P27" i="14608"/>
  <c r="Q27" i="14608"/>
  <c r="R27" i="14608"/>
  <c r="S27" i="14608"/>
  <c r="T27" i="14608"/>
  <c r="U27" i="14608"/>
  <c r="V27" i="14608"/>
  <c r="W27" i="14608"/>
  <c r="X27" i="14608"/>
  <c r="Y27" i="14608"/>
  <c r="Z27" i="14608"/>
  <c r="AA27" i="14608"/>
  <c r="AB27" i="14608"/>
  <c r="AC27" i="14608"/>
  <c r="AD27" i="14608"/>
  <c r="AE27" i="14608"/>
  <c r="AF27" i="14608"/>
  <c r="AG27" i="14608"/>
  <c r="AH27" i="14608"/>
  <c r="AI27" i="14608"/>
  <c r="AJ27" i="14608"/>
  <c r="AK27" i="14608"/>
  <c r="AL27" i="14608"/>
  <c r="AM27" i="14608"/>
  <c r="AN27" i="14608"/>
  <c r="AO27" i="14608"/>
  <c r="AP27" i="14608"/>
  <c r="AQ27" i="14608"/>
  <c r="AR27" i="14608"/>
  <c r="AS27" i="14608"/>
  <c r="AT27" i="14608"/>
  <c r="AU27" i="14608"/>
  <c r="AV27" i="14608"/>
  <c r="AW27" i="14608"/>
  <c r="AX27" i="14608"/>
  <c r="AY27" i="14608"/>
  <c r="AZ27" i="14608"/>
  <c r="BA27" i="14608"/>
  <c r="BB27" i="14608"/>
  <c r="BC27" i="14608"/>
  <c r="BD27" i="14608"/>
  <c r="BE27" i="14608"/>
  <c r="BF27" i="14608"/>
  <c r="BG27" i="14608"/>
  <c r="BH27" i="14608"/>
  <c r="BI27" i="14608"/>
  <c r="BJ27" i="14608"/>
  <c r="BK27" i="14608"/>
  <c r="BL27" i="14608"/>
  <c r="BM27" i="14608"/>
  <c r="BN27" i="14608"/>
  <c r="BP27" i="14608"/>
  <c r="BQ27" i="14608"/>
  <c r="BR27" i="14608"/>
  <c r="BS27" i="14608"/>
  <c r="BT27" i="14608"/>
  <c r="BU27" i="14608"/>
  <c r="BV27" i="14608"/>
  <c r="BW27" i="14608"/>
  <c r="BX27" i="14608"/>
  <c r="BY27" i="14608"/>
  <c r="BZ27" i="14608"/>
  <c r="CA27" i="14608"/>
  <c r="CB27" i="14608"/>
  <c r="CC27" i="14608"/>
  <c r="CD27" i="14608"/>
  <c r="CE27" i="14608"/>
  <c r="CF27" i="14608"/>
  <c r="CG27" i="14608"/>
  <c r="CH27" i="14608"/>
  <c r="CI27" i="14608"/>
  <c r="CJ27" i="14608"/>
  <c r="CK27" i="14608"/>
  <c r="CL27" i="14608"/>
  <c r="CM27" i="14608"/>
  <c r="CN27" i="14608"/>
  <c r="CO27" i="14608"/>
  <c r="CP27" i="14608"/>
  <c r="CQ27" i="14608"/>
  <c r="CR27" i="14608"/>
  <c r="CS27" i="14608"/>
  <c r="CT27" i="14608"/>
  <c r="CU27" i="14608"/>
  <c r="CV27" i="14608"/>
  <c r="CW27" i="14608"/>
  <c r="CX27" i="14608"/>
  <c r="CY27" i="14608"/>
  <c r="CZ27" i="14608"/>
  <c r="DA27" i="14608"/>
  <c r="DB27" i="14608"/>
  <c r="DC27" i="14608"/>
  <c r="DD27" i="14608"/>
  <c r="DE27" i="14608"/>
  <c r="DF27" i="14608"/>
  <c r="DG27" i="14608"/>
  <c r="DH27" i="14608"/>
  <c r="DI27" i="14608"/>
  <c r="DJ27" i="14608"/>
  <c r="DK27" i="14608"/>
  <c r="DL27" i="14608"/>
  <c r="DM27" i="14608"/>
  <c r="DN27" i="14608"/>
  <c r="DO27" i="14608"/>
  <c r="DP27" i="14608"/>
  <c r="DQ27" i="14608"/>
  <c r="DR27" i="14608"/>
  <c r="DS27" i="14608"/>
  <c r="DT27" i="14608"/>
  <c r="DU27" i="14608"/>
  <c r="DV27" i="14608"/>
  <c r="DW27" i="14608"/>
  <c r="DX27" i="14608"/>
  <c r="DY27" i="14608"/>
  <c r="DZ27" i="14608"/>
  <c r="EA27" i="14608"/>
  <c r="EB27" i="14608"/>
  <c r="EC27" i="14608"/>
  <c r="ED27" i="14608"/>
  <c r="EE27" i="14608"/>
  <c r="EF27" i="14608"/>
  <c r="EG27" i="14608"/>
  <c r="EH27" i="14608"/>
  <c r="EI27" i="14608"/>
  <c r="EJ27" i="14608"/>
  <c r="EK27" i="14608"/>
  <c r="EL27" i="14608"/>
  <c r="EM27" i="14608"/>
  <c r="EN27" i="14608"/>
  <c r="EO27" i="14608"/>
  <c r="EP27" i="14608"/>
  <c r="EQ27" i="14608"/>
  <c r="ER27" i="14608"/>
  <c r="ES27" i="14608"/>
  <c r="ET27" i="14608"/>
  <c r="EU27" i="14608"/>
  <c r="EV27" i="14608"/>
  <c r="EW27" i="14608"/>
  <c r="EX27" i="14608"/>
  <c r="EY27" i="14608"/>
  <c r="EZ27" i="14608"/>
  <c r="FA27" i="14608"/>
  <c r="FB27" i="14608"/>
  <c r="FC27" i="14608"/>
  <c r="FD27" i="14608"/>
  <c r="FE27" i="14608"/>
  <c r="FF27" i="14608"/>
  <c r="FG27" i="14608"/>
  <c r="FH27" i="14608"/>
  <c r="FI27" i="14608"/>
  <c r="FJ27" i="14608"/>
  <c r="FK27" i="14608"/>
  <c r="FL27" i="14608"/>
  <c r="FM27" i="14608"/>
  <c r="FN27" i="14608"/>
  <c r="FO27" i="14608"/>
  <c r="FP27" i="14608"/>
  <c r="FQ27" i="14608"/>
  <c r="FR27" i="14608"/>
  <c r="FS27" i="14608"/>
  <c r="FU27" i="14608"/>
  <c r="FV27" i="14608"/>
  <c r="FW27" i="14608"/>
  <c r="FX27" i="14608"/>
  <c r="FY27" i="14608"/>
  <c r="GB27" i="14608"/>
  <c r="GC27" i="14608"/>
  <c r="GD27" i="14608"/>
  <c r="GE27" i="14608"/>
  <c r="GF27" i="14608"/>
  <c r="GG27" i="14608"/>
  <c r="GI27" i="14608"/>
  <c r="GJ27" i="14608"/>
  <c r="GK27" i="14608"/>
  <c r="GL27" i="14608"/>
  <c r="GM27" i="14608"/>
  <c r="GP27" i="14608"/>
  <c r="GQ27" i="14608"/>
  <c r="GR27" i="14608"/>
  <c r="GS27" i="14608"/>
  <c r="HA27" i="14608"/>
  <c r="HB27" i="14608"/>
  <c r="HI27" i="14608"/>
  <c r="HS27" i="14608"/>
  <c r="HT27" i="14608"/>
  <c r="HU27" i="14608"/>
  <c r="HV27" i="14608"/>
  <c r="HW27" i="14608"/>
  <c r="HX27" i="14608"/>
  <c r="HY27" i="14608"/>
  <c r="HZ27" i="14608"/>
  <c r="IA27" i="14608"/>
  <c r="IB27" i="14608"/>
  <c r="IC27" i="14608"/>
  <c r="ID27" i="14608"/>
  <c r="IE27" i="14608"/>
  <c r="IF27" i="14608"/>
  <c r="IG27" i="14608"/>
  <c r="IH27" i="14608"/>
  <c r="II27" i="14608"/>
  <c r="IJ27" i="14608"/>
  <c r="IK27" i="14608"/>
  <c r="IL27" i="14608"/>
  <c r="IM27" i="14608"/>
  <c r="IN27" i="14608"/>
  <c r="IO27" i="14608"/>
  <c r="IP27" i="14608"/>
  <c r="IQ27" i="14608"/>
  <c r="IR27" i="14608"/>
  <c r="IS27" i="14608"/>
  <c r="IT27" i="14608"/>
  <c r="IU27" i="14608"/>
  <c r="IV27" i="14608"/>
  <c r="A26" i="14608"/>
  <c r="B26" i="14608"/>
  <c r="C26" i="14608"/>
  <c r="D26" i="14608"/>
  <c r="E26" i="14608"/>
  <c r="F26" i="14608"/>
  <c r="G26" i="14608"/>
  <c r="H26" i="14608"/>
  <c r="I26" i="14608"/>
  <c r="J26" i="14608"/>
  <c r="K26" i="14608"/>
  <c r="L26" i="14608"/>
  <c r="M26" i="14608"/>
  <c r="N26" i="14608"/>
  <c r="O26" i="14608"/>
  <c r="P26" i="14608"/>
  <c r="Q26" i="14608"/>
  <c r="R26" i="14608"/>
  <c r="S26" i="14608"/>
  <c r="T26" i="14608"/>
  <c r="U26" i="14608"/>
  <c r="V26" i="14608"/>
  <c r="W26" i="14608"/>
  <c r="X26" i="14608"/>
  <c r="Y26" i="14608"/>
  <c r="Z26" i="14608"/>
  <c r="AA26" i="14608"/>
  <c r="AB26" i="14608"/>
  <c r="AC26" i="14608"/>
  <c r="AD26" i="14608"/>
  <c r="AE26" i="14608"/>
  <c r="AF26" i="14608"/>
  <c r="AG26" i="14608"/>
  <c r="AH26" i="14608"/>
  <c r="AI26" i="14608"/>
  <c r="AJ26" i="14608"/>
  <c r="AK26" i="14608"/>
  <c r="AL26" i="14608"/>
  <c r="AM26" i="14608"/>
  <c r="AN26" i="14608"/>
  <c r="AO26" i="14608"/>
  <c r="AP26" i="14608"/>
  <c r="AQ26" i="14608"/>
  <c r="AR26" i="14608"/>
  <c r="AS26" i="14608"/>
  <c r="AT26" i="14608"/>
  <c r="AU26" i="14608"/>
  <c r="AV26" i="14608"/>
  <c r="AW26" i="14608"/>
  <c r="AX26" i="14608"/>
  <c r="AY26" i="14608"/>
  <c r="AZ26" i="14608"/>
  <c r="BA26" i="14608"/>
  <c r="BB26" i="14608"/>
  <c r="BC26" i="14608"/>
  <c r="BD26" i="14608"/>
  <c r="BE26" i="14608"/>
  <c r="BF26" i="14608"/>
  <c r="BG26" i="14608"/>
  <c r="BH26" i="14608"/>
  <c r="BI26" i="14608"/>
  <c r="BJ26" i="14608"/>
  <c r="BK26" i="14608"/>
  <c r="BL26" i="14608"/>
  <c r="BM26" i="14608"/>
  <c r="BN26" i="14608"/>
  <c r="BO26" i="14608"/>
  <c r="BP26" i="14608"/>
  <c r="BQ26" i="14608"/>
  <c r="BR26" i="14608"/>
  <c r="BS26" i="14608"/>
  <c r="BT26" i="14608"/>
  <c r="BU26" i="14608"/>
  <c r="BV26" i="14608"/>
  <c r="BW26" i="14608"/>
  <c r="BX26" i="14608"/>
  <c r="BY26" i="14608"/>
  <c r="CA26" i="14608"/>
  <c r="CB26" i="14608"/>
  <c r="CC26" i="14608"/>
  <c r="CD26" i="14608"/>
  <c r="CE26" i="14608"/>
  <c r="CF26" i="14608"/>
  <c r="CG26" i="14608"/>
  <c r="CH26" i="14608"/>
  <c r="CI26" i="14608"/>
  <c r="CJ26" i="14608"/>
  <c r="CK26" i="14608"/>
  <c r="CL26" i="14608"/>
  <c r="CM26" i="14608"/>
  <c r="CN26" i="14608"/>
  <c r="CO26" i="14608"/>
  <c r="CP26" i="14608"/>
  <c r="CQ26" i="14608"/>
  <c r="CR26" i="14608"/>
  <c r="CS26" i="14608"/>
  <c r="CT26" i="14608"/>
  <c r="CU26" i="14608"/>
  <c r="CV26" i="14608"/>
  <c r="CW26" i="14608"/>
  <c r="CX26" i="14608"/>
  <c r="CY26" i="14608"/>
  <c r="CZ26" i="14608"/>
  <c r="DA26" i="14608"/>
  <c r="DB26" i="14608"/>
  <c r="DC26" i="14608"/>
  <c r="DD26" i="14608"/>
  <c r="DE26" i="14608"/>
  <c r="DG26" i="14608"/>
  <c r="DH26" i="14608"/>
  <c r="DJ26" i="14608"/>
  <c r="DK26" i="14608"/>
  <c r="DL26" i="14608"/>
  <c r="DM26" i="14608"/>
  <c r="DN26" i="14608"/>
  <c r="DO26" i="14608"/>
  <c r="DP26" i="14608"/>
  <c r="DQ26" i="14608"/>
  <c r="DS26" i="14608"/>
  <c r="DU26" i="14608"/>
  <c r="DV26" i="14608"/>
  <c r="DW26" i="14608"/>
  <c r="DX26" i="14608"/>
  <c r="DY26" i="14608"/>
  <c r="DZ26" i="14608"/>
  <c r="EA26" i="14608"/>
  <c r="EB26" i="14608"/>
  <c r="EC26" i="14608"/>
  <c r="ED26" i="14608"/>
  <c r="EE26" i="14608"/>
  <c r="EF26" i="14608"/>
  <c r="EG26" i="14608"/>
  <c r="EH26" i="14608"/>
  <c r="EI26" i="14608"/>
  <c r="EJ26" i="14608"/>
  <c r="EK26" i="14608"/>
  <c r="EL26" i="14608"/>
  <c r="EM26" i="14608"/>
  <c r="EN26" i="14608"/>
  <c r="EO26" i="14608"/>
  <c r="EQ26" i="14608"/>
  <c r="ER26" i="14608"/>
  <c r="ES26" i="14608"/>
  <c r="ET26" i="14608"/>
  <c r="EU26" i="14608"/>
  <c r="EV26" i="14608"/>
  <c r="EW26" i="14608"/>
  <c r="EX26" i="14608"/>
  <c r="EY26" i="14608"/>
  <c r="EZ26" i="14608"/>
  <c r="FA26" i="14608"/>
  <c r="FB26" i="14608"/>
  <c r="FC26" i="14608"/>
  <c r="FD26" i="14608"/>
  <c r="FE26" i="14608"/>
  <c r="FF26" i="14608"/>
  <c r="FG26" i="14608"/>
  <c r="FH26" i="14608"/>
  <c r="FI26" i="14608"/>
  <c r="FJ26" i="14608"/>
  <c r="FK26" i="14608"/>
  <c r="FL26" i="14608"/>
  <c r="FM26" i="14608"/>
  <c r="FN26" i="14608"/>
  <c r="FO26" i="14608"/>
  <c r="FP26" i="14608"/>
  <c r="FQ26" i="14608"/>
  <c r="FR26" i="14608"/>
  <c r="FS26" i="14608"/>
  <c r="FT26" i="14608"/>
  <c r="FU26" i="14608"/>
  <c r="FV26" i="14608"/>
  <c r="FW26" i="14608"/>
  <c r="FX26" i="14608"/>
  <c r="FY26" i="14608"/>
  <c r="FZ26" i="14608"/>
  <c r="GA26" i="14608"/>
  <c r="GB26" i="14608"/>
  <c r="GC26" i="14608"/>
  <c r="GD26" i="14608"/>
  <c r="GE26" i="14608"/>
  <c r="GF26" i="14608"/>
  <c r="GG26" i="14608"/>
  <c r="GH26" i="14608"/>
  <c r="GI26" i="14608"/>
  <c r="GJ26" i="14608"/>
  <c r="GK26" i="14608"/>
  <c r="GL26" i="14608"/>
  <c r="GM26" i="14608"/>
  <c r="GN26" i="14608"/>
  <c r="GO26" i="14608"/>
  <c r="GP26" i="14608"/>
  <c r="GQ26" i="14608"/>
  <c r="GR26" i="14608"/>
  <c r="GS26" i="14608"/>
  <c r="GT26" i="14608"/>
  <c r="GU26" i="14608"/>
  <c r="GV26" i="14608"/>
  <c r="GW26" i="14608"/>
  <c r="GX26" i="14608"/>
  <c r="GY26" i="14608"/>
  <c r="GZ26" i="14608"/>
  <c r="HA26" i="14608"/>
  <c r="HB26" i="14608"/>
  <c r="HC26" i="14608"/>
  <c r="HD26" i="14608"/>
  <c r="HE26" i="14608"/>
  <c r="HF26" i="14608"/>
  <c r="HG26" i="14608"/>
  <c r="HH26" i="14608"/>
  <c r="HI26" i="14608"/>
  <c r="HJ26" i="14608"/>
  <c r="HK26" i="14608"/>
  <c r="HL26" i="14608"/>
  <c r="HM26" i="14608"/>
  <c r="HN26" i="14608"/>
  <c r="HO26" i="14608"/>
  <c r="HP26" i="14608"/>
  <c r="HQ26" i="14608"/>
  <c r="HR26" i="14608"/>
  <c r="HS26" i="14608"/>
  <c r="HT26" i="14608"/>
  <c r="HU26" i="14608"/>
  <c r="HV26" i="14608"/>
  <c r="HW26" i="14608"/>
  <c r="HX26" i="14608"/>
  <c r="HY26" i="14608"/>
  <c r="HZ26" i="14608"/>
  <c r="IA26" i="14608"/>
  <c r="IB26" i="14608"/>
  <c r="IC26" i="14608"/>
  <c r="ID26" i="14608"/>
  <c r="IE26" i="14608"/>
  <c r="IF26" i="14608"/>
  <c r="IG26" i="14608"/>
  <c r="IH26" i="14608"/>
  <c r="II26" i="14608"/>
  <c r="IJ26" i="14608"/>
  <c r="IK26" i="14608"/>
  <c r="IL26" i="14608"/>
  <c r="IM26" i="14608"/>
  <c r="IN26" i="14608"/>
  <c r="IO26" i="14608"/>
  <c r="IP26" i="14608"/>
  <c r="IQ26" i="14608"/>
  <c r="IR26" i="14608"/>
  <c r="IS26" i="14608"/>
  <c r="IT26" i="14608"/>
  <c r="IU26" i="14608"/>
  <c r="IV26" i="14608"/>
  <c r="A25" i="14608"/>
  <c r="B25" i="14608"/>
  <c r="C25" i="14608"/>
  <c r="D25" i="14608"/>
  <c r="E25" i="14608"/>
  <c r="F25" i="14608"/>
  <c r="G25" i="14608"/>
  <c r="H25" i="14608"/>
  <c r="I25" i="14608"/>
  <c r="J25" i="14608"/>
  <c r="K25" i="14608"/>
  <c r="L25" i="14608"/>
  <c r="M25" i="14608"/>
  <c r="N25" i="14608"/>
  <c r="O25" i="14608"/>
  <c r="P25" i="14608"/>
  <c r="Q25" i="14608"/>
  <c r="R25" i="14608"/>
  <c r="S25" i="14608"/>
  <c r="T25" i="14608"/>
  <c r="U25" i="14608"/>
  <c r="V25" i="14608"/>
  <c r="W25" i="14608"/>
  <c r="X25" i="14608"/>
  <c r="Y25" i="14608"/>
  <c r="Z25" i="14608"/>
  <c r="AA25" i="14608"/>
  <c r="AB25" i="14608"/>
  <c r="AC25" i="14608"/>
  <c r="AD25" i="14608"/>
  <c r="AE25" i="14608"/>
  <c r="AF25" i="14608"/>
  <c r="AG25" i="14608"/>
  <c r="AH25" i="14608"/>
  <c r="AI25" i="14608"/>
  <c r="AJ25" i="14608"/>
  <c r="AK25" i="14608"/>
  <c r="AL25" i="14608"/>
  <c r="AM25" i="14608"/>
  <c r="AN25" i="14608"/>
  <c r="AO25" i="14608"/>
  <c r="AP25" i="14608"/>
  <c r="AQ25" i="14608"/>
  <c r="AR25" i="14608"/>
  <c r="AS25" i="14608"/>
  <c r="AT25" i="14608"/>
  <c r="AU25" i="14608"/>
  <c r="AW25" i="14608"/>
  <c r="AX25" i="14608"/>
  <c r="AY25" i="14608"/>
  <c r="AZ25" i="14608"/>
  <c r="BA25" i="14608"/>
  <c r="BB25" i="14608"/>
  <c r="BC25" i="14608"/>
  <c r="BD25" i="14608"/>
  <c r="BE25" i="14608"/>
  <c r="BF25" i="14608"/>
  <c r="BG25" i="14608"/>
  <c r="BH25" i="14608"/>
  <c r="BI25" i="14608"/>
  <c r="BJ25" i="14608"/>
  <c r="BK25" i="14608"/>
  <c r="BL25" i="14608"/>
  <c r="BM25" i="14608"/>
  <c r="BN25" i="14608"/>
  <c r="BO25" i="14608"/>
  <c r="BP25" i="14608"/>
  <c r="BQ25" i="14608"/>
  <c r="BR25" i="14608"/>
  <c r="BS25" i="14608"/>
  <c r="BT25" i="14608"/>
  <c r="BU25" i="14608"/>
  <c r="BV25" i="14608"/>
  <c r="BW25" i="14608"/>
  <c r="BX25" i="14608"/>
  <c r="BY25" i="14608"/>
  <c r="BZ25" i="14608"/>
  <c r="CA25" i="14608"/>
  <c r="CB25" i="14608"/>
  <c r="CC25" i="14608"/>
  <c r="CD25" i="14608"/>
  <c r="CE25" i="14608"/>
  <c r="CF25" i="14608"/>
  <c r="CG25" i="14608"/>
  <c r="CH25" i="14608"/>
  <c r="CI25" i="14608"/>
  <c r="CJ25" i="14608"/>
  <c r="CK25" i="14608"/>
  <c r="CL25" i="14608"/>
  <c r="CM25" i="14608"/>
  <c r="CN25" i="14608"/>
  <c r="CO25" i="14608"/>
  <c r="CP25" i="14608"/>
  <c r="CQ25" i="14608"/>
  <c r="CR25" i="14608"/>
  <c r="CS25" i="14608"/>
  <c r="CT25" i="14608"/>
  <c r="CU25" i="14608"/>
  <c r="CV25" i="14608"/>
  <c r="CW25" i="14608"/>
  <c r="CX25" i="14608"/>
  <c r="CY25" i="14608"/>
  <c r="CZ25" i="14608"/>
  <c r="DA25" i="14608"/>
  <c r="DB25" i="14608"/>
  <c r="DC25" i="14608"/>
  <c r="DD25" i="14608"/>
  <c r="DE25" i="14608"/>
  <c r="DF25" i="14608"/>
  <c r="DG25" i="14608"/>
  <c r="DH25" i="14608"/>
  <c r="DI25" i="14608"/>
  <c r="DJ25" i="14608"/>
  <c r="DK25" i="14608"/>
  <c r="DL25" i="14608"/>
  <c r="DM25" i="14608"/>
  <c r="DN25" i="14608"/>
  <c r="DO25" i="14608"/>
  <c r="DP25" i="14608"/>
  <c r="DQ25" i="14608"/>
  <c r="DR25" i="14608"/>
  <c r="DS25" i="14608"/>
  <c r="DT25" i="14608"/>
  <c r="DU25" i="14608"/>
  <c r="DV25" i="14608"/>
  <c r="DW25" i="14608"/>
  <c r="DX25" i="14608"/>
  <c r="DY25" i="14608"/>
  <c r="DZ25" i="14608"/>
  <c r="EA25" i="14608"/>
  <c r="EB25" i="14608"/>
  <c r="EC25" i="14608"/>
  <c r="ED25" i="14608"/>
  <c r="EE25" i="14608"/>
  <c r="EF25" i="14608"/>
  <c r="EG25" i="14608"/>
  <c r="EH25" i="14608"/>
  <c r="EI25" i="14608"/>
  <c r="EJ25" i="14608"/>
  <c r="EK25" i="14608"/>
  <c r="EL25" i="14608"/>
  <c r="EM25" i="14608"/>
  <c r="EN25" i="14608"/>
  <c r="EO25" i="14608"/>
  <c r="EP25" i="14608"/>
  <c r="EQ25" i="14608"/>
  <c r="ER25" i="14608"/>
  <c r="ES25" i="14608"/>
  <c r="ET25" i="14608"/>
  <c r="EU25" i="14608"/>
  <c r="EV25" i="14608"/>
  <c r="EW25" i="14608"/>
  <c r="EX25" i="14608"/>
  <c r="EY25" i="14608"/>
  <c r="EZ25" i="14608"/>
  <c r="FB25" i="14608"/>
  <c r="FC25" i="14608"/>
  <c r="FD25" i="14608"/>
  <c r="FE25" i="14608"/>
  <c r="FF25" i="14608"/>
  <c r="FG25" i="14608"/>
  <c r="FH25" i="14608"/>
  <c r="FI25" i="14608"/>
  <c r="FJ25" i="14608"/>
  <c r="FK25" i="14608"/>
  <c r="FL25" i="14608"/>
  <c r="FM25" i="14608"/>
  <c r="FN25" i="14608"/>
  <c r="FO25" i="14608"/>
  <c r="FP25" i="14608"/>
  <c r="FQ25" i="14608"/>
  <c r="FR25" i="14608"/>
  <c r="FS25" i="14608"/>
  <c r="FT25" i="14608"/>
  <c r="FU25" i="14608"/>
  <c r="FV25" i="14608"/>
  <c r="FW25" i="14608"/>
  <c r="FX25" i="14608"/>
  <c r="FY25" i="14608"/>
  <c r="FZ25" i="14608"/>
  <c r="GA25" i="14608"/>
  <c r="GB25" i="14608"/>
  <c r="GC25" i="14608"/>
  <c r="GD25" i="14608"/>
  <c r="GE25" i="14608"/>
  <c r="GG25" i="14608"/>
  <c r="GH25" i="14608"/>
  <c r="GI25" i="14608"/>
  <c r="GJ25" i="14608"/>
  <c r="GK25" i="14608"/>
  <c r="GL25" i="14608"/>
  <c r="GM25" i="14608"/>
  <c r="GN25" i="14608"/>
  <c r="GO25" i="14608"/>
  <c r="GP25" i="14608"/>
  <c r="GQ25" i="14608"/>
  <c r="GR25" i="14608"/>
  <c r="GS25" i="14608"/>
  <c r="GT25" i="14608"/>
  <c r="GU25" i="14608"/>
  <c r="GV25" i="14608"/>
  <c r="GW25" i="14608"/>
  <c r="GX25" i="14608"/>
  <c r="GY25" i="14608"/>
  <c r="GZ25" i="14608"/>
  <c r="HA25" i="14608"/>
  <c r="HB25" i="14608"/>
  <c r="HC25" i="14608"/>
  <c r="HD25" i="14608"/>
  <c r="HE25" i="14608"/>
  <c r="HF25" i="14608"/>
  <c r="HG25" i="14608"/>
  <c r="HH25" i="14608"/>
  <c r="HI25" i="14608"/>
  <c r="HJ25" i="14608"/>
  <c r="HK25" i="14608"/>
  <c r="HL25" i="14608"/>
  <c r="HM25" i="14608"/>
  <c r="HN25" i="14608"/>
  <c r="HO25" i="14608"/>
  <c r="HP25" i="14608"/>
  <c r="HR25" i="14608"/>
  <c r="HS25" i="14608"/>
  <c r="HT25" i="14608"/>
  <c r="HU25" i="14608"/>
  <c r="HV25" i="14608"/>
  <c r="HW25" i="14608"/>
  <c r="HX25" i="14608"/>
  <c r="HY25" i="14608"/>
  <c r="HZ25" i="14608"/>
  <c r="IA25" i="14608"/>
  <c r="IB25" i="14608"/>
  <c r="IC25" i="14608"/>
  <c r="ID25" i="14608"/>
  <c r="IE25" i="14608"/>
  <c r="IF25" i="14608"/>
  <c r="IG25" i="14608"/>
  <c r="IH25" i="14608"/>
  <c r="II25" i="14608"/>
  <c r="IJ25" i="14608"/>
  <c r="IK25" i="14608"/>
  <c r="IL25" i="14608"/>
  <c r="IM25" i="14608"/>
  <c r="IN25" i="14608"/>
  <c r="IO25" i="14608"/>
  <c r="IP25" i="14608"/>
  <c r="IQ25" i="14608"/>
  <c r="IR25" i="14608"/>
  <c r="IS25" i="14608"/>
  <c r="IT25" i="14608"/>
  <c r="IU25" i="14608"/>
  <c r="IV25" i="14608"/>
  <c r="A24" i="14608"/>
  <c r="B24" i="14608"/>
  <c r="C24" i="14608"/>
  <c r="D24" i="14608"/>
  <c r="E24" i="14608"/>
  <c r="F24" i="14608"/>
  <c r="G24" i="14608"/>
  <c r="H24" i="14608"/>
  <c r="I24" i="14608"/>
  <c r="J24" i="14608"/>
  <c r="K24" i="14608"/>
  <c r="L24" i="14608"/>
  <c r="M24" i="14608"/>
  <c r="N24" i="14608"/>
  <c r="O24" i="14608"/>
  <c r="P24" i="14608"/>
  <c r="Q24" i="14608"/>
  <c r="R24" i="14608"/>
  <c r="S24" i="14608"/>
  <c r="T24" i="14608"/>
  <c r="U24" i="14608"/>
  <c r="V24" i="14608"/>
  <c r="W24" i="14608"/>
  <c r="X24" i="14608"/>
  <c r="Y24" i="14608"/>
  <c r="Z24" i="14608"/>
  <c r="AA24" i="14608"/>
  <c r="AB24" i="14608"/>
  <c r="AC24" i="14608"/>
  <c r="AD24" i="14608"/>
  <c r="AE24" i="14608"/>
  <c r="AF24" i="14608"/>
  <c r="AG24" i="14608"/>
  <c r="AH24" i="14608"/>
  <c r="AI24" i="14608"/>
  <c r="AJ24" i="14608"/>
  <c r="AK24" i="14608"/>
  <c r="AL24" i="14608"/>
  <c r="AM24" i="14608"/>
  <c r="AN24" i="14608"/>
  <c r="AO24" i="14608"/>
  <c r="AP24" i="14608"/>
  <c r="AQ24" i="14608"/>
  <c r="AR24" i="14608"/>
  <c r="AS24" i="14608"/>
  <c r="AT24" i="14608"/>
  <c r="AU24" i="14608"/>
  <c r="AV24" i="14608"/>
  <c r="AW24" i="14608"/>
  <c r="AX24" i="14608"/>
  <c r="AY24" i="14608"/>
  <c r="AZ24" i="14608"/>
  <c r="BA24" i="14608"/>
  <c r="BB24" i="14608"/>
  <c r="BC24" i="14608"/>
  <c r="BD24" i="14608"/>
  <c r="BE24" i="14608"/>
  <c r="BF24" i="14608"/>
  <c r="BI24" i="14608"/>
  <c r="BK24" i="14608"/>
  <c r="BL24" i="14608"/>
  <c r="BN24" i="14608"/>
  <c r="BO24" i="14608"/>
  <c r="BP24" i="14608"/>
  <c r="BQ24" i="14608"/>
  <c r="BR24" i="14608"/>
  <c r="BS24" i="14608"/>
  <c r="BT24" i="14608"/>
  <c r="BU24" i="14608"/>
  <c r="BV24" i="14608"/>
  <c r="BW24" i="14608"/>
  <c r="BX24" i="14608"/>
  <c r="BY24" i="14608"/>
  <c r="BZ24" i="14608"/>
  <c r="CA24" i="14608"/>
  <c r="CB24" i="14608"/>
  <c r="CC24" i="14608"/>
  <c r="CD24" i="14608"/>
  <c r="CE24" i="14608"/>
  <c r="CF24" i="14608"/>
  <c r="CG24" i="14608"/>
  <c r="CH24" i="14608"/>
  <c r="CI24" i="14608"/>
  <c r="CJ24" i="14608"/>
  <c r="CK24" i="14608"/>
  <c r="CL24" i="14608"/>
  <c r="CM24" i="14608"/>
  <c r="CN24" i="14608"/>
  <c r="CO24" i="14608"/>
  <c r="CP24" i="14608"/>
  <c r="CQ24" i="14608"/>
  <c r="CR24" i="14608"/>
  <c r="CS24" i="14608"/>
  <c r="CT24" i="14608"/>
  <c r="CU24" i="14608"/>
  <c r="CV24" i="14608"/>
  <c r="CW24" i="14608"/>
  <c r="CX24" i="14608"/>
  <c r="CY24" i="14608"/>
  <c r="CZ24" i="14608"/>
  <c r="DA24" i="14608"/>
  <c r="DB24" i="14608"/>
  <c r="DC24" i="14608"/>
  <c r="DD24" i="14608"/>
  <c r="DE24" i="14608"/>
  <c r="DF24" i="14608"/>
  <c r="DG24" i="14608"/>
  <c r="DH24" i="14608"/>
  <c r="DI24" i="14608"/>
  <c r="DJ24" i="14608"/>
  <c r="DK24" i="14608"/>
  <c r="DL24" i="14608"/>
  <c r="DM24" i="14608"/>
  <c r="DN24" i="14608"/>
  <c r="DO24" i="14608"/>
  <c r="DP24" i="14608"/>
  <c r="DQ24" i="14608"/>
  <c r="DR24" i="14608"/>
  <c r="DS24" i="14608"/>
  <c r="DT24" i="14608"/>
  <c r="DU24" i="14608"/>
  <c r="DV24" i="14608"/>
  <c r="DX24" i="14608"/>
  <c r="DY24" i="14608"/>
  <c r="DZ24" i="14608"/>
  <c r="EA24" i="14608"/>
  <c r="EB24" i="14608"/>
  <c r="EC24" i="14608"/>
  <c r="ED24" i="14608"/>
  <c r="EE24" i="14608"/>
  <c r="EF24" i="14608"/>
  <c r="EG24" i="14608"/>
  <c r="EH24" i="14608"/>
  <c r="EI24" i="14608"/>
  <c r="EJ24" i="14608"/>
  <c r="EK24" i="14608"/>
  <c r="EL24" i="14608"/>
  <c r="EM24" i="14608"/>
  <c r="EN24" i="14608"/>
  <c r="EO24" i="14608"/>
  <c r="EP24" i="14608"/>
  <c r="EQ24" i="14608"/>
  <c r="ER24" i="14608"/>
  <c r="ES24" i="14608"/>
  <c r="ET24" i="14608"/>
  <c r="EU24" i="14608"/>
  <c r="EV24" i="14608"/>
  <c r="EW24" i="14608"/>
  <c r="EX24" i="14608"/>
  <c r="EY24" i="14608"/>
  <c r="EZ24" i="14608"/>
  <c r="FA24" i="14608"/>
  <c r="FB24" i="14608"/>
  <c r="FC24" i="14608"/>
  <c r="FD24" i="14608"/>
  <c r="FE24" i="14608"/>
  <c r="FF24" i="14608"/>
  <c r="FG24" i="14608"/>
  <c r="FH24" i="14608"/>
  <c r="FI24" i="14608"/>
  <c r="FJ24" i="14608"/>
  <c r="FK24" i="14608"/>
  <c r="FL24" i="14608"/>
  <c r="FM24" i="14608"/>
  <c r="FN24" i="14608"/>
  <c r="FO24" i="14608"/>
  <c r="FP24" i="14608"/>
  <c r="FQ24" i="14608"/>
  <c r="FR24" i="14608"/>
  <c r="FS24" i="14608"/>
  <c r="FT24" i="14608"/>
  <c r="FU24" i="14608"/>
  <c r="FV24" i="14608"/>
  <c r="FW24" i="14608"/>
  <c r="FX24" i="14608"/>
  <c r="FY24" i="14608"/>
  <c r="FZ24" i="14608"/>
  <c r="GA24" i="14608"/>
  <c r="GB24" i="14608"/>
  <c r="GC24" i="14608"/>
  <c r="GD24" i="14608"/>
  <c r="GE24" i="14608"/>
  <c r="GF24" i="14608"/>
  <c r="GG24" i="14608"/>
  <c r="GH24" i="14608"/>
  <c r="GI24" i="14608"/>
  <c r="GJ24" i="14608"/>
  <c r="GK24" i="14608"/>
  <c r="GL24" i="14608"/>
  <c r="GM24" i="14608"/>
  <c r="GN24" i="14608"/>
  <c r="GO24" i="14608"/>
  <c r="GP24" i="14608"/>
  <c r="GQ24" i="14608"/>
  <c r="GR24" i="14608"/>
  <c r="GS24" i="14608"/>
  <c r="GT24" i="14608"/>
  <c r="GU24" i="14608"/>
  <c r="GV24" i="14608"/>
  <c r="GW24" i="14608"/>
  <c r="GX24" i="14608"/>
  <c r="GY24" i="14608"/>
  <c r="GZ24" i="14608"/>
  <c r="HA24" i="14608"/>
  <c r="HB24" i="14608"/>
  <c r="HC24" i="14608"/>
  <c r="HD24" i="14608"/>
  <c r="HE24" i="14608"/>
  <c r="HF24" i="14608"/>
  <c r="HG24" i="14608"/>
  <c r="HH24" i="14608"/>
  <c r="HI24" i="14608"/>
  <c r="HJ24" i="14608"/>
  <c r="HK24" i="14608"/>
  <c r="HL24" i="14608"/>
  <c r="HM24" i="14608"/>
  <c r="HN24" i="14608"/>
  <c r="HO24" i="14608"/>
  <c r="HP24" i="14608"/>
  <c r="HQ24" i="14608"/>
  <c r="HR24" i="14608"/>
  <c r="HS24" i="14608"/>
  <c r="HT24" i="14608"/>
  <c r="HU24" i="14608"/>
  <c r="HV24" i="14608"/>
  <c r="HW24" i="14608"/>
  <c r="HX24" i="14608"/>
  <c r="HY24" i="14608"/>
  <c r="HZ24" i="14608"/>
  <c r="IA24" i="14608"/>
  <c r="IC24" i="14608"/>
  <c r="ID24" i="14608"/>
  <c r="IE24" i="14608"/>
  <c r="IF24" i="14608"/>
  <c r="IG24" i="14608"/>
  <c r="IH24" i="14608"/>
  <c r="II24" i="14608"/>
  <c r="IJ24" i="14608"/>
  <c r="IK24" i="14608"/>
  <c r="IL24" i="14608"/>
  <c r="IM24" i="14608"/>
  <c r="IN24" i="14608"/>
  <c r="IO24" i="14608"/>
  <c r="IP24" i="14608"/>
  <c r="IQ24" i="14608"/>
  <c r="IR24" i="14608"/>
  <c r="IS24" i="14608"/>
  <c r="IT24" i="14608"/>
  <c r="IU24" i="14608"/>
  <c r="IV24" i="14608"/>
  <c r="A23" i="14608"/>
  <c r="B23" i="14608"/>
  <c r="C23" i="14608"/>
  <c r="D23" i="14608"/>
  <c r="E23" i="14608"/>
  <c r="F23" i="14608"/>
  <c r="G23" i="14608"/>
  <c r="H23" i="14608"/>
  <c r="I23" i="14608"/>
  <c r="J23" i="14608"/>
  <c r="K23" i="14608"/>
  <c r="L23" i="14608"/>
  <c r="M23" i="14608"/>
  <c r="N23" i="14608"/>
  <c r="O23" i="14608"/>
  <c r="P23" i="14608"/>
  <c r="Q23" i="14608"/>
  <c r="R23" i="14608"/>
  <c r="S23" i="14608"/>
  <c r="T23" i="14608"/>
  <c r="U23" i="14608"/>
  <c r="V23" i="14608"/>
  <c r="W23" i="14608"/>
  <c r="X23" i="14608"/>
  <c r="Y23" i="14608"/>
  <c r="Z23" i="14608"/>
  <c r="AA23" i="14608"/>
  <c r="AB23" i="14608"/>
  <c r="AD23" i="14608"/>
  <c r="AE23" i="14608"/>
  <c r="AF23" i="14608"/>
  <c r="AG23" i="14608"/>
  <c r="AH23" i="14608"/>
  <c r="AI23" i="14608"/>
  <c r="AJ23" i="14608"/>
  <c r="AK23" i="14608"/>
  <c r="AL23" i="14608"/>
  <c r="AM23" i="14608"/>
  <c r="AN23" i="14608"/>
  <c r="AO23" i="14608"/>
  <c r="AP23" i="14608"/>
  <c r="AQ23" i="14608"/>
  <c r="AR23" i="14608"/>
  <c r="AS23" i="14608"/>
  <c r="AT23" i="14608"/>
  <c r="AU23" i="14608"/>
  <c r="AV23" i="14608"/>
  <c r="AW23" i="14608"/>
  <c r="AX23" i="14608"/>
  <c r="AY23" i="14608"/>
  <c r="AZ23" i="14608"/>
  <c r="BA23" i="14608"/>
  <c r="BB23" i="14608"/>
  <c r="BC23" i="14608"/>
  <c r="BD23" i="14608"/>
  <c r="BE23" i="14608"/>
  <c r="BF23" i="14608"/>
  <c r="BG23" i="14608"/>
  <c r="BH23" i="14608"/>
  <c r="BI23" i="14608"/>
  <c r="BJ23" i="14608"/>
  <c r="BK23" i="14608"/>
  <c r="BL23" i="14608"/>
  <c r="BM23" i="14608"/>
  <c r="BN23" i="14608"/>
  <c r="BO23" i="14608"/>
  <c r="BP23" i="14608"/>
  <c r="BQ23" i="14608"/>
  <c r="BR23" i="14608"/>
  <c r="BS23" i="14608"/>
  <c r="BT23" i="14608"/>
  <c r="BU23" i="14608"/>
  <c r="BV23" i="14608"/>
  <c r="BW23" i="14608"/>
  <c r="BX23" i="14608"/>
  <c r="BY23" i="14608"/>
  <c r="BZ23" i="14608"/>
  <c r="CA23" i="14608"/>
  <c r="CB23" i="14608"/>
  <c r="CC23" i="14608"/>
  <c r="CD23" i="14608"/>
  <c r="CE23" i="14608"/>
  <c r="CF23" i="14608"/>
  <c r="CG23" i="14608"/>
  <c r="CH23" i="14608"/>
  <c r="CI23" i="14608"/>
  <c r="CJ23" i="14608"/>
  <c r="CK23" i="14608"/>
  <c r="CL23" i="14608"/>
  <c r="CM23" i="14608"/>
  <c r="CN23" i="14608"/>
  <c r="CO23" i="14608"/>
  <c r="CP23" i="14608"/>
  <c r="CQ23" i="14608"/>
  <c r="CR23" i="14608"/>
  <c r="CS23" i="14608"/>
  <c r="CT23" i="14608"/>
  <c r="CU23" i="14608"/>
  <c r="CV23" i="14608"/>
  <c r="CW23" i="14608"/>
  <c r="CX23" i="14608"/>
  <c r="CY23" i="14608"/>
  <c r="CZ23" i="14608"/>
  <c r="DA23" i="14608"/>
  <c r="DB23" i="14608"/>
  <c r="DC23" i="14608"/>
  <c r="DD23" i="14608"/>
  <c r="DE23" i="14608"/>
  <c r="DF23" i="14608"/>
  <c r="DG23" i="14608"/>
  <c r="DH23" i="14608"/>
  <c r="DI23" i="14608"/>
  <c r="DJ23" i="14608"/>
  <c r="DK23" i="14608"/>
  <c r="DL23" i="14608"/>
  <c r="DM23" i="14608"/>
  <c r="DN23" i="14608"/>
  <c r="DO23" i="14608"/>
  <c r="DP23" i="14608"/>
  <c r="DQ23" i="14608"/>
  <c r="DR23" i="14608"/>
  <c r="DS23" i="14608"/>
  <c r="DT23" i="14608"/>
  <c r="DU23" i="14608"/>
  <c r="DV23" i="14608"/>
  <c r="DW23" i="14608"/>
  <c r="DX23" i="14608"/>
  <c r="DY23" i="14608"/>
  <c r="DZ23" i="14608"/>
  <c r="EA23" i="14608"/>
  <c r="EB23" i="14608"/>
  <c r="EC23" i="14608"/>
  <c r="ED23" i="14608"/>
  <c r="EE23" i="14608"/>
  <c r="EF23" i="14608"/>
  <c r="EG23" i="14608"/>
  <c r="EI23" i="14608"/>
  <c r="EJ23" i="14608"/>
  <c r="EL23" i="14608"/>
  <c r="EM23" i="14608"/>
  <c r="EQ23" i="14608"/>
  <c r="ER23" i="14608"/>
  <c r="ES23" i="14608"/>
  <c r="ET23" i="14608"/>
  <c r="EU23" i="14608"/>
  <c r="EV23" i="14608"/>
  <c r="EW23" i="14608"/>
  <c r="EX23" i="14608"/>
  <c r="EY23" i="14608"/>
  <c r="EZ23" i="14608"/>
  <c r="FA23" i="14608"/>
  <c r="FB23" i="14608"/>
  <c r="FC23" i="14608"/>
  <c r="FD23" i="14608"/>
  <c r="FE23" i="14608"/>
  <c r="FF23" i="14608"/>
  <c r="FG23" i="14608"/>
  <c r="FH23" i="14608"/>
  <c r="FI23" i="14608"/>
  <c r="FJ23" i="14608"/>
  <c r="FK23" i="14608"/>
  <c r="FL23" i="14608"/>
  <c r="FM23" i="14608"/>
  <c r="FN23" i="14608"/>
  <c r="FO23" i="14608"/>
  <c r="FP23" i="14608"/>
  <c r="FQ23" i="14608"/>
  <c r="FR23" i="14608"/>
  <c r="FS23" i="14608"/>
  <c r="FT23" i="14608"/>
  <c r="FU23" i="14608"/>
  <c r="FV23" i="14608"/>
  <c r="FW23" i="14608"/>
  <c r="FX23" i="14608"/>
  <c r="FY23" i="14608"/>
  <c r="FZ23" i="14608"/>
  <c r="GA23" i="14608"/>
  <c r="GB23" i="14608"/>
  <c r="GC23" i="14608"/>
  <c r="GD23" i="14608"/>
  <c r="GE23" i="14608"/>
  <c r="GF23" i="14608"/>
  <c r="GG23" i="14608"/>
  <c r="GH23" i="14608"/>
  <c r="GI23" i="14608"/>
  <c r="GJ23" i="14608"/>
  <c r="GK23" i="14608"/>
  <c r="GL23" i="14608"/>
  <c r="GM23" i="14608"/>
  <c r="GN23" i="14608"/>
  <c r="GO23" i="14608"/>
  <c r="GP23" i="14608"/>
  <c r="GQ23" i="14608"/>
  <c r="GR23" i="14608"/>
  <c r="GS23" i="14608"/>
  <c r="GT23" i="14608"/>
  <c r="GU23" i="14608"/>
  <c r="GV23" i="14608"/>
  <c r="GW23" i="14608"/>
  <c r="GY23" i="14608"/>
  <c r="GZ23" i="14608"/>
  <c r="HA23" i="14608"/>
  <c r="HB23" i="14608"/>
  <c r="HC23" i="14608"/>
  <c r="HD23" i="14608"/>
  <c r="HE23" i="14608"/>
  <c r="HF23" i="14608"/>
  <c r="HG23" i="14608"/>
  <c r="HH23" i="14608"/>
  <c r="HI23" i="14608"/>
  <c r="HJ23" i="14608"/>
  <c r="HK23" i="14608"/>
  <c r="HL23" i="14608"/>
  <c r="HM23" i="14608"/>
  <c r="HN23" i="14608"/>
  <c r="HO23" i="14608"/>
  <c r="HP23" i="14608"/>
  <c r="HQ23" i="14608"/>
  <c r="HR23" i="14608"/>
  <c r="HS23" i="14608"/>
  <c r="HT23" i="14608"/>
  <c r="HU23" i="14608"/>
  <c r="HV23" i="14608"/>
  <c r="HW23" i="14608"/>
  <c r="HX23" i="14608"/>
  <c r="HY23" i="14608"/>
  <c r="HZ23" i="14608"/>
  <c r="IA23" i="14608"/>
  <c r="IB23" i="14608"/>
  <c r="IC23" i="14608"/>
  <c r="ID23" i="14608"/>
  <c r="IE23" i="14608"/>
  <c r="IF23" i="14608"/>
  <c r="IG23" i="14608"/>
  <c r="IH23" i="14608"/>
  <c r="II23" i="14608"/>
  <c r="IJ23" i="14608"/>
  <c r="IK23" i="14608"/>
  <c r="IL23" i="14608"/>
  <c r="IM23" i="14608"/>
  <c r="IN23" i="14608"/>
  <c r="IO23" i="14608"/>
  <c r="IP23" i="14608"/>
  <c r="IQ23" i="14608"/>
  <c r="IR23" i="14608"/>
  <c r="IS23" i="14608"/>
  <c r="IT23" i="14608"/>
  <c r="IU23" i="14608"/>
  <c r="IV23" i="14608"/>
  <c r="A22" i="14608"/>
  <c r="B22" i="14608"/>
  <c r="C22" i="14608"/>
  <c r="D22" i="14608"/>
  <c r="E22" i="14608"/>
  <c r="F22" i="14608"/>
  <c r="G22" i="14608"/>
  <c r="H22" i="14608"/>
  <c r="I22" i="14608"/>
  <c r="J22" i="14608"/>
  <c r="K22" i="14608"/>
  <c r="L22" i="14608"/>
  <c r="M22" i="14608"/>
  <c r="N22" i="14608"/>
  <c r="O22" i="14608"/>
  <c r="P22" i="14608"/>
  <c r="Q22" i="14608"/>
  <c r="R22" i="14608"/>
  <c r="S22" i="14608"/>
  <c r="T22" i="14608"/>
  <c r="U22" i="14608"/>
  <c r="V22" i="14608"/>
  <c r="W22" i="14608"/>
  <c r="X22" i="14608"/>
  <c r="Y22" i="14608"/>
  <c r="Z22" i="14608"/>
  <c r="AA22" i="14608"/>
  <c r="AB22" i="14608"/>
  <c r="AC22" i="14608"/>
  <c r="AD22" i="14608"/>
  <c r="AE22" i="14608"/>
  <c r="AF22" i="14608"/>
  <c r="AG22" i="14608"/>
  <c r="AH22" i="14608"/>
  <c r="AI22" i="14608"/>
  <c r="AJ22" i="14608"/>
  <c r="AK22" i="14608"/>
  <c r="AL22" i="14608"/>
  <c r="AM22" i="14608"/>
  <c r="AO22" i="14608"/>
  <c r="AP22" i="14608"/>
  <c r="AQ22" i="14608"/>
  <c r="AR22" i="14608"/>
  <c r="AS22" i="14608"/>
  <c r="AT22" i="14608"/>
  <c r="AU22" i="14608"/>
  <c r="AV22" i="14608"/>
  <c r="AX22" i="14608"/>
  <c r="AY22" i="14608"/>
  <c r="AZ22" i="14608"/>
  <c r="BA22" i="14608"/>
  <c r="BB22" i="14608"/>
  <c r="BC22" i="14608"/>
  <c r="BD22" i="14608"/>
  <c r="BE22" i="14608"/>
  <c r="BF22" i="14608"/>
  <c r="BG22" i="14608"/>
  <c r="BH22" i="14608"/>
  <c r="BI22" i="14608"/>
  <c r="BJ22" i="14608"/>
  <c r="BK22" i="14608"/>
  <c r="BL22" i="14608"/>
  <c r="BM22" i="14608"/>
  <c r="BN22" i="14608"/>
  <c r="BO22" i="14608"/>
  <c r="BP22" i="14608"/>
  <c r="BQ22" i="14608"/>
  <c r="BR22" i="14608"/>
  <c r="BS22" i="14608"/>
  <c r="BU22" i="14608"/>
  <c r="BW22" i="14608"/>
  <c r="BX22" i="14608"/>
  <c r="BY22" i="14608"/>
  <c r="BZ22" i="14608"/>
  <c r="CA22" i="14608"/>
  <c r="CB22" i="14608"/>
  <c r="CC22" i="14608"/>
  <c r="CD22" i="14608"/>
  <c r="CE22" i="14608"/>
  <c r="CF22" i="14608"/>
  <c r="CG22" i="14608"/>
  <c r="CH22" i="14608"/>
  <c r="CI22" i="14608"/>
  <c r="CJ22" i="14608"/>
  <c r="CK22" i="14608"/>
  <c r="CL22" i="14608"/>
  <c r="CM22" i="14608"/>
  <c r="DA22" i="14608"/>
  <c r="DB22" i="14608"/>
  <c r="DC22" i="14608"/>
  <c r="DE22" i="14608"/>
  <c r="DF22" i="14608"/>
  <c r="DG22" i="14608"/>
  <c r="DH22" i="14608"/>
  <c r="DI22" i="14608"/>
  <c r="DJ22" i="14608"/>
  <c r="DK22" i="14608"/>
  <c r="DL22" i="14608"/>
  <c r="DM22" i="14608"/>
  <c r="DN22" i="14608"/>
  <c r="DO22" i="14608"/>
  <c r="DP22" i="14608"/>
  <c r="DQ22" i="14608"/>
  <c r="DR22" i="14608"/>
  <c r="DS22" i="14608"/>
  <c r="DT22" i="14608"/>
  <c r="DU22" i="14608"/>
  <c r="DV22" i="14608"/>
  <c r="DW22" i="14608"/>
  <c r="DX22" i="14608"/>
  <c r="DY22" i="14608"/>
  <c r="DZ22" i="14608"/>
  <c r="EA22" i="14608"/>
  <c r="EB22" i="14608"/>
  <c r="EC22" i="14608"/>
  <c r="ED22" i="14608"/>
  <c r="EE22" i="14608"/>
  <c r="EF22" i="14608"/>
  <c r="EG22" i="14608"/>
  <c r="EH22" i="14608"/>
  <c r="EI22" i="14608"/>
  <c r="EJ22" i="14608"/>
  <c r="EK22" i="14608"/>
  <c r="EL22" i="14608"/>
  <c r="EM22" i="14608"/>
  <c r="EN22" i="14608"/>
  <c r="EO22" i="14608"/>
  <c r="EP22" i="14608"/>
  <c r="EQ22" i="14608"/>
  <c r="ER22" i="14608"/>
  <c r="ES22" i="14608"/>
  <c r="ET22" i="14608"/>
  <c r="EU22" i="14608"/>
  <c r="EV22" i="14608"/>
  <c r="EW22" i="14608"/>
  <c r="EX22" i="14608"/>
  <c r="EY22" i="14608"/>
  <c r="EZ22" i="14608"/>
  <c r="FA22" i="14608"/>
  <c r="FB22" i="14608"/>
  <c r="FC22" i="14608"/>
  <c r="FD22" i="14608"/>
  <c r="FE22" i="14608"/>
  <c r="FF22" i="14608"/>
  <c r="FG22" i="14608"/>
  <c r="FH22" i="14608"/>
  <c r="FI22" i="14608"/>
  <c r="FJ22" i="14608"/>
  <c r="FK22" i="14608"/>
  <c r="FL22" i="14608"/>
  <c r="FM22" i="14608"/>
  <c r="FN22" i="14608"/>
  <c r="FO22" i="14608"/>
  <c r="FP22" i="14608"/>
  <c r="FQ22" i="14608"/>
  <c r="FR22" i="14608"/>
  <c r="FS22" i="14608"/>
  <c r="FT22" i="14608"/>
  <c r="FU22" i="14608"/>
  <c r="FV22" i="14608"/>
  <c r="FW22" i="14608"/>
  <c r="FX22" i="14608"/>
  <c r="FY22" i="14608"/>
  <c r="FZ22" i="14608"/>
  <c r="GA22" i="14608"/>
  <c r="GB22" i="14608"/>
  <c r="GC22" i="14608"/>
  <c r="GD22" i="14608"/>
  <c r="GE22" i="14608"/>
  <c r="GF22" i="14608"/>
  <c r="GG22" i="14608"/>
  <c r="GH22" i="14608"/>
  <c r="GI22" i="14608"/>
  <c r="GJ22" i="14608"/>
  <c r="GK22" i="14608"/>
  <c r="GL22" i="14608"/>
  <c r="GM22" i="14608"/>
  <c r="GN22" i="14608"/>
  <c r="GO22" i="14608"/>
  <c r="GP22" i="14608"/>
  <c r="GQ22" i="14608"/>
  <c r="GR22" i="14608"/>
  <c r="GS22" i="14608"/>
  <c r="GT22" i="14608"/>
  <c r="GU22" i="14608"/>
  <c r="GV22" i="14608"/>
  <c r="GW22" i="14608"/>
  <c r="GX22" i="14608"/>
  <c r="GY22" i="14608"/>
  <c r="GZ22" i="14608"/>
  <c r="HA22" i="14608"/>
  <c r="HB22" i="14608"/>
  <c r="HC22" i="14608"/>
  <c r="HD22" i="14608"/>
  <c r="HE22" i="14608"/>
  <c r="HF22" i="14608"/>
  <c r="HG22" i="14608"/>
  <c r="HH22" i="14608"/>
  <c r="HJ22" i="14608"/>
  <c r="HK22" i="14608"/>
  <c r="HL22" i="14608"/>
  <c r="HM22" i="14608"/>
  <c r="HO22" i="14608"/>
  <c r="HR22" i="14608"/>
  <c r="HS22" i="14608"/>
  <c r="HT22" i="14608"/>
  <c r="HU22" i="14608"/>
  <c r="HV22" i="14608"/>
  <c r="HW22" i="14608"/>
  <c r="HX22" i="14608"/>
  <c r="HY22" i="14608"/>
  <c r="HZ22" i="14608"/>
  <c r="IA22" i="14608"/>
  <c r="IB22" i="14608"/>
  <c r="IC22" i="14608"/>
  <c r="ID22" i="14608"/>
  <c r="IE22" i="14608"/>
  <c r="IF22" i="14608"/>
  <c r="IG22" i="14608"/>
  <c r="IH22" i="14608"/>
  <c r="II22" i="14608"/>
  <c r="IJ22" i="14608"/>
  <c r="IK22" i="14608"/>
  <c r="IL22" i="14608"/>
  <c r="IM22" i="14608"/>
  <c r="IN22" i="14608"/>
  <c r="IO22" i="14608"/>
  <c r="IP22" i="14608"/>
  <c r="IQ22" i="14608"/>
  <c r="IR22" i="14608"/>
  <c r="IS22" i="14608"/>
  <c r="IT22" i="14608"/>
  <c r="IU22" i="14608"/>
  <c r="IV22" i="14608"/>
  <c r="A21" i="14608"/>
  <c r="B21" i="14608"/>
  <c r="C21" i="14608"/>
  <c r="D21" i="14608"/>
  <c r="E21" i="14608"/>
  <c r="F21" i="14608"/>
  <c r="G21" i="14608"/>
  <c r="H21" i="14608"/>
  <c r="I21" i="14608"/>
  <c r="J21" i="14608"/>
  <c r="K21" i="14608"/>
  <c r="L21" i="14608"/>
  <c r="M21" i="14608"/>
  <c r="N21" i="14608"/>
  <c r="O21" i="14608"/>
  <c r="P21" i="14608"/>
  <c r="Q21" i="14608"/>
  <c r="R21" i="14608"/>
  <c r="S21" i="14608"/>
  <c r="T21" i="14608"/>
  <c r="U21" i="14608"/>
  <c r="V21" i="14608"/>
  <c r="W21" i="14608"/>
  <c r="X21" i="14608"/>
  <c r="Y21" i="14608"/>
  <c r="Z21" i="14608"/>
  <c r="AA21" i="14608"/>
  <c r="AB21" i="14608"/>
  <c r="AC21" i="14608"/>
  <c r="AD21" i="14608"/>
  <c r="AE21" i="14608"/>
  <c r="AF21" i="14608"/>
  <c r="AG21" i="14608"/>
  <c r="AH21" i="14608"/>
  <c r="AI21" i="14608"/>
  <c r="AJ21" i="14608"/>
  <c r="AK21" i="14608"/>
  <c r="AL21" i="14608"/>
  <c r="AM21" i="14608"/>
  <c r="AN21" i="14608"/>
  <c r="AO21" i="14608"/>
  <c r="AP21" i="14608"/>
  <c r="AQ21" i="14608"/>
  <c r="AR21" i="14608"/>
  <c r="AS21" i="14608"/>
  <c r="AT21" i="14608"/>
  <c r="AU21" i="14608"/>
  <c r="AV21" i="14608"/>
  <c r="AW21" i="14608"/>
  <c r="AX21" i="14608"/>
  <c r="AY21" i="14608"/>
  <c r="AZ21" i="14608"/>
  <c r="BA21" i="14608"/>
  <c r="BB21" i="14608"/>
  <c r="BC21" i="14608"/>
  <c r="BD21" i="14608"/>
  <c r="BE21" i="14608"/>
  <c r="BF21" i="14608"/>
  <c r="BG21" i="14608"/>
  <c r="BH21" i="14608"/>
  <c r="BI21" i="14608"/>
  <c r="BJ21" i="14608"/>
  <c r="BK21" i="14608"/>
  <c r="BL21" i="14608"/>
  <c r="BM21" i="14608"/>
  <c r="BN21" i="14608"/>
  <c r="BO21" i="14608"/>
  <c r="BP21" i="14608"/>
  <c r="BQ21" i="14608"/>
  <c r="BR21" i="14608"/>
  <c r="BS21" i="14608"/>
  <c r="BT21" i="14608"/>
  <c r="BU21" i="14608"/>
  <c r="BV21" i="14608"/>
  <c r="BW21" i="14608"/>
  <c r="BX21" i="14608"/>
  <c r="BY21" i="14608"/>
  <c r="BZ21" i="14608"/>
  <c r="CA21" i="14608"/>
  <c r="CB21" i="14608"/>
  <c r="CC21" i="14608"/>
  <c r="CD21" i="14608"/>
  <c r="CE21" i="14608"/>
  <c r="CF21" i="14608"/>
  <c r="CG21" i="14608"/>
  <c r="CH21" i="14608"/>
  <c r="CI21" i="14608"/>
  <c r="CJ21" i="14608"/>
  <c r="CK21" i="14608"/>
  <c r="CL21" i="14608"/>
  <c r="CM21" i="14608"/>
  <c r="CN21" i="14608"/>
  <c r="CO21" i="14608"/>
  <c r="CP21" i="14608"/>
  <c r="CQ21" i="14608"/>
  <c r="CR21" i="14608"/>
  <c r="CS21" i="14608"/>
  <c r="CT21" i="14608"/>
  <c r="CU21" i="14608"/>
  <c r="CV21" i="14608"/>
  <c r="CW21" i="14608"/>
  <c r="CX21" i="14608"/>
  <c r="CY21" i="14608"/>
  <c r="CZ21" i="14608"/>
  <c r="DA21" i="14608"/>
  <c r="DB21" i="14608"/>
  <c r="DC21" i="14608"/>
  <c r="DD21" i="14608"/>
  <c r="DE21" i="14608"/>
  <c r="DF21" i="14608"/>
  <c r="DG21" i="14608"/>
  <c r="DH21" i="14608"/>
  <c r="DI21" i="14608"/>
  <c r="DJ21" i="14608"/>
  <c r="DK21" i="14608"/>
  <c r="DL21" i="14608"/>
  <c r="DM21" i="14608"/>
  <c r="DN21" i="14608"/>
  <c r="DO21" i="14608"/>
  <c r="DP21" i="14608"/>
  <c r="DQ21" i="14608"/>
  <c r="DR21" i="14608"/>
  <c r="DS21" i="14608"/>
  <c r="DT21" i="14608"/>
  <c r="DU21" i="14608"/>
  <c r="DV21" i="14608"/>
  <c r="DW21" i="14608"/>
  <c r="DX21" i="14608"/>
  <c r="DY21" i="14608"/>
  <c r="DZ21" i="14608"/>
  <c r="EA21" i="14608"/>
  <c r="EB21" i="14608"/>
  <c r="EC21" i="14608"/>
  <c r="ED21" i="14608"/>
  <c r="EE21" i="14608"/>
  <c r="EF21" i="14608"/>
  <c r="EG21" i="14608"/>
  <c r="EH21" i="14608"/>
  <c r="EI21" i="14608"/>
  <c r="EJ21" i="14608"/>
  <c r="EK21" i="14608"/>
  <c r="EL21" i="14608"/>
  <c r="EM21" i="14608"/>
  <c r="EN21" i="14608"/>
  <c r="EO21" i="14608"/>
  <c r="EP21" i="14608"/>
  <c r="EQ21" i="14608"/>
  <c r="ER21" i="14608"/>
  <c r="ES21" i="14608"/>
  <c r="ET21" i="14608"/>
  <c r="EU21" i="14608"/>
  <c r="EV21" i="14608"/>
  <c r="EW21" i="14608"/>
  <c r="EX21" i="14608"/>
  <c r="EY21" i="14608"/>
  <c r="EZ21" i="14608"/>
  <c r="FA21" i="14608"/>
  <c r="FB21" i="14608"/>
  <c r="FC21" i="14608"/>
  <c r="FD21" i="14608"/>
  <c r="FE21" i="14608"/>
  <c r="FF21" i="14608"/>
  <c r="FG21" i="14608"/>
  <c r="FH21" i="14608"/>
  <c r="FI21" i="14608"/>
  <c r="FJ21" i="14608"/>
  <c r="FK21" i="14608"/>
  <c r="FL21" i="14608"/>
  <c r="FM21" i="14608"/>
  <c r="FN21" i="14608"/>
  <c r="FO21" i="14608"/>
  <c r="FP21" i="14608"/>
  <c r="FQ21" i="14608"/>
  <c r="FR21" i="14608"/>
  <c r="FS21" i="14608"/>
  <c r="FT21" i="14608"/>
  <c r="FU21" i="14608"/>
  <c r="FV21" i="14608"/>
  <c r="FW21" i="14608"/>
  <c r="FX21" i="14608"/>
  <c r="FY21" i="14608"/>
  <c r="FZ21" i="14608"/>
  <c r="GA21" i="14608"/>
  <c r="GB21" i="14608"/>
  <c r="GC21" i="14608"/>
  <c r="GD21" i="14608"/>
  <c r="GE21" i="14608"/>
  <c r="GF21" i="14608"/>
  <c r="GG21" i="14608"/>
  <c r="GH21" i="14608"/>
  <c r="GI21" i="14608"/>
  <c r="GJ21" i="14608"/>
  <c r="GK21" i="14608"/>
  <c r="GL21" i="14608"/>
  <c r="GM21" i="14608"/>
  <c r="GN21" i="14608"/>
  <c r="GO21" i="14608"/>
  <c r="GP21" i="14608"/>
  <c r="GQ21" i="14608"/>
  <c r="GR21" i="14608"/>
  <c r="GS21" i="14608"/>
  <c r="GT21" i="14608"/>
  <c r="GU21" i="14608"/>
  <c r="GV21" i="14608"/>
  <c r="GW21" i="14608"/>
  <c r="GX21" i="14608"/>
  <c r="GY21" i="14608"/>
  <c r="GZ21" i="14608"/>
  <c r="HA21" i="14608"/>
  <c r="HB21" i="14608"/>
  <c r="HC21" i="14608"/>
  <c r="HD21" i="14608"/>
  <c r="HE21" i="14608"/>
  <c r="HF21" i="14608"/>
  <c r="HG21" i="14608"/>
  <c r="HH21" i="14608"/>
  <c r="HI21" i="14608"/>
  <c r="HJ21" i="14608"/>
  <c r="HK21" i="14608"/>
  <c r="HL21" i="14608"/>
  <c r="HM21" i="14608"/>
  <c r="HN21" i="14608"/>
  <c r="HO21" i="14608"/>
  <c r="HP21" i="14608"/>
  <c r="HQ21" i="14608"/>
  <c r="HR21" i="14608"/>
  <c r="HS21" i="14608"/>
  <c r="HT21" i="14608"/>
  <c r="HU21" i="14608"/>
  <c r="HV21" i="14608"/>
  <c r="HW21" i="14608"/>
  <c r="HX21" i="14608"/>
  <c r="HY21" i="14608"/>
  <c r="HZ21" i="14608"/>
  <c r="IA21" i="14608"/>
  <c r="IB21" i="14608"/>
  <c r="IC21" i="14608"/>
  <c r="ID21" i="14608"/>
  <c r="IE21" i="14608"/>
  <c r="IF21" i="14608"/>
  <c r="IG21" i="14608"/>
  <c r="IH21" i="14608"/>
  <c r="II21" i="14608"/>
  <c r="IJ21" i="14608"/>
  <c r="IK21" i="14608"/>
  <c r="IL21" i="14608"/>
  <c r="IM21" i="14608"/>
  <c r="IN21" i="14608"/>
  <c r="IO21" i="14608"/>
  <c r="IP21" i="14608"/>
  <c r="IQ21" i="14608"/>
  <c r="IR21" i="14608"/>
  <c r="IS21" i="14608"/>
  <c r="IT21" i="14608"/>
  <c r="IU21" i="14608"/>
  <c r="IV21" i="14608"/>
  <c r="A20" i="14608"/>
  <c r="B20" i="14608"/>
  <c r="C20" i="14608"/>
  <c r="D20" i="14608"/>
  <c r="E20" i="14608"/>
  <c r="F20" i="14608"/>
  <c r="G20" i="14608"/>
  <c r="H20" i="14608"/>
  <c r="I20" i="14608"/>
  <c r="J20" i="14608"/>
  <c r="K20" i="14608"/>
  <c r="L20" i="14608"/>
  <c r="M20" i="14608"/>
  <c r="N20" i="14608"/>
  <c r="O20" i="14608"/>
  <c r="P20" i="14608"/>
  <c r="Q20" i="14608"/>
  <c r="R20" i="14608"/>
  <c r="S20" i="14608"/>
  <c r="T20" i="14608"/>
  <c r="U20" i="14608"/>
  <c r="V20" i="14608"/>
  <c r="W20" i="14608"/>
  <c r="X20" i="14608"/>
  <c r="Y20" i="14608"/>
  <c r="Z20" i="14608"/>
  <c r="AA20" i="14608"/>
  <c r="AB20" i="14608"/>
  <c r="AC20" i="14608"/>
  <c r="AD20" i="14608"/>
  <c r="AE20" i="14608"/>
  <c r="AF20" i="14608"/>
  <c r="AG20" i="14608"/>
  <c r="AH20" i="14608"/>
  <c r="AI20" i="14608"/>
  <c r="AJ20" i="14608"/>
  <c r="AK20" i="14608"/>
  <c r="AL20" i="14608"/>
  <c r="AM20" i="14608"/>
  <c r="AN20" i="14608"/>
  <c r="AO20" i="14608"/>
  <c r="AP20" i="14608"/>
  <c r="AQ20" i="14608"/>
  <c r="AR20" i="14608"/>
  <c r="AS20" i="14608"/>
  <c r="AT20" i="14608"/>
  <c r="AU20" i="14608"/>
  <c r="AV20" i="14608"/>
  <c r="AW20" i="14608"/>
  <c r="AX20" i="14608"/>
  <c r="AY20" i="14608"/>
  <c r="AZ20" i="14608"/>
  <c r="BA20" i="14608"/>
  <c r="BB20" i="14608"/>
  <c r="BC20" i="14608"/>
  <c r="BD20" i="14608"/>
  <c r="BE20" i="14608"/>
  <c r="BF20" i="14608"/>
  <c r="BG20" i="14608"/>
  <c r="BH20" i="14608"/>
  <c r="BI20" i="14608"/>
  <c r="BJ20" i="14608"/>
  <c r="BK20" i="14608"/>
  <c r="BL20" i="14608"/>
  <c r="BM20" i="14608"/>
  <c r="BN20" i="14608"/>
  <c r="BO20" i="14608"/>
  <c r="BP20" i="14608"/>
  <c r="BQ20" i="14608"/>
  <c r="BR20" i="14608"/>
  <c r="BS20" i="14608"/>
  <c r="BT20" i="14608"/>
  <c r="BU20" i="14608"/>
  <c r="BV20" i="14608"/>
  <c r="BW20" i="14608"/>
  <c r="BX20" i="14608"/>
  <c r="BY20" i="14608"/>
  <c r="BZ20" i="14608"/>
  <c r="CA20" i="14608"/>
  <c r="CB20" i="14608"/>
  <c r="CC20" i="14608"/>
  <c r="CD20" i="14608"/>
  <c r="CE20" i="14608"/>
  <c r="CF20" i="14608"/>
  <c r="CG20" i="14608"/>
  <c r="CH20" i="14608"/>
  <c r="CI20" i="14608"/>
  <c r="CJ20" i="14608"/>
  <c r="CK20" i="14608"/>
  <c r="CL20" i="14608"/>
  <c r="CM20" i="14608"/>
  <c r="CN20" i="14608"/>
  <c r="CO20" i="14608"/>
  <c r="CP20" i="14608"/>
  <c r="CQ20" i="14608"/>
  <c r="CR20" i="14608"/>
  <c r="CS20" i="14608"/>
  <c r="CT20" i="14608"/>
  <c r="CU20" i="14608"/>
  <c r="CV20" i="14608"/>
  <c r="CW20" i="14608"/>
  <c r="CX20" i="14608"/>
  <c r="CY20" i="14608"/>
  <c r="CZ20" i="14608"/>
  <c r="DA20" i="14608"/>
  <c r="DB20" i="14608"/>
  <c r="DC20" i="14608"/>
  <c r="DD20" i="14608"/>
  <c r="DE20" i="14608"/>
  <c r="DF20" i="14608"/>
  <c r="DG20" i="14608"/>
  <c r="DH20" i="14608"/>
  <c r="DI20" i="14608"/>
  <c r="DJ20" i="14608"/>
  <c r="DK20" i="14608"/>
  <c r="DL20" i="14608"/>
  <c r="DM20" i="14608"/>
  <c r="DN20" i="14608"/>
  <c r="DO20" i="14608"/>
  <c r="DP20" i="14608"/>
  <c r="DQ20" i="14608"/>
  <c r="DR20" i="14608"/>
  <c r="DS20" i="14608"/>
  <c r="DT20" i="14608"/>
  <c r="DU20" i="14608"/>
  <c r="DV20" i="14608"/>
  <c r="DW20" i="14608"/>
  <c r="DX20" i="14608"/>
  <c r="DY20" i="14608"/>
  <c r="DZ20" i="14608"/>
  <c r="EA20" i="14608"/>
  <c r="EB20" i="14608"/>
  <c r="EC20" i="14608"/>
  <c r="ED20" i="14608"/>
  <c r="EE20" i="14608"/>
  <c r="EF20" i="14608"/>
  <c r="EG20" i="14608"/>
  <c r="EH20" i="14608"/>
  <c r="EI20" i="14608"/>
  <c r="EJ20" i="14608"/>
  <c r="EK20" i="14608"/>
  <c r="EL20" i="14608"/>
  <c r="EM20" i="14608"/>
  <c r="EN20" i="14608"/>
  <c r="EO20" i="14608"/>
  <c r="EP20" i="14608"/>
  <c r="EQ20" i="14608"/>
  <c r="ER20" i="14608"/>
  <c r="ES20" i="14608"/>
  <c r="ET20" i="14608"/>
  <c r="EU20" i="14608"/>
  <c r="EV20" i="14608"/>
  <c r="EW20" i="14608"/>
  <c r="EX20" i="14608"/>
  <c r="EY20" i="14608"/>
  <c r="EZ20" i="14608"/>
  <c r="FA20" i="14608"/>
  <c r="FB20" i="14608"/>
  <c r="FC20" i="14608"/>
  <c r="FD20" i="14608"/>
  <c r="FE20" i="14608"/>
  <c r="FF20" i="14608"/>
  <c r="FG20" i="14608"/>
  <c r="FH20" i="14608"/>
  <c r="FI20" i="14608"/>
  <c r="FJ20" i="14608"/>
  <c r="FK20" i="14608"/>
  <c r="FL20" i="14608"/>
  <c r="FM20" i="14608"/>
  <c r="FN20" i="14608"/>
  <c r="FO20" i="14608"/>
  <c r="FP20" i="14608"/>
  <c r="FQ20" i="14608"/>
  <c r="FR20" i="14608"/>
  <c r="FS20" i="14608"/>
  <c r="FT20" i="14608"/>
  <c r="FU20" i="14608"/>
  <c r="FV20" i="14608"/>
  <c r="FW20" i="14608"/>
  <c r="FX20" i="14608"/>
  <c r="FY20" i="14608"/>
  <c r="FZ20" i="14608"/>
  <c r="GA20" i="14608"/>
  <c r="GB20" i="14608"/>
  <c r="GC20" i="14608"/>
  <c r="GD20" i="14608"/>
  <c r="GE20" i="14608"/>
  <c r="GF20" i="14608"/>
  <c r="GG20" i="14608"/>
  <c r="GH20" i="14608"/>
  <c r="GI20" i="14608"/>
  <c r="GJ20" i="14608"/>
  <c r="GK20" i="14608"/>
  <c r="GL20" i="14608"/>
  <c r="GM20" i="14608"/>
  <c r="GN20" i="14608"/>
  <c r="GO20" i="14608"/>
  <c r="GP20" i="14608"/>
  <c r="GQ20" i="14608"/>
  <c r="GR20" i="14608"/>
  <c r="GS20" i="14608"/>
  <c r="GT20" i="14608"/>
  <c r="GU20" i="14608"/>
  <c r="GV20" i="14608"/>
  <c r="GW20" i="14608"/>
  <c r="GX20" i="14608"/>
  <c r="GY20" i="14608"/>
  <c r="GZ20" i="14608"/>
  <c r="HA20" i="14608"/>
  <c r="HB20" i="14608"/>
  <c r="HC20" i="14608"/>
  <c r="HD20" i="14608"/>
  <c r="HE20" i="14608"/>
  <c r="HF20" i="14608"/>
  <c r="HG20" i="14608"/>
  <c r="HH20" i="14608"/>
  <c r="HI20" i="14608"/>
  <c r="HJ20" i="14608"/>
  <c r="HK20" i="14608"/>
  <c r="HL20" i="14608"/>
  <c r="HM20" i="14608"/>
  <c r="HN20" i="14608"/>
  <c r="HO20" i="14608"/>
  <c r="HP20" i="14608"/>
  <c r="HQ20" i="14608"/>
  <c r="HR20" i="14608"/>
  <c r="HS20" i="14608"/>
  <c r="HT20" i="14608"/>
  <c r="HU20" i="14608"/>
  <c r="HV20" i="14608"/>
  <c r="HW20" i="14608"/>
  <c r="HX20" i="14608"/>
  <c r="HY20" i="14608"/>
  <c r="HZ20" i="14608"/>
  <c r="IA20" i="14608"/>
  <c r="IB20" i="14608"/>
  <c r="IC20" i="14608"/>
  <c r="ID20" i="14608"/>
  <c r="IE20" i="14608"/>
  <c r="IF20" i="14608"/>
  <c r="IG20" i="14608"/>
  <c r="IH20" i="14608"/>
  <c r="II20" i="14608"/>
  <c r="IJ20" i="14608"/>
  <c r="IK20" i="14608"/>
  <c r="IL20" i="14608"/>
  <c r="IM20" i="14608"/>
  <c r="IN20" i="14608"/>
  <c r="IO20" i="14608"/>
  <c r="IP20" i="14608"/>
  <c r="IQ20" i="14608"/>
  <c r="IR20" i="14608"/>
  <c r="IS20" i="14608"/>
  <c r="IT20" i="14608"/>
  <c r="IU20" i="14608"/>
  <c r="IV20" i="14608"/>
  <c r="A19" i="14608"/>
  <c r="B19" i="14608"/>
  <c r="C19" i="14608"/>
  <c r="D19" i="14608"/>
  <c r="E19" i="14608"/>
  <c r="F19" i="14608"/>
  <c r="G19" i="14608"/>
  <c r="H19" i="14608"/>
  <c r="I19" i="14608"/>
  <c r="J19" i="14608"/>
  <c r="K19" i="14608"/>
  <c r="L19" i="14608"/>
  <c r="M19" i="14608"/>
  <c r="N19" i="14608"/>
  <c r="O19" i="14608"/>
  <c r="P19" i="14608"/>
  <c r="Q19" i="14608"/>
  <c r="R19" i="14608"/>
  <c r="S19" i="14608"/>
  <c r="T19" i="14608"/>
  <c r="U19" i="14608"/>
  <c r="V19" i="14608"/>
  <c r="W19" i="14608"/>
  <c r="X19" i="14608"/>
  <c r="Y19" i="14608"/>
  <c r="Z19" i="14608"/>
  <c r="AA19" i="14608"/>
  <c r="AB19" i="14608"/>
  <c r="AC19" i="14608"/>
  <c r="AD19" i="14608"/>
  <c r="AE19" i="14608"/>
  <c r="AF19" i="14608"/>
  <c r="AG19" i="14608"/>
  <c r="AH19" i="14608"/>
  <c r="AI19" i="14608"/>
  <c r="AJ19" i="14608"/>
  <c r="AK19" i="14608"/>
  <c r="AL19" i="14608"/>
  <c r="AM19" i="14608"/>
  <c r="AN19" i="14608"/>
  <c r="AO19" i="14608"/>
  <c r="AP19" i="14608"/>
  <c r="AQ19" i="14608"/>
  <c r="AR19" i="14608"/>
  <c r="AS19" i="14608"/>
  <c r="AT19" i="14608"/>
  <c r="AU19" i="14608"/>
  <c r="AV19" i="14608"/>
  <c r="AW19" i="14608"/>
  <c r="AX19" i="14608"/>
  <c r="AY19" i="14608"/>
  <c r="AZ19" i="14608"/>
  <c r="BA19" i="14608"/>
  <c r="BB19" i="14608"/>
  <c r="BC19" i="14608"/>
  <c r="BD19" i="14608"/>
  <c r="BE19" i="14608"/>
  <c r="BF19" i="14608"/>
  <c r="BG19" i="14608"/>
  <c r="BH19" i="14608"/>
  <c r="BI19" i="14608"/>
  <c r="BJ19" i="14608"/>
  <c r="BK19" i="14608"/>
  <c r="BL19" i="14608"/>
  <c r="BM19" i="14608"/>
  <c r="BN19" i="14608"/>
  <c r="BO19" i="14608"/>
  <c r="BP19" i="14608"/>
  <c r="BQ19" i="14608"/>
  <c r="BR19" i="14608"/>
  <c r="BS19" i="14608"/>
  <c r="BT19" i="14608"/>
  <c r="BU19" i="14608"/>
  <c r="BV19" i="14608"/>
  <c r="BW19" i="14608"/>
  <c r="BX19" i="14608"/>
  <c r="BY19" i="14608"/>
  <c r="BZ19" i="14608"/>
  <c r="CA19" i="14608"/>
  <c r="CB19" i="14608"/>
  <c r="CC19" i="14608"/>
  <c r="CD19" i="14608"/>
  <c r="CE19" i="14608"/>
  <c r="CF19" i="14608"/>
  <c r="CG19" i="14608"/>
  <c r="CH19" i="14608"/>
  <c r="CI19" i="14608"/>
  <c r="CJ19" i="14608"/>
  <c r="CK19" i="14608"/>
  <c r="CL19" i="14608"/>
  <c r="CM19" i="14608"/>
  <c r="CN19" i="14608"/>
  <c r="CO19" i="14608"/>
  <c r="CP19" i="14608"/>
  <c r="CQ19" i="14608"/>
  <c r="CR19" i="14608"/>
  <c r="CS19" i="14608"/>
  <c r="CT19" i="14608"/>
  <c r="CU19" i="14608"/>
  <c r="CV19" i="14608"/>
  <c r="CW19" i="14608"/>
  <c r="CX19" i="14608"/>
  <c r="CY19" i="14608"/>
  <c r="CZ19" i="14608"/>
  <c r="DA19" i="14608"/>
  <c r="DB19" i="14608"/>
  <c r="DC19" i="14608"/>
  <c r="DD19" i="14608"/>
  <c r="DE19" i="14608"/>
  <c r="DF19" i="14608"/>
  <c r="DG19" i="14608"/>
  <c r="DH19" i="14608"/>
  <c r="DI19" i="14608"/>
  <c r="DJ19" i="14608"/>
  <c r="DK19" i="14608"/>
  <c r="DL19" i="14608"/>
  <c r="DM19" i="14608"/>
  <c r="DN19" i="14608"/>
  <c r="DO19" i="14608"/>
  <c r="DP19" i="14608"/>
  <c r="DQ19" i="14608"/>
  <c r="DR19" i="14608"/>
  <c r="DS19" i="14608"/>
  <c r="DT19" i="14608"/>
  <c r="DU19" i="14608"/>
  <c r="DV19" i="14608"/>
  <c r="DW19" i="14608"/>
  <c r="DX19" i="14608"/>
  <c r="DY19" i="14608"/>
  <c r="DZ19" i="14608"/>
  <c r="EA19" i="14608"/>
  <c r="EB19" i="14608"/>
  <c r="EC19" i="14608"/>
  <c r="ED19" i="14608"/>
  <c r="EE19" i="14608"/>
  <c r="EF19" i="14608"/>
  <c r="EG19" i="14608"/>
  <c r="EH19" i="14608"/>
  <c r="EI19" i="14608"/>
  <c r="EJ19" i="14608"/>
  <c r="EK19" i="14608"/>
  <c r="EL19" i="14608"/>
  <c r="EM19" i="14608"/>
  <c r="EN19" i="14608"/>
  <c r="EO19" i="14608"/>
  <c r="EP19" i="14608"/>
  <c r="EQ19" i="14608"/>
  <c r="ER19" i="14608"/>
  <c r="ES19" i="14608"/>
  <c r="ET19" i="14608"/>
  <c r="EU19" i="14608"/>
  <c r="EV19" i="14608"/>
  <c r="EW19" i="14608"/>
  <c r="EX19" i="14608"/>
  <c r="EY19" i="14608"/>
  <c r="EZ19" i="14608"/>
  <c r="FA19" i="14608"/>
  <c r="FB19" i="14608"/>
  <c r="FC19" i="14608"/>
  <c r="FD19" i="14608"/>
  <c r="FE19" i="14608"/>
  <c r="FF19" i="14608"/>
  <c r="FG19" i="14608"/>
  <c r="FH19" i="14608"/>
  <c r="FI19" i="14608"/>
  <c r="FJ19" i="14608"/>
  <c r="FK19" i="14608"/>
  <c r="FL19" i="14608"/>
  <c r="FM19" i="14608"/>
  <c r="FN19" i="14608"/>
  <c r="FO19" i="14608"/>
  <c r="FP19" i="14608"/>
  <c r="FQ19" i="14608"/>
  <c r="FR19" i="14608"/>
  <c r="FS19" i="14608"/>
  <c r="FT19" i="14608"/>
  <c r="FU19" i="14608"/>
  <c r="FV19" i="14608"/>
  <c r="FW19" i="14608"/>
  <c r="FX19" i="14608"/>
  <c r="FY19" i="14608"/>
  <c r="FZ19" i="14608"/>
  <c r="GA19" i="14608"/>
  <c r="GB19" i="14608"/>
  <c r="GC19" i="14608"/>
  <c r="GD19" i="14608"/>
  <c r="GE19" i="14608"/>
  <c r="GF19" i="14608"/>
  <c r="GG19" i="14608"/>
  <c r="GH19" i="14608"/>
  <c r="GI19" i="14608"/>
  <c r="GJ19" i="14608"/>
  <c r="GK19" i="14608"/>
  <c r="GL19" i="14608"/>
  <c r="GM19" i="14608"/>
  <c r="GN19" i="14608"/>
  <c r="GO19" i="14608"/>
  <c r="GP19" i="14608"/>
  <c r="GQ19" i="14608"/>
  <c r="GR19" i="14608"/>
  <c r="GS19" i="14608"/>
  <c r="GT19" i="14608"/>
  <c r="GU19" i="14608"/>
  <c r="GV19" i="14608"/>
  <c r="GW19" i="14608"/>
  <c r="GX19" i="14608"/>
  <c r="GY19" i="14608"/>
  <c r="GZ19" i="14608"/>
  <c r="HA19" i="14608"/>
  <c r="HB19" i="14608"/>
  <c r="HC19" i="14608"/>
  <c r="HD19" i="14608"/>
  <c r="HE19" i="14608"/>
  <c r="HF19" i="14608"/>
  <c r="HG19" i="14608"/>
  <c r="HH19" i="14608"/>
  <c r="HI19" i="14608"/>
  <c r="HJ19" i="14608"/>
  <c r="HK19" i="14608"/>
  <c r="HL19" i="14608"/>
  <c r="HM19" i="14608"/>
  <c r="HN19" i="14608"/>
  <c r="HO19" i="14608"/>
  <c r="HP19" i="14608"/>
  <c r="HQ19" i="14608"/>
  <c r="HR19" i="14608"/>
  <c r="HS19" i="14608"/>
  <c r="HT19" i="14608"/>
  <c r="HU19" i="14608"/>
  <c r="HV19" i="14608"/>
  <c r="HW19" i="14608"/>
  <c r="HX19" i="14608"/>
  <c r="HY19" i="14608"/>
  <c r="HZ19" i="14608"/>
  <c r="IA19" i="14608"/>
  <c r="IB19" i="14608"/>
  <c r="IC19" i="14608"/>
  <c r="ID19" i="14608"/>
  <c r="IE19" i="14608"/>
  <c r="IF19" i="14608"/>
  <c r="IG19" i="14608"/>
  <c r="IH19" i="14608"/>
  <c r="II19" i="14608"/>
  <c r="IJ19" i="14608"/>
  <c r="IK19" i="14608"/>
  <c r="IL19" i="14608"/>
  <c r="IM19" i="14608"/>
  <c r="IN19" i="14608"/>
  <c r="IO19" i="14608"/>
  <c r="IP19" i="14608"/>
  <c r="IQ19" i="14608"/>
  <c r="IR19" i="14608"/>
  <c r="IS19" i="14608"/>
  <c r="IT19" i="14608"/>
  <c r="IU19" i="14608"/>
  <c r="IV19" i="14608"/>
  <c r="A18" i="14608"/>
  <c r="B18" i="14608"/>
  <c r="C18" i="14608"/>
  <c r="D18" i="14608"/>
  <c r="E18" i="14608"/>
  <c r="F18" i="14608"/>
  <c r="G18" i="14608"/>
  <c r="H18" i="14608"/>
  <c r="I18" i="14608"/>
  <c r="J18" i="14608"/>
  <c r="K18" i="14608"/>
  <c r="L18" i="14608"/>
  <c r="M18" i="14608"/>
  <c r="N18" i="14608"/>
  <c r="O18" i="14608"/>
  <c r="P18" i="14608"/>
  <c r="Q18" i="14608"/>
  <c r="R18" i="14608"/>
  <c r="S18" i="14608"/>
  <c r="T18" i="14608"/>
  <c r="U18" i="14608"/>
  <c r="V18" i="14608"/>
  <c r="W18" i="14608"/>
  <c r="X18" i="14608"/>
  <c r="Y18" i="14608"/>
  <c r="Z18" i="14608"/>
  <c r="AA18" i="14608"/>
  <c r="AB18" i="14608"/>
  <c r="AC18" i="14608"/>
  <c r="AD18" i="14608"/>
  <c r="AE18" i="14608"/>
  <c r="AF18" i="14608"/>
  <c r="AG18" i="14608"/>
  <c r="AH18" i="14608"/>
  <c r="AI18" i="14608"/>
  <c r="AJ18" i="14608"/>
  <c r="AK18" i="14608"/>
  <c r="AL18" i="14608"/>
  <c r="AM18" i="14608"/>
  <c r="AN18" i="14608"/>
  <c r="AO18" i="14608"/>
  <c r="AP18" i="14608"/>
  <c r="AQ18" i="14608"/>
  <c r="AR18" i="14608"/>
  <c r="AS18" i="14608"/>
  <c r="AT18" i="14608"/>
  <c r="AU18" i="14608"/>
  <c r="AV18" i="14608"/>
  <c r="AW18" i="14608"/>
  <c r="AX18" i="14608"/>
  <c r="AY18" i="14608"/>
  <c r="AZ18" i="14608"/>
  <c r="BA18" i="14608"/>
  <c r="BB18" i="14608"/>
  <c r="BC18" i="14608"/>
  <c r="BD18" i="14608"/>
  <c r="BE18" i="14608"/>
  <c r="BF18" i="14608"/>
  <c r="BG18" i="14608"/>
  <c r="BH18" i="14608"/>
  <c r="BI18" i="14608"/>
  <c r="BJ18" i="14608"/>
  <c r="BK18" i="14608"/>
  <c r="BL18" i="14608"/>
  <c r="BM18" i="14608"/>
  <c r="BN18" i="14608"/>
  <c r="BO18" i="14608"/>
  <c r="BP18" i="14608"/>
  <c r="BQ18" i="14608"/>
  <c r="BR18" i="14608"/>
  <c r="BS18" i="14608"/>
  <c r="BT18" i="14608"/>
  <c r="BU18" i="14608"/>
  <c r="BV18" i="14608"/>
  <c r="BW18" i="14608"/>
  <c r="BX18" i="14608"/>
  <c r="BY18" i="14608"/>
  <c r="BZ18" i="14608"/>
  <c r="CA18" i="14608"/>
  <c r="CB18" i="14608"/>
  <c r="CC18" i="14608"/>
  <c r="CD18" i="14608"/>
  <c r="CE18" i="14608"/>
  <c r="CF18" i="14608"/>
  <c r="CG18" i="14608"/>
  <c r="CH18" i="14608"/>
  <c r="CI18" i="14608"/>
  <c r="CJ18" i="14608"/>
  <c r="CK18" i="14608"/>
  <c r="CL18" i="14608"/>
  <c r="CM18" i="14608"/>
  <c r="CN18" i="14608"/>
  <c r="CO18" i="14608"/>
  <c r="CP18" i="14608"/>
  <c r="CQ18" i="14608"/>
  <c r="CR18" i="14608"/>
  <c r="CS18" i="14608"/>
  <c r="CT18" i="14608"/>
  <c r="CU18" i="14608"/>
  <c r="CV18" i="14608"/>
  <c r="CW18" i="14608"/>
  <c r="CX18" i="14608"/>
  <c r="CY18" i="14608"/>
  <c r="CZ18" i="14608"/>
  <c r="DA18" i="14608"/>
  <c r="DB18" i="14608"/>
  <c r="DC18" i="14608"/>
  <c r="DD18" i="14608"/>
  <c r="DE18" i="14608"/>
  <c r="DF18" i="14608"/>
  <c r="DG18" i="14608"/>
  <c r="DH18" i="14608"/>
  <c r="DI18" i="14608"/>
  <c r="DJ18" i="14608"/>
  <c r="DK18" i="14608"/>
  <c r="DL18" i="14608"/>
  <c r="DM18" i="14608"/>
  <c r="DN18" i="14608"/>
  <c r="DO18" i="14608"/>
  <c r="DP18" i="14608"/>
  <c r="DQ18" i="14608"/>
  <c r="DR18" i="14608"/>
  <c r="DS18" i="14608"/>
  <c r="DT18" i="14608"/>
  <c r="DU18" i="14608"/>
  <c r="DV18" i="14608"/>
  <c r="DW18" i="14608"/>
  <c r="DX18" i="14608"/>
  <c r="DY18" i="14608"/>
  <c r="DZ18" i="14608"/>
  <c r="EA18" i="14608"/>
  <c r="EB18" i="14608"/>
  <c r="EC18" i="14608"/>
  <c r="ED18" i="14608"/>
  <c r="EE18" i="14608"/>
  <c r="EF18" i="14608"/>
  <c r="EG18" i="14608"/>
  <c r="EH18" i="14608"/>
  <c r="EI18" i="14608"/>
  <c r="EJ18" i="14608"/>
  <c r="EK18" i="14608"/>
  <c r="EL18" i="14608"/>
  <c r="EM18" i="14608"/>
  <c r="EN18" i="14608"/>
  <c r="EO18" i="14608"/>
  <c r="EP18" i="14608"/>
  <c r="EQ18" i="14608"/>
  <c r="ER18" i="14608"/>
  <c r="ES18" i="14608"/>
  <c r="ET18" i="14608"/>
  <c r="EU18" i="14608"/>
  <c r="EV18" i="14608"/>
  <c r="EW18" i="14608"/>
  <c r="EX18" i="14608"/>
  <c r="EY18" i="14608"/>
  <c r="EZ18" i="14608"/>
  <c r="FA18" i="14608"/>
  <c r="FB18" i="14608"/>
  <c r="FC18" i="14608"/>
  <c r="FD18" i="14608"/>
  <c r="FE18" i="14608"/>
  <c r="FF18" i="14608"/>
  <c r="FG18" i="14608"/>
  <c r="FH18" i="14608"/>
  <c r="FI18" i="14608"/>
  <c r="FJ18" i="14608"/>
  <c r="FK18" i="14608"/>
  <c r="FL18" i="14608"/>
  <c r="FM18" i="14608"/>
  <c r="FN18" i="14608"/>
  <c r="FO18" i="14608"/>
  <c r="FP18" i="14608"/>
  <c r="FQ18" i="14608"/>
  <c r="FR18" i="14608"/>
  <c r="FS18" i="14608"/>
  <c r="FT18" i="14608"/>
  <c r="FU18" i="14608"/>
  <c r="FV18" i="14608"/>
  <c r="FW18" i="14608"/>
  <c r="FX18" i="14608"/>
  <c r="FY18" i="14608"/>
  <c r="FZ18" i="14608"/>
  <c r="GA18" i="14608"/>
  <c r="GB18" i="14608"/>
  <c r="GC18" i="14608"/>
  <c r="GD18" i="14608"/>
  <c r="GE18" i="14608"/>
  <c r="GF18" i="14608"/>
  <c r="GG18" i="14608"/>
  <c r="GH18" i="14608"/>
  <c r="GI18" i="14608"/>
  <c r="GJ18" i="14608"/>
  <c r="GK18" i="14608"/>
  <c r="GL18" i="14608"/>
  <c r="GM18" i="14608"/>
  <c r="GN18" i="14608"/>
  <c r="GO18" i="14608"/>
  <c r="GP18" i="14608"/>
  <c r="GQ18" i="14608"/>
  <c r="GR18" i="14608"/>
  <c r="GS18" i="14608"/>
  <c r="GT18" i="14608"/>
  <c r="GU18" i="14608"/>
  <c r="GV18" i="14608"/>
  <c r="GW18" i="14608"/>
  <c r="GX18" i="14608"/>
  <c r="GY18" i="14608"/>
  <c r="GZ18" i="14608"/>
  <c r="HA18" i="14608"/>
  <c r="HB18" i="14608"/>
  <c r="HC18" i="14608"/>
  <c r="HD18" i="14608"/>
  <c r="HE18" i="14608"/>
  <c r="HF18" i="14608"/>
  <c r="HG18" i="14608"/>
  <c r="HH18" i="14608"/>
  <c r="HI18" i="14608"/>
  <c r="HJ18" i="14608"/>
  <c r="HK18" i="14608"/>
  <c r="HL18" i="14608"/>
  <c r="HM18" i="14608"/>
  <c r="HN18" i="14608"/>
  <c r="HO18" i="14608"/>
  <c r="HP18" i="14608"/>
  <c r="HQ18" i="14608"/>
  <c r="HR18" i="14608"/>
  <c r="HS18" i="14608"/>
  <c r="HT18" i="14608"/>
  <c r="HU18" i="14608"/>
  <c r="HV18" i="14608"/>
  <c r="HW18" i="14608"/>
  <c r="HX18" i="14608"/>
  <c r="HY18" i="14608"/>
  <c r="HZ18" i="14608"/>
  <c r="IA18" i="14608"/>
  <c r="IB18" i="14608"/>
  <c r="IC18" i="14608"/>
  <c r="ID18" i="14608"/>
  <c r="IE18" i="14608"/>
  <c r="IF18" i="14608"/>
  <c r="IG18" i="14608"/>
  <c r="IH18" i="14608"/>
  <c r="II18" i="14608"/>
  <c r="IJ18" i="14608"/>
  <c r="IK18" i="14608"/>
  <c r="IL18" i="14608"/>
  <c r="IM18" i="14608"/>
  <c r="IN18" i="14608"/>
  <c r="IO18" i="14608"/>
  <c r="IP18" i="14608"/>
  <c r="IQ18" i="14608"/>
  <c r="IR18" i="14608"/>
  <c r="IS18" i="14608"/>
  <c r="IT18" i="14608"/>
  <c r="IU18" i="14608"/>
  <c r="IV18" i="14608"/>
  <c r="A17" i="14608"/>
  <c r="B17" i="14608"/>
  <c r="C17" i="14608"/>
  <c r="D17" i="14608"/>
  <c r="E17" i="14608"/>
  <c r="F17" i="14608"/>
  <c r="G17" i="14608"/>
  <c r="H17" i="14608"/>
  <c r="I17" i="14608"/>
  <c r="J17" i="14608"/>
  <c r="K17" i="14608"/>
  <c r="L17" i="14608"/>
  <c r="M17" i="14608"/>
  <c r="N17" i="14608"/>
  <c r="O17" i="14608"/>
  <c r="P17" i="14608"/>
  <c r="Q17" i="14608"/>
  <c r="R17" i="14608"/>
  <c r="S17" i="14608"/>
  <c r="T17" i="14608"/>
  <c r="U17" i="14608"/>
  <c r="V17" i="14608"/>
  <c r="W17" i="14608"/>
  <c r="X17" i="14608"/>
  <c r="Y17" i="14608"/>
  <c r="Z17" i="14608"/>
  <c r="AA17" i="14608"/>
  <c r="AB17" i="14608"/>
  <c r="AC17" i="14608"/>
  <c r="AD17" i="14608"/>
  <c r="AE17" i="14608"/>
  <c r="AF17" i="14608"/>
  <c r="AG17" i="14608"/>
  <c r="AH17" i="14608"/>
  <c r="AI17" i="14608"/>
  <c r="AJ17" i="14608"/>
  <c r="AK17" i="14608"/>
  <c r="AL17" i="14608"/>
  <c r="AM17" i="14608"/>
  <c r="AN17" i="14608"/>
  <c r="AO17" i="14608"/>
  <c r="AP17" i="14608"/>
  <c r="AQ17" i="14608"/>
  <c r="AR17" i="14608"/>
  <c r="AS17" i="14608"/>
  <c r="AT17" i="14608"/>
  <c r="AU17" i="14608"/>
  <c r="AV17" i="14608"/>
  <c r="AW17" i="14608"/>
  <c r="AX17" i="14608"/>
  <c r="AY17" i="14608"/>
  <c r="AZ17" i="14608"/>
  <c r="BA17" i="14608"/>
  <c r="BB17" i="14608"/>
  <c r="BC17" i="14608"/>
  <c r="BD17" i="14608"/>
  <c r="BE17" i="14608"/>
  <c r="BF17" i="14608"/>
  <c r="BG17" i="14608"/>
  <c r="BH17" i="14608"/>
  <c r="BI17" i="14608"/>
  <c r="BJ17" i="14608"/>
  <c r="BK17" i="14608"/>
  <c r="BL17" i="14608"/>
  <c r="BM17" i="14608"/>
  <c r="BN17" i="14608"/>
  <c r="BO17" i="14608"/>
  <c r="BP17" i="14608"/>
  <c r="BQ17" i="14608"/>
  <c r="BR17" i="14608"/>
  <c r="BS17" i="14608"/>
  <c r="BT17" i="14608"/>
  <c r="BU17" i="14608"/>
  <c r="BV17" i="14608"/>
  <c r="BW17" i="14608"/>
  <c r="BX17" i="14608"/>
  <c r="BY17" i="14608"/>
  <c r="BZ17" i="14608"/>
  <c r="CA17" i="14608"/>
  <c r="CB17" i="14608"/>
  <c r="CC17" i="14608"/>
  <c r="CD17" i="14608"/>
  <c r="CE17" i="14608"/>
  <c r="CF17" i="14608"/>
  <c r="CG17" i="14608"/>
  <c r="CH17" i="14608"/>
  <c r="CI17" i="14608"/>
  <c r="CJ17" i="14608"/>
  <c r="CK17" i="14608"/>
  <c r="CL17" i="14608"/>
  <c r="CM17" i="14608"/>
  <c r="CN17" i="14608"/>
  <c r="CO17" i="14608"/>
  <c r="CP17" i="14608"/>
  <c r="CQ17" i="14608"/>
  <c r="CR17" i="14608"/>
  <c r="CS17" i="14608"/>
  <c r="CT17" i="14608"/>
  <c r="CU17" i="14608"/>
  <c r="CV17" i="14608"/>
  <c r="CW17" i="14608"/>
  <c r="CX17" i="14608"/>
  <c r="CY17" i="14608"/>
  <c r="CZ17" i="14608"/>
  <c r="DA17" i="14608"/>
  <c r="DB17" i="14608"/>
  <c r="DC17" i="14608"/>
  <c r="DD17" i="14608"/>
  <c r="DE17" i="14608"/>
  <c r="DF17" i="14608"/>
  <c r="DG17" i="14608"/>
  <c r="DH17" i="14608"/>
  <c r="DI17" i="14608"/>
  <c r="DJ17" i="14608"/>
  <c r="DK17" i="14608"/>
  <c r="DL17" i="14608"/>
  <c r="DM17" i="14608"/>
  <c r="DN17" i="14608"/>
  <c r="DO17" i="14608"/>
  <c r="DP17" i="14608"/>
  <c r="DQ17" i="14608"/>
  <c r="DR17" i="14608"/>
  <c r="DS17" i="14608"/>
  <c r="DT17" i="14608"/>
  <c r="DU17" i="14608"/>
  <c r="DV17" i="14608"/>
  <c r="DW17" i="14608"/>
  <c r="DX17" i="14608"/>
  <c r="DY17" i="14608"/>
  <c r="DZ17" i="14608"/>
  <c r="EA17" i="14608"/>
  <c r="EB17" i="14608"/>
  <c r="EC17" i="14608"/>
  <c r="ED17" i="14608"/>
  <c r="EE17" i="14608"/>
  <c r="EF17" i="14608"/>
  <c r="EG17" i="14608"/>
  <c r="EH17" i="14608"/>
  <c r="EI17" i="14608"/>
  <c r="EJ17" i="14608"/>
  <c r="EK17" i="14608"/>
  <c r="EL17" i="14608"/>
  <c r="EM17" i="14608"/>
  <c r="EN17" i="14608"/>
  <c r="EO17" i="14608"/>
  <c r="EP17" i="14608"/>
  <c r="EQ17" i="14608"/>
  <c r="ER17" i="14608"/>
  <c r="ES17" i="14608"/>
  <c r="ET17" i="14608"/>
  <c r="EU17" i="14608"/>
  <c r="EV17" i="14608"/>
  <c r="EW17" i="14608"/>
  <c r="EX17" i="14608"/>
  <c r="EY17" i="14608"/>
  <c r="EZ17" i="14608"/>
  <c r="FA17" i="14608"/>
  <c r="FB17" i="14608"/>
  <c r="FC17" i="14608"/>
  <c r="FD17" i="14608"/>
  <c r="FE17" i="14608"/>
  <c r="FF17" i="14608"/>
  <c r="FG17" i="14608"/>
  <c r="FH17" i="14608"/>
  <c r="FI17" i="14608"/>
  <c r="FJ17" i="14608"/>
  <c r="FK17" i="14608"/>
  <c r="FL17" i="14608"/>
  <c r="FM17" i="14608"/>
  <c r="FN17" i="14608"/>
  <c r="FO17" i="14608"/>
  <c r="FP17" i="14608"/>
  <c r="FQ17" i="14608"/>
  <c r="FR17" i="14608"/>
  <c r="FS17" i="14608"/>
  <c r="FT17" i="14608"/>
  <c r="FU17" i="14608"/>
  <c r="FV17" i="14608"/>
  <c r="FW17" i="14608"/>
  <c r="FX17" i="14608"/>
  <c r="FY17" i="14608"/>
  <c r="FZ17" i="14608"/>
  <c r="GA17" i="14608"/>
  <c r="GB17" i="14608"/>
  <c r="GC17" i="14608"/>
  <c r="GD17" i="14608"/>
  <c r="GE17" i="14608"/>
  <c r="GF17" i="14608"/>
  <c r="GG17" i="14608"/>
  <c r="GH17" i="14608"/>
  <c r="GI17" i="14608"/>
  <c r="GJ17" i="14608"/>
  <c r="GK17" i="14608"/>
  <c r="GL17" i="14608"/>
  <c r="GM17" i="14608"/>
  <c r="GN17" i="14608"/>
  <c r="GO17" i="14608"/>
  <c r="GP17" i="14608"/>
  <c r="GQ17" i="14608"/>
  <c r="GR17" i="14608"/>
  <c r="GS17" i="14608"/>
  <c r="GT17" i="14608"/>
  <c r="GU17" i="14608"/>
  <c r="GV17" i="14608"/>
  <c r="GW17" i="14608"/>
  <c r="GX17" i="14608"/>
  <c r="GY17" i="14608"/>
  <c r="GZ17" i="14608"/>
  <c r="HA17" i="14608"/>
  <c r="HB17" i="14608"/>
  <c r="HC17" i="14608"/>
  <c r="HD17" i="14608"/>
  <c r="HE17" i="14608"/>
  <c r="HF17" i="14608"/>
  <c r="HG17" i="14608"/>
  <c r="HH17" i="14608"/>
  <c r="HI17" i="14608"/>
  <c r="HJ17" i="14608"/>
  <c r="HK17" i="14608"/>
  <c r="HL17" i="14608"/>
  <c r="HM17" i="14608"/>
  <c r="HN17" i="14608"/>
  <c r="HO17" i="14608"/>
  <c r="HP17" i="14608"/>
  <c r="HQ17" i="14608"/>
  <c r="HR17" i="14608"/>
  <c r="HS17" i="14608"/>
  <c r="HT17" i="14608"/>
  <c r="HU17" i="14608"/>
  <c r="HV17" i="14608"/>
  <c r="HW17" i="14608"/>
  <c r="HX17" i="14608"/>
  <c r="HY17" i="14608"/>
  <c r="HZ17" i="14608"/>
  <c r="IA17" i="14608"/>
  <c r="IB17" i="14608"/>
  <c r="IC17" i="14608"/>
  <c r="ID17" i="14608"/>
  <c r="IE17" i="14608"/>
  <c r="IF17" i="14608"/>
  <c r="IG17" i="14608"/>
  <c r="IH17" i="14608"/>
  <c r="II17" i="14608"/>
  <c r="IJ17" i="14608"/>
  <c r="IK17" i="14608"/>
  <c r="IL17" i="14608"/>
  <c r="IM17" i="14608"/>
  <c r="IN17" i="14608"/>
  <c r="IO17" i="14608"/>
  <c r="IP17" i="14608"/>
  <c r="IQ17" i="14608"/>
  <c r="IR17" i="14608"/>
  <c r="IS17" i="14608"/>
  <c r="IT17" i="14608"/>
  <c r="IU17" i="14608"/>
  <c r="IV17" i="14608"/>
  <c r="A16" i="14608"/>
  <c r="B16" i="14608"/>
  <c r="C16" i="14608"/>
  <c r="D16" i="14608"/>
  <c r="E16" i="14608"/>
  <c r="F16" i="14608"/>
  <c r="G16" i="14608"/>
  <c r="H16" i="14608"/>
  <c r="I16" i="14608"/>
  <c r="J16" i="14608"/>
  <c r="K16" i="14608"/>
  <c r="L16" i="14608"/>
  <c r="M16" i="14608"/>
  <c r="N16" i="14608"/>
  <c r="O16" i="14608"/>
  <c r="P16" i="14608"/>
  <c r="Q16" i="14608"/>
  <c r="R16" i="14608"/>
  <c r="S16" i="14608"/>
  <c r="T16" i="14608"/>
  <c r="U16" i="14608"/>
  <c r="V16" i="14608"/>
  <c r="W16" i="14608"/>
  <c r="X16" i="14608"/>
  <c r="Y16" i="14608"/>
  <c r="Z16" i="14608"/>
  <c r="AA16" i="14608"/>
  <c r="AB16" i="14608"/>
  <c r="AC16" i="14608"/>
  <c r="AD16" i="14608"/>
  <c r="AE16" i="14608"/>
  <c r="AF16" i="14608"/>
  <c r="AG16" i="14608"/>
  <c r="AH16" i="14608"/>
  <c r="AI16" i="14608"/>
  <c r="AJ16" i="14608"/>
  <c r="AK16" i="14608"/>
  <c r="AL16" i="14608"/>
  <c r="AM16" i="14608"/>
  <c r="AN16" i="14608"/>
  <c r="AO16" i="14608"/>
  <c r="AP16" i="14608"/>
  <c r="AQ16" i="14608"/>
  <c r="AR16" i="14608"/>
  <c r="AS16" i="14608"/>
  <c r="AT16" i="14608"/>
  <c r="AU16" i="14608"/>
  <c r="AV16" i="14608"/>
  <c r="AW16" i="14608"/>
  <c r="AX16" i="14608"/>
  <c r="AY16" i="14608"/>
  <c r="AZ16" i="14608"/>
  <c r="BA16" i="14608"/>
  <c r="BB16" i="14608"/>
  <c r="BC16" i="14608"/>
  <c r="BD16" i="14608"/>
  <c r="BE16" i="14608"/>
  <c r="BF16" i="14608"/>
  <c r="BG16" i="14608"/>
  <c r="BH16" i="14608"/>
  <c r="BI16" i="14608"/>
  <c r="BJ16" i="14608"/>
  <c r="BK16" i="14608"/>
  <c r="BL16" i="14608"/>
  <c r="BM16" i="14608"/>
  <c r="BN16" i="14608"/>
  <c r="BO16" i="14608"/>
  <c r="BP16" i="14608"/>
  <c r="BQ16" i="14608"/>
  <c r="BR16" i="14608"/>
  <c r="BS16" i="14608"/>
  <c r="BT16" i="14608"/>
  <c r="BU16" i="14608"/>
  <c r="BV16" i="14608"/>
  <c r="BW16" i="14608"/>
  <c r="BX16" i="14608"/>
  <c r="BY16" i="14608"/>
  <c r="BZ16" i="14608"/>
  <c r="CA16" i="14608"/>
  <c r="CB16" i="14608"/>
  <c r="CC16" i="14608"/>
  <c r="CD16" i="14608"/>
  <c r="CE16" i="14608"/>
  <c r="CF16" i="14608"/>
  <c r="CG16" i="14608"/>
  <c r="CH16" i="14608"/>
  <c r="CI16" i="14608"/>
  <c r="CJ16" i="14608"/>
  <c r="CK16" i="14608"/>
  <c r="CL16" i="14608"/>
  <c r="CM16" i="14608"/>
  <c r="CN16" i="14608"/>
  <c r="CO16" i="14608"/>
  <c r="CP16" i="14608"/>
  <c r="CQ16" i="14608"/>
  <c r="CR16" i="14608"/>
  <c r="CS16" i="14608"/>
  <c r="CT16" i="14608"/>
  <c r="CU16" i="14608"/>
  <c r="CV16" i="14608"/>
  <c r="CW16" i="14608"/>
  <c r="CX16" i="14608"/>
  <c r="CY16" i="14608"/>
  <c r="CZ16" i="14608"/>
  <c r="DA16" i="14608"/>
  <c r="DB16" i="14608"/>
  <c r="DC16" i="14608"/>
  <c r="DD16" i="14608"/>
  <c r="DE16" i="14608"/>
  <c r="DF16" i="14608"/>
  <c r="DG16" i="14608"/>
  <c r="DH16" i="14608"/>
  <c r="DI16" i="14608"/>
  <c r="DJ16" i="14608"/>
  <c r="DK16" i="14608"/>
  <c r="DL16" i="14608"/>
  <c r="DM16" i="14608"/>
  <c r="DN16" i="14608"/>
  <c r="DO16" i="14608"/>
  <c r="DP16" i="14608"/>
  <c r="DQ16" i="14608"/>
  <c r="DR16" i="14608"/>
  <c r="DS16" i="14608"/>
  <c r="DT16" i="14608"/>
  <c r="DU16" i="14608"/>
  <c r="DV16" i="14608"/>
  <c r="DW16" i="14608"/>
  <c r="DX16" i="14608"/>
  <c r="DY16" i="14608"/>
  <c r="DZ16" i="14608"/>
  <c r="EA16" i="14608"/>
  <c r="EB16" i="14608"/>
  <c r="EC16" i="14608"/>
  <c r="ED16" i="14608"/>
  <c r="EE16" i="14608"/>
  <c r="EF16" i="14608"/>
  <c r="EG16" i="14608"/>
  <c r="EH16" i="14608"/>
  <c r="EI16" i="14608"/>
  <c r="EJ16" i="14608"/>
  <c r="EK16" i="14608"/>
  <c r="EL16" i="14608"/>
  <c r="EM16" i="14608"/>
  <c r="EN16" i="14608"/>
  <c r="EO16" i="14608"/>
  <c r="EP16" i="14608"/>
  <c r="EQ16" i="14608"/>
  <c r="ER16" i="14608"/>
  <c r="ES16" i="14608"/>
  <c r="ET16" i="14608"/>
  <c r="EU16" i="14608"/>
  <c r="EV16" i="14608"/>
  <c r="EW16" i="14608"/>
  <c r="EX16" i="14608"/>
  <c r="EY16" i="14608"/>
  <c r="EZ16" i="14608"/>
  <c r="FA16" i="14608"/>
  <c r="FB16" i="14608"/>
  <c r="FC16" i="14608"/>
  <c r="FD16" i="14608"/>
  <c r="FE16" i="14608"/>
  <c r="FF16" i="14608"/>
  <c r="FG16" i="14608"/>
  <c r="FH16" i="14608"/>
  <c r="FI16" i="14608"/>
  <c r="FJ16" i="14608"/>
  <c r="FK16" i="14608"/>
  <c r="FL16" i="14608"/>
  <c r="FM16" i="14608"/>
  <c r="FN16" i="14608"/>
  <c r="FO16" i="14608"/>
  <c r="FP16" i="14608"/>
  <c r="FQ16" i="14608"/>
  <c r="FR16" i="14608"/>
  <c r="FS16" i="14608"/>
  <c r="FT16" i="14608"/>
  <c r="FU16" i="14608"/>
  <c r="FV16" i="14608"/>
  <c r="FW16" i="14608"/>
  <c r="FX16" i="14608"/>
  <c r="FY16" i="14608"/>
  <c r="FZ16" i="14608"/>
  <c r="GA16" i="14608"/>
  <c r="GB16" i="14608"/>
  <c r="GC16" i="14608"/>
  <c r="GD16" i="14608"/>
  <c r="GE16" i="14608"/>
  <c r="GF16" i="14608"/>
  <c r="GG16" i="14608"/>
  <c r="GH16" i="14608"/>
  <c r="GI16" i="14608"/>
  <c r="GJ16" i="14608"/>
  <c r="GK16" i="14608"/>
  <c r="GL16" i="14608"/>
  <c r="GM16" i="14608"/>
  <c r="GN16" i="14608"/>
  <c r="GO16" i="14608"/>
  <c r="GP16" i="14608"/>
  <c r="GQ16" i="14608"/>
  <c r="GR16" i="14608"/>
  <c r="GS16" i="14608"/>
  <c r="GT16" i="14608"/>
  <c r="GU16" i="14608"/>
  <c r="GV16" i="14608"/>
  <c r="GW16" i="14608"/>
  <c r="GX16" i="14608"/>
  <c r="GY16" i="14608"/>
  <c r="GZ16" i="14608"/>
  <c r="HA16" i="14608"/>
  <c r="HB16" i="14608"/>
  <c r="HC16" i="14608"/>
  <c r="HD16" i="14608"/>
  <c r="HE16" i="14608"/>
  <c r="HF16" i="14608"/>
  <c r="HG16" i="14608"/>
  <c r="HH16" i="14608"/>
  <c r="HI16" i="14608"/>
  <c r="HJ16" i="14608"/>
  <c r="HK16" i="14608"/>
  <c r="HL16" i="14608"/>
  <c r="HM16" i="14608"/>
  <c r="HN16" i="14608"/>
  <c r="HO16" i="14608"/>
  <c r="HP16" i="14608"/>
  <c r="HQ16" i="14608"/>
  <c r="HR16" i="14608"/>
  <c r="HS16" i="14608"/>
  <c r="HT16" i="14608"/>
  <c r="HU16" i="14608"/>
  <c r="HV16" i="14608"/>
  <c r="HW16" i="14608"/>
  <c r="HX16" i="14608"/>
  <c r="HY16" i="14608"/>
  <c r="HZ16" i="14608"/>
  <c r="IA16" i="14608"/>
  <c r="IB16" i="14608"/>
  <c r="IC16" i="14608"/>
  <c r="ID16" i="14608"/>
  <c r="IE16" i="14608"/>
  <c r="IF16" i="14608"/>
  <c r="IG16" i="14608"/>
  <c r="IH16" i="14608"/>
  <c r="II16" i="14608"/>
  <c r="IJ16" i="14608"/>
  <c r="IK16" i="14608"/>
  <c r="IL16" i="14608"/>
  <c r="IM16" i="14608"/>
  <c r="IN16" i="14608"/>
  <c r="IO16" i="14608"/>
  <c r="IP16" i="14608"/>
  <c r="IQ16" i="14608"/>
  <c r="IR16" i="14608"/>
  <c r="IS16" i="14608"/>
  <c r="IT16" i="14608"/>
  <c r="IU16" i="14608"/>
  <c r="IV16" i="14608"/>
  <c r="A15" i="14608"/>
  <c r="B15" i="14608"/>
  <c r="C15" i="14608"/>
  <c r="D15" i="14608"/>
  <c r="E15" i="14608"/>
  <c r="F15" i="14608"/>
  <c r="G15" i="14608"/>
  <c r="H15" i="14608"/>
  <c r="I15" i="14608"/>
  <c r="J15" i="14608"/>
  <c r="K15" i="14608"/>
  <c r="L15" i="14608"/>
  <c r="M15" i="14608"/>
  <c r="N15" i="14608"/>
  <c r="O15" i="14608"/>
  <c r="P15" i="14608"/>
  <c r="Q15" i="14608"/>
  <c r="R15" i="14608"/>
  <c r="S15" i="14608"/>
  <c r="T15" i="14608"/>
  <c r="U15" i="14608"/>
  <c r="V15" i="14608"/>
  <c r="W15" i="14608"/>
  <c r="X15" i="14608"/>
  <c r="Y15" i="14608"/>
  <c r="Z15" i="14608"/>
  <c r="AA15" i="14608"/>
  <c r="AB15" i="14608"/>
  <c r="AC15" i="14608"/>
  <c r="AD15" i="14608"/>
  <c r="AE15" i="14608"/>
  <c r="AF15" i="14608"/>
  <c r="AG15" i="14608"/>
  <c r="AH15" i="14608"/>
  <c r="AI15" i="14608"/>
  <c r="AJ15" i="14608"/>
  <c r="AK15" i="14608"/>
  <c r="AL15" i="14608"/>
  <c r="AM15" i="14608"/>
  <c r="AN15" i="14608"/>
  <c r="AO15" i="14608"/>
  <c r="AP15" i="14608"/>
  <c r="AQ15" i="14608"/>
  <c r="AR15" i="14608"/>
  <c r="AS15" i="14608"/>
  <c r="AT15" i="14608"/>
  <c r="AU15" i="14608"/>
  <c r="AV15" i="14608"/>
  <c r="AW15" i="14608"/>
  <c r="AX15" i="14608"/>
  <c r="AY15" i="14608"/>
  <c r="AZ15" i="14608"/>
  <c r="BA15" i="14608"/>
  <c r="BB15" i="14608"/>
  <c r="BC15" i="14608"/>
  <c r="BD15" i="14608"/>
  <c r="BE15" i="14608"/>
  <c r="BF15" i="14608"/>
  <c r="BG15" i="14608"/>
  <c r="BH15" i="14608"/>
  <c r="BI15" i="14608"/>
  <c r="BJ15" i="14608"/>
  <c r="BK15" i="14608"/>
  <c r="BL15" i="14608"/>
  <c r="BM15" i="14608"/>
  <c r="BN15" i="14608"/>
  <c r="BO15" i="14608"/>
  <c r="BP15" i="14608"/>
  <c r="BQ15" i="14608"/>
  <c r="BR15" i="14608"/>
  <c r="BS15" i="14608"/>
  <c r="BT15" i="14608"/>
  <c r="BU15" i="14608"/>
  <c r="BV15" i="14608"/>
  <c r="BW15" i="14608"/>
  <c r="BX15" i="14608"/>
  <c r="BY15" i="14608"/>
  <c r="BZ15" i="14608"/>
  <c r="CA15" i="14608"/>
  <c r="CB15" i="14608"/>
  <c r="CC15" i="14608"/>
  <c r="CD15" i="14608"/>
  <c r="CE15" i="14608"/>
  <c r="CF15" i="14608"/>
  <c r="CG15" i="14608"/>
  <c r="CH15" i="14608"/>
  <c r="CI15" i="14608"/>
  <c r="CJ15" i="14608"/>
  <c r="CK15" i="14608"/>
  <c r="CL15" i="14608"/>
  <c r="CM15" i="14608"/>
  <c r="CN15" i="14608"/>
  <c r="CO15" i="14608"/>
  <c r="CP15" i="14608"/>
  <c r="CQ15" i="14608"/>
  <c r="CR15" i="14608"/>
  <c r="CS15" i="14608"/>
  <c r="CT15" i="14608"/>
  <c r="CU15" i="14608"/>
  <c r="CV15" i="14608"/>
  <c r="CW15" i="14608"/>
  <c r="CX15" i="14608"/>
  <c r="CY15" i="14608"/>
  <c r="CZ15" i="14608"/>
  <c r="DA15" i="14608"/>
  <c r="DB15" i="14608"/>
  <c r="DC15" i="14608"/>
  <c r="DD15" i="14608"/>
  <c r="DE15" i="14608"/>
  <c r="DF15" i="14608"/>
  <c r="DG15" i="14608"/>
  <c r="DH15" i="14608"/>
  <c r="DI15" i="14608"/>
  <c r="DJ15" i="14608"/>
  <c r="DK15" i="14608"/>
  <c r="DL15" i="14608"/>
  <c r="DM15" i="14608"/>
  <c r="DN15" i="14608"/>
  <c r="DO15" i="14608"/>
  <c r="DP15" i="14608"/>
  <c r="DQ15" i="14608"/>
  <c r="DR15" i="14608"/>
  <c r="DS15" i="14608"/>
  <c r="DT15" i="14608"/>
  <c r="DU15" i="14608"/>
  <c r="DV15" i="14608"/>
  <c r="DW15" i="14608"/>
  <c r="DX15" i="14608"/>
  <c r="DY15" i="14608"/>
  <c r="DZ15" i="14608"/>
  <c r="EA15" i="14608"/>
  <c r="EB15" i="14608"/>
  <c r="EC15" i="14608"/>
  <c r="ED15" i="14608"/>
  <c r="EE15" i="14608"/>
  <c r="EF15" i="14608"/>
  <c r="EG15" i="14608"/>
  <c r="EH15" i="14608"/>
  <c r="EI15" i="14608"/>
  <c r="EJ15" i="14608"/>
  <c r="EK15" i="14608"/>
  <c r="EL15" i="14608"/>
  <c r="EM15" i="14608"/>
  <c r="EN15" i="14608"/>
  <c r="EO15" i="14608"/>
  <c r="EP15" i="14608"/>
  <c r="EQ15" i="14608"/>
  <c r="ER15" i="14608"/>
  <c r="ES15" i="14608"/>
  <c r="ET15" i="14608"/>
  <c r="EU15" i="14608"/>
  <c r="EV15" i="14608"/>
  <c r="EW15" i="14608"/>
  <c r="EX15" i="14608"/>
  <c r="EY15" i="14608"/>
  <c r="EZ15" i="14608"/>
  <c r="FA15" i="14608"/>
  <c r="FB15" i="14608"/>
  <c r="FC15" i="14608"/>
  <c r="FD15" i="14608"/>
  <c r="FE15" i="14608"/>
  <c r="FF15" i="14608"/>
  <c r="FG15" i="14608"/>
  <c r="FH15" i="14608"/>
  <c r="FI15" i="14608"/>
  <c r="FJ15" i="14608"/>
  <c r="FK15" i="14608"/>
  <c r="FL15" i="14608"/>
  <c r="FM15" i="14608"/>
  <c r="FN15" i="14608"/>
  <c r="FO15" i="14608"/>
  <c r="FP15" i="14608"/>
  <c r="FQ15" i="14608"/>
  <c r="FR15" i="14608"/>
  <c r="FS15" i="14608"/>
  <c r="FT15" i="14608"/>
  <c r="FU15" i="14608"/>
  <c r="FV15" i="14608"/>
  <c r="FW15" i="14608"/>
  <c r="FX15" i="14608"/>
  <c r="FY15" i="14608"/>
  <c r="FZ15" i="14608"/>
  <c r="GA15" i="14608"/>
  <c r="GB15" i="14608"/>
  <c r="GC15" i="14608"/>
  <c r="GD15" i="14608"/>
  <c r="GE15" i="14608"/>
  <c r="GF15" i="14608"/>
  <c r="GG15" i="14608"/>
  <c r="GH15" i="14608"/>
  <c r="GI15" i="14608"/>
  <c r="GJ15" i="14608"/>
  <c r="GK15" i="14608"/>
  <c r="GL15" i="14608"/>
  <c r="GM15" i="14608"/>
  <c r="GN15" i="14608"/>
  <c r="GO15" i="14608"/>
  <c r="GP15" i="14608"/>
  <c r="GQ15" i="14608"/>
  <c r="GR15" i="14608"/>
  <c r="GS15" i="14608"/>
  <c r="GT15" i="14608"/>
  <c r="GU15" i="14608"/>
  <c r="GV15" i="14608"/>
  <c r="GW15" i="14608"/>
  <c r="GX15" i="14608"/>
  <c r="GY15" i="14608"/>
  <c r="GZ15" i="14608"/>
  <c r="HA15" i="14608"/>
  <c r="HB15" i="14608"/>
  <c r="HC15" i="14608"/>
  <c r="HD15" i="14608"/>
  <c r="HE15" i="14608"/>
  <c r="HF15" i="14608"/>
  <c r="HG15" i="14608"/>
  <c r="HH15" i="14608"/>
  <c r="HI15" i="14608"/>
  <c r="HJ15" i="14608"/>
  <c r="HK15" i="14608"/>
  <c r="HL15" i="14608"/>
  <c r="HM15" i="14608"/>
  <c r="HN15" i="14608"/>
  <c r="HO15" i="14608"/>
  <c r="HP15" i="14608"/>
  <c r="HQ15" i="14608"/>
  <c r="HR15" i="14608"/>
  <c r="HS15" i="14608"/>
  <c r="HT15" i="14608"/>
  <c r="HU15" i="14608"/>
  <c r="HV15" i="14608"/>
  <c r="HW15" i="14608"/>
  <c r="HX15" i="14608"/>
  <c r="HY15" i="14608"/>
  <c r="HZ15" i="14608"/>
  <c r="IA15" i="14608"/>
  <c r="IB15" i="14608"/>
  <c r="IC15" i="14608"/>
  <c r="ID15" i="14608"/>
  <c r="IE15" i="14608"/>
  <c r="IF15" i="14608"/>
  <c r="IG15" i="14608"/>
  <c r="IH15" i="14608"/>
  <c r="II15" i="14608"/>
  <c r="IJ15" i="14608"/>
  <c r="IK15" i="14608"/>
  <c r="IL15" i="14608"/>
  <c r="IM15" i="14608"/>
  <c r="IN15" i="14608"/>
  <c r="IO15" i="14608"/>
  <c r="IP15" i="14608"/>
  <c r="IQ15" i="14608"/>
  <c r="IR15" i="14608"/>
  <c r="IS15" i="14608"/>
  <c r="IT15" i="14608"/>
  <c r="IU15" i="14608"/>
  <c r="IV15" i="14608"/>
  <c r="A14" i="14608"/>
  <c r="B14" i="14608"/>
  <c r="C14" i="14608"/>
  <c r="D14" i="14608"/>
  <c r="E14" i="14608"/>
  <c r="F14" i="14608"/>
  <c r="G14" i="14608"/>
  <c r="H14" i="14608"/>
  <c r="I14" i="14608"/>
  <c r="J14" i="14608"/>
  <c r="K14" i="14608"/>
  <c r="L14" i="14608"/>
  <c r="M14" i="14608"/>
  <c r="N14" i="14608"/>
  <c r="O14" i="14608"/>
  <c r="P14" i="14608"/>
  <c r="Q14" i="14608"/>
  <c r="R14" i="14608"/>
  <c r="S14" i="14608"/>
  <c r="T14" i="14608"/>
  <c r="U14" i="14608"/>
  <c r="V14" i="14608"/>
  <c r="W14" i="14608"/>
  <c r="X14" i="14608"/>
  <c r="Y14" i="14608"/>
  <c r="Z14" i="14608"/>
  <c r="AB14" i="14608"/>
  <c r="AC14" i="14608"/>
  <c r="AD14" i="14608"/>
  <c r="AE14" i="14608"/>
  <c r="AF14" i="14608"/>
  <c r="AG14" i="14608"/>
  <c r="AH14" i="14608"/>
  <c r="AI14" i="14608"/>
  <c r="AJ14" i="14608"/>
  <c r="AK14" i="14608"/>
  <c r="AL14" i="14608"/>
  <c r="AM14" i="14608"/>
  <c r="AN14" i="14608"/>
  <c r="AO14" i="14608"/>
  <c r="AP14" i="14608"/>
  <c r="AQ14" i="14608"/>
  <c r="AR14" i="14608"/>
  <c r="AS14" i="14608"/>
  <c r="AT14" i="14608"/>
  <c r="AU14" i="14608"/>
  <c r="AV14" i="14608"/>
  <c r="AW14" i="14608"/>
  <c r="AX14" i="14608"/>
  <c r="AY14" i="14608"/>
  <c r="AZ14" i="14608"/>
  <c r="BA14" i="14608"/>
  <c r="BB14" i="14608"/>
  <c r="BC14" i="14608"/>
  <c r="BD14" i="14608"/>
  <c r="BE14" i="14608"/>
  <c r="BF14" i="14608"/>
  <c r="BG14" i="14608"/>
  <c r="BH14" i="14608"/>
  <c r="BI14" i="14608"/>
  <c r="BJ14" i="14608"/>
  <c r="BK14" i="14608"/>
  <c r="BL14" i="14608"/>
  <c r="BM14" i="14608"/>
  <c r="BN14" i="14608"/>
  <c r="BO14" i="14608"/>
  <c r="BP14" i="14608"/>
  <c r="BQ14" i="14608"/>
  <c r="BR14" i="14608"/>
  <c r="BS14" i="14608"/>
  <c r="BT14" i="14608"/>
  <c r="BU14" i="14608"/>
  <c r="BV14" i="14608"/>
  <c r="BW14" i="14608"/>
  <c r="BX14" i="14608"/>
  <c r="BY14" i="14608"/>
  <c r="BZ14" i="14608"/>
  <c r="CA14" i="14608"/>
  <c r="CB14" i="14608"/>
  <c r="CC14" i="14608"/>
  <c r="CD14" i="14608"/>
  <c r="CE14" i="14608"/>
  <c r="CF14" i="14608"/>
  <c r="CG14" i="14608"/>
  <c r="CI14" i="14608"/>
  <c r="CJ14" i="14608"/>
  <c r="CK14" i="14608"/>
  <c r="CL14" i="14608"/>
  <c r="CM14" i="14608"/>
  <c r="CN14" i="14608"/>
  <c r="CO14" i="14608"/>
  <c r="CP14" i="14608"/>
  <c r="CQ14" i="14608"/>
  <c r="CR14" i="14608"/>
  <c r="CS14" i="14608"/>
  <c r="CT14" i="14608"/>
  <c r="CU14" i="14608"/>
  <c r="CV14" i="14608"/>
  <c r="CW14" i="14608"/>
  <c r="CX14" i="14608"/>
  <c r="CY14" i="14608"/>
  <c r="CZ14" i="14608"/>
  <c r="DA14" i="14608"/>
  <c r="DB14" i="14608"/>
  <c r="DC14" i="14608"/>
  <c r="DD14" i="14608"/>
  <c r="DE14" i="14608"/>
  <c r="DF14" i="14608"/>
  <c r="DG14" i="14608"/>
  <c r="DH14" i="14608"/>
  <c r="DI14" i="14608"/>
  <c r="DJ14" i="14608"/>
  <c r="DK14" i="14608"/>
  <c r="DL14" i="14608"/>
  <c r="DM14" i="14608"/>
  <c r="DN14" i="14608"/>
  <c r="DO14" i="14608"/>
  <c r="DP14" i="14608"/>
  <c r="DQ14" i="14608"/>
  <c r="DR14" i="14608"/>
  <c r="DS14" i="14608"/>
  <c r="DT14" i="14608"/>
  <c r="DU14" i="14608"/>
  <c r="DV14" i="14608"/>
  <c r="DW14" i="14608"/>
  <c r="DX14" i="14608"/>
  <c r="DY14" i="14608"/>
  <c r="DZ14" i="14608"/>
  <c r="EA14" i="14608"/>
  <c r="EB14" i="14608"/>
  <c r="EC14" i="14608"/>
  <c r="ED14" i="14608"/>
  <c r="EE14" i="14608"/>
  <c r="EF14" i="14608"/>
  <c r="EG14" i="14608"/>
  <c r="EH14" i="14608"/>
  <c r="EI14" i="14608"/>
  <c r="EJ14" i="14608"/>
  <c r="EK14" i="14608"/>
  <c r="EL14" i="14608"/>
  <c r="EM14" i="14608"/>
  <c r="EN14" i="14608"/>
  <c r="EO14" i="14608"/>
  <c r="EP14" i="14608"/>
  <c r="EQ14" i="14608"/>
  <c r="ER14" i="14608"/>
  <c r="ES14" i="14608"/>
  <c r="ET14" i="14608"/>
  <c r="EU14" i="14608"/>
  <c r="EV14" i="14608"/>
  <c r="EW14" i="14608"/>
  <c r="EX14" i="14608"/>
  <c r="EY14" i="14608"/>
  <c r="EZ14" i="14608"/>
  <c r="FA14" i="14608"/>
  <c r="FB14" i="14608"/>
  <c r="FC14" i="14608"/>
  <c r="FD14" i="14608"/>
  <c r="FE14" i="14608"/>
  <c r="FF14" i="14608"/>
  <c r="FG14" i="14608"/>
  <c r="FH14" i="14608"/>
  <c r="FI14" i="14608"/>
  <c r="FJ14" i="14608"/>
  <c r="FK14" i="14608"/>
  <c r="FL14" i="14608"/>
  <c r="FM14" i="14608"/>
  <c r="FN14" i="14608"/>
  <c r="FO14" i="14608"/>
  <c r="FP14" i="14608"/>
  <c r="FQ14" i="14608"/>
  <c r="FR14" i="14608"/>
  <c r="FS14" i="14608"/>
  <c r="FT14" i="14608"/>
  <c r="FU14" i="14608"/>
  <c r="FV14" i="14608"/>
  <c r="FW14" i="14608"/>
  <c r="FX14" i="14608"/>
  <c r="FY14" i="14608"/>
  <c r="FZ14" i="14608"/>
  <c r="GA14" i="14608"/>
  <c r="GB14" i="14608"/>
  <c r="GC14" i="14608"/>
  <c r="GD14" i="14608"/>
  <c r="GE14" i="14608"/>
  <c r="GF14" i="14608"/>
  <c r="GG14" i="14608"/>
  <c r="GH14" i="14608"/>
  <c r="GI14" i="14608"/>
  <c r="GJ14" i="14608"/>
  <c r="GK14" i="14608"/>
  <c r="GL14" i="14608"/>
  <c r="GM14" i="14608"/>
  <c r="GN14" i="14608"/>
  <c r="GO14" i="14608"/>
  <c r="GP14" i="14608"/>
  <c r="GQ14" i="14608"/>
  <c r="GR14" i="14608"/>
  <c r="GS14" i="14608"/>
  <c r="GT14" i="14608"/>
  <c r="GU14" i="14608"/>
  <c r="GV14" i="14608"/>
  <c r="GW14" i="14608"/>
  <c r="GX14" i="14608"/>
  <c r="GY14" i="14608"/>
  <c r="GZ14" i="14608"/>
  <c r="HA14" i="14608"/>
  <c r="HB14" i="14608"/>
  <c r="HC14" i="14608"/>
  <c r="HD14" i="14608"/>
  <c r="HE14" i="14608"/>
  <c r="HF14" i="14608"/>
  <c r="HG14" i="14608"/>
  <c r="HH14" i="14608"/>
  <c r="HI14" i="14608"/>
  <c r="HJ14" i="14608"/>
  <c r="HK14" i="14608"/>
  <c r="HL14" i="14608"/>
  <c r="HM14" i="14608"/>
  <c r="HN14" i="14608"/>
  <c r="HO14" i="14608"/>
  <c r="HP14" i="14608"/>
  <c r="HQ14" i="14608"/>
  <c r="HR14" i="14608"/>
  <c r="HS14" i="14608"/>
  <c r="HT14" i="14608"/>
  <c r="HU14" i="14608"/>
  <c r="HV14" i="14608"/>
  <c r="HW14" i="14608"/>
  <c r="HX14" i="14608"/>
  <c r="HY14" i="14608"/>
  <c r="HZ14" i="14608"/>
  <c r="IA14" i="14608"/>
  <c r="IB14" i="14608"/>
  <c r="IC14" i="14608"/>
  <c r="ID14" i="14608"/>
  <c r="IE14" i="14608"/>
  <c r="IF14" i="14608"/>
  <c r="IG14" i="14608"/>
  <c r="IH14" i="14608"/>
  <c r="II14" i="14608"/>
  <c r="IJ14" i="14608"/>
  <c r="IK14" i="14608"/>
  <c r="IL14" i="14608"/>
  <c r="IM14" i="14608"/>
  <c r="IN14" i="14608"/>
  <c r="IO14" i="14608"/>
  <c r="IP14" i="14608"/>
  <c r="IQ14" i="14608"/>
  <c r="IR14" i="14608"/>
  <c r="IS14" i="14608"/>
  <c r="IT14" i="14608"/>
  <c r="IU14" i="14608"/>
  <c r="IV14" i="14608"/>
  <c r="A13" i="14608"/>
  <c r="B13" i="14608"/>
  <c r="C13" i="14608"/>
  <c r="D13" i="14608"/>
  <c r="E13" i="14608"/>
  <c r="F13" i="14608"/>
  <c r="G13" i="14608"/>
  <c r="H13" i="14608"/>
  <c r="I13" i="14608"/>
  <c r="J13" i="14608"/>
  <c r="K13" i="14608"/>
  <c r="L13" i="14608"/>
  <c r="M13" i="14608"/>
  <c r="N13" i="14608"/>
  <c r="O13" i="14608"/>
  <c r="P13" i="14608"/>
  <c r="Q13" i="14608"/>
  <c r="R13" i="14608"/>
  <c r="S13" i="14608"/>
  <c r="T13" i="14608"/>
  <c r="U13" i="14608"/>
  <c r="V13" i="14608"/>
  <c r="W13" i="14608"/>
  <c r="X13" i="14608"/>
  <c r="Y13" i="14608"/>
  <c r="Z13" i="14608"/>
  <c r="AA13" i="14608"/>
  <c r="AB13" i="14608"/>
  <c r="AC13" i="14608"/>
  <c r="AD13" i="14608"/>
  <c r="AE13" i="14608"/>
  <c r="AF13" i="14608"/>
  <c r="AG13" i="14608"/>
  <c r="AH13" i="14608"/>
  <c r="AI13" i="14608"/>
  <c r="AJ13" i="14608"/>
  <c r="AK13" i="14608"/>
  <c r="AL13" i="14608"/>
  <c r="AM13" i="14608"/>
  <c r="AN13" i="14608"/>
  <c r="AO13" i="14608"/>
  <c r="AP13" i="14608"/>
  <c r="AQ13" i="14608"/>
  <c r="AR13" i="14608"/>
  <c r="AS13" i="14608"/>
  <c r="AT13" i="14608"/>
  <c r="AU13" i="14608"/>
  <c r="AV13" i="14608"/>
  <c r="AW13" i="14608"/>
  <c r="AX13" i="14608"/>
  <c r="AY13" i="14608"/>
  <c r="AZ13" i="14608"/>
  <c r="BA13" i="14608"/>
  <c r="BB13" i="14608"/>
  <c r="BC13" i="14608"/>
  <c r="BD13" i="14608"/>
  <c r="BE13" i="14608"/>
  <c r="BF13" i="14608"/>
  <c r="BG13" i="14608"/>
  <c r="BH13" i="14608"/>
  <c r="BI13" i="14608"/>
  <c r="BJ13" i="14608"/>
  <c r="BK13" i="14608"/>
  <c r="BL13" i="14608"/>
  <c r="BM13" i="14608"/>
  <c r="BN13" i="14608"/>
  <c r="BO13" i="14608"/>
  <c r="BP13" i="14608"/>
  <c r="BQ13" i="14608"/>
  <c r="BR13" i="14608"/>
  <c r="BS13" i="14608"/>
  <c r="BT13" i="14608"/>
  <c r="BU13" i="14608"/>
  <c r="BV13" i="14608"/>
  <c r="BW13" i="14608"/>
  <c r="BX13" i="14608"/>
  <c r="BY13" i="14608"/>
  <c r="BZ13" i="14608"/>
  <c r="CA13" i="14608"/>
  <c r="CB13" i="14608"/>
  <c r="CC13" i="14608"/>
  <c r="CD13" i="14608"/>
  <c r="CE13" i="14608"/>
  <c r="CF13" i="14608"/>
  <c r="CG13" i="14608"/>
  <c r="CH13" i="14608"/>
  <c r="CI13" i="14608"/>
  <c r="CJ13" i="14608"/>
  <c r="CK13" i="14608"/>
  <c r="CL13" i="14608"/>
  <c r="CM13" i="14608"/>
  <c r="CN13" i="14608"/>
  <c r="CO13" i="14608"/>
  <c r="CP13" i="14608"/>
  <c r="CQ13" i="14608"/>
  <c r="CR13" i="14608"/>
  <c r="CS13" i="14608"/>
  <c r="CT13" i="14608"/>
  <c r="CU13" i="14608"/>
  <c r="CV13" i="14608"/>
  <c r="CW13" i="14608"/>
  <c r="CX13" i="14608"/>
  <c r="CY13" i="14608"/>
  <c r="CZ13" i="14608"/>
  <c r="DA13" i="14608"/>
  <c r="DB13" i="14608"/>
  <c r="DC13" i="14608"/>
  <c r="DD13" i="14608"/>
  <c r="DE13" i="14608"/>
  <c r="DF13" i="14608"/>
  <c r="DG13" i="14608"/>
  <c r="DH13" i="14608"/>
  <c r="DI13" i="14608"/>
  <c r="DJ13" i="14608"/>
  <c r="DK13" i="14608"/>
  <c r="DL13" i="14608"/>
  <c r="DM13" i="14608"/>
  <c r="DN13" i="14608"/>
  <c r="DO13" i="14608"/>
  <c r="DP13" i="14608"/>
  <c r="DQ13" i="14608"/>
  <c r="DR13" i="14608"/>
  <c r="DS13" i="14608"/>
  <c r="DT13" i="14608"/>
  <c r="DU13" i="14608"/>
  <c r="DV13" i="14608"/>
  <c r="DW13" i="14608"/>
  <c r="DX13" i="14608"/>
  <c r="DY13" i="14608"/>
  <c r="DZ13" i="14608"/>
  <c r="EA13" i="14608"/>
  <c r="EB13" i="14608"/>
  <c r="EC13" i="14608"/>
  <c r="ED13" i="14608"/>
  <c r="EE13" i="14608"/>
  <c r="EF13" i="14608"/>
  <c r="EG13" i="14608"/>
  <c r="EH13" i="14608"/>
  <c r="EI13" i="14608"/>
  <c r="EJ13" i="14608"/>
  <c r="EK13" i="14608"/>
  <c r="EL13" i="14608"/>
  <c r="EM13" i="14608"/>
  <c r="EN13" i="14608"/>
  <c r="EO13" i="14608"/>
  <c r="EP13" i="14608"/>
  <c r="EQ13" i="14608"/>
  <c r="ER13" i="14608"/>
  <c r="ES13" i="14608"/>
  <c r="ET13" i="14608"/>
  <c r="EU13" i="14608"/>
  <c r="EV13" i="14608"/>
  <c r="EW13" i="14608"/>
  <c r="EX13" i="14608"/>
  <c r="EY13" i="14608"/>
  <c r="EZ13" i="14608"/>
  <c r="FA13" i="14608"/>
  <c r="FB13" i="14608"/>
  <c r="FC13" i="14608"/>
  <c r="FD13" i="14608"/>
  <c r="FE13" i="14608"/>
  <c r="FF13" i="14608"/>
  <c r="FG13" i="14608"/>
  <c r="FH13" i="14608"/>
  <c r="FI13" i="14608"/>
  <c r="FJ13" i="14608"/>
  <c r="FK13" i="14608"/>
  <c r="FL13" i="14608"/>
  <c r="FM13" i="14608"/>
  <c r="FN13" i="14608"/>
  <c r="FO13" i="14608"/>
  <c r="FP13" i="14608"/>
  <c r="FQ13" i="14608"/>
  <c r="FR13" i="14608"/>
  <c r="FS13" i="14608"/>
  <c r="FT13" i="14608"/>
  <c r="FU13" i="14608"/>
  <c r="FW13" i="14608"/>
  <c r="FX13" i="14608"/>
  <c r="FZ13" i="14608"/>
  <c r="GB13" i="14608"/>
  <c r="GD13" i="14608"/>
  <c r="GE13" i="14608"/>
  <c r="GF13" i="14608"/>
  <c r="GG13" i="14608"/>
  <c r="GH13" i="14608"/>
  <c r="GI13" i="14608"/>
  <c r="GJ13" i="14608"/>
  <c r="GK13" i="14608"/>
  <c r="GL13" i="14608"/>
  <c r="GM13" i="14608"/>
  <c r="GN13" i="14608"/>
  <c r="GO13" i="14608"/>
  <c r="GP13" i="14608"/>
  <c r="GQ13" i="14608"/>
  <c r="GR13" i="14608"/>
  <c r="GS13" i="14608"/>
  <c r="GT13" i="14608"/>
  <c r="GU13" i="14608"/>
  <c r="GV13" i="14608"/>
  <c r="GW13" i="14608"/>
  <c r="GX13" i="14608"/>
  <c r="GY13" i="14608"/>
  <c r="GZ13" i="14608"/>
  <c r="HA13" i="14608"/>
  <c r="HB13" i="14608"/>
  <c r="HC13" i="14608"/>
  <c r="HD13" i="14608"/>
  <c r="HE13" i="14608"/>
  <c r="HF13" i="14608"/>
  <c r="HG13" i="14608"/>
  <c r="HH13" i="14608"/>
  <c r="HI13" i="14608"/>
  <c r="HJ13" i="14608"/>
  <c r="HK13" i="14608"/>
  <c r="HL13" i="14608"/>
  <c r="HM13" i="14608"/>
  <c r="HN13" i="14608"/>
  <c r="HO13" i="14608"/>
  <c r="HP13" i="14608"/>
  <c r="HQ13" i="14608"/>
  <c r="HR13" i="14608"/>
  <c r="HS13" i="14608"/>
  <c r="HT13" i="14608"/>
  <c r="HU13" i="14608"/>
  <c r="HV13" i="14608"/>
  <c r="HW13" i="14608"/>
  <c r="HX13" i="14608"/>
  <c r="HY13" i="14608"/>
  <c r="HZ13" i="14608"/>
  <c r="IA13" i="14608"/>
  <c r="IB13" i="14608"/>
  <c r="IC13" i="14608"/>
  <c r="ID13" i="14608"/>
  <c r="IE13" i="14608"/>
  <c r="IF13" i="14608"/>
  <c r="IG13" i="14608"/>
  <c r="IH13" i="14608"/>
  <c r="II13" i="14608"/>
  <c r="IJ13" i="14608"/>
  <c r="IK13" i="14608"/>
  <c r="IL13" i="14608"/>
  <c r="IM13" i="14608"/>
  <c r="IN13" i="14608"/>
  <c r="IO13" i="14608"/>
  <c r="IP13" i="14608"/>
  <c r="IQ13" i="14608"/>
  <c r="IR13" i="14608"/>
  <c r="IS13" i="14608"/>
  <c r="IT13" i="14608"/>
  <c r="IU13" i="14608"/>
  <c r="IV13" i="14608"/>
  <c r="A12" i="14608"/>
  <c r="B12" i="14608"/>
  <c r="C12" i="14608"/>
  <c r="D12" i="14608"/>
  <c r="E12" i="14608"/>
  <c r="F12" i="14608"/>
  <c r="G12" i="14608"/>
  <c r="H12" i="14608"/>
  <c r="I12" i="14608"/>
  <c r="J12" i="14608"/>
  <c r="K12" i="14608"/>
  <c r="L12" i="14608"/>
  <c r="M12" i="14608"/>
  <c r="N12" i="14608"/>
  <c r="O12" i="14608"/>
  <c r="P12" i="14608"/>
  <c r="Q12" i="14608"/>
  <c r="R12" i="14608"/>
  <c r="S12" i="14608"/>
  <c r="T12" i="14608"/>
  <c r="U12" i="14608"/>
  <c r="V12" i="14608"/>
  <c r="W12" i="14608"/>
  <c r="X12" i="14608"/>
  <c r="Y12" i="14608"/>
  <c r="Z12" i="14608"/>
  <c r="AA12" i="14608"/>
  <c r="AB12" i="14608"/>
  <c r="AC12" i="14608"/>
  <c r="AD12" i="14608"/>
  <c r="AE12" i="14608"/>
  <c r="AF12" i="14608"/>
  <c r="AG12" i="14608"/>
  <c r="AH12" i="14608"/>
  <c r="AI12" i="14608"/>
  <c r="AJ12" i="14608"/>
  <c r="AK12" i="14608"/>
  <c r="AL12" i="14608"/>
  <c r="AM12" i="14608"/>
  <c r="AN12" i="14608"/>
  <c r="AO12" i="14608"/>
  <c r="AP12" i="14608"/>
  <c r="AQ12" i="14608"/>
  <c r="AR12" i="14608"/>
  <c r="AS12" i="14608"/>
  <c r="AT12" i="14608"/>
  <c r="AU12" i="14608"/>
  <c r="AV12" i="14608"/>
  <c r="AW12" i="14608"/>
  <c r="AX12" i="14608"/>
  <c r="AY12" i="14608"/>
  <c r="AZ12" i="14608"/>
  <c r="BA12" i="14608"/>
  <c r="BB12" i="14608"/>
  <c r="BC12" i="14608"/>
  <c r="BD12" i="14608"/>
  <c r="BE12" i="14608"/>
  <c r="BF12" i="14608"/>
  <c r="BG12" i="14608"/>
  <c r="BH12" i="14608"/>
  <c r="BI12" i="14608"/>
  <c r="BJ12" i="14608"/>
  <c r="BK12" i="14608"/>
  <c r="BL12" i="14608"/>
  <c r="BM12" i="14608"/>
  <c r="BN12" i="14608"/>
  <c r="BO12" i="14608"/>
  <c r="BP12" i="14608"/>
  <c r="BQ12" i="14608"/>
  <c r="BR12" i="14608"/>
  <c r="BS12" i="14608"/>
  <c r="BT12" i="14608"/>
  <c r="BU12" i="14608"/>
  <c r="BV12" i="14608"/>
  <c r="BW12" i="14608"/>
  <c r="BX12" i="14608"/>
  <c r="BY12" i="14608"/>
  <c r="BZ12" i="14608"/>
  <c r="CA12" i="14608"/>
  <c r="CB12" i="14608"/>
  <c r="CC12" i="14608"/>
  <c r="CD12" i="14608"/>
  <c r="CE12" i="14608"/>
  <c r="CF12" i="14608"/>
  <c r="CG12" i="14608"/>
  <c r="CH12" i="14608"/>
  <c r="CI12" i="14608"/>
  <c r="CJ12" i="14608"/>
  <c r="CK12" i="14608"/>
  <c r="CL12" i="14608"/>
  <c r="CM12" i="14608"/>
  <c r="CN12" i="14608"/>
  <c r="CO12" i="14608"/>
  <c r="CP12" i="14608"/>
  <c r="CQ12" i="14608"/>
  <c r="CR12" i="14608"/>
  <c r="CS12" i="14608"/>
  <c r="CT12" i="14608"/>
  <c r="CU12" i="14608"/>
  <c r="CV12" i="14608"/>
  <c r="CW12" i="14608"/>
  <c r="CX12" i="14608"/>
  <c r="CY12" i="14608"/>
  <c r="CZ12" i="14608"/>
  <c r="DA12" i="14608"/>
  <c r="DB12" i="14608"/>
  <c r="DC12" i="14608"/>
  <c r="DD12" i="14608"/>
  <c r="DE12" i="14608"/>
  <c r="DF12" i="14608"/>
  <c r="DG12" i="14608"/>
  <c r="DH12" i="14608"/>
  <c r="DI12" i="14608"/>
  <c r="DJ12" i="14608"/>
  <c r="DK12" i="14608"/>
  <c r="DL12" i="14608"/>
  <c r="DM12" i="14608"/>
  <c r="DN12" i="14608"/>
  <c r="DO12" i="14608"/>
  <c r="DP12" i="14608"/>
  <c r="DQ12" i="14608"/>
  <c r="DR12" i="14608"/>
  <c r="DS12" i="14608"/>
  <c r="DT12" i="14608"/>
  <c r="DU12" i="14608"/>
  <c r="DV12" i="14608"/>
  <c r="DW12" i="14608"/>
  <c r="DX12" i="14608"/>
  <c r="DY12" i="14608"/>
  <c r="DZ12" i="14608"/>
  <c r="EA12" i="14608"/>
  <c r="EB12" i="14608"/>
  <c r="EC12" i="14608"/>
  <c r="ED12" i="14608"/>
  <c r="EE12" i="14608"/>
  <c r="EF12" i="14608"/>
  <c r="EG12" i="14608"/>
  <c r="EH12" i="14608"/>
  <c r="EI12" i="14608"/>
  <c r="EJ12" i="14608"/>
  <c r="EK12" i="14608"/>
  <c r="EL12" i="14608"/>
  <c r="EM12" i="14608"/>
  <c r="EN12" i="14608"/>
  <c r="EO12" i="14608"/>
  <c r="EP12" i="14608"/>
  <c r="EQ12" i="14608"/>
  <c r="ER12" i="14608"/>
  <c r="ES12" i="14608"/>
  <c r="ET12" i="14608"/>
  <c r="EU12" i="14608"/>
  <c r="EV12" i="14608"/>
  <c r="EW12" i="14608"/>
  <c r="EX12" i="14608"/>
  <c r="EY12" i="14608"/>
  <c r="EZ12" i="14608"/>
  <c r="FA12" i="14608"/>
  <c r="FB12" i="14608"/>
  <c r="FC12" i="14608"/>
  <c r="FD12" i="14608"/>
  <c r="FE12" i="14608"/>
  <c r="FF12" i="14608"/>
  <c r="FG12" i="14608"/>
  <c r="FH12" i="14608"/>
  <c r="FI12" i="14608"/>
  <c r="FJ12" i="14608"/>
  <c r="FK12" i="14608"/>
  <c r="FL12" i="14608"/>
  <c r="FM12" i="14608"/>
  <c r="FN12" i="14608"/>
  <c r="FO12" i="14608"/>
  <c r="FP12" i="14608"/>
  <c r="FQ12" i="14608"/>
  <c r="FR12" i="14608"/>
  <c r="FS12" i="14608"/>
  <c r="FT12" i="14608"/>
  <c r="FU12" i="14608"/>
  <c r="FV12" i="14608"/>
  <c r="FW12" i="14608"/>
  <c r="FX12" i="14608"/>
  <c r="FY12" i="14608"/>
  <c r="FZ12" i="14608"/>
  <c r="GA12" i="14608"/>
  <c r="GB12" i="14608"/>
  <c r="GC12" i="14608"/>
  <c r="GD12" i="14608"/>
  <c r="GE12" i="14608"/>
  <c r="GF12" i="14608"/>
  <c r="GG12" i="14608"/>
  <c r="GH12" i="14608"/>
  <c r="GI12" i="14608"/>
  <c r="GJ12" i="14608"/>
  <c r="GK12" i="14608"/>
  <c r="GL12" i="14608"/>
  <c r="GM12" i="14608"/>
  <c r="GN12" i="14608"/>
  <c r="GO12" i="14608"/>
  <c r="GP12" i="14608"/>
  <c r="GQ12" i="14608"/>
  <c r="GR12" i="14608"/>
  <c r="GS12" i="14608"/>
  <c r="GT12" i="14608"/>
  <c r="GU12" i="14608"/>
  <c r="GV12" i="14608"/>
  <c r="GW12" i="14608"/>
  <c r="GX12" i="14608"/>
  <c r="GY12" i="14608"/>
  <c r="GZ12" i="14608"/>
  <c r="HA12" i="14608"/>
  <c r="HB12" i="14608"/>
  <c r="HC12" i="14608"/>
  <c r="HD12" i="14608"/>
  <c r="HE12" i="14608"/>
  <c r="HF12" i="14608"/>
  <c r="HG12" i="14608"/>
  <c r="HH12" i="14608"/>
  <c r="HI12" i="14608"/>
  <c r="HJ12" i="14608"/>
  <c r="HK12" i="14608"/>
  <c r="HL12" i="14608"/>
  <c r="HM12" i="14608"/>
  <c r="HN12" i="14608"/>
  <c r="HO12" i="14608"/>
  <c r="HP12" i="14608"/>
  <c r="HQ12" i="14608"/>
  <c r="HR12" i="14608"/>
  <c r="HS12" i="14608"/>
  <c r="HT12" i="14608"/>
  <c r="HU12" i="14608"/>
  <c r="HV12" i="14608"/>
  <c r="HW12" i="14608"/>
  <c r="HX12" i="14608"/>
  <c r="HY12" i="14608"/>
  <c r="HZ12" i="14608"/>
  <c r="IA12" i="14608"/>
  <c r="IB12" i="14608"/>
  <c r="IC12" i="14608"/>
  <c r="ID12" i="14608"/>
  <c r="IE12" i="14608"/>
  <c r="IF12" i="14608"/>
  <c r="IG12" i="14608"/>
  <c r="IH12" i="14608"/>
  <c r="II12" i="14608"/>
  <c r="IJ12" i="14608"/>
  <c r="IK12" i="14608"/>
  <c r="IL12" i="14608"/>
  <c r="IM12" i="14608"/>
  <c r="IN12" i="14608"/>
  <c r="IO12" i="14608"/>
  <c r="IP12" i="14608"/>
  <c r="IQ12" i="14608"/>
  <c r="IR12" i="14608"/>
  <c r="IS12" i="14608"/>
  <c r="IT12" i="14608"/>
  <c r="IU12" i="14608"/>
  <c r="IV12" i="14608"/>
  <c r="A11" i="14608"/>
  <c r="B11" i="14608"/>
  <c r="C11" i="14608"/>
  <c r="D11" i="14608"/>
  <c r="E11" i="14608"/>
  <c r="F11" i="14608"/>
  <c r="G11" i="14608"/>
  <c r="H11" i="14608"/>
  <c r="I11" i="14608"/>
  <c r="J11" i="14608"/>
  <c r="K11" i="14608"/>
  <c r="L11" i="14608"/>
  <c r="M11" i="14608"/>
  <c r="N11" i="14608"/>
  <c r="O11" i="14608"/>
  <c r="P11" i="14608"/>
  <c r="Q11" i="14608"/>
  <c r="R11" i="14608"/>
  <c r="S11" i="14608"/>
  <c r="T11" i="14608"/>
  <c r="U11" i="14608"/>
  <c r="V11" i="14608"/>
  <c r="W11" i="14608"/>
  <c r="X11" i="14608"/>
  <c r="Y11" i="14608"/>
  <c r="Z11" i="14608"/>
  <c r="AA11" i="14608"/>
  <c r="AB11" i="14608"/>
  <c r="AC11" i="14608"/>
  <c r="AD11" i="14608"/>
  <c r="AE11" i="14608"/>
  <c r="AF11" i="14608"/>
  <c r="AG11" i="14608"/>
  <c r="AH11" i="14608"/>
  <c r="AI11" i="14608"/>
  <c r="AJ11" i="14608"/>
  <c r="AK11" i="14608"/>
  <c r="AL11" i="14608"/>
  <c r="AM11" i="14608"/>
  <c r="AN11" i="14608"/>
  <c r="AO11" i="14608"/>
  <c r="AP11" i="14608"/>
  <c r="AQ11" i="14608"/>
  <c r="AR11" i="14608"/>
  <c r="AS11" i="14608"/>
  <c r="AT11" i="14608"/>
  <c r="AU11" i="14608"/>
  <c r="AV11" i="14608"/>
  <c r="AW11" i="14608"/>
  <c r="AX11" i="14608"/>
  <c r="AY11" i="14608"/>
  <c r="AZ11" i="14608"/>
  <c r="BA11" i="14608"/>
  <c r="BB11" i="14608"/>
  <c r="BC11" i="14608"/>
  <c r="BD11" i="14608"/>
  <c r="BE11" i="14608"/>
  <c r="BF11" i="14608"/>
  <c r="BG11" i="14608"/>
  <c r="BH11" i="14608"/>
  <c r="BI11" i="14608"/>
  <c r="BJ11" i="14608"/>
  <c r="BK11" i="14608"/>
  <c r="BL11" i="14608"/>
  <c r="BM11" i="14608"/>
  <c r="BN11" i="14608"/>
  <c r="BO11" i="14608"/>
  <c r="BP11" i="14608"/>
  <c r="BQ11" i="14608"/>
  <c r="BR11" i="14608"/>
  <c r="BS11" i="14608"/>
  <c r="BT11" i="14608"/>
  <c r="BU11" i="14608"/>
  <c r="BV11" i="14608"/>
  <c r="BW11" i="14608"/>
  <c r="BX11" i="14608"/>
  <c r="BY11" i="14608"/>
  <c r="BZ11" i="14608"/>
  <c r="CA11" i="14608"/>
  <c r="CB11" i="14608"/>
  <c r="CC11" i="14608"/>
  <c r="CD11" i="14608"/>
  <c r="CE11" i="14608"/>
  <c r="CF11" i="14608"/>
  <c r="CG11" i="14608"/>
  <c r="CH11" i="14608"/>
  <c r="CI11" i="14608"/>
  <c r="CJ11" i="14608"/>
  <c r="CK11" i="14608"/>
  <c r="CL11" i="14608"/>
  <c r="CM11" i="14608"/>
  <c r="CN11" i="14608"/>
  <c r="CO11" i="14608"/>
  <c r="CP11" i="14608"/>
  <c r="CQ11" i="14608"/>
  <c r="CR11" i="14608"/>
  <c r="CS11" i="14608"/>
  <c r="CT11" i="14608"/>
  <c r="CU11" i="14608"/>
  <c r="CV11" i="14608"/>
  <c r="CW11" i="14608"/>
  <c r="CX11" i="14608"/>
  <c r="CY11" i="14608"/>
  <c r="CZ11" i="14608"/>
  <c r="DA11" i="14608"/>
  <c r="DB11" i="14608"/>
  <c r="DC11" i="14608"/>
  <c r="DD11" i="14608"/>
  <c r="DE11" i="14608"/>
  <c r="DF11" i="14608"/>
  <c r="DG11" i="14608"/>
  <c r="DH11" i="14608"/>
  <c r="DI11" i="14608"/>
  <c r="DJ11" i="14608"/>
  <c r="DK11" i="14608"/>
  <c r="DL11" i="14608"/>
  <c r="DM11" i="14608"/>
  <c r="DN11" i="14608"/>
  <c r="DO11" i="14608"/>
  <c r="DP11" i="14608"/>
  <c r="DQ11" i="14608"/>
  <c r="DR11" i="14608"/>
  <c r="DS11" i="14608"/>
  <c r="DT11" i="14608"/>
  <c r="DU11" i="14608"/>
  <c r="DV11" i="14608"/>
  <c r="DW11" i="14608"/>
  <c r="DX11" i="14608"/>
  <c r="DY11" i="14608"/>
  <c r="DZ11" i="14608"/>
  <c r="EA11" i="14608"/>
  <c r="EB11" i="14608"/>
  <c r="EC11" i="14608"/>
  <c r="ED11" i="14608"/>
  <c r="EE11" i="14608"/>
  <c r="EF11" i="14608"/>
  <c r="EG11" i="14608"/>
  <c r="EH11" i="14608"/>
  <c r="EI11" i="14608"/>
  <c r="EJ11" i="14608"/>
  <c r="EK11" i="14608"/>
  <c r="EL11" i="14608"/>
  <c r="EM11" i="14608"/>
  <c r="EN11" i="14608"/>
  <c r="EO11" i="14608"/>
  <c r="EP11" i="14608"/>
  <c r="EQ11" i="14608"/>
  <c r="ER11" i="14608"/>
  <c r="ES11" i="14608"/>
  <c r="ET11" i="14608"/>
  <c r="EU11" i="14608"/>
  <c r="EV11" i="14608"/>
  <c r="EW11" i="14608"/>
  <c r="EX11" i="14608"/>
  <c r="EY11" i="14608"/>
  <c r="EZ11" i="14608"/>
  <c r="FA11" i="14608"/>
  <c r="FB11" i="14608"/>
  <c r="FC11" i="14608"/>
  <c r="FD11" i="14608"/>
  <c r="FE11" i="14608"/>
  <c r="FF11" i="14608"/>
  <c r="FG11" i="14608"/>
  <c r="FH11" i="14608"/>
  <c r="FI11" i="14608"/>
  <c r="FJ11" i="14608"/>
  <c r="FK11" i="14608"/>
  <c r="FL11" i="14608"/>
  <c r="FM11" i="14608"/>
  <c r="FN11" i="14608"/>
  <c r="FO11" i="14608"/>
  <c r="FP11" i="14608"/>
  <c r="FQ11" i="14608"/>
  <c r="FR11" i="14608"/>
  <c r="FS11" i="14608"/>
  <c r="FT11" i="14608"/>
  <c r="FU11" i="14608"/>
  <c r="FV11" i="14608"/>
  <c r="FW11" i="14608"/>
  <c r="FX11" i="14608"/>
  <c r="FY11" i="14608"/>
  <c r="FZ11" i="14608"/>
  <c r="GA11" i="14608"/>
  <c r="GB11" i="14608"/>
  <c r="GC11" i="14608"/>
  <c r="GD11" i="14608"/>
  <c r="GE11" i="14608"/>
  <c r="GF11" i="14608"/>
  <c r="GG11" i="14608"/>
  <c r="GH11" i="14608"/>
  <c r="GI11" i="14608"/>
  <c r="GJ11" i="14608"/>
  <c r="GK11" i="14608"/>
  <c r="GL11" i="14608"/>
  <c r="GM11" i="14608"/>
  <c r="GN11" i="14608"/>
  <c r="GO11" i="14608"/>
  <c r="GP11" i="14608"/>
  <c r="GQ11" i="14608"/>
  <c r="GR11" i="14608"/>
  <c r="GS11" i="14608"/>
  <c r="GT11" i="14608"/>
  <c r="GU11" i="14608"/>
  <c r="GV11" i="14608"/>
  <c r="GW11" i="14608"/>
  <c r="GX11" i="14608"/>
  <c r="GY11" i="14608"/>
  <c r="GZ11" i="14608"/>
  <c r="HA11" i="14608"/>
  <c r="HB11" i="14608"/>
  <c r="HC11" i="14608"/>
  <c r="HD11" i="14608"/>
  <c r="HE11" i="14608"/>
  <c r="HF11" i="14608"/>
  <c r="HG11" i="14608"/>
  <c r="HH11" i="14608"/>
  <c r="HI11" i="14608"/>
  <c r="HJ11" i="14608"/>
  <c r="HK11" i="14608"/>
  <c r="HL11" i="14608"/>
  <c r="HM11" i="14608"/>
  <c r="HN11" i="14608"/>
  <c r="HO11" i="14608"/>
  <c r="HP11" i="14608"/>
  <c r="HQ11" i="14608"/>
  <c r="HR11" i="14608"/>
  <c r="HS11" i="14608"/>
  <c r="HT11" i="14608"/>
  <c r="HU11" i="14608"/>
  <c r="HV11" i="14608"/>
  <c r="HW11" i="14608"/>
  <c r="HX11" i="14608"/>
  <c r="HY11" i="14608"/>
  <c r="HZ11" i="14608"/>
  <c r="IA11" i="14608"/>
  <c r="IB11" i="14608"/>
  <c r="IC11" i="14608"/>
  <c r="ID11" i="14608"/>
  <c r="IE11" i="14608"/>
  <c r="IF11" i="14608"/>
  <c r="IG11" i="14608"/>
  <c r="IH11" i="14608"/>
  <c r="II11" i="14608"/>
  <c r="IJ11" i="14608"/>
  <c r="IK11" i="14608"/>
  <c r="IL11" i="14608"/>
  <c r="IM11" i="14608"/>
  <c r="IN11" i="14608"/>
  <c r="IO11" i="14608"/>
  <c r="IP11" i="14608"/>
  <c r="IQ11" i="14608"/>
  <c r="IR11" i="14608"/>
  <c r="IS11" i="14608"/>
  <c r="IT11" i="14608"/>
  <c r="IU11" i="14608"/>
  <c r="IV11" i="14608"/>
  <c r="A10" i="14608"/>
  <c r="B10" i="14608"/>
  <c r="C10" i="14608"/>
  <c r="D10" i="14608"/>
  <c r="E10" i="14608"/>
  <c r="F10" i="14608"/>
  <c r="G10" i="14608"/>
  <c r="H10" i="14608"/>
  <c r="I10" i="14608"/>
  <c r="J10" i="14608"/>
  <c r="K10" i="14608"/>
  <c r="L10" i="14608"/>
  <c r="M10" i="14608"/>
  <c r="N10" i="14608"/>
  <c r="O10" i="14608"/>
  <c r="P10" i="14608"/>
  <c r="Q10" i="14608"/>
  <c r="R10" i="14608"/>
  <c r="S10" i="14608"/>
  <c r="T10" i="14608"/>
  <c r="U10" i="14608"/>
  <c r="V10" i="14608"/>
  <c r="W10" i="14608"/>
  <c r="X10" i="14608"/>
  <c r="Y10" i="14608"/>
  <c r="Z10" i="14608"/>
  <c r="AA10" i="14608"/>
  <c r="AB10" i="14608"/>
  <c r="AC10" i="14608"/>
  <c r="AD10" i="14608"/>
  <c r="AE10" i="14608"/>
  <c r="AF10" i="14608"/>
  <c r="AG10" i="14608"/>
  <c r="AH10" i="14608"/>
  <c r="AI10" i="14608"/>
  <c r="AJ10" i="14608"/>
  <c r="AK10" i="14608"/>
  <c r="AL10" i="14608"/>
  <c r="AM10" i="14608"/>
  <c r="AN10" i="14608"/>
  <c r="AO10" i="14608"/>
  <c r="AP10" i="14608"/>
  <c r="AQ10" i="14608"/>
  <c r="AR10" i="14608"/>
  <c r="AS10" i="14608"/>
  <c r="AT10" i="14608"/>
  <c r="AU10" i="14608"/>
  <c r="AV10" i="14608"/>
  <c r="AW10" i="14608"/>
  <c r="AX10" i="14608"/>
  <c r="AY10" i="14608"/>
  <c r="AZ10" i="14608"/>
  <c r="BA10" i="14608"/>
  <c r="BB10" i="14608"/>
  <c r="BC10" i="14608"/>
  <c r="BD10" i="14608"/>
  <c r="BE10" i="14608"/>
  <c r="BF10" i="14608"/>
  <c r="BG10" i="14608"/>
  <c r="BH10" i="14608"/>
  <c r="BI10" i="14608"/>
  <c r="BJ10" i="14608"/>
  <c r="BK10" i="14608"/>
  <c r="BL10" i="14608"/>
  <c r="BM10" i="14608"/>
  <c r="BN10" i="14608"/>
  <c r="BO10" i="14608"/>
  <c r="BP10" i="14608"/>
  <c r="BQ10" i="14608"/>
  <c r="BR10" i="14608"/>
  <c r="BS10" i="14608"/>
  <c r="BT10" i="14608"/>
  <c r="BU10" i="14608"/>
  <c r="BV10" i="14608"/>
  <c r="BW10" i="14608"/>
  <c r="BX10" i="14608"/>
  <c r="BY10" i="14608"/>
  <c r="BZ10" i="14608"/>
  <c r="CA10" i="14608"/>
  <c r="CB10" i="14608"/>
  <c r="CC10" i="14608"/>
  <c r="CD10" i="14608"/>
  <c r="CE10" i="14608"/>
  <c r="CF10" i="14608"/>
  <c r="CG10" i="14608"/>
  <c r="CH10" i="14608"/>
  <c r="CI10" i="14608"/>
  <c r="CJ10" i="14608"/>
  <c r="CK10" i="14608"/>
  <c r="CL10" i="14608"/>
  <c r="CM10" i="14608"/>
  <c r="CN10" i="14608"/>
  <c r="CO10" i="14608"/>
  <c r="CP10" i="14608"/>
  <c r="CQ10" i="14608"/>
  <c r="CR10" i="14608"/>
  <c r="CS10" i="14608"/>
  <c r="CT10" i="14608"/>
  <c r="CU10" i="14608"/>
  <c r="CV10" i="14608"/>
  <c r="CW10" i="14608"/>
  <c r="CX10" i="14608"/>
  <c r="CY10" i="14608"/>
  <c r="CZ10" i="14608"/>
  <c r="DA10" i="14608"/>
  <c r="DB10" i="14608"/>
  <c r="DC10" i="14608"/>
  <c r="DD10" i="14608"/>
  <c r="DE10" i="14608"/>
  <c r="DF10" i="14608"/>
  <c r="DG10" i="14608"/>
  <c r="DH10" i="14608"/>
  <c r="DI10" i="14608"/>
  <c r="DJ10" i="14608"/>
  <c r="DK10" i="14608"/>
  <c r="DL10" i="14608"/>
  <c r="DM10" i="14608"/>
  <c r="DN10" i="14608"/>
  <c r="DO10" i="14608"/>
  <c r="DP10" i="14608"/>
  <c r="DQ10" i="14608"/>
  <c r="DR10" i="14608"/>
  <c r="DS10" i="14608"/>
  <c r="DT10" i="14608"/>
  <c r="DU10" i="14608"/>
  <c r="DV10" i="14608"/>
  <c r="DW10" i="14608"/>
  <c r="DX10" i="14608"/>
  <c r="DY10" i="14608"/>
  <c r="DZ10" i="14608"/>
  <c r="EA10" i="14608"/>
  <c r="EB10" i="14608"/>
  <c r="EC10" i="14608"/>
  <c r="ED10" i="14608"/>
  <c r="EE10" i="14608"/>
  <c r="EF10" i="14608"/>
  <c r="EG10" i="14608"/>
  <c r="EH10" i="14608"/>
  <c r="EI10" i="14608"/>
  <c r="EJ10" i="14608"/>
  <c r="EK10" i="14608"/>
  <c r="EL10" i="14608"/>
  <c r="EM10" i="14608"/>
  <c r="EN10" i="14608"/>
  <c r="EO10" i="14608"/>
  <c r="EP10" i="14608"/>
  <c r="EQ10" i="14608"/>
  <c r="ER10" i="14608"/>
  <c r="ES10" i="14608"/>
  <c r="ET10" i="14608"/>
  <c r="EU10" i="14608"/>
  <c r="EV10" i="14608"/>
  <c r="EW10" i="14608"/>
  <c r="EX10" i="14608"/>
  <c r="EY10" i="14608"/>
  <c r="EZ10" i="14608"/>
  <c r="FA10" i="14608"/>
  <c r="FB10" i="14608"/>
  <c r="FC10" i="14608"/>
  <c r="FD10" i="14608"/>
  <c r="FE10" i="14608"/>
  <c r="FF10" i="14608"/>
  <c r="FG10" i="14608"/>
  <c r="FH10" i="14608"/>
  <c r="FI10" i="14608"/>
  <c r="FJ10" i="14608"/>
  <c r="FK10" i="14608"/>
  <c r="FL10" i="14608"/>
  <c r="FM10" i="14608"/>
  <c r="FN10" i="14608"/>
  <c r="FO10" i="14608"/>
  <c r="FP10" i="14608"/>
  <c r="FQ10" i="14608"/>
  <c r="FR10" i="14608"/>
  <c r="FS10" i="14608"/>
  <c r="FT10" i="14608"/>
  <c r="FU10" i="14608"/>
  <c r="FV10" i="14608"/>
  <c r="FW10" i="14608"/>
  <c r="FX10" i="14608"/>
  <c r="FY10" i="14608"/>
  <c r="FZ10" i="14608"/>
  <c r="GA10" i="14608"/>
  <c r="GB10" i="14608"/>
  <c r="GC10" i="14608"/>
  <c r="GD10" i="14608"/>
  <c r="GE10" i="14608"/>
  <c r="GF10" i="14608"/>
  <c r="GG10" i="14608"/>
  <c r="GH10" i="14608"/>
  <c r="GI10" i="14608"/>
  <c r="GJ10" i="14608"/>
  <c r="GK10" i="14608"/>
  <c r="GL10" i="14608"/>
  <c r="GM10" i="14608"/>
  <c r="GN10" i="14608"/>
  <c r="GO10" i="14608"/>
  <c r="GP10" i="14608"/>
  <c r="GQ10" i="14608"/>
  <c r="GR10" i="14608"/>
  <c r="GS10" i="14608"/>
  <c r="GT10" i="14608"/>
  <c r="GU10" i="14608"/>
  <c r="GV10" i="14608"/>
  <c r="GW10" i="14608"/>
  <c r="GX10" i="14608"/>
  <c r="GY10" i="14608"/>
  <c r="GZ10" i="14608"/>
  <c r="HA10" i="14608"/>
  <c r="HB10" i="14608"/>
  <c r="HC10" i="14608"/>
  <c r="HD10" i="14608"/>
  <c r="HE10" i="14608"/>
  <c r="HF10" i="14608"/>
  <c r="HG10" i="14608"/>
  <c r="HH10" i="14608"/>
  <c r="HI10" i="14608"/>
  <c r="HJ10" i="14608"/>
  <c r="HK10" i="14608"/>
  <c r="HL10" i="14608"/>
  <c r="HM10" i="14608"/>
  <c r="HN10" i="14608"/>
  <c r="HO10" i="14608"/>
  <c r="HP10" i="14608"/>
  <c r="HQ10" i="14608"/>
  <c r="HR10" i="14608"/>
  <c r="HS10" i="14608"/>
  <c r="HT10" i="14608"/>
  <c r="HU10" i="14608"/>
  <c r="HV10" i="14608"/>
  <c r="HW10" i="14608"/>
  <c r="HX10" i="14608"/>
  <c r="HY10" i="14608"/>
  <c r="HZ10" i="14608"/>
  <c r="IA10" i="14608"/>
  <c r="IB10" i="14608"/>
  <c r="IC10" i="14608"/>
  <c r="ID10" i="14608"/>
  <c r="IE10" i="14608"/>
  <c r="IF10" i="14608"/>
  <c r="IG10" i="14608"/>
  <c r="IH10" i="14608"/>
  <c r="II10" i="14608"/>
  <c r="IJ10" i="14608"/>
  <c r="IK10" i="14608"/>
  <c r="IL10" i="14608"/>
  <c r="IM10" i="14608"/>
  <c r="IN10" i="14608"/>
  <c r="IO10" i="14608"/>
  <c r="IP10" i="14608"/>
  <c r="IQ10" i="14608"/>
  <c r="IR10" i="14608"/>
  <c r="IS10" i="14608"/>
  <c r="IT10" i="14608"/>
  <c r="IU10" i="14608"/>
  <c r="IV10" i="14608"/>
  <c r="A9" i="14608"/>
  <c r="B9" i="14608"/>
  <c r="C9" i="14608"/>
  <c r="D9" i="14608"/>
  <c r="E9" i="14608"/>
  <c r="F9" i="14608"/>
  <c r="G9" i="14608"/>
  <c r="H9" i="14608"/>
  <c r="I9" i="14608"/>
  <c r="J9" i="14608"/>
  <c r="K9" i="14608"/>
  <c r="L9" i="14608"/>
  <c r="M9" i="14608"/>
  <c r="N9" i="14608"/>
  <c r="O9" i="14608"/>
  <c r="P9" i="14608"/>
  <c r="Q9" i="14608"/>
  <c r="R9" i="14608"/>
  <c r="S9" i="14608"/>
  <c r="T9" i="14608"/>
  <c r="U9" i="14608"/>
  <c r="V9" i="14608"/>
  <c r="W9" i="14608"/>
  <c r="X9" i="14608"/>
  <c r="Y9" i="14608"/>
  <c r="Z9" i="14608"/>
  <c r="AA9" i="14608"/>
  <c r="AB9" i="14608"/>
  <c r="AC9" i="14608"/>
  <c r="AD9" i="14608"/>
  <c r="AE9" i="14608"/>
  <c r="AF9" i="14608"/>
  <c r="AG9" i="14608"/>
  <c r="AH9" i="14608"/>
  <c r="AI9" i="14608"/>
  <c r="AJ9" i="14608"/>
  <c r="AK9" i="14608"/>
  <c r="AL9" i="14608"/>
  <c r="AM9" i="14608"/>
  <c r="AN9" i="14608"/>
  <c r="AO9" i="14608"/>
  <c r="AP9" i="14608"/>
  <c r="AQ9" i="14608"/>
  <c r="AR9" i="14608"/>
  <c r="AS9" i="14608"/>
  <c r="AT9" i="14608"/>
  <c r="AU9" i="14608"/>
  <c r="AV9" i="14608"/>
  <c r="AW9" i="14608"/>
  <c r="AX9" i="14608"/>
  <c r="AY9" i="14608"/>
  <c r="AZ9" i="14608"/>
  <c r="BA9" i="14608"/>
  <c r="BB9" i="14608"/>
  <c r="BC9" i="14608"/>
  <c r="BD9" i="14608"/>
  <c r="BE9" i="14608"/>
  <c r="BF9" i="14608"/>
  <c r="BG9" i="14608"/>
  <c r="BH9" i="14608"/>
  <c r="BI9" i="14608"/>
  <c r="BJ9" i="14608"/>
  <c r="BK9" i="14608"/>
  <c r="BL9" i="14608"/>
  <c r="BM9" i="14608"/>
  <c r="BN9" i="14608"/>
  <c r="BO9" i="14608"/>
  <c r="BP9" i="14608"/>
  <c r="BQ9" i="14608"/>
  <c r="BR9" i="14608"/>
  <c r="BS9" i="14608"/>
  <c r="BT9" i="14608"/>
  <c r="BU9" i="14608"/>
  <c r="BV9" i="14608"/>
  <c r="BW9" i="14608"/>
  <c r="BX9" i="14608"/>
  <c r="BY9" i="14608"/>
  <c r="BZ9" i="14608"/>
  <c r="CA9" i="14608"/>
  <c r="CB9" i="14608"/>
  <c r="CC9" i="14608"/>
  <c r="CD9" i="14608"/>
  <c r="CE9" i="14608"/>
  <c r="CF9" i="14608"/>
  <c r="CG9" i="14608"/>
  <c r="CH9" i="14608"/>
  <c r="CI9" i="14608"/>
  <c r="CJ9" i="14608"/>
  <c r="CK9" i="14608"/>
  <c r="CL9" i="14608"/>
  <c r="CM9" i="14608"/>
  <c r="CN9" i="14608"/>
  <c r="CO9" i="14608"/>
  <c r="CP9" i="14608"/>
  <c r="CQ9" i="14608"/>
  <c r="CR9" i="14608"/>
  <c r="CS9" i="14608"/>
  <c r="CT9" i="14608"/>
  <c r="CU9" i="14608"/>
  <c r="CV9" i="14608"/>
  <c r="CW9" i="14608"/>
  <c r="CX9" i="14608"/>
  <c r="CY9" i="14608"/>
  <c r="CZ9" i="14608"/>
  <c r="DA9" i="14608"/>
  <c r="DB9" i="14608"/>
  <c r="DC9" i="14608"/>
  <c r="DD9" i="14608"/>
  <c r="DE9" i="14608"/>
  <c r="DF9" i="14608"/>
  <c r="DG9" i="14608"/>
  <c r="DH9" i="14608"/>
  <c r="DI9" i="14608"/>
  <c r="DJ9" i="14608"/>
  <c r="DK9" i="14608"/>
  <c r="DL9" i="14608"/>
  <c r="DM9" i="14608"/>
  <c r="DN9" i="14608"/>
  <c r="DO9" i="14608"/>
  <c r="DP9" i="14608"/>
  <c r="DQ9" i="14608"/>
  <c r="DR9" i="14608"/>
  <c r="DS9" i="14608"/>
  <c r="DT9" i="14608"/>
  <c r="DU9" i="14608"/>
  <c r="DV9" i="14608"/>
  <c r="DW9" i="14608"/>
  <c r="DX9" i="14608"/>
  <c r="DY9" i="14608"/>
  <c r="DZ9" i="14608"/>
  <c r="EA9" i="14608"/>
  <c r="EB9" i="14608"/>
  <c r="EC9" i="14608"/>
  <c r="ED9" i="14608"/>
  <c r="EE9" i="14608"/>
  <c r="EF9" i="14608"/>
  <c r="EG9" i="14608"/>
  <c r="EH9" i="14608"/>
  <c r="EI9" i="14608"/>
  <c r="EJ9" i="14608"/>
  <c r="EK9" i="14608"/>
  <c r="EL9" i="14608"/>
  <c r="EM9" i="14608"/>
  <c r="EN9" i="14608"/>
  <c r="EO9" i="14608"/>
  <c r="EP9" i="14608"/>
  <c r="EQ9" i="14608"/>
  <c r="ER9" i="14608"/>
  <c r="ES9" i="14608"/>
  <c r="ET9" i="14608"/>
  <c r="EU9" i="14608"/>
  <c r="EV9" i="14608"/>
  <c r="EW9" i="14608"/>
  <c r="EX9" i="14608"/>
  <c r="EY9" i="14608"/>
  <c r="EZ9" i="14608"/>
  <c r="FA9" i="14608"/>
  <c r="FB9" i="14608"/>
  <c r="FC9" i="14608"/>
  <c r="FD9" i="14608"/>
  <c r="FE9" i="14608"/>
  <c r="FF9" i="14608"/>
  <c r="FG9" i="14608"/>
  <c r="FH9" i="14608"/>
  <c r="FI9" i="14608"/>
  <c r="FJ9" i="14608"/>
  <c r="FK9" i="14608"/>
  <c r="FL9" i="14608"/>
  <c r="FM9" i="14608"/>
  <c r="FN9" i="14608"/>
  <c r="FO9" i="14608"/>
  <c r="FP9" i="14608"/>
  <c r="FQ9" i="14608"/>
  <c r="FR9" i="14608"/>
  <c r="FS9" i="14608"/>
  <c r="FT9" i="14608"/>
  <c r="FU9" i="14608"/>
  <c r="FV9" i="14608"/>
  <c r="FW9" i="14608"/>
  <c r="FX9" i="14608"/>
  <c r="FY9" i="14608"/>
  <c r="FZ9" i="14608"/>
  <c r="GA9" i="14608"/>
  <c r="GB9" i="14608"/>
  <c r="GC9" i="14608"/>
  <c r="GD9" i="14608"/>
  <c r="GE9" i="14608"/>
  <c r="GF9" i="14608"/>
  <c r="GG9" i="14608"/>
  <c r="GH9" i="14608"/>
  <c r="GI9" i="14608"/>
  <c r="GJ9" i="14608"/>
  <c r="GK9" i="14608"/>
  <c r="GL9" i="14608"/>
  <c r="GM9" i="14608"/>
  <c r="GN9" i="14608"/>
  <c r="GO9" i="14608"/>
  <c r="GP9" i="14608"/>
  <c r="GQ9" i="14608"/>
  <c r="GR9" i="14608"/>
  <c r="GS9" i="14608"/>
  <c r="GT9" i="14608"/>
  <c r="GU9" i="14608"/>
  <c r="GV9" i="14608"/>
  <c r="GW9" i="14608"/>
  <c r="GX9" i="14608"/>
  <c r="GY9" i="14608"/>
  <c r="GZ9" i="14608"/>
  <c r="HA9" i="14608"/>
  <c r="HB9" i="14608"/>
  <c r="HC9" i="14608"/>
  <c r="HD9" i="14608"/>
  <c r="HE9" i="14608"/>
  <c r="HF9" i="14608"/>
  <c r="HG9" i="14608"/>
  <c r="HH9" i="14608"/>
  <c r="HI9" i="14608"/>
  <c r="HJ9" i="14608"/>
  <c r="HK9" i="14608"/>
  <c r="HL9" i="14608"/>
  <c r="HM9" i="14608"/>
  <c r="HN9" i="14608"/>
  <c r="HO9" i="14608"/>
  <c r="HP9" i="14608"/>
  <c r="HQ9" i="14608"/>
  <c r="HR9" i="14608"/>
  <c r="HS9" i="14608"/>
  <c r="HT9" i="14608"/>
  <c r="HU9" i="14608"/>
  <c r="HV9" i="14608"/>
  <c r="HW9" i="14608"/>
  <c r="HX9" i="14608"/>
  <c r="HY9" i="14608"/>
  <c r="HZ9" i="14608"/>
  <c r="IA9" i="14608"/>
  <c r="IB9" i="14608"/>
  <c r="IC9" i="14608"/>
  <c r="ID9" i="14608"/>
  <c r="IE9" i="14608"/>
  <c r="IF9" i="14608"/>
  <c r="IG9" i="14608"/>
  <c r="IH9" i="14608"/>
  <c r="II9" i="14608"/>
  <c r="IJ9" i="14608"/>
  <c r="IK9" i="14608"/>
  <c r="IL9" i="14608"/>
  <c r="IM9" i="14608"/>
  <c r="IN9" i="14608"/>
  <c r="IO9" i="14608"/>
  <c r="IP9" i="14608"/>
  <c r="IQ9" i="14608"/>
  <c r="IR9" i="14608"/>
  <c r="IS9" i="14608"/>
  <c r="IT9" i="14608"/>
  <c r="IU9" i="14608"/>
  <c r="IV9" i="14608"/>
  <c r="A8" i="14608"/>
  <c r="B8" i="14608"/>
  <c r="C8" i="14608"/>
  <c r="D8" i="14608"/>
  <c r="E8" i="14608"/>
  <c r="F8" i="14608"/>
  <c r="G8" i="14608"/>
  <c r="H8" i="14608"/>
  <c r="I8" i="14608"/>
  <c r="J8" i="14608"/>
  <c r="K8" i="14608"/>
  <c r="L8" i="14608"/>
  <c r="M8" i="14608"/>
  <c r="N8" i="14608"/>
  <c r="O8" i="14608"/>
  <c r="P8" i="14608"/>
  <c r="Q8" i="14608"/>
  <c r="R8" i="14608"/>
  <c r="S8" i="14608"/>
  <c r="T8" i="14608"/>
  <c r="U8" i="14608"/>
  <c r="V8" i="14608"/>
  <c r="W8" i="14608"/>
  <c r="X8" i="14608"/>
  <c r="Y8" i="14608"/>
  <c r="Z8" i="14608"/>
  <c r="AA8" i="14608"/>
  <c r="AB8" i="14608"/>
  <c r="AC8" i="14608"/>
  <c r="AD8" i="14608"/>
  <c r="AE8" i="14608"/>
  <c r="AF8" i="14608"/>
  <c r="AG8" i="14608"/>
  <c r="AH8" i="14608"/>
  <c r="AI8" i="14608"/>
  <c r="AJ8" i="14608"/>
  <c r="AK8" i="14608"/>
  <c r="AL8" i="14608"/>
  <c r="AM8" i="14608"/>
  <c r="AN8" i="14608"/>
  <c r="AO8" i="14608"/>
  <c r="AP8" i="14608"/>
  <c r="AQ8" i="14608"/>
  <c r="AR8" i="14608"/>
  <c r="AS8" i="14608"/>
  <c r="AT8" i="14608"/>
  <c r="AU8" i="14608"/>
  <c r="AV8" i="14608"/>
  <c r="AW8" i="14608"/>
  <c r="AX8" i="14608"/>
  <c r="AY8" i="14608"/>
  <c r="AZ8" i="14608"/>
  <c r="BA8" i="14608"/>
  <c r="BB8" i="14608"/>
  <c r="BC8" i="14608"/>
  <c r="BD8" i="14608"/>
  <c r="BE8" i="14608"/>
  <c r="BF8" i="14608"/>
  <c r="BG8" i="14608"/>
  <c r="BH8" i="14608"/>
  <c r="BI8" i="14608"/>
  <c r="BJ8" i="14608"/>
  <c r="BK8" i="14608"/>
  <c r="BL8" i="14608"/>
  <c r="BM8" i="14608"/>
  <c r="BN8" i="14608"/>
  <c r="BO8" i="14608"/>
  <c r="BP8" i="14608"/>
  <c r="BQ8" i="14608"/>
  <c r="BR8" i="14608"/>
  <c r="BS8" i="14608"/>
  <c r="BT8" i="14608"/>
  <c r="BU8" i="14608"/>
  <c r="BV8" i="14608"/>
  <c r="BW8" i="14608"/>
  <c r="BX8" i="14608"/>
  <c r="BY8" i="14608"/>
  <c r="BZ8" i="14608"/>
  <c r="CA8" i="14608"/>
  <c r="CB8" i="14608"/>
  <c r="CC8" i="14608"/>
  <c r="CD8" i="14608"/>
  <c r="CE8" i="14608"/>
  <c r="CF8" i="14608"/>
  <c r="CG8" i="14608"/>
  <c r="CH8" i="14608"/>
  <c r="CI8" i="14608"/>
  <c r="CJ8" i="14608"/>
  <c r="CK8" i="14608"/>
  <c r="CL8" i="14608"/>
  <c r="CM8" i="14608"/>
  <c r="CN8" i="14608"/>
  <c r="CO8" i="14608"/>
  <c r="CP8" i="14608"/>
  <c r="CQ8" i="14608"/>
  <c r="CR8" i="14608"/>
  <c r="CS8" i="14608"/>
  <c r="CT8" i="14608"/>
  <c r="CU8" i="14608"/>
  <c r="CV8" i="14608"/>
  <c r="CW8" i="14608"/>
  <c r="CX8" i="14608"/>
  <c r="CY8" i="14608"/>
  <c r="CZ8" i="14608"/>
  <c r="DA8" i="14608"/>
  <c r="DB8" i="14608"/>
  <c r="DC8" i="14608"/>
  <c r="DD8" i="14608"/>
  <c r="DE8" i="14608"/>
  <c r="DF8" i="14608"/>
  <c r="DG8" i="14608"/>
  <c r="DH8" i="14608"/>
  <c r="DI8" i="14608"/>
  <c r="DJ8" i="14608"/>
  <c r="DK8" i="14608"/>
  <c r="DL8" i="14608"/>
  <c r="DM8" i="14608"/>
  <c r="DN8" i="14608"/>
  <c r="DO8" i="14608"/>
  <c r="DP8" i="14608"/>
  <c r="DQ8" i="14608"/>
  <c r="DR8" i="14608"/>
  <c r="DS8" i="14608"/>
  <c r="DT8" i="14608"/>
  <c r="DU8" i="14608"/>
  <c r="DV8" i="14608"/>
  <c r="DW8" i="14608"/>
  <c r="DX8" i="14608"/>
  <c r="DY8" i="14608"/>
  <c r="DZ8" i="14608"/>
  <c r="EA8" i="14608"/>
  <c r="EB8" i="14608"/>
  <c r="EC8" i="14608"/>
  <c r="ED8" i="14608"/>
  <c r="EE8" i="14608"/>
  <c r="EF8" i="14608"/>
  <c r="EG8" i="14608"/>
  <c r="EH8" i="14608"/>
  <c r="EI8" i="14608"/>
  <c r="EJ8" i="14608"/>
  <c r="EK8" i="14608"/>
  <c r="EL8" i="14608"/>
  <c r="EM8" i="14608"/>
  <c r="EN8" i="14608"/>
  <c r="EO8" i="14608"/>
  <c r="EP8" i="14608"/>
  <c r="EQ8" i="14608"/>
  <c r="ER8" i="14608"/>
  <c r="ES8" i="14608"/>
  <c r="ET8" i="14608"/>
  <c r="EU8" i="14608"/>
  <c r="EV8" i="14608"/>
  <c r="EW8" i="14608"/>
  <c r="EX8" i="14608"/>
  <c r="EY8" i="14608"/>
  <c r="EZ8" i="14608"/>
  <c r="FA8" i="14608"/>
  <c r="FB8" i="14608"/>
  <c r="FC8" i="14608"/>
  <c r="FD8" i="14608"/>
  <c r="FE8" i="14608"/>
  <c r="FF8" i="14608"/>
  <c r="FG8" i="14608"/>
  <c r="FH8" i="14608"/>
  <c r="FI8" i="14608"/>
  <c r="FJ8" i="14608"/>
  <c r="FK8" i="14608"/>
  <c r="FL8" i="14608"/>
  <c r="FM8" i="14608"/>
  <c r="FN8" i="14608"/>
  <c r="FO8" i="14608"/>
  <c r="FP8" i="14608"/>
  <c r="FQ8" i="14608"/>
  <c r="FR8" i="14608"/>
  <c r="FS8" i="14608"/>
  <c r="FT8" i="14608"/>
  <c r="FU8" i="14608"/>
  <c r="FV8" i="14608"/>
  <c r="FW8" i="14608"/>
  <c r="FX8" i="14608"/>
  <c r="FY8" i="14608"/>
  <c r="FZ8" i="14608"/>
  <c r="GA8" i="14608"/>
  <c r="GB8" i="14608"/>
  <c r="GC8" i="14608"/>
  <c r="GD8" i="14608"/>
  <c r="GE8" i="14608"/>
  <c r="GF8" i="14608"/>
  <c r="GG8" i="14608"/>
  <c r="GH8" i="14608"/>
  <c r="GI8" i="14608"/>
  <c r="GJ8" i="14608"/>
  <c r="GK8" i="14608"/>
  <c r="GL8" i="14608"/>
  <c r="GM8" i="14608"/>
  <c r="GN8" i="14608"/>
  <c r="GO8" i="14608"/>
  <c r="GP8" i="14608"/>
  <c r="GQ8" i="14608"/>
  <c r="GR8" i="14608"/>
  <c r="GS8" i="14608"/>
  <c r="GT8" i="14608"/>
  <c r="GU8" i="14608"/>
  <c r="GV8" i="14608"/>
  <c r="GW8" i="14608"/>
  <c r="GX8" i="14608"/>
  <c r="GY8" i="14608"/>
  <c r="GZ8" i="14608"/>
  <c r="HA8" i="14608"/>
  <c r="HB8" i="14608"/>
  <c r="HC8" i="14608"/>
  <c r="HD8" i="14608"/>
  <c r="HE8" i="14608"/>
  <c r="HF8" i="14608"/>
  <c r="HG8" i="14608"/>
  <c r="HH8" i="14608"/>
  <c r="HI8" i="14608"/>
  <c r="HJ8" i="14608"/>
  <c r="HK8" i="14608"/>
  <c r="HL8" i="14608"/>
  <c r="HM8" i="14608"/>
  <c r="HN8" i="14608"/>
  <c r="HO8" i="14608"/>
  <c r="HP8" i="14608"/>
  <c r="HQ8" i="14608"/>
  <c r="HR8" i="14608"/>
  <c r="HS8" i="14608"/>
  <c r="HT8" i="14608"/>
  <c r="HU8" i="14608"/>
  <c r="HV8" i="14608"/>
  <c r="HW8" i="14608"/>
  <c r="HX8" i="14608"/>
  <c r="HY8" i="14608"/>
  <c r="HZ8" i="14608"/>
  <c r="IA8" i="14608"/>
  <c r="IB8" i="14608"/>
  <c r="IC8" i="14608"/>
  <c r="ID8" i="14608"/>
  <c r="IE8" i="14608"/>
  <c r="IF8" i="14608"/>
  <c r="IG8" i="14608"/>
  <c r="IH8" i="14608"/>
  <c r="II8" i="14608"/>
  <c r="IJ8" i="14608"/>
  <c r="IK8" i="14608"/>
  <c r="IL8" i="14608"/>
  <c r="IM8" i="14608"/>
  <c r="IN8" i="14608"/>
  <c r="IO8" i="14608"/>
  <c r="IP8" i="14608"/>
  <c r="IQ8" i="14608"/>
  <c r="IR8" i="14608"/>
  <c r="IS8" i="14608"/>
  <c r="IT8" i="14608"/>
  <c r="IU8" i="14608"/>
  <c r="IV8" i="14608"/>
  <c r="A7" i="14608"/>
  <c r="B7" i="14608"/>
  <c r="C7" i="14608"/>
  <c r="D7" i="14608"/>
  <c r="E7" i="14608"/>
  <c r="F7" i="14608"/>
  <c r="G7" i="14608"/>
  <c r="H7" i="14608"/>
  <c r="I7" i="14608"/>
  <c r="J7" i="14608"/>
  <c r="K7" i="14608"/>
  <c r="L7" i="14608"/>
  <c r="M7" i="14608"/>
  <c r="N7" i="14608"/>
  <c r="O7" i="14608"/>
  <c r="P7" i="14608"/>
  <c r="Q7" i="14608"/>
  <c r="R7" i="14608"/>
  <c r="S7" i="14608"/>
  <c r="T7" i="14608"/>
  <c r="U7" i="14608"/>
  <c r="V7" i="14608"/>
  <c r="W7" i="14608"/>
  <c r="X7" i="14608"/>
  <c r="Y7" i="14608"/>
  <c r="Z7" i="14608"/>
  <c r="AA7" i="14608"/>
  <c r="AB7" i="14608"/>
  <c r="AC7" i="14608"/>
  <c r="AD7" i="14608"/>
  <c r="AE7" i="14608"/>
  <c r="AF7" i="14608"/>
  <c r="AG7" i="14608"/>
  <c r="AH7" i="14608"/>
  <c r="AI7" i="14608"/>
  <c r="AJ7" i="14608"/>
  <c r="AK7" i="14608"/>
  <c r="AL7" i="14608"/>
  <c r="AM7" i="14608"/>
  <c r="AN7" i="14608"/>
  <c r="AO7" i="14608"/>
  <c r="AP7" i="14608"/>
  <c r="AQ7" i="14608"/>
  <c r="AR7" i="14608"/>
  <c r="AS7" i="14608"/>
  <c r="AT7" i="14608"/>
  <c r="AU7" i="14608"/>
  <c r="AV7" i="14608"/>
  <c r="AW7" i="14608"/>
  <c r="AX7" i="14608"/>
  <c r="AY7" i="14608"/>
  <c r="AZ7" i="14608"/>
  <c r="BA7" i="14608"/>
  <c r="BB7" i="14608"/>
  <c r="BC7" i="14608"/>
  <c r="BD7" i="14608"/>
  <c r="BE7" i="14608"/>
  <c r="BF7" i="14608"/>
  <c r="BG7" i="14608"/>
  <c r="BH7" i="14608"/>
  <c r="BI7" i="14608"/>
  <c r="BJ7" i="14608"/>
  <c r="BK7" i="14608"/>
  <c r="BL7" i="14608"/>
  <c r="BM7" i="14608"/>
  <c r="BN7" i="14608"/>
  <c r="BO7" i="14608"/>
  <c r="BP7" i="14608"/>
  <c r="BQ7" i="14608"/>
  <c r="BR7" i="14608"/>
  <c r="BS7" i="14608"/>
  <c r="BT7" i="14608"/>
  <c r="BU7" i="14608"/>
  <c r="BV7" i="14608"/>
  <c r="BW7" i="14608"/>
  <c r="BX7" i="14608"/>
  <c r="BY7" i="14608"/>
  <c r="BZ7" i="14608"/>
  <c r="CA7" i="14608"/>
  <c r="CB7" i="14608"/>
  <c r="CC7" i="14608"/>
  <c r="CD7" i="14608"/>
  <c r="CE7" i="14608"/>
  <c r="CF7" i="14608"/>
  <c r="CG7" i="14608"/>
  <c r="CH7" i="14608"/>
  <c r="CI7" i="14608"/>
  <c r="CJ7" i="14608"/>
  <c r="CK7" i="14608"/>
  <c r="CL7" i="14608"/>
  <c r="CM7" i="14608"/>
  <c r="CN7" i="14608"/>
  <c r="CO7" i="14608"/>
  <c r="CP7" i="14608"/>
  <c r="CQ7" i="14608"/>
  <c r="CR7" i="14608"/>
  <c r="CS7" i="14608"/>
  <c r="CT7" i="14608"/>
  <c r="CU7" i="14608"/>
  <c r="CV7" i="14608"/>
  <c r="CW7" i="14608"/>
  <c r="CX7" i="14608"/>
  <c r="CY7" i="14608"/>
  <c r="CZ7" i="14608"/>
  <c r="DA7" i="14608"/>
  <c r="DB7" i="14608"/>
  <c r="DC7" i="14608"/>
  <c r="DD7" i="14608"/>
  <c r="DE7" i="14608"/>
  <c r="DF7" i="14608"/>
  <c r="DG7" i="14608"/>
  <c r="DH7" i="14608"/>
  <c r="DI7" i="14608"/>
  <c r="DJ7" i="14608"/>
  <c r="DK7" i="14608"/>
  <c r="DL7" i="14608"/>
  <c r="DM7" i="14608"/>
  <c r="DN7" i="14608"/>
  <c r="DO7" i="14608"/>
  <c r="DP7" i="14608"/>
  <c r="DQ7" i="14608"/>
  <c r="DR7" i="14608"/>
  <c r="DS7" i="14608"/>
  <c r="DT7" i="14608"/>
  <c r="DU7" i="14608"/>
  <c r="DV7" i="14608"/>
  <c r="DW7" i="14608"/>
  <c r="DX7" i="14608"/>
  <c r="DY7" i="14608"/>
  <c r="DZ7" i="14608"/>
  <c r="EA7" i="14608"/>
  <c r="EB7" i="14608"/>
  <c r="EC7" i="14608"/>
  <c r="ED7" i="14608"/>
  <c r="EE7" i="14608"/>
  <c r="EF7" i="14608"/>
  <c r="EG7" i="14608"/>
  <c r="EH7" i="14608"/>
  <c r="EI7" i="14608"/>
  <c r="EJ7" i="14608"/>
  <c r="EK7" i="14608"/>
  <c r="EL7" i="14608"/>
  <c r="EM7" i="14608"/>
  <c r="EN7" i="14608"/>
  <c r="EO7" i="14608"/>
  <c r="EP7" i="14608"/>
  <c r="EQ7" i="14608"/>
  <c r="ER7" i="14608"/>
  <c r="ES7" i="14608"/>
  <c r="ET7" i="14608"/>
  <c r="EU7" i="14608"/>
  <c r="EV7" i="14608"/>
  <c r="EW7" i="14608"/>
  <c r="EX7" i="14608"/>
  <c r="EY7" i="14608"/>
  <c r="EZ7" i="14608"/>
  <c r="FA7" i="14608"/>
  <c r="FB7" i="14608"/>
  <c r="FC7" i="14608"/>
  <c r="FD7" i="14608"/>
  <c r="FE7" i="14608"/>
  <c r="FF7" i="14608"/>
  <c r="FG7" i="14608"/>
  <c r="FH7" i="14608"/>
  <c r="FI7" i="14608"/>
  <c r="FJ7" i="14608"/>
  <c r="FK7" i="14608"/>
  <c r="FL7" i="14608"/>
  <c r="FM7" i="14608"/>
  <c r="FN7" i="14608"/>
  <c r="FO7" i="14608"/>
  <c r="FP7" i="14608"/>
  <c r="FQ7" i="14608"/>
  <c r="FR7" i="14608"/>
  <c r="FS7" i="14608"/>
  <c r="FT7" i="14608"/>
  <c r="FU7" i="14608"/>
  <c r="FV7" i="14608"/>
  <c r="FW7" i="14608"/>
  <c r="FX7" i="14608"/>
  <c r="FY7" i="14608"/>
  <c r="FZ7" i="14608"/>
  <c r="GA7" i="14608"/>
  <c r="GB7" i="14608"/>
  <c r="GC7" i="14608"/>
  <c r="GD7" i="14608"/>
  <c r="GE7" i="14608"/>
  <c r="GF7" i="14608"/>
  <c r="GG7" i="14608"/>
  <c r="GH7" i="14608"/>
  <c r="GI7" i="14608"/>
  <c r="GJ7" i="14608"/>
  <c r="GK7" i="14608"/>
  <c r="GL7" i="14608"/>
  <c r="GM7" i="14608"/>
  <c r="GN7" i="14608"/>
  <c r="GO7" i="14608"/>
  <c r="GP7" i="14608"/>
  <c r="GQ7" i="14608"/>
  <c r="GR7" i="14608"/>
  <c r="GS7" i="14608"/>
  <c r="GT7" i="14608"/>
  <c r="GU7" i="14608"/>
  <c r="GV7" i="14608"/>
  <c r="GW7" i="14608"/>
  <c r="GX7" i="14608"/>
  <c r="GY7" i="14608"/>
  <c r="GZ7" i="14608"/>
  <c r="HA7" i="14608"/>
  <c r="HB7" i="14608"/>
  <c r="HC7" i="14608"/>
  <c r="HD7" i="14608"/>
  <c r="HE7" i="14608"/>
  <c r="HF7" i="14608"/>
  <c r="HG7" i="14608"/>
  <c r="HH7" i="14608"/>
  <c r="HI7" i="14608"/>
  <c r="HJ7" i="14608"/>
  <c r="HK7" i="14608"/>
  <c r="HL7" i="14608"/>
  <c r="HM7" i="14608"/>
  <c r="HN7" i="14608"/>
  <c r="HO7" i="14608"/>
  <c r="HP7" i="14608"/>
  <c r="HQ7" i="14608"/>
  <c r="HR7" i="14608"/>
  <c r="HS7" i="14608"/>
  <c r="HT7" i="14608"/>
  <c r="HU7" i="14608"/>
  <c r="HV7" i="14608"/>
  <c r="HW7" i="14608"/>
  <c r="HX7" i="14608"/>
  <c r="HY7" i="14608"/>
  <c r="HZ7" i="14608"/>
  <c r="IA7" i="14608"/>
  <c r="IB7" i="14608"/>
  <c r="IC7" i="14608"/>
  <c r="ID7" i="14608"/>
  <c r="IE7" i="14608"/>
  <c r="IF7" i="14608"/>
  <c r="IG7" i="14608"/>
  <c r="IH7" i="14608"/>
  <c r="II7" i="14608"/>
  <c r="IJ7" i="14608"/>
  <c r="IK7" i="14608"/>
  <c r="IL7" i="14608"/>
  <c r="IM7" i="14608"/>
  <c r="IN7" i="14608"/>
  <c r="IO7" i="14608"/>
  <c r="IP7" i="14608"/>
  <c r="IQ7" i="14608"/>
  <c r="IR7" i="14608"/>
  <c r="IS7" i="14608"/>
  <c r="IT7" i="14608"/>
  <c r="IU7" i="14608"/>
  <c r="IV7" i="14608"/>
  <c r="A6" i="14608"/>
  <c r="B6" i="14608"/>
  <c r="C6" i="14608"/>
  <c r="D6" i="14608"/>
  <c r="E6" i="14608"/>
  <c r="F6" i="14608"/>
  <c r="G6" i="14608"/>
  <c r="H6" i="14608"/>
  <c r="I6" i="14608"/>
  <c r="J6" i="14608"/>
  <c r="K6" i="14608"/>
  <c r="L6" i="14608"/>
  <c r="M6" i="14608"/>
  <c r="N6" i="14608"/>
  <c r="O6" i="14608"/>
  <c r="P6" i="14608"/>
  <c r="Q6" i="14608"/>
  <c r="R6" i="14608"/>
  <c r="S6" i="14608"/>
  <c r="T6" i="14608"/>
  <c r="U6" i="14608"/>
  <c r="V6" i="14608"/>
  <c r="W6" i="14608"/>
  <c r="X6" i="14608"/>
  <c r="Y6" i="14608"/>
  <c r="Z6" i="14608"/>
  <c r="AA6" i="14608"/>
  <c r="AB6" i="14608"/>
  <c r="AD6" i="14608"/>
  <c r="AF6" i="14608"/>
  <c r="AG6" i="14608"/>
  <c r="AH6" i="14608"/>
  <c r="AI6" i="14608"/>
  <c r="AJ6" i="14608"/>
  <c r="AK6" i="14608"/>
  <c r="AL6" i="14608"/>
  <c r="AM6" i="14608"/>
  <c r="AN6" i="14608"/>
  <c r="AO6" i="14608"/>
  <c r="AP6" i="14608"/>
  <c r="AQ6" i="14608"/>
  <c r="AR6" i="14608"/>
  <c r="AS6" i="14608"/>
  <c r="AT6" i="14608"/>
  <c r="AU6" i="14608"/>
  <c r="AV6" i="14608"/>
  <c r="AW6" i="14608"/>
  <c r="AX6" i="14608"/>
  <c r="AY6" i="14608"/>
  <c r="AZ6" i="14608"/>
  <c r="BA6" i="14608"/>
  <c r="BB6" i="14608"/>
  <c r="BC6" i="14608"/>
  <c r="BD6" i="14608"/>
  <c r="BE6" i="14608"/>
  <c r="BF6" i="14608"/>
  <c r="BG6" i="14608"/>
  <c r="BH6" i="14608"/>
  <c r="BI6" i="14608"/>
  <c r="BJ6" i="14608"/>
  <c r="BK6" i="14608"/>
  <c r="BL6" i="14608"/>
  <c r="BM6" i="14608"/>
  <c r="BN6" i="14608"/>
  <c r="BO6" i="14608"/>
  <c r="BP6" i="14608"/>
  <c r="BQ6" i="14608"/>
  <c r="BR6" i="14608"/>
  <c r="BS6" i="14608"/>
  <c r="BT6" i="14608"/>
  <c r="BU6" i="14608"/>
  <c r="BV6" i="14608"/>
  <c r="BW6" i="14608"/>
  <c r="BX6" i="14608"/>
  <c r="BY6" i="14608"/>
  <c r="BZ6" i="14608"/>
  <c r="CA6" i="14608"/>
  <c r="CB6" i="14608"/>
  <c r="CC6" i="14608"/>
  <c r="CD6" i="14608"/>
  <c r="CE6" i="14608"/>
  <c r="CF6" i="14608"/>
  <c r="CG6" i="14608"/>
  <c r="CH6" i="14608"/>
  <c r="CI6" i="14608"/>
  <c r="CJ6" i="14608"/>
  <c r="CK6" i="14608"/>
  <c r="CL6" i="14608"/>
  <c r="CM6" i="14608"/>
  <c r="CN6" i="14608"/>
  <c r="CO6" i="14608"/>
  <c r="CP6" i="14608"/>
  <c r="CQ6" i="14608"/>
  <c r="CR6" i="14608"/>
  <c r="CS6" i="14608"/>
  <c r="CT6" i="14608"/>
  <c r="CU6" i="14608"/>
  <c r="CV6" i="14608"/>
  <c r="CW6" i="14608"/>
  <c r="CX6" i="14608"/>
  <c r="CY6" i="14608"/>
  <c r="CZ6" i="14608"/>
  <c r="DA6" i="14608"/>
  <c r="DB6" i="14608"/>
  <c r="DC6" i="14608"/>
  <c r="DD6" i="14608"/>
  <c r="DE6" i="14608"/>
  <c r="DF6" i="14608"/>
  <c r="DG6" i="14608"/>
  <c r="DH6" i="14608"/>
  <c r="DI6" i="14608"/>
  <c r="DJ6" i="14608"/>
  <c r="DK6" i="14608"/>
  <c r="DL6" i="14608"/>
  <c r="DM6" i="14608"/>
  <c r="DN6" i="14608"/>
  <c r="DO6" i="14608"/>
  <c r="DP6" i="14608"/>
  <c r="DQ6" i="14608"/>
  <c r="DR6" i="14608"/>
  <c r="DS6" i="14608"/>
  <c r="DT6" i="14608"/>
  <c r="DU6" i="14608"/>
  <c r="DV6" i="14608"/>
  <c r="DW6" i="14608"/>
  <c r="DX6" i="14608"/>
  <c r="DY6" i="14608"/>
  <c r="DZ6" i="14608"/>
  <c r="EA6" i="14608"/>
  <c r="EB6" i="14608"/>
  <c r="EC6" i="14608"/>
  <c r="ED6" i="14608"/>
  <c r="EE6" i="14608"/>
  <c r="EF6" i="14608"/>
  <c r="EG6" i="14608"/>
  <c r="EH6" i="14608"/>
  <c r="EI6" i="14608"/>
  <c r="EJ6" i="14608"/>
  <c r="EK6" i="14608"/>
  <c r="EL6" i="14608"/>
  <c r="EM6" i="14608"/>
  <c r="EN6" i="14608"/>
  <c r="EO6" i="14608"/>
  <c r="EP6" i="14608"/>
  <c r="EQ6" i="14608"/>
  <c r="ER6" i="14608"/>
  <c r="ES6" i="14608"/>
  <c r="ET6" i="14608"/>
  <c r="EU6" i="14608"/>
  <c r="EV6" i="14608"/>
  <c r="EW6" i="14608"/>
  <c r="EX6" i="14608"/>
  <c r="EY6" i="14608"/>
  <c r="EZ6" i="14608"/>
  <c r="FA6" i="14608"/>
  <c r="FB6" i="14608"/>
  <c r="FC6" i="14608"/>
  <c r="FD6" i="14608"/>
  <c r="FE6" i="14608"/>
  <c r="FF6" i="14608"/>
  <c r="FG6" i="14608"/>
  <c r="FH6" i="14608"/>
  <c r="FI6" i="14608"/>
  <c r="FJ6" i="14608"/>
  <c r="FK6" i="14608"/>
  <c r="FL6" i="14608"/>
  <c r="FM6" i="14608"/>
  <c r="FN6" i="14608"/>
  <c r="FO6" i="14608"/>
  <c r="FP6" i="14608"/>
  <c r="FQ6" i="14608"/>
  <c r="FR6" i="14608"/>
  <c r="FS6" i="14608"/>
  <c r="FT6" i="14608"/>
  <c r="FU6" i="14608"/>
  <c r="FV6" i="14608"/>
  <c r="FW6" i="14608"/>
  <c r="FX6" i="14608"/>
  <c r="FY6" i="14608"/>
  <c r="FZ6" i="14608"/>
  <c r="GA6" i="14608"/>
  <c r="GB6" i="14608"/>
  <c r="GC6" i="14608"/>
  <c r="GD6" i="14608"/>
  <c r="GE6" i="14608"/>
  <c r="GF6" i="14608"/>
  <c r="GG6" i="14608"/>
  <c r="GH6" i="14608"/>
  <c r="GI6" i="14608"/>
  <c r="GJ6" i="14608"/>
  <c r="GK6" i="14608"/>
  <c r="GL6" i="14608"/>
  <c r="GM6" i="14608"/>
  <c r="GN6" i="14608"/>
  <c r="GO6" i="14608"/>
  <c r="GP6" i="14608"/>
  <c r="GQ6" i="14608"/>
  <c r="GR6" i="14608"/>
  <c r="GS6" i="14608"/>
  <c r="GT6" i="14608"/>
  <c r="GU6" i="14608"/>
  <c r="GV6" i="14608"/>
  <c r="GW6" i="14608"/>
  <c r="GX6" i="14608"/>
  <c r="GY6" i="14608"/>
  <c r="GZ6" i="14608"/>
  <c r="HA6" i="14608"/>
  <c r="HB6" i="14608"/>
  <c r="HC6" i="14608"/>
  <c r="HD6" i="14608"/>
  <c r="HE6" i="14608"/>
  <c r="HF6" i="14608"/>
  <c r="HG6" i="14608"/>
  <c r="HH6" i="14608"/>
  <c r="HI6" i="14608"/>
  <c r="HJ6" i="14608"/>
  <c r="HK6" i="14608"/>
  <c r="HL6" i="14608"/>
  <c r="HM6" i="14608"/>
  <c r="HN6" i="14608"/>
  <c r="HO6" i="14608"/>
  <c r="HP6" i="14608"/>
  <c r="HQ6" i="14608"/>
  <c r="HR6" i="14608"/>
  <c r="HS6" i="14608"/>
  <c r="HT6" i="14608"/>
  <c r="HU6" i="14608"/>
  <c r="HV6" i="14608"/>
  <c r="HW6" i="14608"/>
  <c r="HX6" i="14608"/>
  <c r="HY6" i="14608"/>
  <c r="HZ6" i="14608"/>
  <c r="IA6" i="14608"/>
  <c r="IB6" i="14608"/>
  <c r="IC6" i="14608"/>
  <c r="ID6" i="14608"/>
  <c r="IE6" i="14608"/>
  <c r="IF6" i="14608"/>
  <c r="IG6" i="14608"/>
  <c r="IH6" i="14608"/>
  <c r="II6" i="14608"/>
  <c r="IJ6" i="14608"/>
  <c r="IK6" i="14608"/>
  <c r="IL6" i="14608"/>
  <c r="IM6" i="14608"/>
  <c r="IN6" i="14608"/>
  <c r="IO6" i="14608"/>
  <c r="IP6" i="14608"/>
  <c r="IQ6" i="14608"/>
  <c r="IR6" i="14608"/>
  <c r="IS6" i="14608"/>
  <c r="IT6" i="14608"/>
  <c r="IU6" i="14608"/>
  <c r="IV6" i="14608"/>
  <c r="A5" i="14608"/>
  <c r="B5" i="14608"/>
  <c r="C5" i="14608"/>
  <c r="D5" i="14608"/>
  <c r="E5" i="14608"/>
  <c r="F5" i="14608"/>
  <c r="G5" i="14608"/>
  <c r="H5" i="14608"/>
  <c r="I5" i="14608"/>
  <c r="J5" i="14608"/>
  <c r="K5" i="14608"/>
  <c r="L5" i="14608"/>
  <c r="M5" i="14608"/>
  <c r="N5" i="14608"/>
  <c r="O5" i="14608"/>
  <c r="P5" i="14608"/>
  <c r="Q5" i="14608"/>
  <c r="R5" i="14608"/>
  <c r="S5" i="14608"/>
  <c r="T5" i="14608"/>
  <c r="U5" i="14608"/>
  <c r="V5" i="14608"/>
  <c r="W5" i="14608"/>
  <c r="X5" i="14608"/>
  <c r="Y5" i="14608"/>
  <c r="Z5" i="14608"/>
  <c r="AA5" i="14608"/>
  <c r="AB5" i="14608"/>
  <c r="AC5" i="14608"/>
  <c r="AD5" i="14608"/>
  <c r="AE5" i="14608"/>
  <c r="AF5" i="14608"/>
  <c r="AG5" i="14608"/>
  <c r="AH5" i="14608"/>
  <c r="AI5" i="14608"/>
  <c r="AJ5" i="14608"/>
  <c r="AK5" i="14608"/>
  <c r="AL5" i="14608"/>
  <c r="AM5" i="14608"/>
  <c r="AN5" i="14608"/>
  <c r="AO5" i="14608"/>
  <c r="AP5" i="14608"/>
  <c r="AQ5" i="14608"/>
  <c r="AS5" i="14608"/>
  <c r="AT5" i="14608"/>
  <c r="AV5" i="14608"/>
  <c r="AX5" i="14608"/>
  <c r="AZ5" i="14608"/>
  <c r="BA5" i="14608"/>
  <c r="BB5" i="14608"/>
  <c r="BC5" i="14608"/>
  <c r="BD5" i="14608"/>
  <c r="BE5" i="14608"/>
  <c r="BF5" i="14608"/>
  <c r="BG5" i="14608"/>
  <c r="BH5" i="14608"/>
  <c r="BI5" i="14608"/>
  <c r="BJ5" i="14608"/>
  <c r="BK5" i="14608"/>
  <c r="BL5" i="14608"/>
  <c r="BM5" i="14608"/>
  <c r="BN5" i="14608"/>
  <c r="BO5" i="14608"/>
  <c r="BP5" i="14608"/>
  <c r="BQ5" i="14608"/>
  <c r="BR5" i="14608"/>
  <c r="BS5" i="14608"/>
  <c r="BT5" i="14608"/>
  <c r="BU5" i="14608"/>
  <c r="BV5" i="14608"/>
  <c r="BW5" i="14608"/>
  <c r="BX5" i="14608"/>
  <c r="BY5" i="14608"/>
  <c r="BZ5" i="14608"/>
  <c r="CA5" i="14608"/>
  <c r="CB5" i="14608"/>
  <c r="CC5" i="14608"/>
  <c r="CD5" i="14608"/>
  <c r="CE5" i="14608"/>
  <c r="CF5" i="14608"/>
  <c r="CG5" i="14608"/>
  <c r="CH5" i="14608"/>
  <c r="CI5" i="14608"/>
  <c r="CJ5" i="14608"/>
  <c r="CK5" i="14608"/>
  <c r="CL5" i="14608"/>
  <c r="CM5" i="14608"/>
  <c r="CN5" i="14608"/>
  <c r="CO5" i="14608"/>
  <c r="CP5" i="14608"/>
  <c r="CQ5" i="14608"/>
  <c r="CR5" i="14608"/>
  <c r="CS5" i="14608"/>
  <c r="CT5" i="14608"/>
  <c r="CU5" i="14608"/>
  <c r="CV5" i="14608"/>
  <c r="CW5" i="14608"/>
  <c r="CX5" i="14608"/>
  <c r="CZ5" i="14608"/>
  <c r="DA5" i="14608"/>
  <c r="DC5" i="14608"/>
  <c r="DE5" i="14608"/>
  <c r="DG5" i="14608"/>
  <c r="DH5" i="14608"/>
  <c r="DI5" i="14608"/>
  <c r="DJ5" i="14608"/>
  <c r="DK5" i="14608"/>
  <c r="DL5" i="14608"/>
  <c r="DM5" i="14608"/>
  <c r="DN5" i="14608"/>
  <c r="DO5" i="14608"/>
  <c r="DP5" i="14608"/>
  <c r="DQ5" i="14608"/>
  <c r="DR5" i="14608"/>
  <c r="DS5" i="14608"/>
  <c r="DT5" i="14608"/>
  <c r="DU5" i="14608"/>
  <c r="DV5" i="14608"/>
  <c r="DW5" i="14608"/>
  <c r="DX5" i="14608"/>
  <c r="DY5" i="14608"/>
  <c r="DZ5" i="14608"/>
  <c r="EA5" i="14608"/>
  <c r="EB5" i="14608"/>
  <c r="EC5" i="14608"/>
  <c r="ED5" i="14608"/>
  <c r="EE5" i="14608"/>
  <c r="EF5" i="14608"/>
  <c r="EG5" i="14608"/>
  <c r="EH5" i="14608"/>
  <c r="EI5" i="14608"/>
  <c r="EJ5" i="14608"/>
  <c r="EK5" i="14608"/>
  <c r="EL5" i="14608"/>
  <c r="EM5" i="14608"/>
  <c r="EN5" i="14608"/>
  <c r="EO5" i="14608"/>
  <c r="EP5" i="14608"/>
  <c r="EQ5" i="14608"/>
  <c r="ER5" i="14608"/>
  <c r="ES5" i="14608"/>
  <c r="ET5" i="14608"/>
  <c r="EU5" i="14608"/>
  <c r="EV5" i="14608"/>
  <c r="EW5" i="14608"/>
  <c r="EX5" i="14608"/>
  <c r="EY5" i="14608"/>
  <c r="EZ5" i="14608"/>
  <c r="FA5" i="14608"/>
  <c r="FB5" i="14608"/>
  <c r="FC5" i="14608"/>
  <c r="FD5" i="14608"/>
  <c r="FE5" i="14608"/>
  <c r="FF5" i="14608"/>
  <c r="FG5" i="14608"/>
  <c r="FH5" i="14608"/>
  <c r="FI5" i="14608"/>
  <c r="FJ5" i="14608"/>
  <c r="FL5" i="14608"/>
  <c r="FN5" i="14608"/>
  <c r="FO5" i="14608"/>
  <c r="FP5" i="14608"/>
  <c r="FQ5" i="14608"/>
  <c r="FR5" i="14608"/>
  <c r="FS5" i="14608"/>
  <c r="FT5" i="14608"/>
  <c r="FU5" i="14608"/>
  <c r="FV5" i="14608"/>
  <c r="FW5" i="14608"/>
  <c r="FX5" i="14608"/>
  <c r="FY5" i="14608"/>
  <c r="FZ5" i="14608"/>
  <c r="GA5" i="14608"/>
  <c r="GB5" i="14608"/>
  <c r="GC5" i="14608"/>
  <c r="GD5" i="14608"/>
  <c r="GE5" i="14608"/>
  <c r="GF5" i="14608"/>
  <c r="GG5" i="14608"/>
  <c r="GH5" i="14608"/>
  <c r="GI5" i="14608"/>
  <c r="GJ5" i="14608"/>
  <c r="GK5" i="14608"/>
  <c r="GL5" i="14608"/>
  <c r="GM5" i="14608"/>
  <c r="GN5" i="14608"/>
  <c r="GO5" i="14608"/>
  <c r="GP5" i="14608"/>
  <c r="GQ5" i="14608"/>
  <c r="GR5" i="14608"/>
  <c r="GS5" i="14608"/>
  <c r="GT5" i="14608"/>
  <c r="GU5" i="14608"/>
  <c r="GV5" i="14608"/>
  <c r="GW5" i="14608"/>
  <c r="GX5" i="14608"/>
  <c r="GY5" i="14608"/>
  <c r="GZ5" i="14608"/>
  <c r="HA5" i="14608"/>
  <c r="HB5" i="14608"/>
  <c r="HC5" i="14608"/>
  <c r="HD5" i="14608"/>
  <c r="HE5" i="14608"/>
  <c r="HF5" i="14608"/>
  <c r="HG5" i="14608"/>
  <c r="HH5" i="14608"/>
  <c r="HI5" i="14608"/>
  <c r="HJ5" i="14608"/>
  <c r="HK5" i="14608"/>
  <c r="HL5" i="14608"/>
  <c r="HM5" i="14608"/>
  <c r="HN5" i="14608"/>
  <c r="HO5" i="14608"/>
  <c r="HP5" i="14608"/>
  <c r="HQ5" i="14608"/>
  <c r="HS5" i="14608"/>
  <c r="HU5" i="14608"/>
  <c r="HV5" i="14608"/>
  <c r="HW5" i="14608"/>
  <c r="HX5" i="14608"/>
  <c r="HY5" i="14608"/>
  <c r="HZ5" i="14608"/>
  <c r="IA5" i="14608"/>
  <c r="IB5" i="14608"/>
  <c r="IC5" i="14608"/>
  <c r="ID5" i="14608"/>
  <c r="IE5" i="14608"/>
  <c r="IF5" i="14608"/>
  <c r="IG5" i="14608"/>
  <c r="IH5" i="14608"/>
  <c r="II5" i="14608"/>
  <c r="IJ5" i="14608"/>
  <c r="IK5" i="14608"/>
  <c r="IL5" i="14608"/>
  <c r="IM5" i="14608"/>
  <c r="IN5" i="14608"/>
  <c r="IO5" i="14608"/>
  <c r="IP5" i="14608"/>
  <c r="IQ5" i="14608"/>
  <c r="IR5" i="14608"/>
  <c r="IS5" i="14608"/>
  <c r="IT5" i="14608"/>
  <c r="IU5" i="14608"/>
  <c r="IV5" i="14608"/>
  <c r="A4" i="14608"/>
  <c r="B4" i="14608"/>
  <c r="C4" i="14608"/>
  <c r="D4" i="14608"/>
  <c r="F4" i="14608"/>
  <c r="G4" i="14608"/>
  <c r="I4" i="14608"/>
  <c r="K4" i="14608"/>
  <c r="M4" i="14608"/>
  <c r="N4" i="14608"/>
  <c r="O4" i="14608"/>
  <c r="P4" i="14608"/>
  <c r="Q4" i="14608"/>
  <c r="R4" i="14608"/>
  <c r="S4" i="14608"/>
  <c r="T4" i="14608"/>
  <c r="U4" i="14608"/>
  <c r="V4" i="14608"/>
  <c r="W4" i="14608"/>
  <c r="X4" i="14608"/>
  <c r="Y4" i="14608"/>
  <c r="Z4" i="14608"/>
  <c r="AA4" i="14608"/>
  <c r="AB4" i="14608"/>
  <c r="AC4" i="14608"/>
  <c r="AD4" i="14608"/>
  <c r="AE4" i="14608"/>
  <c r="AF4" i="14608"/>
  <c r="AG4" i="14608"/>
  <c r="AH4" i="14608"/>
  <c r="AI4" i="14608"/>
  <c r="AJ4" i="14608"/>
  <c r="AK4" i="14608"/>
  <c r="AL4" i="14608"/>
  <c r="AM4" i="14608"/>
  <c r="AN4" i="14608"/>
  <c r="AO4" i="14608"/>
  <c r="AP4" i="14608"/>
  <c r="AQ4" i="14608"/>
  <c r="AR4" i="14608"/>
  <c r="AS4" i="14608"/>
  <c r="AT4" i="14608"/>
  <c r="AU4" i="14608"/>
  <c r="AV4" i="14608"/>
  <c r="AW4" i="14608"/>
  <c r="AX4" i="14608"/>
  <c r="AY4" i="14608"/>
  <c r="AZ4" i="14608"/>
  <c r="BA4" i="14608"/>
  <c r="BB4" i="14608"/>
  <c r="BC4" i="14608"/>
  <c r="BD4" i="14608"/>
  <c r="BE4" i="14608"/>
  <c r="BF4" i="14608"/>
  <c r="BG4" i="14608"/>
  <c r="BH4" i="14608"/>
  <c r="BI4" i="14608"/>
  <c r="BJ4" i="14608"/>
  <c r="BK4" i="14608"/>
  <c r="BM4" i="14608"/>
  <c r="BN4" i="14608"/>
  <c r="BP4" i="14608"/>
  <c r="BR4" i="14608"/>
  <c r="BT4" i="14608"/>
  <c r="BU4" i="14608"/>
  <c r="BV4" i="14608"/>
  <c r="BW4" i="14608"/>
  <c r="BX4" i="14608"/>
  <c r="BY4" i="14608"/>
  <c r="BZ4" i="14608"/>
  <c r="CA4" i="14608"/>
  <c r="CB4" i="14608"/>
  <c r="CC4" i="14608"/>
  <c r="CD4" i="14608"/>
  <c r="CE4" i="14608"/>
  <c r="CF4" i="14608"/>
  <c r="CG4" i="14608"/>
  <c r="CH4" i="14608"/>
  <c r="CI4" i="14608"/>
  <c r="CJ4" i="14608"/>
  <c r="CK4" i="14608"/>
  <c r="CL4" i="14608"/>
  <c r="CM4" i="14608"/>
  <c r="CN4" i="14608"/>
  <c r="CO4" i="14608"/>
  <c r="CP4" i="14608"/>
  <c r="CQ4" i="14608"/>
  <c r="CR4" i="14608"/>
  <c r="CS4" i="14608"/>
  <c r="CT4" i="14608"/>
  <c r="CU4" i="14608"/>
  <c r="CV4" i="14608"/>
  <c r="CW4" i="14608"/>
  <c r="CX4" i="14608"/>
  <c r="CY4" i="14608"/>
  <c r="CZ4" i="14608"/>
  <c r="DA4" i="14608"/>
  <c r="DB4" i="14608"/>
  <c r="DC4" i="14608"/>
  <c r="DD4" i="14608"/>
  <c r="DE4" i="14608"/>
  <c r="DF4" i="14608"/>
  <c r="DG4" i="14608"/>
  <c r="DH4" i="14608"/>
  <c r="DI4" i="14608"/>
  <c r="DJ4" i="14608"/>
  <c r="DK4" i="14608"/>
  <c r="DL4" i="14608"/>
  <c r="DM4" i="14608"/>
  <c r="DN4" i="14608"/>
  <c r="DO4" i="14608"/>
  <c r="DP4" i="14608"/>
  <c r="DQ4" i="14608"/>
  <c r="DR4" i="14608"/>
  <c r="DT4" i="14608"/>
  <c r="DU4" i="14608"/>
  <c r="DW4" i="14608"/>
  <c r="DY4" i="14608"/>
  <c r="EA4" i="14608"/>
  <c r="EB4" i="14608"/>
  <c r="EC4" i="14608"/>
  <c r="ED4" i="14608"/>
  <c r="EE4" i="14608"/>
  <c r="EF4" i="14608"/>
  <c r="EG4" i="14608"/>
  <c r="EH4" i="14608"/>
  <c r="EI4" i="14608"/>
  <c r="EJ4" i="14608"/>
  <c r="EK4" i="14608"/>
  <c r="EL4" i="14608"/>
  <c r="EM4" i="14608"/>
  <c r="EN4" i="14608"/>
  <c r="EO4" i="14608"/>
  <c r="EP4" i="14608"/>
  <c r="EQ4" i="14608"/>
  <c r="ER4" i="14608"/>
  <c r="ES4" i="14608"/>
  <c r="ET4" i="14608"/>
  <c r="EU4" i="14608"/>
  <c r="EV4" i="14608"/>
  <c r="EW4" i="14608"/>
  <c r="EX4" i="14608"/>
  <c r="EY4" i="14608"/>
  <c r="EZ4" i="14608"/>
  <c r="FA4" i="14608"/>
  <c r="FB4" i="14608"/>
  <c r="FC4" i="14608"/>
  <c r="FD4" i="14608"/>
  <c r="FE4" i="14608"/>
  <c r="FF4" i="14608"/>
  <c r="FG4" i="14608"/>
  <c r="FH4" i="14608"/>
  <c r="FI4" i="14608"/>
  <c r="FJ4" i="14608"/>
  <c r="FK4" i="14608"/>
  <c r="FL4" i="14608"/>
  <c r="FM4" i="14608"/>
  <c r="FN4" i="14608"/>
  <c r="FO4" i="14608"/>
  <c r="FP4" i="14608"/>
  <c r="FQ4" i="14608"/>
  <c r="FR4" i="14608"/>
  <c r="FS4" i="14608"/>
  <c r="FT4" i="14608"/>
  <c r="FU4" i="14608"/>
  <c r="FV4" i="14608"/>
  <c r="FW4" i="14608"/>
  <c r="FX4" i="14608"/>
  <c r="FY4" i="14608"/>
  <c r="GA4" i="14608"/>
  <c r="GB4" i="14608"/>
  <c r="GD4" i="14608"/>
  <c r="GF4" i="14608"/>
  <c r="GH4" i="14608"/>
  <c r="GI4" i="14608"/>
  <c r="GJ4" i="14608"/>
  <c r="GK4" i="14608"/>
  <c r="GL4" i="14608"/>
  <c r="GM4" i="14608"/>
  <c r="GN4" i="14608"/>
  <c r="GO4" i="14608"/>
  <c r="GP4" i="14608"/>
  <c r="GQ4" i="14608"/>
  <c r="GR4" i="14608"/>
  <c r="GS4" i="14608"/>
  <c r="GT4" i="14608"/>
  <c r="GU4" i="14608"/>
  <c r="GV4" i="14608"/>
  <c r="GW4" i="14608"/>
  <c r="GX4" i="14608"/>
  <c r="GY4" i="14608"/>
  <c r="GZ4" i="14608"/>
  <c r="HA4" i="14608"/>
  <c r="HB4" i="14608"/>
  <c r="HC4" i="14608"/>
  <c r="HD4" i="14608"/>
  <c r="HE4" i="14608"/>
  <c r="HF4" i="14608"/>
  <c r="HG4" i="14608"/>
  <c r="HH4" i="14608"/>
  <c r="HI4" i="14608"/>
  <c r="HJ4" i="14608"/>
  <c r="HK4" i="14608"/>
  <c r="HL4" i="14608"/>
  <c r="HM4" i="14608"/>
  <c r="HN4" i="14608"/>
  <c r="HO4" i="14608"/>
  <c r="HP4" i="14608"/>
  <c r="HQ4" i="14608"/>
  <c r="HR4" i="14608"/>
  <c r="HS4" i="14608"/>
  <c r="HT4" i="14608"/>
  <c r="HU4" i="14608"/>
  <c r="HV4" i="14608"/>
  <c r="HW4" i="14608"/>
  <c r="HX4" i="14608"/>
  <c r="HY4" i="14608"/>
  <c r="HZ4" i="14608"/>
  <c r="IA4" i="14608"/>
  <c r="IB4" i="14608"/>
  <c r="IC4" i="14608"/>
  <c r="ID4" i="14608"/>
  <c r="IE4" i="14608"/>
  <c r="IF4" i="14608"/>
  <c r="IH4" i="14608"/>
  <c r="II4" i="14608"/>
  <c r="IK4" i="14608"/>
  <c r="IM4" i="14608"/>
  <c r="IO4" i="14608"/>
  <c r="IP4" i="14608"/>
  <c r="IQ4" i="14608"/>
  <c r="IR4" i="14608"/>
  <c r="IS4" i="14608"/>
  <c r="IT4" i="14608"/>
  <c r="IU4" i="14608"/>
  <c r="IV4" i="14608"/>
  <c r="A3" i="14608"/>
  <c r="B3" i="14608"/>
  <c r="C3" i="14608"/>
  <c r="D3" i="14608"/>
  <c r="E3" i="14608"/>
  <c r="F3" i="14608"/>
  <c r="G3" i="14608"/>
  <c r="H3" i="14608"/>
  <c r="I3" i="14608"/>
  <c r="J3" i="14608"/>
  <c r="K3" i="14608"/>
  <c r="L3" i="14608"/>
  <c r="M3" i="14608"/>
  <c r="N3" i="14608"/>
  <c r="O3" i="14608"/>
  <c r="P3" i="14608"/>
  <c r="Q3" i="14608"/>
  <c r="R3" i="14608"/>
  <c r="S3" i="14608"/>
  <c r="T3" i="14608"/>
  <c r="U3" i="14608"/>
  <c r="V3" i="14608"/>
  <c r="W3" i="14608"/>
  <c r="X3" i="14608"/>
  <c r="Z3" i="14608"/>
  <c r="AA3" i="14608"/>
  <c r="AC3" i="14608"/>
  <c r="AD3" i="14608"/>
  <c r="AE3" i="14608"/>
  <c r="AF3" i="14608"/>
  <c r="AG3" i="14608"/>
  <c r="AH3" i="14608"/>
  <c r="AI3" i="14608"/>
  <c r="AJ3" i="14608"/>
  <c r="AK3" i="14608"/>
  <c r="AL3" i="14608"/>
  <c r="AM3" i="14608"/>
  <c r="AN3" i="14608"/>
  <c r="AO3" i="14608"/>
  <c r="AP3" i="14608"/>
  <c r="AQ3" i="14608"/>
  <c r="AR3" i="14608"/>
  <c r="AS3" i="14608"/>
  <c r="AT3" i="14608"/>
  <c r="AU3" i="14608"/>
  <c r="AV3" i="14608"/>
  <c r="AW3" i="14608"/>
  <c r="AX3" i="14608"/>
  <c r="AY3" i="14608"/>
  <c r="AZ3" i="14608"/>
  <c r="BA3" i="14608"/>
  <c r="BB3" i="14608"/>
  <c r="BC3" i="14608"/>
  <c r="BD3" i="14608"/>
  <c r="BE3" i="14608"/>
  <c r="BF3" i="14608"/>
  <c r="BG3" i="14608"/>
  <c r="BH3" i="14608"/>
  <c r="BI3" i="14608"/>
  <c r="BJ3" i="14608"/>
  <c r="BK3" i="14608"/>
  <c r="BL3" i="14608"/>
  <c r="BM3" i="14608"/>
  <c r="BN3" i="14608"/>
  <c r="BO3" i="14608"/>
  <c r="BP3" i="14608"/>
  <c r="BQ3" i="14608"/>
  <c r="BR3" i="14608"/>
  <c r="BS3" i="14608"/>
  <c r="BT3" i="14608"/>
  <c r="BU3" i="14608"/>
  <c r="BV3" i="14608"/>
  <c r="BW3" i="14608"/>
  <c r="BX3" i="14608"/>
  <c r="BY3" i="14608"/>
  <c r="BZ3" i="14608"/>
  <c r="CA3" i="14608"/>
  <c r="CB3" i="14608"/>
  <c r="CC3" i="14608"/>
  <c r="CD3" i="14608"/>
  <c r="CE3" i="14608"/>
  <c r="CG3" i="14608"/>
  <c r="CH3" i="14608"/>
  <c r="CJ3" i="14608"/>
  <c r="CL3" i="14608"/>
  <c r="CN3" i="14608"/>
  <c r="CO3" i="14608"/>
  <c r="CP3" i="14608"/>
  <c r="CQ3" i="14608"/>
  <c r="CR3" i="14608"/>
  <c r="CS3" i="14608"/>
  <c r="CT3" i="14608"/>
  <c r="CU3" i="14608"/>
  <c r="CV3" i="14608"/>
  <c r="CW3" i="14608"/>
  <c r="CX3" i="14608"/>
  <c r="CY3" i="14608"/>
  <c r="CZ3" i="14608"/>
  <c r="DA3" i="14608"/>
  <c r="DB3" i="14608"/>
  <c r="DC3" i="14608"/>
  <c r="DD3" i="14608"/>
  <c r="DE3" i="14608"/>
  <c r="DF3" i="14608"/>
  <c r="DG3" i="14608"/>
  <c r="DH3" i="14608"/>
  <c r="DI3" i="14608"/>
  <c r="DJ3" i="14608"/>
  <c r="DK3" i="14608"/>
  <c r="DL3" i="14608"/>
  <c r="DM3" i="14608"/>
  <c r="DN3" i="14608"/>
  <c r="DO3" i="14608"/>
  <c r="DP3" i="14608"/>
  <c r="DQ3" i="14608"/>
  <c r="DR3" i="14608"/>
  <c r="DS3" i="14608"/>
  <c r="DT3" i="14608"/>
  <c r="DU3" i="14608"/>
  <c r="DV3" i="14608"/>
  <c r="DW3" i="14608"/>
  <c r="DX3" i="14608"/>
  <c r="DY3" i="14608"/>
  <c r="DZ3" i="14608"/>
  <c r="EA3" i="14608"/>
  <c r="EB3" i="14608"/>
  <c r="EC3" i="14608"/>
  <c r="ED3" i="14608"/>
  <c r="EE3" i="14608"/>
  <c r="EF3" i="14608"/>
  <c r="EG3" i="14608"/>
  <c r="EH3" i="14608"/>
  <c r="EI3" i="14608"/>
  <c r="EJ3" i="14608"/>
  <c r="EK3" i="14608"/>
  <c r="EL3" i="14608"/>
  <c r="EN3" i="14608"/>
  <c r="EO3" i="14608"/>
  <c r="EQ3" i="14608"/>
  <c r="ES3" i="14608"/>
  <c r="EU3" i="14608"/>
  <c r="EV3" i="14608"/>
  <c r="EW3" i="14608"/>
  <c r="EX3" i="14608"/>
  <c r="EY3" i="14608"/>
  <c r="EZ3" i="14608"/>
  <c r="FA3" i="14608"/>
  <c r="FB3" i="14608"/>
  <c r="FC3" i="14608"/>
  <c r="FD3" i="14608"/>
  <c r="FE3" i="14608"/>
  <c r="FF3" i="14608"/>
  <c r="FG3" i="14608"/>
  <c r="FH3" i="14608"/>
  <c r="FI3" i="14608"/>
  <c r="FJ3" i="14608"/>
  <c r="FK3" i="14608"/>
  <c r="FL3" i="14608"/>
  <c r="FM3" i="14608"/>
  <c r="FN3" i="14608"/>
  <c r="FO3" i="14608"/>
  <c r="FP3" i="14608"/>
  <c r="FQ3" i="14608"/>
  <c r="FR3" i="14608"/>
  <c r="FS3" i="14608"/>
  <c r="FT3" i="14608"/>
  <c r="FU3" i="14608"/>
  <c r="FV3" i="14608"/>
  <c r="FW3" i="14608"/>
  <c r="FX3" i="14608"/>
  <c r="FY3" i="14608"/>
  <c r="FZ3" i="14608"/>
  <c r="GA3" i="14608"/>
  <c r="GB3" i="14608"/>
  <c r="GC3" i="14608"/>
  <c r="GD3" i="14608"/>
  <c r="GE3" i="14608"/>
  <c r="GF3" i="14608"/>
  <c r="GG3" i="14608"/>
  <c r="GH3" i="14608"/>
  <c r="GI3" i="14608"/>
  <c r="GJ3" i="14608"/>
  <c r="GK3" i="14608"/>
  <c r="GL3" i="14608"/>
  <c r="GM3" i="14608"/>
  <c r="GN3" i="14608"/>
  <c r="GO3" i="14608"/>
  <c r="GP3" i="14608"/>
  <c r="GQ3" i="14608"/>
  <c r="GR3" i="14608"/>
  <c r="GS3" i="14608"/>
  <c r="GU3" i="14608"/>
  <c r="GV3" i="14608"/>
  <c r="GX3" i="14608"/>
  <c r="GZ3" i="14608"/>
  <c r="HB3" i="14608"/>
  <c r="HC3" i="14608"/>
  <c r="HD3" i="14608"/>
  <c r="HE3" i="14608"/>
  <c r="HF3" i="14608"/>
  <c r="HG3" i="14608"/>
  <c r="HH3" i="14608"/>
  <c r="HI3" i="14608"/>
  <c r="HJ3" i="14608"/>
  <c r="HK3" i="14608"/>
  <c r="HL3" i="14608"/>
  <c r="HM3" i="14608"/>
  <c r="HN3" i="14608"/>
  <c r="HO3" i="14608"/>
  <c r="HP3" i="14608"/>
  <c r="HQ3" i="14608"/>
  <c r="HR3" i="14608"/>
  <c r="HS3" i="14608"/>
  <c r="HT3" i="14608"/>
  <c r="HU3" i="14608"/>
  <c r="HV3" i="14608"/>
  <c r="HW3" i="14608"/>
  <c r="HX3" i="14608"/>
  <c r="HY3" i="14608"/>
  <c r="HZ3" i="14608"/>
  <c r="IA3" i="14608"/>
  <c r="IB3" i="14608"/>
  <c r="IC3" i="14608"/>
  <c r="ID3" i="14608"/>
  <c r="IE3" i="14608"/>
  <c r="IF3" i="14608"/>
  <c r="IG3" i="14608"/>
  <c r="IH3" i="14608"/>
  <c r="II3" i="14608"/>
  <c r="IJ3" i="14608"/>
  <c r="IK3" i="14608"/>
  <c r="IL3" i="14608"/>
  <c r="IM3" i="14608"/>
  <c r="IN3" i="14608"/>
  <c r="IO3" i="14608"/>
  <c r="IP3" i="14608"/>
  <c r="IQ3" i="14608"/>
  <c r="IR3" i="14608"/>
  <c r="IS3" i="14608"/>
  <c r="IT3" i="14608"/>
  <c r="IU3" i="14608"/>
  <c r="IV3" i="14608"/>
  <c r="A2" i="14608"/>
  <c r="B2" i="14608"/>
  <c r="C2" i="14608"/>
  <c r="D2" i="14608"/>
  <c r="E2" i="14608"/>
  <c r="F2" i="14608"/>
  <c r="G2" i="14608"/>
  <c r="H2" i="14608"/>
  <c r="I2" i="14608"/>
  <c r="J2" i="14608"/>
  <c r="K2" i="14608"/>
  <c r="L2" i="14608"/>
  <c r="M2" i="14608"/>
  <c r="N2" i="14608"/>
  <c r="O2" i="14608"/>
  <c r="P2" i="14608"/>
  <c r="Q2" i="14608"/>
  <c r="R2" i="14608"/>
  <c r="S2" i="14608"/>
  <c r="T2" i="14608"/>
  <c r="U2" i="14608"/>
  <c r="V2" i="14608"/>
  <c r="W2" i="14608"/>
  <c r="X2" i="14608"/>
  <c r="Y2" i="14608"/>
  <c r="Z2" i="14608"/>
  <c r="AA2" i="14608"/>
  <c r="AB2" i="14608"/>
  <c r="AC2" i="14608"/>
  <c r="AD2" i="14608"/>
  <c r="AE2" i="14608"/>
  <c r="AF2" i="14608"/>
  <c r="AG2" i="14608"/>
  <c r="AH2" i="14608"/>
  <c r="AI2" i="14608"/>
  <c r="AJ2" i="14608"/>
  <c r="AK2" i="14608"/>
  <c r="AL2" i="14608"/>
  <c r="AM2" i="14608"/>
  <c r="AN2" i="14608"/>
  <c r="AO2" i="14608"/>
  <c r="AP2" i="14608"/>
  <c r="AQ2" i="14608"/>
  <c r="AR2" i="14608"/>
  <c r="AS2" i="14608"/>
  <c r="AT2" i="14608"/>
  <c r="AU2" i="14608"/>
  <c r="AV2" i="14608"/>
  <c r="AW2" i="14608"/>
  <c r="AX2" i="14608"/>
  <c r="AY2" i="14608"/>
  <c r="AZ2" i="14608"/>
  <c r="BA2" i="14608"/>
  <c r="BB2" i="14608"/>
  <c r="BC2" i="14608"/>
  <c r="BD2" i="14608"/>
  <c r="BE2" i="14608"/>
  <c r="BF2" i="14608"/>
  <c r="BG2" i="14608"/>
  <c r="BH2" i="14608"/>
  <c r="BI2" i="14608"/>
  <c r="BJ2" i="14608"/>
  <c r="BK2" i="14608"/>
  <c r="BL2" i="14608"/>
  <c r="BM2" i="14608"/>
  <c r="BN2" i="14608"/>
  <c r="BO2" i="14608"/>
  <c r="BP2" i="14608"/>
  <c r="BQ2" i="14608"/>
  <c r="BR2" i="14608"/>
  <c r="BS2" i="14608"/>
  <c r="BT2" i="14608"/>
  <c r="BU2" i="14608"/>
  <c r="BV2" i="14608"/>
  <c r="BW2" i="14608"/>
  <c r="BX2" i="14608"/>
  <c r="BY2" i="14608"/>
  <c r="BZ2" i="14608"/>
  <c r="CA2" i="14608"/>
  <c r="CB2" i="14608"/>
  <c r="CC2" i="14608"/>
  <c r="CD2" i="14608"/>
  <c r="CE2" i="14608"/>
  <c r="CF2" i="14608"/>
  <c r="CG2" i="14608"/>
  <c r="CH2" i="14608"/>
  <c r="CI2" i="14608"/>
  <c r="CJ2" i="14608"/>
  <c r="CK2" i="14608"/>
  <c r="CL2" i="14608"/>
  <c r="CM2" i="14608"/>
  <c r="CN2" i="14608"/>
  <c r="CO2" i="14608"/>
  <c r="CP2" i="14608"/>
  <c r="CQ2" i="14608"/>
  <c r="CR2" i="14608"/>
  <c r="CS2" i="14608"/>
  <c r="CT2" i="14608"/>
  <c r="CU2" i="14608"/>
  <c r="CV2" i="14608"/>
  <c r="CW2" i="14608"/>
  <c r="CZ2" i="14608"/>
  <c r="DA2" i="14608"/>
  <c r="DC2" i="14608"/>
  <c r="DD2" i="14608"/>
  <c r="DE2" i="14608"/>
  <c r="DF2" i="14608"/>
  <c r="DG2" i="14608"/>
  <c r="DH2" i="14608"/>
  <c r="DI2" i="14608"/>
  <c r="DJ2" i="14608"/>
  <c r="DK2" i="14608"/>
  <c r="DL2" i="14608"/>
  <c r="DM2" i="14608"/>
  <c r="DN2" i="14608"/>
  <c r="DO2" i="14608"/>
  <c r="DP2" i="14608"/>
  <c r="DQ2" i="14608"/>
  <c r="DR2" i="14608"/>
  <c r="DS2" i="14608"/>
  <c r="DT2" i="14608"/>
  <c r="DU2" i="14608"/>
  <c r="DV2" i="14608"/>
  <c r="DW2" i="14608"/>
  <c r="DX2" i="14608"/>
  <c r="DY2" i="14608"/>
  <c r="DZ2" i="14608"/>
  <c r="EA2" i="14608"/>
  <c r="EB2" i="14608"/>
  <c r="EC2" i="14608"/>
  <c r="ED2" i="14608"/>
  <c r="EE2" i="14608"/>
  <c r="EF2" i="14608"/>
  <c r="EG2" i="14608"/>
  <c r="EH2" i="14608"/>
  <c r="EI2" i="14608"/>
  <c r="EJ2" i="14608"/>
  <c r="EK2" i="14608"/>
  <c r="EL2" i="14608"/>
  <c r="EM2" i="14608"/>
  <c r="EN2" i="14608"/>
  <c r="EO2" i="14608"/>
  <c r="EP2" i="14608"/>
  <c r="EQ2" i="14608"/>
  <c r="ER2" i="14608"/>
  <c r="ES2" i="14608"/>
  <c r="ET2" i="14608"/>
  <c r="EU2" i="14608"/>
  <c r="EV2" i="14608"/>
  <c r="EW2" i="14608"/>
  <c r="EX2" i="14608"/>
  <c r="EY2" i="14608"/>
  <c r="EZ2" i="14608"/>
  <c r="FA2" i="14608"/>
  <c r="FB2" i="14608"/>
  <c r="FC2" i="14608"/>
  <c r="FD2" i="14608"/>
  <c r="FE2" i="14608"/>
  <c r="FF2" i="14608"/>
  <c r="FG2" i="14608"/>
  <c r="FH2" i="14608"/>
  <c r="FI2" i="14608"/>
  <c r="FJ2" i="14608"/>
  <c r="FK2" i="14608"/>
  <c r="FL2" i="14608"/>
  <c r="FM2" i="14608"/>
  <c r="FN2" i="14608"/>
  <c r="FO2" i="14608"/>
  <c r="FP2" i="14608"/>
  <c r="FQ2" i="14608"/>
  <c r="FR2" i="14608"/>
  <c r="FS2" i="14608"/>
  <c r="FT2" i="14608"/>
  <c r="FU2" i="14608"/>
  <c r="FV2" i="14608"/>
  <c r="FW2" i="14608"/>
  <c r="FX2" i="14608"/>
  <c r="FY2" i="14608"/>
  <c r="FZ2" i="14608"/>
  <c r="GA2" i="14608"/>
  <c r="GB2" i="14608"/>
  <c r="GC2" i="14608"/>
  <c r="GD2" i="14608"/>
  <c r="GE2" i="14608"/>
  <c r="GF2" i="14608"/>
  <c r="GG2" i="14608"/>
  <c r="GH2" i="14608"/>
  <c r="GI2" i="14608"/>
  <c r="GJ2" i="14608"/>
  <c r="GK2" i="14608"/>
  <c r="GL2" i="14608"/>
  <c r="GM2" i="14608"/>
  <c r="GN2" i="14608"/>
  <c r="GO2" i="14608"/>
  <c r="GP2" i="14608"/>
  <c r="GQ2" i="14608"/>
  <c r="GR2" i="14608"/>
  <c r="GS2" i="14608"/>
  <c r="GT2" i="14608"/>
  <c r="GU2" i="14608"/>
  <c r="GV2" i="14608"/>
  <c r="GW2" i="14608"/>
  <c r="GX2" i="14608"/>
  <c r="GY2" i="14608"/>
  <c r="GZ2" i="14608"/>
  <c r="HA2" i="14608"/>
  <c r="HB2" i="14608"/>
  <c r="HC2" i="14608"/>
  <c r="HD2" i="14608"/>
  <c r="HE2" i="14608"/>
  <c r="HF2" i="14608"/>
  <c r="HG2" i="14608"/>
  <c r="HH2" i="14608"/>
  <c r="HI2" i="14608"/>
  <c r="HJ2" i="14608"/>
  <c r="HK2" i="14608"/>
  <c r="HL2" i="14608"/>
  <c r="HM2" i="14608"/>
  <c r="HN2" i="14608"/>
  <c r="HO2" i="14608"/>
  <c r="HP2" i="14608"/>
  <c r="HQ2" i="14608"/>
  <c r="HR2" i="14608"/>
  <c r="HS2" i="14608"/>
  <c r="HT2" i="14608"/>
  <c r="HU2" i="14608"/>
  <c r="HV2" i="14608"/>
  <c r="HW2" i="14608"/>
  <c r="HX2" i="14608"/>
  <c r="HY2" i="14608"/>
  <c r="HZ2" i="14608"/>
  <c r="IA2" i="14608"/>
  <c r="IB2" i="14608"/>
  <c r="IC2" i="14608"/>
  <c r="ID2" i="14608"/>
  <c r="IE2" i="14608"/>
  <c r="IF2" i="14608"/>
  <c r="IG2" i="14608"/>
  <c r="IH2" i="14608"/>
  <c r="II2" i="14608"/>
  <c r="IJ2" i="14608"/>
  <c r="IK2" i="14608"/>
  <c r="IL2" i="14608"/>
  <c r="IM2" i="14608"/>
  <c r="IN2" i="14608"/>
  <c r="IO2" i="14608"/>
  <c r="IP2" i="14608"/>
  <c r="IQ2" i="14608"/>
  <c r="IR2" i="14608"/>
  <c r="IS2" i="14608"/>
  <c r="IT2" i="14608"/>
  <c r="IU2" i="14608"/>
  <c r="IV2" i="14608"/>
  <c r="A1" i="14608"/>
  <c r="B1" i="14608"/>
  <c r="C1" i="14608"/>
  <c r="D1" i="14608"/>
  <c r="E1" i="14608"/>
  <c r="F1" i="14608"/>
  <c r="G1" i="14608"/>
  <c r="H1" i="14608"/>
  <c r="I1" i="14608"/>
  <c r="J1" i="14608"/>
  <c r="K1" i="14608"/>
  <c r="L1" i="14608"/>
  <c r="N1" i="14608"/>
  <c r="O1" i="14608"/>
  <c r="P1" i="14608"/>
  <c r="Q1" i="14608"/>
  <c r="R1" i="14608"/>
  <c r="S1" i="14608"/>
  <c r="T1" i="14608"/>
  <c r="U1" i="14608"/>
  <c r="V1" i="14608"/>
  <c r="W1" i="14608"/>
  <c r="X1" i="14608"/>
  <c r="Y1" i="14608"/>
  <c r="Z1" i="14608"/>
  <c r="AA1" i="14608"/>
  <c r="AB1" i="14608"/>
  <c r="AC1" i="14608"/>
  <c r="AD1" i="14608"/>
  <c r="AE1" i="14608"/>
  <c r="AF1" i="14608"/>
  <c r="AG1" i="14608"/>
  <c r="AH1" i="14608"/>
  <c r="AI1" i="14608"/>
  <c r="AJ1" i="14608"/>
  <c r="AK1" i="14608"/>
  <c r="AL1" i="14608"/>
  <c r="AM1" i="14608"/>
  <c r="AN1" i="14608"/>
  <c r="AO1" i="14608"/>
  <c r="AP1" i="14608"/>
  <c r="AQ1" i="14608"/>
  <c r="AR1" i="14608"/>
  <c r="AS1" i="14608"/>
  <c r="AT1" i="14608"/>
  <c r="AU1" i="14608"/>
  <c r="AV1" i="14608"/>
  <c r="AW1" i="14608"/>
  <c r="AX1" i="14608"/>
  <c r="AY1" i="14608"/>
  <c r="AZ1" i="14608"/>
  <c r="BA1" i="14608"/>
  <c r="BB1" i="14608"/>
  <c r="BC1" i="14608"/>
  <c r="BD1" i="14608"/>
  <c r="BE1" i="14608"/>
  <c r="BF1" i="14608"/>
  <c r="BG1" i="14608"/>
  <c r="BH1" i="14608"/>
  <c r="BI1" i="14608"/>
  <c r="BJ1" i="14608"/>
  <c r="BK1" i="14608"/>
  <c r="BL1" i="14608"/>
  <c r="BM1" i="14608"/>
  <c r="BN1" i="14608"/>
  <c r="BO1" i="14608"/>
  <c r="BP1" i="14608"/>
  <c r="BQ1" i="14608"/>
  <c r="BR1" i="14608"/>
  <c r="BS1" i="14608"/>
  <c r="BT1" i="14608"/>
  <c r="BU1" i="14608"/>
  <c r="BV1" i="14608"/>
  <c r="BW1" i="14608"/>
  <c r="BX1" i="14608"/>
  <c r="BY1" i="14608"/>
  <c r="BZ1" i="14608"/>
  <c r="CA1" i="14608"/>
  <c r="CB1" i="14608"/>
  <c r="CC1" i="14608"/>
  <c r="CD1" i="14608"/>
  <c r="CE1" i="14608"/>
  <c r="CF1" i="14608"/>
  <c r="CG1" i="14608"/>
  <c r="CH1" i="14608"/>
  <c r="CI1" i="14608"/>
  <c r="CJ1" i="14608"/>
  <c r="CK1" i="14608"/>
  <c r="CL1" i="14608"/>
  <c r="CM1" i="14608"/>
  <c r="CN1" i="14608"/>
  <c r="CO1" i="14608"/>
  <c r="CP1" i="14608"/>
  <c r="CQ1" i="14608"/>
  <c r="CR1" i="14608"/>
  <c r="CS1" i="14608"/>
  <c r="CT1" i="14608"/>
  <c r="CU1" i="14608"/>
  <c r="CV1" i="14608"/>
  <c r="CW1" i="14608"/>
  <c r="CX1" i="14608"/>
  <c r="CY1" i="14608"/>
  <c r="CZ1" i="14608"/>
  <c r="DA1" i="14608"/>
  <c r="DB1" i="14608"/>
  <c r="DC1" i="14608"/>
  <c r="DD1" i="14608"/>
  <c r="DE1" i="14608"/>
  <c r="DF1" i="14608"/>
  <c r="DG1" i="14608"/>
  <c r="DH1" i="14608"/>
  <c r="DI1" i="14608"/>
  <c r="DJ1" i="14608"/>
  <c r="DK1" i="14608"/>
  <c r="DL1" i="14608"/>
  <c r="DM1" i="14608"/>
  <c r="DN1" i="14608"/>
  <c r="DO1" i="14608"/>
  <c r="DP1" i="14608"/>
  <c r="DQ1" i="14608"/>
  <c r="DR1" i="14608"/>
  <c r="DS1" i="14608"/>
  <c r="DT1" i="14608"/>
  <c r="DU1" i="14608"/>
  <c r="DV1" i="14608"/>
  <c r="DW1" i="14608"/>
  <c r="DX1" i="14608"/>
  <c r="DY1" i="14608"/>
  <c r="DZ1" i="14608"/>
  <c r="EA1" i="14608"/>
  <c r="EB1" i="14608"/>
  <c r="EC1" i="14608"/>
  <c r="ED1" i="14608"/>
  <c r="EE1" i="14608"/>
  <c r="EF1" i="14608"/>
  <c r="EG1" i="14608"/>
  <c r="EH1" i="14608"/>
  <c r="EI1" i="14608"/>
  <c r="EJ1" i="14608"/>
  <c r="EK1" i="14608"/>
  <c r="EL1" i="14608"/>
  <c r="EM1" i="14608"/>
  <c r="EN1" i="14608"/>
  <c r="EO1" i="14608"/>
  <c r="EP1" i="14608"/>
  <c r="EQ1" i="14608"/>
  <c r="ER1" i="14608"/>
  <c r="ES1" i="14608"/>
  <c r="ET1" i="14608"/>
  <c r="EU1" i="14608"/>
  <c r="EV1" i="14608"/>
  <c r="EW1" i="14608"/>
  <c r="EX1" i="14608"/>
  <c r="EY1" i="14608"/>
  <c r="EZ1" i="14608"/>
  <c r="FA1" i="14608"/>
  <c r="FB1" i="14608"/>
  <c r="FC1" i="14608"/>
  <c r="FD1" i="14608"/>
  <c r="FE1" i="14608"/>
  <c r="FF1" i="14608"/>
  <c r="FG1" i="14608"/>
  <c r="FH1" i="14608"/>
  <c r="FI1" i="14608"/>
  <c r="FJ1" i="14608"/>
  <c r="FK1" i="14608"/>
  <c r="FL1" i="14608"/>
  <c r="FM1" i="14608"/>
  <c r="FN1" i="14608"/>
  <c r="FO1" i="14608"/>
  <c r="FP1" i="14608"/>
  <c r="FQ1" i="14608"/>
  <c r="FR1" i="14608"/>
  <c r="FS1" i="14608"/>
  <c r="FT1" i="14608"/>
  <c r="FU1" i="14608"/>
  <c r="FV1" i="14608"/>
  <c r="FW1" i="14608"/>
  <c r="FX1" i="14608"/>
  <c r="FY1" i="14608"/>
  <c r="FZ1" i="14608"/>
  <c r="GA1" i="14608"/>
  <c r="GB1" i="14608"/>
  <c r="GC1" i="14608"/>
  <c r="GD1" i="14608"/>
  <c r="GE1" i="14608"/>
  <c r="GF1" i="14608"/>
  <c r="GG1" i="14608"/>
  <c r="GH1" i="14608"/>
  <c r="GI1" i="14608"/>
  <c r="GJ1" i="14608"/>
  <c r="GK1" i="14608"/>
  <c r="GL1" i="14608"/>
  <c r="GM1" i="14608"/>
  <c r="GN1" i="14608"/>
  <c r="GO1" i="14608"/>
  <c r="GP1" i="14608"/>
  <c r="GQ1" i="14608"/>
  <c r="GR1" i="14608"/>
  <c r="GS1" i="14608"/>
  <c r="GT1" i="14608"/>
  <c r="GU1" i="14608"/>
  <c r="GV1" i="14608"/>
  <c r="GW1" i="14608"/>
  <c r="GX1" i="14608"/>
  <c r="GY1" i="14608"/>
  <c r="GZ1" i="14608"/>
  <c r="HA1" i="14608"/>
  <c r="HB1" i="14608"/>
  <c r="HC1" i="14608"/>
  <c r="HD1" i="14608"/>
  <c r="HE1" i="14608"/>
  <c r="HF1" i="14608"/>
  <c r="HG1" i="14608"/>
  <c r="HH1" i="14608"/>
  <c r="HI1" i="14608"/>
  <c r="HJ1" i="14608"/>
  <c r="HK1" i="14608"/>
  <c r="HL1" i="14608"/>
  <c r="HM1" i="14608"/>
  <c r="HN1" i="14608"/>
  <c r="HO1" i="14608"/>
  <c r="HP1" i="14608"/>
  <c r="HQ1" i="14608"/>
  <c r="HR1" i="14608"/>
  <c r="HS1" i="14608"/>
  <c r="HT1" i="14608"/>
  <c r="HU1" i="14608"/>
  <c r="HV1" i="14608"/>
  <c r="HW1" i="14608"/>
  <c r="HX1" i="14608"/>
  <c r="HY1" i="14608"/>
  <c r="HZ1" i="14608"/>
  <c r="IA1" i="14608"/>
  <c r="IB1" i="14608"/>
  <c r="IC1" i="14608"/>
  <c r="ID1" i="14608"/>
  <c r="IE1" i="14608"/>
  <c r="IF1" i="14608"/>
  <c r="IG1" i="14608"/>
  <c r="IH1" i="14608"/>
  <c r="II1" i="14608"/>
  <c r="IJ1" i="14608"/>
  <c r="IK1" i="14608"/>
  <c r="IL1" i="14608"/>
  <c r="IM1" i="14608"/>
  <c r="IN1" i="14608"/>
  <c r="IO1" i="14608"/>
  <c r="IP1" i="14608"/>
  <c r="IQ1" i="14608"/>
  <c r="IR1" i="14608"/>
  <c r="IS1" i="14608"/>
  <c r="IT1" i="14608"/>
  <c r="IU1" i="14608"/>
  <c r="IV1" i="14608"/>
  <c r="GJ48" i="14608"/>
  <c r="GK48" i="14608"/>
  <c r="GB48" i="14608"/>
  <c r="FD48" i="14608"/>
  <c r="AQ39" i="14608"/>
  <c r="AD37" i="14608"/>
  <c r="BV22" i="14608"/>
  <c r="DT26" i="14608"/>
  <c r="GN27" i="14608"/>
  <c r="GA27" i="14608"/>
  <c r="HP27" i="14608"/>
  <c r="BT22" i="14608"/>
  <c r="IA235" i="14608"/>
  <c r="GI235" i="14608"/>
  <c r="BG235" i="14608"/>
  <c r="B2" i="14606"/>
  <c r="Q239" i="14608" s="1"/>
  <c r="C2" i="14606"/>
  <c r="R239" i="14608" s="1"/>
  <c r="D2" i="14606"/>
  <c r="S239" i="14608" s="1"/>
  <c r="E2" i="14606"/>
  <c r="T239" i="14608" s="1"/>
  <c r="F2" i="14606"/>
  <c r="U239" i="14608" s="1"/>
  <c r="G2" i="14606"/>
  <c r="V239" i="14608" s="1"/>
  <c r="H2" i="14606"/>
  <c r="W239" i="14608" s="1"/>
  <c r="I2" i="14606"/>
  <c r="X239" i="14608" s="1"/>
  <c r="J2" i="14606"/>
  <c r="Y239" i="14608" s="1"/>
  <c r="M5" i="14606"/>
  <c r="CD239" i="14608" s="1"/>
  <c r="M6" i="14606"/>
  <c r="CV239" i="14608" s="1"/>
  <c r="M7" i="14606"/>
  <c r="DN239" i="14608" s="1"/>
  <c r="M8" i="14606"/>
  <c r="EB239" i="14608" s="1"/>
  <c r="M9" i="14606"/>
  <c r="EP239" i="14608" s="1"/>
  <c r="M10" i="14606"/>
  <c r="FD239" i="14608" s="1"/>
  <c r="M11" i="14606"/>
  <c r="FR239" i="14608" s="1"/>
  <c r="M12" i="14606"/>
  <c r="GF239" i="14608" s="1"/>
  <c r="L13" i="14606"/>
  <c r="M13" i="14606" s="1"/>
  <c r="GT239" i="14608" s="1"/>
  <c r="O6" i="14606"/>
  <c r="CX239" i="14608" s="1"/>
  <c r="O3" i="14606"/>
  <c r="AV239" i="14608" s="1"/>
  <c r="O4" i="14606"/>
  <c r="BN239" i="14608" s="1"/>
  <c r="O5" i="14606"/>
  <c r="CF239" i="14608" s="1"/>
  <c r="O2" i="14606"/>
  <c r="FZ27" i="14608"/>
  <c r="HD27" i="14608"/>
  <c r="HH27" i="14608"/>
  <c r="DF26" i="14608"/>
  <c r="FT27" i="14608"/>
  <c r="CN22" i="14608"/>
  <c r="CZ22" i="14608"/>
  <c r="CY22" i="14608"/>
  <c r="CX22" i="14608"/>
  <c r="CW22" i="14608"/>
  <c r="CV22" i="14608"/>
  <c r="CU22" i="14608"/>
  <c r="CT22" i="14608"/>
  <c r="CS22" i="14608"/>
  <c r="CR22" i="14608"/>
  <c r="CQ22" i="14608"/>
  <c r="CP22" i="14608"/>
  <c r="CO22" i="14608"/>
  <c r="M1" i="14608"/>
  <c r="CX2" i="14608"/>
  <c r="CH14" i="14608"/>
  <c r="AA14" i="14608"/>
  <c r="GG48" i="14608"/>
  <c r="GU48" i="14608"/>
  <c r="GI48" i="14608"/>
  <c r="FE48" i="14608"/>
  <c r="GV48" i="14608"/>
  <c r="FZ48" i="14608"/>
  <c r="GA48" i="14608"/>
  <c r="GN48" i="14608"/>
  <c r="GD48" i="14608"/>
  <c r="FY48" i="14608"/>
  <c r="GC48" i="14608"/>
  <c r="GH48" i="14608"/>
  <c r="GP48" i="14608"/>
  <c r="GO48" i="14608"/>
  <c r="GS48" i="14608"/>
  <c r="GR48" i="14608"/>
  <c r="GQ48" i="14608"/>
  <c r="S233" i="14608"/>
  <c r="HF232" i="14608"/>
  <c r="HE232" i="14608"/>
  <c r="D27" i="14608" l="1"/>
  <c r="DR26" i="14608"/>
  <c r="DD22" i="14608"/>
  <c r="CM3" i="14608"/>
  <c r="CK3" i="14608"/>
  <c r="GH235" i="14608"/>
  <c r="AN236" i="14608"/>
  <c r="FA25" i="14608"/>
  <c r="EH23" i="14608"/>
  <c r="HQ27" i="14608"/>
  <c r="HC27" i="14608"/>
  <c r="DI26" i="14608"/>
  <c r="L14" i="14606"/>
  <c r="GS239" i="14608"/>
  <c r="O239" i="14608"/>
  <c r="AD239" i="14608"/>
  <c r="HG27" i="14608"/>
  <c r="GT27" i="14608"/>
  <c r="GO27" i="14608"/>
  <c r="GH27" i="14608"/>
  <c r="HR27" i="14608"/>
  <c r="GX27" i="14608"/>
  <c r="BM24" i="14608"/>
  <c r="EN23" i="14608"/>
  <c r="IU232" i="14608"/>
  <c r="F27" i="14608"/>
  <c r="L1" i="14606"/>
  <c r="IS232" i="14608"/>
  <c r="HE27" i="14608"/>
  <c r="BB236" i="14608"/>
  <c r="HG236" i="14608"/>
  <c r="DF236" i="14608"/>
  <c r="EO236" i="14608"/>
  <c r="FX236" i="14608"/>
  <c r="HR235" i="14608"/>
  <c r="BW236" i="14608"/>
  <c r="ET3" i="14608" l="1"/>
  <c r="ER3" i="14608"/>
  <c r="HK27" i="14608"/>
  <c r="AN22" i="14608"/>
  <c r="GF25" i="14608"/>
  <c r="IT232" i="14608"/>
  <c r="E27" i="14608"/>
  <c r="HG239" i="14608"/>
  <c r="L15" i="14606"/>
  <c r="M14" i="14606"/>
  <c r="HH239" i="14608" s="1"/>
  <c r="AC23" i="14608"/>
  <c r="GW27" i="14608"/>
  <c r="HF27" i="14608"/>
  <c r="A10" i="14606"/>
  <c r="ER239" i="14608" s="1"/>
  <c r="I239" i="14608"/>
  <c r="B10" i="14606"/>
  <c r="ES239" i="14608" s="1"/>
  <c r="A11" i="14606"/>
  <c r="FF239" i="14608" s="1"/>
  <c r="A9" i="14606"/>
  <c r="ED239" i="14608" s="1"/>
  <c r="A12" i="14606"/>
  <c r="FT239" i="14608" s="1"/>
  <c r="A4" i="14606"/>
  <c r="AZ239" i="14608" s="1"/>
  <c r="A8" i="14606"/>
  <c r="DP239" i="14608" s="1"/>
  <c r="A5" i="14606"/>
  <c r="BR239" i="14608" s="1"/>
  <c r="A6" i="14606"/>
  <c r="CJ239" i="14608" s="1"/>
  <c r="A7" i="14606"/>
  <c r="DB239" i="14608" s="1"/>
  <c r="A13" i="14606"/>
  <c r="GH239" i="14608" s="1"/>
  <c r="GV27" i="14608" l="1"/>
  <c r="HJ27" i="14608"/>
  <c r="GU27" i="14608"/>
  <c r="GZ27" i="14608"/>
  <c r="HA3" i="14608"/>
  <c r="GC13" i="14608"/>
  <c r="GA13" i="14608"/>
  <c r="GY3" i="14608"/>
  <c r="HM27" i="14608"/>
  <c r="GY27" i="14608"/>
  <c r="BG24" i="14608"/>
  <c r="HU239" i="14608"/>
  <c r="L16" i="14606"/>
  <c r="M15" i="14606"/>
  <c r="A14" i="14606"/>
  <c r="GV239" i="14608" s="1"/>
  <c r="BZ26" i="14608"/>
  <c r="GX23" i="14608"/>
  <c r="B7" i="14606"/>
  <c r="DC239" i="14608" s="1"/>
  <c r="B4" i="14606"/>
  <c r="C4" i="14606" s="1"/>
  <c r="BB239" i="14608" s="1"/>
  <c r="B9" i="14606"/>
  <c r="EE239" i="14608" s="1"/>
  <c r="B6" i="14606"/>
  <c r="CK239" i="14608" s="1"/>
  <c r="B12" i="14606"/>
  <c r="FU239" i="14608" s="1"/>
  <c r="C11" i="14606"/>
  <c r="FH239" i="14608" s="1"/>
  <c r="B11" i="14606"/>
  <c r="B14" i="14606"/>
  <c r="GW239" i="14608" s="1"/>
  <c r="B5" i="14606"/>
  <c r="BS239" i="14608" s="1"/>
  <c r="B13" i="14606"/>
  <c r="C13" i="14606" s="1"/>
  <c r="GJ239" i="14608" s="1"/>
  <c r="B8" i="14606"/>
  <c r="DQ239" i="14608" s="1"/>
  <c r="C8" i="14606"/>
  <c r="C10" i="14606"/>
  <c r="ET239" i="14608" s="1"/>
  <c r="IB24" i="14608"/>
  <c r="L4" i="14608" l="1"/>
  <c r="J4" i="14608"/>
  <c r="HP22" i="14608"/>
  <c r="HI22" i="14608"/>
  <c r="AW22" i="14608"/>
  <c r="HL27" i="14608"/>
  <c r="HN22" i="14608"/>
  <c r="DW24" i="14608"/>
  <c r="D4" i="14606"/>
  <c r="BC239" i="14608" s="1"/>
  <c r="BA239" i="14608"/>
  <c r="HV239" i="14608"/>
  <c r="A15" i="14606"/>
  <c r="D8" i="14606"/>
  <c r="DS239" i="14608" s="1"/>
  <c r="DR239" i="14608"/>
  <c r="II239" i="14608"/>
  <c r="M16" i="14606"/>
  <c r="L17" i="14606"/>
  <c r="D11" i="14606"/>
  <c r="FI239" i="14608" s="1"/>
  <c r="FG239" i="14608"/>
  <c r="D13" i="14606"/>
  <c r="GK239" i="14608" s="1"/>
  <c r="GI239" i="14608"/>
  <c r="C9" i="14606"/>
  <c r="EF239" i="14608" s="1"/>
  <c r="E4" i="14606"/>
  <c r="C5" i="14606"/>
  <c r="BT239" i="14608" s="1"/>
  <c r="C14" i="14606"/>
  <c r="GX239" i="14608" s="1"/>
  <c r="D10" i="14606"/>
  <c r="EU239" i="14608" s="1"/>
  <c r="C12" i="14606"/>
  <c r="FV239" i="14608" s="1"/>
  <c r="C6" i="14606"/>
  <c r="CL239" i="14608" s="1"/>
  <c r="F4" i="14606"/>
  <c r="BE239" i="14608" s="1"/>
  <c r="C7" i="14606"/>
  <c r="DD239" i="14608" s="1"/>
  <c r="HQ22" i="14608"/>
  <c r="HN27" i="14608" l="1"/>
  <c r="HO27" i="14608"/>
  <c r="BS4" i="14608"/>
  <c r="BQ4" i="14608"/>
  <c r="EK23" i="14608"/>
  <c r="BJ24" i="14608"/>
  <c r="E10" i="14606"/>
  <c r="G4" i="14606"/>
  <c r="BF239" i="14608" s="1"/>
  <c r="BD239" i="14608"/>
  <c r="F11" i="14606"/>
  <c r="FK239" i="14608" s="1"/>
  <c r="E13" i="14606"/>
  <c r="HJ239" i="14608"/>
  <c r="B15" i="14606"/>
  <c r="A240" i="14608"/>
  <c r="L18" i="14606"/>
  <c r="M17" i="14606"/>
  <c r="E8" i="14606"/>
  <c r="DT239" i="14608" s="1"/>
  <c r="E11" i="14606"/>
  <c r="A16" i="14606"/>
  <c r="IJ239" i="14608"/>
  <c r="AV25" i="14608"/>
  <c r="H4" i="14606"/>
  <c r="D12" i="14606"/>
  <c r="FW239" i="14608" s="1"/>
  <c r="D9" i="14606"/>
  <c r="EG239" i="14608" s="1"/>
  <c r="D14" i="14606"/>
  <c r="GY239" i="14608" s="1"/>
  <c r="D7" i="14606"/>
  <c r="DE239" i="14608" s="1"/>
  <c r="E5" i="14606"/>
  <c r="BV239" i="14608" s="1"/>
  <c r="D5" i="14606"/>
  <c r="BU239" i="14608" s="1"/>
  <c r="E7" i="14606"/>
  <c r="DF239" i="14608" s="1"/>
  <c r="F8" i="14606"/>
  <c r="D6" i="14606"/>
  <c r="CM239" i="14608" s="1"/>
  <c r="BH24" i="14608" l="1"/>
  <c r="DZ4" i="14608"/>
  <c r="DX4" i="14608"/>
  <c r="HP236" i="14608"/>
  <c r="GG236" i="14608"/>
  <c r="DO236" i="14608"/>
  <c r="A17" i="14606"/>
  <c r="B240" i="14608"/>
  <c r="HQ25" i="14608"/>
  <c r="O240" i="14608"/>
  <c r="L19" i="14606"/>
  <c r="M18" i="14606"/>
  <c r="F10" i="14606"/>
  <c r="EV239" i="14608"/>
  <c r="CY2" i="14608"/>
  <c r="DS4" i="14608"/>
  <c r="AR5" i="14608"/>
  <c r="EM3" i="14608"/>
  <c r="CF3" i="14608"/>
  <c r="BL4" i="14608"/>
  <c r="FZ4" i="14608"/>
  <c r="E4" i="14608"/>
  <c r="IG4" i="14608"/>
  <c r="Y3" i="14608"/>
  <c r="CY5" i="14608"/>
  <c r="G8" i="14606"/>
  <c r="DU239" i="14608"/>
  <c r="C15" i="14606"/>
  <c r="HK239" i="14608"/>
  <c r="FJ239" i="14608"/>
  <c r="G11" i="14606"/>
  <c r="GL239" i="14608"/>
  <c r="F13" i="14606"/>
  <c r="DB2" i="14608"/>
  <c r="HX239" i="14608"/>
  <c r="B16" i="14606"/>
  <c r="I4" i="14606"/>
  <c r="BH239" i="14608" s="1"/>
  <c r="BG239" i="14608"/>
  <c r="EP23" i="14608"/>
  <c r="EO23" i="14608"/>
  <c r="F5" i="14606"/>
  <c r="BW239" i="14608" s="1"/>
  <c r="E9" i="14606"/>
  <c r="EH239" i="14608" s="1"/>
  <c r="E12" i="14606"/>
  <c r="FX239" i="14608" s="1"/>
  <c r="E6" i="14606"/>
  <c r="E14" i="14606"/>
  <c r="GZ239" i="14608" s="1"/>
  <c r="F7" i="14606"/>
  <c r="DG239" i="14608" s="1"/>
  <c r="GH236" i="14608"/>
  <c r="DP236" i="14608"/>
  <c r="HQ236" i="14608"/>
  <c r="GK236" i="14608"/>
  <c r="GL236" i="14608"/>
  <c r="GJ236" i="14608"/>
  <c r="GI236" i="14608"/>
  <c r="DT236" i="14608"/>
  <c r="DR236" i="14608"/>
  <c r="DS236" i="14608"/>
  <c r="DQ236" i="14608"/>
  <c r="HR236" i="14608"/>
  <c r="HT236" i="14608"/>
  <c r="HU236" i="14608"/>
  <c r="HS236" i="14608"/>
  <c r="GG4" i="14608" l="1"/>
  <c r="GE4" i="14608"/>
  <c r="CF236" i="14608"/>
  <c r="EX236" i="14608"/>
  <c r="BO27" i="14608"/>
  <c r="EP26" i="14608"/>
  <c r="H11" i="14606"/>
  <c r="FM239" i="14608" s="1"/>
  <c r="FL239" i="14608"/>
  <c r="F9" i="14606"/>
  <c r="EI239" i="14608" s="1"/>
  <c r="F14" i="14606"/>
  <c r="J4" i="14606"/>
  <c r="C16" i="14606"/>
  <c r="HY239" i="14608"/>
  <c r="IL239" i="14608"/>
  <c r="B17" i="14606"/>
  <c r="HL239" i="14608"/>
  <c r="D15" i="14606"/>
  <c r="E15" i="14606" s="1"/>
  <c r="HN239" i="14608" s="1"/>
  <c r="EW239" i="14608"/>
  <c r="G10" i="14606"/>
  <c r="F6" i="14606"/>
  <c r="CO239" i="14608" s="1"/>
  <c r="CN239" i="14608"/>
  <c r="AB3" i="14608"/>
  <c r="A18" i="14606"/>
  <c r="P240" i="14608"/>
  <c r="GM239" i="14608"/>
  <c r="G13" i="14606"/>
  <c r="GN239" i="14608" s="1"/>
  <c r="FV13" i="14608"/>
  <c r="GT3" i="14608"/>
  <c r="G7" i="14606"/>
  <c r="G5" i="14606"/>
  <c r="BX239" i="14608" s="1"/>
  <c r="DV239" i="14608"/>
  <c r="H8" i="14606"/>
  <c r="AC240" i="14608"/>
  <c r="L20" i="14606"/>
  <c r="M19" i="14606"/>
  <c r="CI236" i="14608"/>
  <c r="CJ236" i="14608"/>
  <c r="CG236" i="14608"/>
  <c r="CK236" i="14608"/>
  <c r="CH236" i="14608"/>
  <c r="EY236" i="14608"/>
  <c r="FB236" i="14608"/>
  <c r="FC236" i="14608"/>
  <c r="EZ236" i="14608"/>
  <c r="FA236" i="14608"/>
  <c r="F12" i="14606"/>
  <c r="FY239" i="14608" s="1"/>
  <c r="G6" i="14606"/>
  <c r="CP239" i="14608" s="1"/>
  <c r="G9" i="14606"/>
  <c r="IN4" i="14608" l="1"/>
  <c r="IL4" i="14608"/>
  <c r="D240" i="14608"/>
  <c r="B18" i="14606"/>
  <c r="C18" i="14606" s="1"/>
  <c r="EX239" i="14608"/>
  <c r="D17" i="14606"/>
  <c r="IO239" i="14608" s="1"/>
  <c r="IM239" i="14608"/>
  <c r="I11" i="14606"/>
  <c r="EP3" i="14608"/>
  <c r="CI3" i="14608"/>
  <c r="HZ239" i="14608"/>
  <c r="D16" i="14606"/>
  <c r="DW239" i="14608"/>
  <c r="I8" i="14606"/>
  <c r="DX239" i="14608" s="1"/>
  <c r="G15" i="14606"/>
  <c r="HP239" i="14608" s="1"/>
  <c r="N4" i="14606"/>
  <c r="BM239" i="14608" s="1"/>
  <c r="BI239" i="14608"/>
  <c r="A19" i="14606"/>
  <c r="AD240" i="14608"/>
  <c r="HM239" i="14608"/>
  <c r="F15" i="14606"/>
  <c r="HO239" i="14608" s="1"/>
  <c r="H5" i="14606"/>
  <c r="BY239" i="14608" s="1"/>
  <c r="E16" i="14606"/>
  <c r="IB239" i="14608" s="1"/>
  <c r="AQ240" i="14608"/>
  <c r="L21" i="14606"/>
  <c r="M20" i="14606"/>
  <c r="H13" i="14606"/>
  <c r="GO239" i="14608" s="1"/>
  <c r="HA239" i="14608"/>
  <c r="G14" i="14606"/>
  <c r="H9" i="14606"/>
  <c r="EK239" i="14608" s="1"/>
  <c r="EJ239" i="14608"/>
  <c r="H7" i="14606"/>
  <c r="DH239" i="14608"/>
  <c r="H10" i="14606"/>
  <c r="EY239" i="14608" s="1"/>
  <c r="C17" i="14606"/>
  <c r="G12" i="14606"/>
  <c r="FZ239" i="14608" s="1"/>
  <c r="H6" i="14606"/>
  <c r="AY5" i="14608" l="1"/>
  <c r="AW5" i="14608"/>
  <c r="F240" i="14608"/>
  <c r="C240" i="14608"/>
  <c r="IA239" i="14608"/>
  <c r="F16" i="14606"/>
  <c r="HB239" i="14608"/>
  <c r="H14" i="14606"/>
  <c r="HC239" i="14608" s="1"/>
  <c r="H4" i="14608"/>
  <c r="I10" i="14606"/>
  <c r="IN239" i="14608"/>
  <c r="E17" i="14606"/>
  <c r="I13" i="14606"/>
  <c r="I9" i="14606"/>
  <c r="H15" i="14606"/>
  <c r="HQ239" i="14608" s="1"/>
  <c r="J8" i="14606"/>
  <c r="DY239" i="14608" s="1"/>
  <c r="DI239" i="14608"/>
  <c r="I7" i="14606"/>
  <c r="FY13" i="14608"/>
  <c r="GW3" i="14608"/>
  <c r="E240" i="14608"/>
  <c r="D18" i="14606"/>
  <c r="G240" i="14608" s="1"/>
  <c r="R240" i="14608"/>
  <c r="B19" i="14606"/>
  <c r="S240" i="14608" s="1"/>
  <c r="A20" i="14606"/>
  <c r="AR240" i="14608"/>
  <c r="I6" i="14606"/>
  <c r="CQ239" i="14608"/>
  <c r="I5" i="14606"/>
  <c r="BE240" i="14608"/>
  <c r="L22" i="14606"/>
  <c r="M21" i="14606"/>
  <c r="J11" i="14606"/>
  <c r="FO239" i="14608" s="1"/>
  <c r="FN239" i="14608"/>
  <c r="H12" i="14606"/>
  <c r="GA239" i="14608" s="1"/>
  <c r="DF5" i="14608" l="1"/>
  <c r="DD5" i="14608"/>
  <c r="J9" i="14606"/>
  <c r="EM239" i="14608" s="1"/>
  <c r="EL239" i="14608"/>
  <c r="BO4" i="14608"/>
  <c r="C19" i="14606"/>
  <c r="J7" i="14606"/>
  <c r="DK239" i="14608" s="1"/>
  <c r="DJ239" i="14608"/>
  <c r="J13" i="14606"/>
  <c r="GQ239" i="14608" s="1"/>
  <c r="GP239" i="14608"/>
  <c r="IP239" i="14608"/>
  <c r="F17" i="14606"/>
  <c r="G16" i="14606"/>
  <c r="IC239" i="14608"/>
  <c r="J6" i="14606"/>
  <c r="CS239" i="14608" s="1"/>
  <c r="CR239" i="14608"/>
  <c r="I15" i="14606"/>
  <c r="E18" i="14606"/>
  <c r="AF240" i="14608"/>
  <c r="B20" i="14606"/>
  <c r="C20" i="14606"/>
  <c r="AH240" i="14608" s="1"/>
  <c r="D20" i="14606"/>
  <c r="AI240" i="14608" s="1"/>
  <c r="A21" i="14606"/>
  <c r="BF240" i="14608"/>
  <c r="I14" i="14606"/>
  <c r="J10" i="14606"/>
  <c r="FA239" i="14608" s="1"/>
  <c r="EZ239" i="14608"/>
  <c r="J5" i="14606"/>
  <c r="CA239" i="14608" s="1"/>
  <c r="BZ239" i="14608"/>
  <c r="BS240" i="14608"/>
  <c r="M22" i="14606"/>
  <c r="L23" i="14606"/>
  <c r="I12" i="14606"/>
  <c r="GB239" i="14608" s="1"/>
  <c r="FM5" i="14608" l="1"/>
  <c r="FK5" i="14608"/>
  <c r="F20" i="14606"/>
  <c r="IQ239" i="14608"/>
  <c r="G17" i="14606"/>
  <c r="IR239" i="14608" s="1"/>
  <c r="J12" i="14606"/>
  <c r="GC239" i="14608" s="1"/>
  <c r="H240" i="14608"/>
  <c r="F18" i="14606"/>
  <c r="H17" i="14606"/>
  <c r="IS239" i="14608" s="1"/>
  <c r="T240" i="14608"/>
  <c r="ID239" i="14608"/>
  <c r="H16" i="14606"/>
  <c r="IE239" i="14608" s="1"/>
  <c r="GC4" i="14608"/>
  <c r="DV4" i="14608"/>
  <c r="CG240" i="14608"/>
  <c r="L24" i="14606"/>
  <c r="M23" i="14606"/>
  <c r="AG240" i="14608"/>
  <c r="E20" i="14606"/>
  <c r="AJ240" i="14608" s="1"/>
  <c r="J14" i="14606"/>
  <c r="HE239" i="14608" s="1"/>
  <c r="HD239" i="14608"/>
  <c r="J15" i="14606"/>
  <c r="HS239" i="14608" s="1"/>
  <c r="HR239" i="14608"/>
  <c r="A22" i="14606"/>
  <c r="BT240" i="14608"/>
  <c r="AT240" i="14608"/>
  <c r="B21" i="14606"/>
  <c r="D19" i="14606"/>
  <c r="AE6" i="14608" l="1"/>
  <c r="HT5" i="14608"/>
  <c r="AC6" i="14608"/>
  <c r="HR5" i="14608"/>
  <c r="G18" i="14606"/>
  <c r="H18" i="14606" s="1"/>
  <c r="K240" i="14608" s="1"/>
  <c r="I240" i="14608"/>
  <c r="C21" i="14606"/>
  <c r="AU240" i="14608"/>
  <c r="I16" i="14606"/>
  <c r="U240" i="14608"/>
  <c r="E19" i="14606"/>
  <c r="G20" i="14606"/>
  <c r="AK240" i="14608"/>
  <c r="BH240" i="14608"/>
  <c r="B22" i="14606"/>
  <c r="C22" i="14606"/>
  <c r="BJ240" i="14608" s="1"/>
  <c r="A23" i="14606"/>
  <c r="CH240" i="14608"/>
  <c r="CU240" i="14608"/>
  <c r="L25" i="14606"/>
  <c r="M24" i="14606"/>
  <c r="I17" i="14606"/>
  <c r="IT239" i="14608" s="1"/>
  <c r="A24" i="14606" l="1"/>
  <c r="CV240" i="14608"/>
  <c r="J17" i="14606"/>
  <c r="IU239" i="14608" s="1"/>
  <c r="DI240" i="14608"/>
  <c r="M25" i="14606"/>
  <c r="L26" i="14606"/>
  <c r="H20" i="14606"/>
  <c r="AM240" i="14608" s="1"/>
  <c r="AL240" i="14608"/>
  <c r="AV240" i="14608"/>
  <c r="D21" i="14606"/>
  <c r="BV240" i="14608"/>
  <c r="B23" i="14606"/>
  <c r="BW240" i="14608" s="1"/>
  <c r="C23" i="14606"/>
  <c r="BI240" i="14608"/>
  <c r="D22" i="14606"/>
  <c r="IJ4" i="14608"/>
  <c r="J240" i="14608"/>
  <c r="I18" i="14606"/>
  <c r="J16" i="14606"/>
  <c r="IG239" i="14608" s="1"/>
  <c r="IF239" i="14608"/>
  <c r="F19" i="14606"/>
  <c r="V240" i="14608"/>
  <c r="A25" i="14606" l="1"/>
  <c r="DJ240" i="14608"/>
  <c r="DB5" i="14608"/>
  <c r="AU5" i="14608"/>
  <c r="BK240" i="14608"/>
  <c r="E22" i="14606"/>
  <c r="D23" i="14606"/>
  <c r="BY240" i="14608" s="1"/>
  <c r="BX240" i="14608"/>
  <c r="DW240" i="14608"/>
  <c r="L27" i="14606"/>
  <c r="M26" i="14606"/>
  <c r="J18" i="14606"/>
  <c r="M240" i="14608" s="1"/>
  <c r="L240" i="14608"/>
  <c r="W240" i="14608"/>
  <c r="G19" i="14606"/>
  <c r="E21" i="14606"/>
  <c r="AX240" i="14608" s="1"/>
  <c r="AW240" i="14608"/>
  <c r="F21" i="14606"/>
  <c r="AY240" i="14608" s="1"/>
  <c r="E23" i="14606"/>
  <c r="BZ240" i="14608" s="1"/>
  <c r="I20" i="14606"/>
  <c r="CJ240" i="14608"/>
  <c r="B24" i="14606"/>
  <c r="C24" i="14606" s="1"/>
  <c r="CL240" i="14608" l="1"/>
  <c r="E24" i="14606"/>
  <c r="G21" i="14606"/>
  <c r="AZ240" i="14608" s="1"/>
  <c r="F22" i="14606"/>
  <c r="BL240" i="14608"/>
  <c r="G22" i="14606"/>
  <c r="BN240" i="14608" s="1"/>
  <c r="A26" i="14606"/>
  <c r="DX240" i="14608"/>
  <c r="CK240" i="14608"/>
  <c r="D24" i="14606"/>
  <c r="CM240" i="14608" s="1"/>
  <c r="EK240" i="14608"/>
  <c r="M27" i="14606"/>
  <c r="L28" i="14606"/>
  <c r="I19" i="14606"/>
  <c r="Z240" i="14608" s="1"/>
  <c r="X240" i="14608"/>
  <c r="H19" i="14606"/>
  <c r="J20" i="14606"/>
  <c r="AO240" i="14608" s="1"/>
  <c r="AN240" i="14608"/>
  <c r="CX240" i="14608"/>
  <c r="B25" i="14606"/>
  <c r="F23" i="14606"/>
  <c r="DL240" i="14608" l="1"/>
  <c r="B26" i="14606"/>
  <c r="C26" i="14606" s="1"/>
  <c r="DN240" i="14608" s="1"/>
  <c r="BM240" i="14608"/>
  <c r="H22" i="14606"/>
  <c r="BO240" i="14608" s="1"/>
  <c r="G23" i="14606"/>
  <c r="CB240" i="14608" s="1"/>
  <c r="CA240" i="14608"/>
  <c r="H23" i="14606"/>
  <c r="CC240" i="14608" s="1"/>
  <c r="EY240" i="14608"/>
  <c r="L29" i="14606"/>
  <c r="M28" i="14606"/>
  <c r="A27" i="14606"/>
  <c r="EL240" i="14608"/>
  <c r="C25" i="14606"/>
  <c r="CY240" i="14608"/>
  <c r="F24" i="14606"/>
  <c r="CN240" i="14608"/>
  <c r="J19" i="14606"/>
  <c r="AA240" i="14608" s="1"/>
  <c r="Y240" i="14608"/>
  <c r="H21" i="14606"/>
  <c r="I21" i="14606" l="1"/>
  <c r="BB240" i="14608" s="1"/>
  <c r="BA240" i="14608"/>
  <c r="J21" i="14606"/>
  <c r="BC240" i="14608" s="1"/>
  <c r="A28" i="14606"/>
  <c r="EZ240" i="14608"/>
  <c r="DZ240" i="14608"/>
  <c r="B27" i="14606"/>
  <c r="EA240" i="14608" s="1"/>
  <c r="FM240" i="14608"/>
  <c r="M29" i="14606"/>
  <c r="L30" i="14606"/>
  <c r="I22" i="14606"/>
  <c r="CO240" i="14608"/>
  <c r="G24" i="14606"/>
  <c r="D26" i="14606"/>
  <c r="DO240" i="14608" s="1"/>
  <c r="DM240" i="14608"/>
  <c r="CZ240" i="14608"/>
  <c r="D25" i="14606"/>
  <c r="I23" i="14606"/>
  <c r="DA240" i="14608" l="1"/>
  <c r="E25" i="14606"/>
  <c r="DB240" i="14608" s="1"/>
  <c r="J22" i="14606"/>
  <c r="BQ240" i="14608" s="1"/>
  <c r="BP240" i="14608"/>
  <c r="J23" i="14606"/>
  <c r="CE240" i="14608" s="1"/>
  <c r="CD240" i="14608"/>
  <c r="E26" i="14606"/>
  <c r="DP240" i="14608" s="1"/>
  <c r="EN240" i="14608"/>
  <c r="B28" i="14606"/>
  <c r="C28" i="14606"/>
  <c r="EP240" i="14608" s="1"/>
  <c r="A29" i="14606"/>
  <c r="FN240" i="14608"/>
  <c r="CP240" i="14608"/>
  <c r="H24" i="14606"/>
  <c r="GA240" i="14608"/>
  <c r="L31" i="14606"/>
  <c r="M30" i="14606"/>
  <c r="C27" i="14606"/>
  <c r="EB240" i="14608" s="1"/>
  <c r="A30" i="14606" l="1"/>
  <c r="GB240" i="14608"/>
  <c r="FB240" i="14608"/>
  <c r="B29" i="14606"/>
  <c r="C29" i="14606" s="1"/>
  <c r="FD240" i="14608" s="1"/>
  <c r="GO240" i="14608"/>
  <c r="L32" i="14606"/>
  <c r="M31" i="14606"/>
  <c r="D28" i="14606"/>
  <c r="D27" i="14606"/>
  <c r="EC240" i="14608" s="1"/>
  <c r="CQ240" i="14608"/>
  <c r="EO240" i="14608"/>
  <c r="E28" i="14606"/>
  <c r="ER240" i="14608" s="1"/>
  <c r="F25" i="14606"/>
  <c r="DC240" i="14608" s="1"/>
  <c r="I24" i="14606"/>
  <c r="CR240" i="14608" s="1"/>
  <c r="F26" i="14606"/>
  <c r="G26" i="14606" s="1"/>
  <c r="H26" i="14606" l="1"/>
  <c r="DS240" i="14608" s="1"/>
  <c r="DR240" i="14608"/>
  <c r="FC240" i="14608"/>
  <c r="D29" i="14606"/>
  <c r="FE240" i="14608" s="1"/>
  <c r="DQ240" i="14608"/>
  <c r="I26" i="14606"/>
  <c r="E29" i="14606"/>
  <c r="EQ240" i="14608"/>
  <c r="F28" i="14606"/>
  <c r="FP240" i="14608"/>
  <c r="B30" i="14606"/>
  <c r="A31" i="14606"/>
  <c r="GP240" i="14608"/>
  <c r="E27" i="14606"/>
  <c r="J24" i="14606"/>
  <c r="CS240" i="14608" s="1"/>
  <c r="HC240" i="14608"/>
  <c r="L33" i="14606"/>
  <c r="M32" i="14606"/>
  <c r="G25" i="14606"/>
  <c r="DD240" i="14608" s="1"/>
  <c r="GD240" i="14608" l="1"/>
  <c r="B31" i="14606"/>
  <c r="GE240" i="14608" s="1"/>
  <c r="C31" i="14606"/>
  <c r="J26" i="14606"/>
  <c r="DU240" i="14608" s="1"/>
  <c r="DT240" i="14608"/>
  <c r="FQ240" i="14608"/>
  <c r="H25" i="14606"/>
  <c r="HQ240" i="14608"/>
  <c r="M33" i="14606"/>
  <c r="L34" i="14606"/>
  <c r="C30" i="14606"/>
  <c r="FR240" i="14608" s="1"/>
  <c r="A32" i="14606"/>
  <c r="HD240" i="14608"/>
  <c r="ES240" i="14608"/>
  <c r="G28" i="14606"/>
  <c r="ED240" i="14608"/>
  <c r="F27" i="14606"/>
  <c r="F29" i="14606"/>
  <c r="FF240" i="14608"/>
  <c r="G27" i="14606" l="1"/>
  <c r="EF240" i="14608" s="1"/>
  <c r="EE240" i="14608"/>
  <c r="IE240" i="14608"/>
  <c r="M34" i="14606"/>
  <c r="L35" i="14606"/>
  <c r="GR240" i="14608"/>
  <c r="B32" i="14606"/>
  <c r="GS240" i="14608" s="1"/>
  <c r="A33" i="14606"/>
  <c r="HR240" i="14608"/>
  <c r="D31" i="14606"/>
  <c r="GF240" i="14608"/>
  <c r="FG240" i="14608"/>
  <c r="G29" i="14606"/>
  <c r="FH240" i="14608" s="1"/>
  <c r="I25" i="14606"/>
  <c r="DF240" i="14608" s="1"/>
  <c r="DE240" i="14608"/>
  <c r="ET240" i="14608"/>
  <c r="H28" i="14606"/>
  <c r="EU240" i="14608" s="1"/>
  <c r="D30" i="14606"/>
  <c r="E30" i="14606" s="1"/>
  <c r="FT240" i="14608" l="1"/>
  <c r="IS240" i="14608"/>
  <c r="M35" i="14606"/>
  <c r="L36" i="14606"/>
  <c r="A34" i="14606"/>
  <c r="IF240" i="14608"/>
  <c r="J28" i="14606"/>
  <c r="EW240" i="14608" s="1"/>
  <c r="HF240" i="14608"/>
  <c r="B33" i="14606"/>
  <c r="GG240" i="14608"/>
  <c r="E31" i="14606"/>
  <c r="GH240" i="14608" s="1"/>
  <c r="C32" i="14606"/>
  <c r="H27" i="14606"/>
  <c r="FS240" i="14608"/>
  <c r="F30" i="14606"/>
  <c r="FU240" i="14608" s="1"/>
  <c r="H29" i="14606"/>
  <c r="I28" i="14606"/>
  <c r="EV240" i="14608" s="1"/>
  <c r="J25" i="14606"/>
  <c r="DG240" i="14608" s="1"/>
  <c r="F31" i="14606" l="1"/>
  <c r="HT240" i="14608"/>
  <c r="B34" i="14606"/>
  <c r="K241" i="14608"/>
  <c r="M36" i="14606"/>
  <c r="L37" i="14606"/>
  <c r="A35" i="14606"/>
  <c r="IT240" i="14608"/>
  <c r="GT240" i="14608"/>
  <c r="D32" i="14606"/>
  <c r="GU240" i="14608" s="1"/>
  <c r="C33" i="14606"/>
  <c r="HG240" i="14608"/>
  <c r="I29" i="14606"/>
  <c r="FJ240" i="14608" s="1"/>
  <c r="FI240" i="14608"/>
  <c r="J29" i="14606"/>
  <c r="FK240" i="14608" s="1"/>
  <c r="I27" i="14606"/>
  <c r="EG240" i="14608"/>
  <c r="G30" i="14606"/>
  <c r="E32" i="14606" l="1"/>
  <c r="HU240" i="14608"/>
  <c r="J27" i="14606"/>
  <c r="EI240" i="14608" s="1"/>
  <c r="EH240" i="14608"/>
  <c r="C34" i="14606"/>
  <c r="D34" i="14606" s="1"/>
  <c r="IH240" i="14608"/>
  <c r="B35" i="14606"/>
  <c r="C35" i="14606"/>
  <c r="HH240" i="14608"/>
  <c r="D33" i="14606"/>
  <c r="Y241" i="14608"/>
  <c r="L38" i="14606"/>
  <c r="M37" i="14606"/>
  <c r="GI240" i="14608"/>
  <c r="G31" i="14606"/>
  <c r="FV240" i="14608"/>
  <c r="H30" i="14606"/>
  <c r="I30" i="14606"/>
  <c r="FX240" i="14608" s="1"/>
  <c r="A36" i="14606"/>
  <c r="L241" i="14608"/>
  <c r="E33" i="14606"/>
  <c r="HJ240" i="14608" s="1"/>
  <c r="HW240" i="14608" l="1"/>
  <c r="GJ240" i="14608"/>
  <c r="AM241" i="14608"/>
  <c r="L39" i="14606"/>
  <c r="M38" i="14606"/>
  <c r="D35" i="14606"/>
  <c r="IK240" i="14608" s="1"/>
  <c r="IJ240" i="14608"/>
  <c r="Z241" i="14608"/>
  <c r="A37" i="14606"/>
  <c r="M241" i="14608"/>
  <c r="II240" i="14608"/>
  <c r="E35" i="14606"/>
  <c r="IL240" i="14608" s="1"/>
  <c r="GV240" i="14608"/>
  <c r="F32" i="14606"/>
  <c r="HV240" i="14608"/>
  <c r="F33" i="14606"/>
  <c r="HK240" i="14608" s="1"/>
  <c r="IV240" i="14608"/>
  <c r="B36" i="14606"/>
  <c r="H31" i="14606"/>
  <c r="J30" i="14606"/>
  <c r="FY240" i="14608" s="1"/>
  <c r="FW240" i="14608"/>
  <c r="HI240" i="14608"/>
  <c r="E34" i="14606"/>
  <c r="HX240" i="14608" s="1"/>
  <c r="N241" i="14608" l="1"/>
  <c r="B37" i="14606"/>
  <c r="BA241" i="14608"/>
  <c r="M39" i="14606"/>
  <c r="L40" i="14606"/>
  <c r="G35" i="14606"/>
  <c r="IN240" i="14608" s="1"/>
  <c r="I31" i="14606"/>
  <c r="GL240" i="14608" s="1"/>
  <c r="GK240" i="14608"/>
  <c r="F34" i="14606"/>
  <c r="HY240" i="14608" s="1"/>
  <c r="H33" i="14606"/>
  <c r="G33" i="14606"/>
  <c r="HL240" i="14608" s="1"/>
  <c r="F35" i="14606"/>
  <c r="G32" i="14606"/>
  <c r="GX240" i="14608" s="1"/>
  <c r="GW240" i="14608"/>
  <c r="C36" i="14606"/>
  <c r="B241" i="14608" s="1"/>
  <c r="A241" i="14608"/>
  <c r="A38" i="14606"/>
  <c r="AN241" i="14608"/>
  <c r="AB241" i="14608" l="1"/>
  <c r="B38" i="14606"/>
  <c r="H34" i="14606"/>
  <c r="A39" i="14606"/>
  <c r="BB241" i="14608"/>
  <c r="G34" i="14606"/>
  <c r="HZ240" i="14608" s="1"/>
  <c r="O241" i="14608"/>
  <c r="C37" i="14606"/>
  <c r="BO241" i="14608"/>
  <c r="L41" i="14606"/>
  <c r="M40" i="14606"/>
  <c r="IM240" i="14608"/>
  <c r="I33" i="14606"/>
  <c r="HN240" i="14608" s="1"/>
  <c r="HM240" i="14608"/>
  <c r="J31" i="14606"/>
  <c r="GM240" i="14608" s="1"/>
  <c r="H35" i="14606"/>
  <c r="IO240" i="14608" s="1"/>
  <c r="H32" i="14606"/>
  <c r="J33" i="14606"/>
  <c r="HO240" i="14608" s="1"/>
  <c r="D36" i="14606"/>
  <c r="C241" i="14608" s="1"/>
  <c r="I34" i="14606" l="1"/>
  <c r="IB240" i="14608" s="1"/>
  <c r="IA240" i="14608"/>
  <c r="CC241" i="14608"/>
  <c r="L42" i="14606"/>
  <c r="M41" i="14606"/>
  <c r="I32" i="14606"/>
  <c r="GZ240" i="14608" s="1"/>
  <c r="GY240" i="14608"/>
  <c r="P241" i="14608"/>
  <c r="D37" i="14606"/>
  <c r="A40" i="14606"/>
  <c r="BP241" i="14608"/>
  <c r="F36" i="14606"/>
  <c r="E241" i="14608" s="1"/>
  <c r="AC241" i="14608"/>
  <c r="C38" i="14606"/>
  <c r="E36" i="14606"/>
  <c r="D241" i="14608" s="1"/>
  <c r="I35" i="14606"/>
  <c r="IP240" i="14608" s="1"/>
  <c r="AP241" i="14608"/>
  <c r="C39" i="14606"/>
  <c r="AR241" i="14608" s="1"/>
  <c r="B39" i="14606"/>
  <c r="AD241" i="14608" l="1"/>
  <c r="J35" i="14606"/>
  <c r="IQ240" i="14608" s="1"/>
  <c r="J32" i="14606"/>
  <c r="HA240" i="14608" s="1"/>
  <c r="CQ241" i="14608"/>
  <c r="M42" i="14606"/>
  <c r="L43" i="14606"/>
  <c r="D38" i="14606"/>
  <c r="AE241" i="14608" s="1"/>
  <c r="A41" i="14606"/>
  <c r="CD241" i="14608"/>
  <c r="D39" i="14606"/>
  <c r="AS241" i="14608" s="1"/>
  <c r="AQ241" i="14608"/>
  <c r="J34" i="14606"/>
  <c r="IC240" i="14608" s="1"/>
  <c r="BD241" i="14608"/>
  <c r="C40" i="14606"/>
  <c r="BF241" i="14608" s="1"/>
  <c r="B40" i="14606"/>
  <c r="Q241" i="14608"/>
  <c r="E37" i="14606"/>
  <c r="R241" i="14608" s="1"/>
  <c r="G36" i="14606"/>
  <c r="E40" i="14606" l="1"/>
  <c r="BH241" i="14608" s="1"/>
  <c r="D40" i="14606"/>
  <c r="BG241" i="14608" s="1"/>
  <c r="BE241" i="14608"/>
  <c r="E38" i="14606"/>
  <c r="BR241" i="14608"/>
  <c r="B41" i="14606"/>
  <c r="BS241" i="14608" s="1"/>
  <c r="F37" i="14606"/>
  <c r="G37" i="14606" s="1"/>
  <c r="T241" i="14608" s="1"/>
  <c r="E39" i="14606"/>
  <c r="H36" i="14606"/>
  <c r="F241" i="14608"/>
  <c r="DE241" i="14608"/>
  <c r="M43" i="14606"/>
  <c r="L44" i="14606"/>
  <c r="A42" i="14606"/>
  <c r="CR241" i="14608"/>
  <c r="AF241" i="14608" l="1"/>
  <c r="F38" i="14606"/>
  <c r="AG241" i="14608" s="1"/>
  <c r="D41" i="14606"/>
  <c r="S241" i="14608"/>
  <c r="H37" i="14606"/>
  <c r="CF241" i="14608"/>
  <c r="B42" i="14606"/>
  <c r="C42" i="14606"/>
  <c r="CH241" i="14608" s="1"/>
  <c r="D42" i="14606"/>
  <c r="CI241" i="14608" s="1"/>
  <c r="I36" i="14606"/>
  <c r="G241" i="14608"/>
  <c r="F40" i="14606"/>
  <c r="C41" i="14606"/>
  <c r="DS241" i="14608"/>
  <c r="L45" i="14606"/>
  <c r="M44" i="14606"/>
  <c r="AT241" i="14608"/>
  <c r="A43" i="14606"/>
  <c r="DF241" i="14608"/>
  <c r="F39" i="14606"/>
  <c r="AU241" i="14608" s="1"/>
  <c r="CG241" i="14608" l="1"/>
  <c r="E42" i="14606"/>
  <c r="CJ241" i="14608" s="1"/>
  <c r="BU241" i="14608"/>
  <c r="CT241" i="14608"/>
  <c r="B43" i="14606"/>
  <c r="BI241" i="14608"/>
  <c r="G40" i="14606"/>
  <c r="G38" i="14606"/>
  <c r="A44" i="14606"/>
  <c r="DT241" i="14608"/>
  <c r="EG241" i="14608"/>
  <c r="M45" i="14606"/>
  <c r="L46" i="14606"/>
  <c r="H241" i="14608"/>
  <c r="J36" i="14606"/>
  <c r="I241" i="14608" s="1"/>
  <c r="BT241" i="14608"/>
  <c r="E41" i="14606"/>
  <c r="F42" i="14606"/>
  <c r="CK241" i="14608" s="1"/>
  <c r="I37" i="14606"/>
  <c r="U241" i="14608"/>
  <c r="G39" i="14606"/>
  <c r="C43" i="14606" l="1"/>
  <c r="CU241" i="14608"/>
  <c r="BV241" i="14608"/>
  <c r="F41" i="14606"/>
  <c r="DH241" i="14608"/>
  <c r="B44" i="14606"/>
  <c r="C44" i="14606"/>
  <c r="DJ241" i="14608" s="1"/>
  <c r="H39" i="14606"/>
  <c r="AW241" i="14608" s="1"/>
  <c r="AV241" i="14608"/>
  <c r="AH241" i="14608"/>
  <c r="H38" i="14606"/>
  <c r="BJ241" i="14608"/>
  <c r="H40" i="14606"/>
  <c r="I40" i="14606"/>
  <c r="BL241" i="14608" s="1"/>
  <c r="EU241" i="14608"/>
  <c r="M46" i="14606"/>
  <c r="L47" i="14606"/>
  <c r="G42" i="14606"/>
  <c r="CL241" i="14608" s="1"/>
  <c r="V241" i="14608"/>
  <c r="J37" i="14606"/>
  <c r="W241" i="14608" s="1"/>
  <c r="A45" i="14606"/>
  <c r="EH241" i="14608"/>
  <c r="A46" i="14606" l="1"/>
  <c r="EV241" i="14608"/>
  <c r="J40" i="14606"/>
  <c r="BM241" i="14608" s="1"/>
  <c r="BK241" i="14608"/>
  <c r="DV241" i="14608"/>
  <c r="B45" i="14606"/>
  <c r="C45" i="14606"/>
  <c r="DX241" i="14608" s="1"/>
  <c r="DI241" i="14608"/>
  <c r="D44" i="14606"/>
  <c r="H42" i="14606"/>
  <c r="BW241" i="14608"/>
  <c r="G41" i="14606"/>
  <c r="BX241" i="14608" s="1"/>
  <c r="H41" i="14606"/>
  <c r="I38" i="14606"/>
  <c r="AJ241" i="14608" s="1"/>
  <c r="AI241" i="14608"/>
  <c r="I39" i="14606"/>
  <c r="FI241" i="14608"/>
  <c r="M47" i="14606"/>
  <c r="L48" i="14606"/>
  <c r="CV241" i="14608"/>
  <c r="D43" i="14606"/>
  <c r="J41" i="14606" l="1"/>
  <c r="CA241" i="14608" s="1"/>
  <c r="CW241" i="14608"/>
  <c r="E43" i="14606"/>
  <c r="CX241" i="14608" s="1"/>
  <c r="A47" i="14606"/>
  <c r="FJ241" i="14608"/>
  <c r="I41" i="14606"/>
  <c r="BZ241" i="14608" s="1"/>
  <c r="BY241" i="14608"/>
  <c r="DW241" i="14608"/>
  <c r="D45" i="14606"/>
  <c r="J39" i="14606"/>
  <c r="AY241" i="14608" s="1"/>
  <c r="AX241" i="14608"/>
  <c r="FW241" i="14608"/>
  <c r="M48" i="14606"/>
  <c r="L49" i="14606"/>
  <c r="J38" i="14606"/>
  <c r="AK241" i="14608" s="1"/>
  <c r="I42" i="14606"/>
  <c r="CM241" i="14608"/>
  <c r="F43" i="14606"/>
  <c r="CY241" i="14608" s="1"/>
  <c r="E44" i="14606"/>
  <c r="DK241" i="14608"/>
  <c r="EJ241" i="14608"/>
  <c r="C46" i="14606"/>
  <c r="EL241" i="14608" s="1"/>
  <c r="B46" i="14606"/>
  <c r="DL241" i="14608" l="1"/>
  <c r="F44" i="14606"/>
  <c r="G44" i="14606" s="1"/>
  <c r="GK241" i="14608"/>
  <c r="L50" i="14606"/>
  <c r="M49" i="14606"/>
  <c r="A48" i="14606"/>
  <c r="FX241" i="14608"/>
  <c r="EX241" i="14608"/>
  <c r="B47" i="14606"/>
  <c r="C47" i="14606" s="1"/>
  <c r="D46" i="14606"/>
  <c r="EM241" i="14608" s="1"/>
  <c r="EK241" i="14608"/>
  <c r="CN241" i="14608"/>
  <c r="J42" i="14606"/>
  <c r="CO241" i="14608" s="1"/>
  <c r="E45" i="14606"/>
  <c r="DY241" i="14608"/>
  <c r="G43" i="14606"/>
  <c r="DN241" i="14608" l="1"/>
  <c r="EZ241" i="14608"/>
  <c r="FL241" i="14608"/>
  <c r="B48" i="14606"/>
  <c r="FM241" i="14608" s="1"/>
  <c r="C48" i="14606"/>
  <c r="FN241" i="14608" s="1"/>
  <c r="GY241" i="14608"/>
  <c r="L51" i="14606"/>
  <c r="M50" i="14606"/>
  <c r="DZ241" i="14608"/>
  <c r="F45" i="14606"/>
  <c r="EA241" i="14608" s="1"/>
  <c r="A49" i="14606"/>
  <c r="GL241" i="14608"/>
  <c r="EY241" i="14608"/>
  <c r="D47" i="14606"/>
  <c r="FA241" i="14608" s="1"/>
  <c r="F46" i="14606"/>
  <c r="EO241" i="14608" s="1"/>
  <c r="DM241" i="14608"/>
  <c r="H44" i="14606"/>
  <c r="E46" i="14606"/>
  <c r="EN241" i="14608" s="1"/>
  <c r="H43" i="14606"/>
  <c r="CZ241" i="14608"/>
  <c r="G46" i="14606" l="1"/>
  <c r="DA241" i="14608"/>
  <c r="I43" i="14606"/>
  <c r="DB241" i="14608" s="1"/>
  <c r="E47" i="14606"/>
  <c r="A50" i="14606"/>
  <c r="GZ241" i="14608"/>
  <c r="G45" i="14606"/>
  <c r="EB241" i="14608" s="1"/>
  <c r="I44" i="14606"/>
  <c r="DP241" i="14608" s="1"/>
  <c r="DO241" i="14608"/>
  <c r="FZ241" i="14608"/>
  <c r="C49" i="14606"/>
  <c r="GB241" i="14608" s="1"/>
  <c r="D49" i="14606"/>
  <c r="GC241" i="14608" s="1"/>
  <c r="B49" i="14606"/>
  <c r="J44" i="14606"/>
  <c r="DQ241" i="14608" s="1"/>
  <c r="HM241" i="14608"/>
  <c r="M51" i="14606"/>
  <c r="L52" i="14606"/>
  <c r="H45" i="14606"/>
  <c r="D48" i="14606"/>
  <c r="GN241" i="14608" l="1"/>
  <c r="B50" i="14606"/>
  <c r="C50" i="14606"/>
  <c r="I45" i="14606"/>
  <c r="EC241" i="14608"/>
  <c r="F47" i="14606"/>
  <c r="FB241" i="14608"/>
  <c r="IA241" i="14608"/>
  <c r="L53" i="14606"/>
  <c r="M52" i="14606"/>
  <c r="J43" i="14606"/>
  <c r="DC241" i="14608" s="1"/>
  <c r="E48" i="14606"/>
  <c r="FO241" i="14608"/>
  <c r="A51" i="14606"/>
  <c r="HN241" i="14608"/>
  <c r="E49" i="14606"/>
  <c r="GD241" i="14608" s="1"/>
  <c r="GA241" i="14608"/>
  <c r="H46" i="14606"/>
  <c r="EP241" i="14608"/>
  <c r="F48" i="14606" l="1"/>
  <c r="FQ241" i="14608" s="1"/>
  <c r="FP241" i="14608"/>
  <c r="G48" i="14606"/>
  <c r="FC241" i="14608"/>
  <c r="G47" i="14606"/>
  <c r="A52" i="14606"/>
  <c r="IB241" i="14608"/>
  <c r="J45" i="14606"/>
  <c r="EE241" i="14608" s="1"/>
  <c r="ED241" i="14608"/>
  <c r="HB241" i="14608"/>
  <c r="B51" i="14606"/>
  <c r="IO241" i="14608"/>
  <c r="L54" i="14606"/>
  <c r="M53" i="14606"/>
  <c r="GO241" i="14608"/>
  <c r="F49" i="14606"/>
  <c r="GE241" i="14608" s="1"/>
  <c r="D50" i="14606"/>
  <c r="GP241" i="14608"/>
  <c r="EQ241" i="14608"/>
  <c r="I46" i="14606"/>
  <c r="ER241" i="14608" s="1"/>
  <c r="HP241" i="14608" l="1"/>
  <c r="B52" i="14606"/>
  <c r="HQ241" i="14608" s="1"/>
  <c r="C51" i="14606"/>
  <c r="D51" i="14606" s="1"/>
  <c r="H47" i="14606"/>
  <c r="FE241" i="14608" s="1"/>
  <c r="FD241" i="14608"/>
  <c r="H48" i="14606"/>
  <c r="FR241" i="14608"/>
  <c r="A53" i="14606"/>
  <c r="IP241" i="14608"/>
  <c r="J46" i="14606"/>
  <c r="ES241" i="14608" s="1"/>
  <c r="G242" i="14608"/>
  <c r="L55" i="14606"/>
  <c r="M54" i="14606"/>
  <c r="HC241" i="14608"/>
  <c r="G49" i="14606"/>
  <c r="H49" i="14606" s="1"/>
  <c r="GQ241" i="14608"/>
  <c r="E50" i="14606"/>
  <c r="GG241" i="14608" l="1"/>
  <c r="I49" i="14606"/>
  <c r="GH241" i="14608" s="1"/>
  <c r="HE241" i="14608"/>
  <c r="A54" i="14606"/>
  <c r="H242" i="14608"/>
  <c r="GR241" i="14608"/>
  <c r="F50" i="14606"/>
  <c r="U242" i="14608"/>
  <c r="L56" i="14606"/>
  <c r="M55" i="14606"/>
  <c r="HD241" i="14608"/>
  <c r="E51" i="14606"/>
  <c r="HF241" i="14608" s="1"/>
  <c r="FS241" i="14608"/>
  <c r="I48" i="14606"/>
  <c r="C52" i="14606"/>
  <c r="HR241" i="14608" s="1"/>
  <c r="I47" i="14606"/>
  <c r="J49" i="14606"/>
  <c r="GI241" i="14608" s="1"/>
  <c r="GF241" i="14608"/>
  <c r="ID241" i="14608"/>
  <c r="B53" i="14606"/>
  <c r="C53" i="14606"/>
  <c r="IF241" i="14608" s="1"/>
  <c r="D52" i="14606"/>
  <c r="HS241" i="14608" s="1"/>
  <c r="FF241" i="14608" l="1"/>
  <c r="J47" i="14606"/>
  <c r="FG241" i="14608" s="1"/>
  <c r="AI242" i="14608"/>
  <c r="M56" i="14606"/>
  <c r="L57" i="14606"/>
  <c r="G51" i="14606"/>
  <c r="IR241" i="14608"/>
  <c r="B54" i="14606"/>
  <c r="E52" i="14606"/>
  <c r="F51" i="14606"/>
  <c r="HG241" i="14608" s="1"/>
  <c r="J48" i="14606"/>
  <c r="FU241" i="14608" s="1"/>
  <c r="FT241" i="14608"/>
  <c r="IE241" i="14608"/>
  <c r="G50" i="14606"/>
  <c r="GS241" i="14608"/>
  <c r="A55" i="14606"/>
  <c r="V242" i="14608"/>
  <c r="D53" i="14606"/>
  <c r="H51" i="14606" l="1"/>
  <c r="HI241" i="14608" s="1"/>
  <c r="HH241" i="14608"/>
  <c r="AW242" i="14608"/>
  <c r="M57" i="14606"/>
  <c r="L58" i="14606"/>
  <c r="GT241" i="14608"/>
  <c r="H50" i="14606"/>
  <c r="HT241" i="14608"/>
  <c r="A56" i="14606"/>
  <c r="AJ242" i="14608"/>
  <c r="E53" i="14606"/>
  <c r="IH241" i="14608" s="1"/>
  <c r="IG241" i="14608"/>
  <c r="F53" i="14606"/>
  <c r="II241" i="14608" s="1"/>
  <c r="J242" i="14608"/>
  <c r="B55" i="14606"/>
  <c r="K242" i="14608" s="1"/>
  <c r="C54" i="14606"/>
  <c r="IS241" i="14608"/>
  <c r="F52" i="14606"/>
  <c r="BK242" i="14608" l="1"/>
  <c r="L59" i="14606"/>
  <c r="M58" i="14606"/>
  <c r="A57" i="14606"/>
  <c r="AX242" i="14608"/>
  <c r="IT241" i="14608"/>
  <c r="D54" i="14606"/>
  <c r="X242" i="14608"/>
  <c r="B56" i="14606"/>
  <c r="Y242" i="14608" s="1"/>
  <c r="I51" i="14606"/>
  <c r="H53" i="14606"/>
  <c r="IK241" i="14608" s="1"/>
  <c r="G53" i="14606"/>
  <c r="IJ241" i="14608" s="1"/>
  <c r="GU241" i="14608"/>
  <c r="I50" i="14606"/>
  <c r="GV241" i="14608" s="1"/>
  <c r="G52" i="14606"/>
  <c r="HU241" i="14608"/>
  <c r="C55" i="14606"/>
  <c r="I53" i="14606" l="1"/>
  <c r="IU241" i="14608"/>
  <c r="F54" i="14606"/>
  <c r="A242" i="14608" s="1"/>
  <c r="D55" i="14606"/>
  <c r="M242" i="14608" s="1"/>
  <c r="L242" i="14608"/>
  <c r="AL242" i="14608"/>
  <c r="B57" i="14606"/>
  <c r="C57" i="14606"/>
  <c r="AN242" i="14608" s="1"/>
  <c r="HJ241" i="14608"/>
  <c r="J51" i="14606"/>
  <c r="HK241" i="14608" s="1"/>
  <c r="A58" i="14606"/>
  <c r="BL242" i="14608"/>
  <c r="HV241" i="14608"/>
  <c r="H52" i="14606"/>
  <c r="J50" i="14606"/>
  <c r="GW241" i="14608" s="1"/>
  <c r="C56" i="14606"/>
  <c r="BY242" i="14608"/>
  <c r="M59" i="14606"/>
  <c r="L60" i="14606"/>
  <c r="E54" i="14606"/>
  <c r="IV241" i="14608" s="1"/>
  <c r="D56" i="14606" l="1"/>
  <c r="F56" i="14606" s="1"/>
  <c r="Z242" i="14608"/>
  <c r="E56" i="14606"/>
  <c r="AB242" i="14608" s="1"/>
  <c r="HW241" i="14608"/>
  <c r="I52" i="14606"/>
  <c r="AM242" i="14608"/>
  <c r="D57" i="14606"/>
  <c r="G54" i="14606"/>
  <c r="CM242" i="14608"/>
  <c r="M60" i="14606"/>
  <c r="L61" i="14606"/>
  <c r="E55" i="14606"/>
  <c r="A59" i="14606"/>
  <c r="BZ242" i="14608"/>
  <c r="AZ242" i="14608"/>
  <c r="B58" i="14606"/>
  <c r="C58" i="14606"/>
  <c r="BB242" i="14608" s="1"/>
  <c r="J53" i="14606"/>
  <c r="IM241" i="14608" s="1"/>
  <c r="IL241" i="14608"/>
  <c r="AC242" i="14608" l="1"/>
  <c r="G56" i="14606"/>
  <c r="DA242" i="14608"/>
  <c r="M61" i="14606"/>
  <c r="L62" i="14606"/>
  <c r="D58" i="14606"/>
  <c r="BA242" i="14608"/>
  <c r="H54" i="14606"/>
  <c r="B242" i="14608"/>
  <c r="BN242" i="14608"/>
  <c r="B59" i="14606"/>
  <c r="C59" i="14606"/>
  <c r="BP242" i="14608" s="1"/>
  <c r="AO242" i="14608"/>
  <c r="E57" i="14606"/>
  <c r="J52" i="14606"/>
  <c r="HY241" i="14608" s="1"/>
  <c r="HX241" i="14608"/>
  <c r="A60" i="14606"/>
  <c r="CN242" i="14608"/>
  <c r="F55" i="14606"/>
  <c r="N242" i="14608"/>
  <c r="G55" i="14606"/>
  <c r="P242" i="14608" s="1"/>
  <c r="AA242" i="14608"/>
  <c r="BC242" i="14608" l="1"/>
  <c r="E58" i="14606"/>
  <c r="BD242" i="14608" s="1"/>
  <c r="DO242" i="14608"/>
  <c r="L63" i="14606"/>
  <c r="M62" i="14606"/>
  <c r="AP242" i="14608"/>
  <c r="F57" i="14606"/>
  <c r="BO242" i="14608"/>
  <c r="D59" i="14606"/>
  <c r="BQ242" i="14608" s="1"/>
  <c r="A61" i="14606"/>
  <c r="DB242" i="14608"/>
  <c r="O242" i="14608"/>
  <c r="H55" i="14606"/>
  <c r="CB242" i="14608"/>
  <c r="B60" i="14606"/>
  <c r="CC242" i="14608" s="1"/>
  <c r="C60" i="14606"/>
  <c r="CD242" i="14608" s="1"/>
  <c r="H56" i="14606"/>
  <c r="AD242" i="14608"/>
  <c r="C242" i="14608"/>
  <c r="I54" i="14606"/>
  <c r="D242" i="14608" s="1"/>
  <c r="EC242" i="14608" l="1"/>
  <c r="L64" i="14606"/>
  <c r="M63" i="14606"/>
  <c r="J54" i="14606"/>
  <c r="E242" i="14608" s="1"/>
  <c r="F59" i="14606"/>
  <c r="A62" i="14606"/>
  <c r="DP242" i="14608"/>
  <c r="I55" i="14606"/>
  <c r="Q242" i="14608"/>
  <c r="E59" i="14606"/>
  <c r="BR242" i="14608" s="1"/>
  <c r="G58" i="14606"/>
  <c r="F58" i="14606"/>
  <c r="AQ242" i="14608"/>
  <c r="H57" i="14606"/>
  <c r="CP242" i="14608"/>
  <c r="B61" i="14606"/>
  <c r="C61" i="14606" s="1"/>
  <c r="CR242" i="14608" s="1"/>
  <c r="AE242" i="14608"/>
  <c r="I56" i="14606"/>
  <c r="G57" i="14606"/>
  <c r="D60" i="14606"/>
  <c r="I242" i="14608" l="1"/>
  <c r="R242" i="14608"/>
  <c r="BE242" i="14608"/>
  <c r="DD242" i="14608"/>
  <c r="B62" i="14606"/>
  <c r="E60" i="14606"/>
  <c r="CF242" i="14608" s="1"/>
  <c r="CE242" i="14608"/>
  <c r="AR242" i="14608"/>
  <c r="J56" i="14606"/>
  <c r="AG242" i="14608" s="1"/>
  <c r="AF242" i="14608"/>
  <c r="J55" i="14606"/>
  <c r="S242" i="14608" s="1"/>
  <c r="G59" i="14606"/>
  <c r="BS242" i="14608"/>
  <c r="I57" i="14606"/>
  <c r="AT242" i="14608" s="1"/>
  <c r="AS242" i="14608"/>
  <c r="EQ242" i="14608"/>
  <c r="M64" i="14606"/>
  <c r="L65" i="14606"/>
  <c r="CQ242" i="14608"/>
  <c r="D61" i="14606"/>
  <c r="CS242" i="14608" s="1"/>
  <c r="H58" i="14606"/>
  <c r="BG242" i="14608" s="1"/>
  <c r="BF242" i="14608"/>
  <c r="A63" i="14606"/>
  <c r="ED242" i="14608"/>
  <c r="BT242" i="14608" l="1"/>
  <c r="H59" i="14606"/>
  <c r="I58" i="14606"/>
  <c r="BH242" i="14608" s="1"/>
  <c r="C62" i="14606"/>
  <c r="DE242" i="14608"/>
  <c r="J57" i="14606"/>
  <c r="AU242" i="14608" s="1"/>
  <c r="DR242" i="14608"/>
  <c r="B63" i="14606"/>
  <c r="DS242" i="14608" s="1"/>
  <c r="FE242" i="14608"/>
  <c r="M65" i="14606"/>
  <c r="L66" i="14606"/>
  <c r="A64" i="14606"/>
  <c r="ER242" i="14608"/>
  <c r="J58" i="14606"/>
  <c r="BI242" i="14608" s="1"/>
  <c r="E61" i="14606"/>
  <c r="F60" i="14606"/>
  <c r="CG242" i="14608" s="1"/>
  <c r="C63" i="14606" l="1"/>
  <c r="DF242" i="14608"/>
  <c r="D62" i="14606"/>
  <c r="EF242" i="14608"/>
  <c r="B64" i="14606"/>
  <c r="G60" i="14606"/>
  <c r="CH242" i="14608" s="1"/>
  <c r="BU242" i="14608"/>
  <c r="I59" i="14606"/>
  <c r="FS242" i="14608"/>
  <c r="M66" i="14606"/>
  <c r="L67" i="14606"/>
  <c r="F61" i="14606"/>
  <c r="CT242" i="14608"/>
  <c r="A65" i="14606"/>
  <c r="FF242" i="14608"/>
  <c r="H60" i="14606"/>
  <c r="CI242" i="14608" s="1"/>
  <c r="DG242" i="14608" l="1"/>
  <c r="E62" i="14606"/>
  <c r="F62" i="14606"/>
  <c r="DI242" i="14608" s="1"/>
  <c r="I60" i="14606"/>
  <c r="C64" i="14606"/>
  <c r="EG242" i="14608"/>
  <c r="CU242" i="14608"/>
  <c r="G61" i="14606"/>
  <c r="CV242" i="14608" s="1"/>
  <c r="J59" i="14606"/>
  <c r="BW242" i="14608" s="1"/>
  <c r="BV242" i="14608"/>
  <c r="DT242" i="14608"/>
  <c r="ET242" i="14608"/>
  <c r="B65" i="14606"/>
  <c r="C65" i="14606"/>
  <c r="GG242" i="14608"/>
  <c r="L68" i="14606"/>
  <c r="M67" i="14606"/>
  <c r="A66" i="14606"/>
  <c r="FT242" i="14608"/>
  <c r="D63" i="14606"/>
  <c r="GU242" i="14608" l="1"/>
  <c r="L69" i="14606"/>
  <c r="M68" i="14606"/>
  <c r="EH242" i="14608"/>
  <c r="J60" i="14606"/>
  <c r="CK242" i="14608" s="1"/>
  <c r="CJ242" i="14608"/>
  <c r="E63" i="14606"/>
  <c r="DV242" i="14608" s="1"/>
  <c r="DU242" i="14608"/>
  <c r="F63" i="14606"/>
  <c r="DW242" i="14608" s="1"/>
  <c r="D64" i="14606"/>
  <c r="EI242" i="14608" s="1"/>
  <c r="D65" i="14606"/>
  <c r="E65" i="14606" s="1"/>
  <c r="EX242" i="14608" s="1"/>
  <c r="EV242" i="14608"/>
  <c r="DH242" i="14608"/>
  <c r="G62" i="14606"/>
  <c r="EU242" i="14608"/>
  <c r="H61" i="14606"/>
  <c r="FH242" i="14608"/>
  <c r="B66" i="14606"/>
  <c r="A67" i="14606"/>
  <c r="GH242" i="14608"/>
  <c r="G63" i="14606"/>
  <c r="DX242" i="14608" s="1"/>
  <c r="H62" i="14606"/>
  <c r="DK242" i="14608" s="1"/>
  <c r="FI242" i="14608" l="1"/>
  <c r="FV242" i="14608"/>
  <c r="B67" i="14606"/>
  <c r="C67" i="14606" s="1"/>
  <c r="E64" i="14606"/>
  <c r="EW242" i="14608"/>
  <c r="F65" i="14606"/>
  <c r="EY242" i="14608" s="1"/>
  <c r="DJ242" i="14608"/>
  <c r="I62" i="14606"/>
  <c r="H63" i="14606"/>
  <c r="A68" i="14606"/>
  <c r="GV242" i="14608"/>
  <c r="J61" i="14606"/>
  <c r="CY242" i="14608" s="1"/>
  <c r="CW242" i="14608"/>
  <c r="C66" i="14606"/>
  <c r="FJ242" i="14608" s="1"/>
  <c r="HI242" i="14608"/>
  <c r="M69" i="14606"/>
  <c r="L70" i="14606"/>
  <c r="I61" i="14606"/>
  <c r="CX242" i="14608" s="1"/>
  <c r="D67" i="14606" l="1"/>
  <c r="FY242" i="14608" s="1"/>
  <c r="FX242" i="14608"/>
  <c r="D66" i="14606"/>
  <c r="FK242" i="14608" s="1"/>
  <c r="EJ242" i="14608"/>
  <c r="F64" i="14606"/>
  <c r="EK242" i="14608" s="1"/>
  <c r="J62" i="14606"/>
  <c r="DM242" i="14608" s="1"/>
  <c r="DL242" i="14608"/>
  <c r="G65" i="14606"/>
  <c r="HW242" i="14608"/>
  <c r="M70" i="14606"/>
  <c r="L71" i="14606"/>
  <c r="A69" i="14606"/>
  <c r="HJ242" i="14608"/>
  <c r="GJ242" i="14608"/>
  <c r="B68" i="14606"/>
  <c r="E66" i="14606"/>
  <c r="FW242" i="14608"/>
  <c r="I63" i="14606"/>
  <c r="DY242" i="14608"/>
  <c r="A70" i="14606" l="1"/>
  <c r="HX242" i="14608"/>
  <c r="F66" i="14606"/>
  <c r="FM242" i="14608" s="1"/>
  <c r="FL242" i="14608"/>
  <c r="C68" i="14606"/>
  <c r="GK242" i="14608"/>
  <c r="IK242" i="14608"/>
  <c r="L72" i="14606"/>
  <c r="M71" i="14606"/>
  <c r="EZ242" i="14608"/>
  <c r="H65" i="14606"/>
  <c r="J63" i="14606"/>
  <c r="EA242" i="14608" s="1"/>
  <c r="DZ242" i="14608"/>
  <c r="GX242" i="14608"/>
  <c r="B69" i="14606"/>
  <c r="GY242" i="14608" s="1"/>
  <c r="G66" i="14606"/>
  <c r="FN242" i="14608" s="1"/>
  <c r="G64" i="14606"/>
  <c r="H64" i="14606" s="1"/>
  <c r="E67" i="14606"/>
  <c r="FZ242" i="14608" s="1"/>
  <c r="I64" i="14606" l="1"/>
  <c r="EN242" i="14608" s="1"/>
  <c r="EM242" i="14608"/>
  <c r="GL242" i="14608"/>
  <c r="C69" i="14606"/>
  <c r="EL242" i="14608"/>
  <c r="J64" i="14606"/>
  <c r="EO242" i="14608" s="1"/>
  <c r="F67" i="14606"/>
  <c r="C243" i="14608"/>
  <c r="M72" i="14606"/>
  <c r="L73" i="14606"/>
  <c r="HL242" i="14608"/>
  <c r="B70" i="14606"/>
  <c r="D68" i="14606"/>
  <c r="GM242" i="14608" s="1"/>
  <c r="A71" i="14606"/>
  <c r="IL242" i="14608"/>
  <c r="G67" i="14606"/>
  <c r="GB242" i="14608" s="1"/>
  <c r="I65" i="14606"/>
  <c r="FA242" i="14608"/>
  <c r="H66" i="14606"/>
  <c r="HZ242" i="14608" l="1"/>
  <c r="B71" i="14606"/>
  <c r="C71" i="14606"/>
  <c r="IB242" i="14608" s="1"/>
  <c r="Q243" i="14608"/>
  <c r="M73" i="14606"/>
  <c r="L74" i="14606"/>
  <c r="I66" i="14606"/>
  <c r="FP242" i="14608" s="1"/>
  <c r="FO242" i="14608"/>
  <c r="H67" i="14606"/>
  <c r="GC242" i="14608" s="1"/>
  <c r="GA242" i="14608"/>
  <c r="E68" i="14606"/>
  <c r="D69" i="14606"/>
  <c r="GZ242" i="14608"/>
  <c r="E69" i="14606"/>
  <c r="HB242" i="14608" s="1"/>
  <c r="C70" i="14606"/>
  <c r="HM242" i="14608"/>
  <c r="A72" i="14606"/>
  <c r="D243" i="14608"/>
  <c r="J65" i="14606"/>
  <c r="FC242" i="14608" s="1"/>
  <c r="FB242" i="14608"/>
  <c r="D71" i="14606" l="1"/>
  <c r="IA242" i="14608"/>
  <c r="IN242" i="14608"/>
  <c r="B72" i="14606"/>
  <c r="C72" i="14606"/>
  <c r="IP242" i="14608" s="1"/>
  <c r="HA242" i="14608"/>
  <c r="F69" i="14606"/>
  <c r="AE243" i="14608"/>
  <c r="L75" i="14606"/>
  <c r="M74" i="14606"/>
  <c r="J66" i="14606"/>
  <c r="FQ242" i="14608" s="1"/>
  <c r="F68" i="14606"/>
  <c r="GN242" i="14608"/>
  <c r="A73" i="14606"/>
  <c r="R243" i="14608"/>
  <c r="HN242" i="14608"/>
  <c r="I67" i="14606"/>
  <c r="D70" i="14606"/>
  <c r="HO242" i="14608" s="1"/>
  <c r="J67" i="14606" l="1"/>
  <c r="GE242" i="14608" s="1"/>
  <c r="GD242" i="14608"/>
  <c r="GO242" i="14608"/>
  <c r="G68" i="14606"/>
  <c r="GP242" i="14608" s="1"/>
  <c r="D72" i="14606"/>
  <c r="A74" i="14606"/>
  <c r="AF243" i="14608"/>
  <c r="IO242" i="14608"/>
  <c r="E72" i="14606"/>
  <c r="IR242" i="14608" s="1"/>
  <c r="AS243" i="14608"/>
  <c r="M75" i="14606"/>
  <c r="L76" i="14606"/>
  <c r="F243" i="14608"/>
  <c r="B73" i="14606"/>
  <c r="HC242" i="14608"/>
  <c r="G69" i="14606"/>
  <c r="IC242" i="14608"/>
  <c r="E71" i="14606"/>
  <c r="E70" i="14606"/>
  <c r="H68" i="14606"/>
  <c r="I68" i="14606" l="1"/>
  <c r="GQ242" i="14608"/>
  <c r="C73" i="14606"/>
  <c r="H243" i="14608" s="1"/>
  <c r="ID242" i="14608"/>
  <c r="IQ242" i="14608"/>
  <c r="F72" i="14606"/>
  <c r="HP242" i="14608"/>
  <c r="F70" i="14606"/>
  <c r="F71" i="14606"/>
  <c r="BG243" i="14608"/>
  <c r="M76" i="14606"/>
  <c r="L77" i="14606"/>
  <c r="T243" i="14608"/>
  <c r="B74" i="14606"/>
  <c r="U243" i="14608" s="1"/>
  <c r="A75" i="14606"/>
  <c r="AT243" i="14608"/>
  <c r="G243" i="14608"/>
  <c r="HD242" i="14608"/>
  <c r="H69" i="14606"/>
  <c r="HE242" i="14608" s="1"/>
  <c r="A76" i="14606" l="1"/>
  <c r="BH243" i="14608"/>
  <c r="HQ242" i="14608"/>
  <c r="G70" i="14606"/>
  <c r="HR242" i="14608" s="1"/>
  <c r="J68" i="14606"/>
  <c r="GS242" i="14608" s="1"/>
  <c r="GR242" i="14608"/>
  <c r="AH243" i="14608"/>
  <c r="B75" i="14606"/>
  <c r="AI243" i="14608" s="1"/>
  <c r="C75" i="14606"/>
  <c r="AJ243" i="14608" s="1"/>
  <c r="G71" i="14606"/>
  <c r="IE242" i="14608"/>
  <c r="D73" i="14606"/>
  <c r="C74" i="14606"/>
  <c r="J69" i="14606"/>
  <c r="HG242" i="14608" s="1"/>
  <c r="BU243" i="14608"/>
  <c r="M77" i="14606"/>
  <c r="L78" i="14606"/>
  <c r="IS242" i="14608"/>
  <c r="G72" i="14606"/>
  <c r="I69" i="14606"/>
  <c r="HF242" i="14608" s="1"/>
  <c r="I243" i="14608" l="1"/>
  <c r="IF242" i="14608"/>
  <c r="H70" i="14606"/>
  <c r="CI243" i="14608"/>
  <c r="M78" i="14606"/>
  <c r="L79" i="14606"/>
  <c r="A77" i="14606"/>
  <c r="BV243" i="14608"/>
  <c r="E73" i="14606"/>
  <c r="AV243" i="14608"/>
  <c r="B76" i="14606"/>
  <c r="IT242" i="14608"/>
  <c r="H72" i="14606"/>
  <c r="H71" i="14606"/>
  <c r="IG242" i="14608" s="1"/>
  <c r="V243" i="14608"/>
  <c r="D74" i="14606"/>
  <c r="D75" i="14606"/>
  <c r="I70" i="14606" l="1"/>
  <c r="HS242" i="14608"/>
  <c r="E243" i="14608"/>
  <c r="J243" i="14608"/>
  <c r="I71" i="14606"/>
  <c r="A78" i="14606"/>
  <c r="CJ243" i="14608"/>
  <c r="G73" i="14606"/>
  <c r="C76" i="14606"/>
  <c r="AW243" i="14608"/>
  <c r="AK243" i="14608"/>
  <c r="E75" i="14606"/>
  <c r="BJ243" i="14608"/>
  <c r="B77" i="14606"/>
  <c r="IU242" i="14608"/>
  <c r="I72" i="14606"/>
  <c r="W243" i="14608"/>
  <c r="E76" i="14606"/>
  <c r="AZ243" i="14608" s="1"/>
  <c r="E74" i="14606"/>
  <c r="D76" i="14606"/>
  <c r="AY243" i="14608" s="1"/>
  <c r="CW243" i="14608"/>
  <c r="M79" i="14606"/>
  <c r="L80" i="14606"/>
  <c r="F73" i="14606"/>
  <c r="K243" i="14608" s="1"/>
  <c r="H73" i="14606" l="1"/>
  <c r="M243" i="14608" s="1"/>
  <c r="L243" i="14608"/>
  <c r="BX243" i="14608"/>
  <c r="B78" i="14606"/>
  <c r="C78" i="14606" s="1"/>
  <c r="BK243" i="14608"/>
  <c r="D77" i="14606"/>
  <c r="BM243" i="14608" s="1"/>
  <c r="G75" i="14606"/>
  <c r="AN243" i="14608" s="1"/>
  <c r="AL243" i="14608"/>
  <c r="F75" i="14606"/>
  <c r="AM243" i="14608" s="1"/>
  <c r="H75" i="14606"/>
  <c r="AO243" i="14608" s="1"/>
  <c r="J71" i="14606"/>
  <c r="II242" i="14608" s="1"/>
  <c r="IH242" i="14608"/>
  <c r="A79" i="14606"/>
  <c r="CX243" i="14608"/>
  <c r="DK243" i="14608"/>
  <c r="M80" i="14606"/>
  <c r="L81" i="14606"/>
  <c r="J72" i="14606"/>
  <c r="A243" i="14608" s="1"/>
  <c r="IV242" i="14608"/>
  <c r="F74" i="14606"/>
  <c r="X243" i="14608"/>
  <c r="C77" i="14606"/>
  <c r="BL243" i="14608" s="1"/>
  <c r="AX243" i="14608"/>
  <c r="F76" i="14606"/>
  <c r="BA243" i="14608" s="1"/>
  <c r="HT242" i="14608"/>
  <c r="J70" i="14606"/>
  <c r="HU242" i="14608" s="1"/>
  <c r="D78" i="14606" l="1"/>
  <c r="CA243" i="14608" s="1"/>
  <c r="BZ243" i="14608"/>
  <c r="A80" i="14606"/>
  <c r="DL243" i="14608"/>
  <c r="I75" i="14606"/>
  <c r="DY243" i="14608"/>
  <c r="L82" i="14606"/>
  <c r="M81" i="14606"/>
  <c r="BY243" i="14608"/>
  <c r="CL243" i="14608"/>
  <c r="B79" i="14606"/>
  <c r="CM243" i="14608" s="1"/>
  <c r="C79" i="14606"/>
  <c r="CN243" i="14608" s="1"/>
  <c r="D79" i="14606"/>
  <c r="CO243" i="14608" s="1"/>
  <c r="F77" i="14606"/>
  <c r="Y243" i="14608"/>
  <c r="G74" i="14606"/>
  <c r="E77" i="14606"/>
  <c r="BN243" i="14608" s="1"/>
  <c r="G76" i="14606"/>
  <c r="BB243" i="14608" s="1"/>
  <c r="I73" i="14606"/>
  <c r="Z243" i="14608" l="1"/>
  <c r="H74" i="14606"/>
  <c r="AA243" i="14608" s="1"/>
  <c r="CZ243" i="14608"/>
  <c r="B80" i="14606"/>
  <c r="C80" i="14606" s="1"/>
  <c r="J73" i="14606"/>
  <c r="O243" i="14608" s="1"/>
  <c r="N243" i="14608"/>
  <c r="J75" i="14606"/>
  <c r="AQ243" i="14608" s="1"/>
  <c r="AP243" i="14608"/>
  <c r="E78" i="14606"/>
  <c r="CB243" i="14608" s="1"/>
  <c r="G77" i="14606"/>
  <c r="BO243" i="14608"/>
  <c r="A81" i="14606"/>
  <c r="DZ243" i="14608"/>
  <c r="H76" i="14606"/>
  <c r="E79" i="14606"/>
  <c r="EM243" i="14608"/>
  <c r="L83" i="14606"/>
  <c r="M82" i="14606"/>
  <c r="D81" i="14606" l="1"/>
  <c r="DQ243" i="14608" s="1"/>
  <c r="DB243" i="14608"/>
  <c r="D80" i="14606"/>
  <c r="DC243" i="14608" s="1"/>
  <c r="DA243" i="14608"/>
  <c r="A82" i="14606"/>
  <c r="EN243" i="14608"/>
  <c r="BP243" i="14608"/>
  <c r="H77" i="14606"/>
  <c r="DN243" i="14608"/>
  <c r="B81" i="14606"/>
  <c r="DO243" i="14608" s="1"/>
  <c r="C81" i="14606"/>
  <c r="DP243" i="14608" s="1"/>
  <c r="FA243" i="14608"/>
  <c r="M83" i="14606"/>
  <c r="L84" i="14606"/>
  <c r="F79" i="14606"/>
  <c r="CP243" i="14608"/>
  <c r="G79" i="14606"/>
  <c r="I74" i="14606"/>
  <c r="J76" i="14606"/>
  <c r="BE243" i="14608" s="1"/>
  <c r="BC243" i="14608"/>
  <c r="I76" i="14606"/>
  <c r="BD243" i="14608" s="1"/>
  <c r="F78" i="14606"/>
  <c r="FO243" i="14608" l="1"/>
  <c r="M84" i="14606"/>
  <c r="L85" i="14606"/>
  <c r="A83" i="14606"/>
  <c r="FB243" i="14608"/>
  <c r="J74" i="14606"/>
  <c r="AC243" i="14608" s="1"/>
  <c r="AB243" i="14608"/>
  <c r="EB243" i="14608"/>
  <c r="B82" i="14606"/>
  <c r="C82" i="14606"/>
  <c r="ED243" i="14608" s="1"/>
  <c r="CR243" i="14608"/>
  <c r="E80" i="14606"/>
  <c r="H79" i="14606"/>
  <c r="CS243" i="14608" s="1"/>
  <c r="CC243" i="14608"/>
  <c r="G78" i="14606"/>
  <c r="E81" i="14606"/>
  <c r="DR243" i="14608" s="1"/>
  <c r="CQ243" i="14608"/>
  <c r="I77" i="14606"/>
  <c r="BQ243" i="14608"/>
  <c r="F81" i="14606"/>
  <c r="DS243" i="14608" s="1"/>
  <c r="H78" i="14606" l="1"/>
  <c r="CE243" i="14608" s="1"/>
  <c r="CD243" i="14608"/>
  <c r="G81" i="14606"/>
  <c r="DT243" i="14608" s="1"/>
  <c r="F80" i="14606"/>
  <c r="DD243" i="14608"/>
  <c r="BR243" i="14608"/>
  <c r="J77" i="14606"/>
  <c r="BS243" i="14608" s="1"/>
  <c r="EP243" i="14608"/>
  <c r="B83" i="14606"/>
  <c r="C83" i="14606" s="1"/>
  <c r="J79" i="14606"/>
  <c r="CU243" i="14608" s="1"/>
  <c r="I79" i="14606"/>
  <c r="CT243" i="14608" s="1"/>
  <c r="GC243" i="14608"/>
  <c r="M85" i="14606"/>
  <c r="L86" i="14606"/>
  <c r="A84" i="14606"/>
  <c r="FP243" i="14608"/>
  <c r="EC243" i="14608"/>
  <c r="D82" i="14606"/>
  <c r="EE243" i="14608" s="1"/>
  <c r="H81" i="14606"/>
  <c r="ER243" i="14608" l="1"/>
  <c r="FD243" i="14608"/>
  <c r="B84" i="14606"/>
  <c r="C84" i="14606"/>
  <c r="FF243" i="14608" s="1"/>
  <c r="D83" i="14606"/>
  <c r="ES243" i="14608" s="1"/>
  <c r="GQ243" i="14608"/>
  <c r="M86" i="14606"/>
  <c r="L87" i="14606"/>
  <c r="G80" i="14606"/>
  <c r="DE243" i="14608"/>
  <c r="I81" i="14606"/>
  <c r="DV243" i="14608" s="1"/>
  <c r="DU243" i="14608"/>
  <c r="E82" i="14606"/>
  <c r="A85" i="14606"/>
  <c r="GD243" i="14608"/>
  <c r="EQ243" i="14608"/>
  <c r="I78" i="14606"/>
  <c r="FE243" i="14608" l="1"/>
  <c r="D84" i="14606"/>
  <c r="FG243" i="14608" s="1"/>
  <c r="DF243" i="14608"/>
  <c r="H80" i="14606"/>
  <c r="DG243" i="14608" s="1"/>
  <c r="I80" i="14606"/>
  <c r="HE243" i="14608"/>
  <c r="M87" i="14606"/>
  <c r="L88" i="14606"/>
  <c r="E83" i="14606"/>
  <c r="ET243" i="14608" s="1"/>
  <c r="A86" i="14606"/>
  <c r="GR243" i="14608"/>
  <c r="F82" i="14606"/>
  <c r="EG243" i="14608" s="1"/>
  <c r="EF243" i="14608"/>
  <c r="J78" i="14606"/>
  <c r="CG243" i="14608" s="1"/>
  <c r="CF243" i="14608"/>
  <c r="J81" i="14606"/>
  <c r="DW243" i="14608" s="1"/>
  <c r="E84" i="14606"/>
  <c r="FH243" i="14608" s="1"/>
  <c r="FR243" i="14608"/>
  <c r="B85" i="14606"/>
  <c r="C85" i="14606"/>
  <c r="FT243" i="14608" s="1"/>
  <c r="F83" i="14606" l="1"/>
  <c r="EU243" i="14608" s="1"/>
  <c r="HS243" i="14608"/>
  <c r="L89" i="14606"/>
  <c r="M88" i="14606"/>
  <c r="F84" i="14606"/>
  <c r="FI243" i="14608" s="1"/>
  <c r="A87" i="14606"/>
  <c r="HF243" i="14608"/>
  <c r="G84" i="14606"/>
  <c r="FJ243" i="14608" s="1"/>
  <c r="J80" i="14606"/>
  <c r="DI243" i="14608" s="1"/>
  <c r="DH243" i="14608"/>
  <c r="GF243" i="14608"/>
  <c r="B86" i="14606"/>
  <c r="GG243" i="14608" s="1"/>
  <c r="FS243" i="14608"/>
  <c r="D85" i="14606"/>
  <c r="G82" i="14606"/>
  <c r="H84" i="14606"/>
  <c r="F85" i="14606" l="1"/>
  <c r="FW243" i="14608" s="1"/>
  <c r="I84" i="14606"/>
  <c r="FL243" i="14608" s="1"/>
  <c r="FK243" i="14608"/>
  <c r="GT243" i="14608"/>
  <c r="B87" i="14606"/>
  <c r="FU243" i="14608"/>
  <c r="E85" i="14606"/>
  <c r="FV243" i="14608" s="1"/>
  <c r="C86" i="14606"/>
  <c r="A88" i="14606"/>
  <c r="HT243" i="14608"/>
  <c r="H82" i="14606"/>
  <c r="EI243" i="14608" s="1"/>
  <c r="EH243" i="14608"/>
  <c r="I82" i="14606"/>
  <c r="IG243" i="14608"/>
  <c r="L90" i="14606"/>
  <c r="M89" i="14606"/>
  <c r="G83" i="14606"/>
  <c r="D87" i="14606" l="1"/>
  <c r="GW243" i="14608" s="1"/>
  <c r="G85" i="14606"/>
  <c r="J82" i="14606"/>
  <c r="EK243" i="14608" s="1"/>
  <c r="EJ243" i="14608"/>
  <c r="GU243" i="14608"/>
  <c r="C87" i="14606"/>
  <c r="J84" i="14606"/>
  <c r="FM243" i="14608" s="1"/>
  <c r="HH243" i="14608"/>
  <c r="B88" i="14606"/>
  <c r="HI243" i="14608" s="1"/>
  <c r="EV243" i="14608"/>
  <c r="H83" i="14606"/>
  <c r="EW243" i="14608" s="1"/>
  <c r="A89" i="14606"/>
  <c r="IH243" i="14608"/>
  <c r="GH243" i="14608"/>
  <c r="E86" i="14606"/>
  <c r="GJ243" i="14608" s="1"/>
  <c r="D86" i="14606"/>
  <c r="IU243" i="14608"/>
  <c r="M90" i="14606"/>
  <c r="L91" i="14606"/>
  <c r="G87" i="14606" l="1"/>
  <c r="GZ243" i="14608" s="1"/>
  <c r="HV243" i="14608"/>
  <c r="B89" i="14606"/>
  <c r="C89" i="14606"/>
  <c r="M244" i="14608"/>
  <c r="M91" i="14606"/>
  <c r="L92" i="14606"/>
  <c r="E87" i="14606"/>
  <c r="GX243" i="14608" s="1"/>
  <c r="GV243" i="14608"/>
  <c r="F87" i="14606"/>
  <c r="GY243" i="14608" s="1"/>
  <c r="G86" i="14606"/>
  <c r="GI243" i="14608"/>
  <c r="F86" i="14606"/>
  <c r="GK243" i="14608" s="1"/>
  <c r="C88" i="14606"/>
  <c r="HJ243" i="14608" s="1"/>
  <c r="A90" i="14606"/>
  <c r="IV243" i="14608"/>
  <c r="D88" i="14606"/>
  <c r="H85" i="14606"/>
  <c r="FX243" i="14608"/>
  <c r="I83" i="14606"/>
  <c r="H86" i="14606" l="1"/>
  <c r="GM243" i="14608" s="1"/>
  <c r="GL243" i="14608"/>
  <c r="H87" i="14606"/>
  <c r="HA243" i="14608" s="1"/>
  <c r="FY243" i="14608"/>
  <c r="I85" i="14606"/>
  <c r="FZ243" i="14608" s="1"/>
  <c r="E88" i="14606"/>
  <c r="HK243" i="14608"/>
  <c r="D89" i="14606"/>
  <c r="HX243" i="14608"/>
  <c r="IJ243" i="14608"/>
  <c r="B90" i="14606"/>
  <c r="HW243" i="14608"/>
  <c r="E89" i="14606"/>
  <c r="HZ243" i="14608" s="1"/>
  <c r="J83" i="14606"/>
  <c r="EY243" i="14608" s="1"/>
  <c r="EX243" i="14608"/>
  <c r="AA244" i="14608"/>
  <c r="M92" i="14606"/>
  <c r="L93" i="14606"/>
  <c r="A91" i="14606"/>
  <c r="N244" i="14608"/>
  <c r="IK243" i="14608" l="1"/>
  <c r="AO244" i="14608"/>
  <c r="L94" i="14606"/>
  <c r="M93" i="14606"/>
  <c r="A92" i="14606"/>
  <c r="AB244" i="14608"/>
  <c r="C90" i="14606"/>
  <c r="HL243" i="14608"/>
  <c r="F88" i="14606"/>
  <c r="J85" i="14606"/>
  <c r="GA243" i="14608" s="1"/>
  <c r="I87" i="14606"/>
  <c r="HY243" i="14608"/>
  <c r="F89" i="14606"/>
  <c r="IA243" i="14608" s="1"/>
  <c r="B244" i="14608"/>
  <c r="B91" i="14606"/>
  <c r="C91" i="14606" s="1"/>
  <c r="A244" i="14608"/>
  <c r="I86" i="14606"/>
  <c r="D244" i="14608" l="1"/>
  <c r="D91" i="14606"/>
  <c r="E244" i="14608" s="1"/>
  <c r="HB243" i="14608"/>
  <c r="J87" i="14606"/>
  <c r="HC243" i="14608" s="1"/>
  <c r="A93" i="14606"/>
  <c r="AP244" i="14608"/>
  <c r="IL243" i="14608"/>
  <c r="D90" i="14606"/>
  <c r="IM243" i="14608" s="1"/>
  <c r="P244" i="14608"/>
  <c r="B92" i="14606"/>
  <c r="Q244" i="14608" s="1"/>
  <c r="C92" i="14606"/>
  <c r="R244" i="14608" s="1"/>
  <c r="G88" i="14606"/>
  <c r="HM243" i="14608"/>
  <c r="BC244" i="14608"/>
  <c r="M94" i="14606"/>
  <c r="L95" i="14606"/>
  <c r="C244" i="14608"/>
  <c r="F91" i="14606"/>
  <c r="E91" i="14606"/>
  <c r="F244" i="14608" s="1"/>
  <c r="H88" i="14606"/>
  <c r="E90" i="14606"/>
  <c r="J86" i="14606"/>
  <c r="GO243" i="14608" s="1"/>
  <c r="GN243" i="14608"/>
  <c r="G89" i="14606"/>
  <c r="A94" i="14606" l="1"/>
  <c r="BD244" i="14608"/>
  <c r="HN243" i="14608"/>
  <c r="G90" i="14606"/>
  <c r="D92" i="14606"/>
  <c r="AD244" i="14608"/>
  <c r="B93" i="14606"/>
  <c r="C93" i="14606"/>
  <c r="F90" i="14606"/>
  <c r="IN243" i="14608"/>
  <c r="IB243" i="14608"/>
  <c r="H89" i="14606"/>
  <c r="IC243" i="14608" s="1"/>
  <c r="I88" i="14606"/>
  <c r="HP243" i="14608" s="1"/>
  <c r="HO243" i="14608"/>
  <c r="G91" i="14606"/>
  <c r="G244" i="14608"/>
  <c r="BQ244" i="14608"/>
  <c r="L96" i="14606"/>
  <c r="M95" i="14606"/>
  <c r="S244" i="14608" l="1"/>
  <c r="E92" i="14606"/>
  <c r="T244" i="14608" s="1"/>
  <c r="H90" i="14606"/>
  <c r="IQ243" i="14608" s="1"/>
  <c r="IP243" i="14608"/>
  <c r="I89" i="14606"/>
  <c r="J88" i="14606"/>
  <c r="HQ243" i="14608" s="1"/>
  <c r="CE244" i="14608"/>
  <c r="L97" i="14606"/>
  <c r="M96" i="14606"/>
  <c r="F92" i="14606"/>
  <c r="U244" i="14608" s="1"/>
  <c r="IO243" i="14608"/>
  <c r="H244" i="14608"/>
  <c r="H91" i="14606"/>
  <c r="D93" i="14606"/>
  <c r="AF244" i="14608"/>
  <c r="A95" i="14606"/>
  <c r="BR244" i="14608"/>
  <c r="E93" i="14606"/>
  <c r="AH244" i="14608" s="1"/>
  <c r="AE244" i="14608"/>
  <c r="AR244" i="14608"/>
  <c r="B94" i="14606"/>
  <c r="C94" i="14606"/>
  <c r="G92" i="14606"/>
  <c r="J89" i="14606" l="1"/>
  <c r="IE243" i="14608" s="1"/>
  <c r="ID243" i="14608"/>
  <c r="I91" i="14606"/>
  <c r="I244" i="14608"/>
  <c r="H92" i="14606"/>
  <c r="V244" i="14608"/>
  <c r="BF244" i="14608"/>
  <c r="B95" i="14606"/>
  <c r="D95" i="14606" s="1"/>
  <c r="C95" i="14606"/>
  <c r="BH244" i="14608" s="1"/>
  <c r="D94" i="14606"/>
  <c r="AU244" i="14608" s="1"/>
  <c r="AT244" i="14608"/>
  <c r="AS244" i="14608"/>
  <c r="AG244" i="14608"/>
  <c r="A96" i="14606"/>
  <c r="CF244" i="14608"/>
  <c r="I90" i="14606"/>
  <c r="CS244" i="14608"/>
  <c r="L98" i="14606"/>
  <c r="M97" i="14606"/>
  <c r="F93" i="14606"/>
  <c r="BI244" i="14608" l="1"/>
  <c r="A97" i="14606"/>
  <c r="CT244" i="14608"/>
  <c r="DG244" i="14608"/>
  <c r="M98" i="14606"/>
  <c r="L99" i="14606"/>
  <c r="IR243" i="14608"/>
  <c r="J90" i="14606"/>
  <c r="IS243" i="14608" s="1"/>
  <c r="J244" i="14608"/>
  <c r="J91" i="14606"/>
  <c r="K244" i="14608" s="1"/>
  <c r="F95" i="14606"/>
  <c r="BK244" i="14608" s="1"/>
  <c r="BT244" i="14608"/>
  <c r="B96" i="14606"/>
  <c r="I92" i="14606"/>
  <c r="W244" i="14608"/>
  <c r="BG244" i="14608"/>
  <c r="E95" i="14606"/>
  <c r="BJ244" i="14608" s="1"/>
  <c r="AI244" i="14608"/>
  <c r="G93" i="14606"/>
  <c r="E94" i="14606"/>
  <c r="DU244" i="14608" l="1"/>
  <c r="M99" i="14606"/>
  <c r="L100" i="14606"/>
  <c r="AJ244" i="14608"/>
  <c r="H93" i="14606"/>
  <c r="BU244" i="14608"/>
  <c r="A98" i="14606"/>
  <c r="DH244" i="14608"/>
  <c r="CH244" i="14608"/>
  <c r="B97" i="14606"/>
  <c r="D96" i="14606"/>
  <c r="BW244" i="14608" s="1"/>
  <c r="X244" i="14608"/>
  <c r="J92" i="14606"/>
  <c r="Y244" i="14608" s="1"/>
  <c r="G95" i="14606"/>
  <c r="BL244" i="14608" s="1"/>
  <c r="AV244" i="14608"/>
  <c r="F94" i="14606"/>
  <c r="C96" i="14606"/>
  <c r="CI244" i="14608" l="1"/>
  <c r="C97" i="14606"/>
  <c r="D97" i="14606" s="1"/>
  <c r="CK244" i="14608" s="1"/>
  <c r="EI244" i="14608"/>
  <c r="L101" i="14606"/>
  <c r="M100" i="14606"/>
  <c r="BV244" i="14608"/>
  <c r="E96" i="14606"/>
  <c r="BX244" i="14608" s="1"/>
  <c r="H95" i="14606"/>
  <c r="BM244" i="14608" s="1"/>
  <c r="CV244" i="14608"/>
  <c r="B98" i="14606"/>
  <c r="A99" i="14606"/>
  <c r="DV244" i="14608"/>
  <c r="AW244" i="14608"/>
  <c r="I93" i="14606"/>
  <c r="AL244" i="14608" s="1"/>
  <c r="AK244" i="14608"/>
  <c r="G94" i="14606"/>
  <c r="AX244" i="14608" s="1"/>
  <c r="I95" i="14606" l="1"/>
  <c r="BN244" i="14608" s="1"/>
  <c r="C98" i="14606"/>
  <c r="CW244" i="14608"/>
  <c r="CJ244" i="14608"/>
  <c r="E97" i="14606"/>
  <c r="CL244" i="14608" s="1"/>
  <c r="F97" i="14606"/>
  <c r="CM244" i="14608" s="1"/>
  <c r="EW244" i="14608"/>
  <c r="M101" i="14606"/>
  <c r="L102" i="14606"/>
  <c r="F96" i="14606"/>
  <c r="G96" i="14606"/>
  <c r="BZ244" i="14608" s="1"/>
  <c r="J93" i="14606"/>
  <c r="AM244" i="14608" s="1"/>
  <c r="J95" i="14606"/>
  <c r="BO244" i="14608" s="1"/>
  <c r="DJ244" i="14608"/>
  <c r="B99" i="14606"/>
  <c r="C99" i="14606"/>
  <c r="A100" i="14606"/>
  <c r="EJ244" i="14608"/>
  <c r="H94" i="14606"/>
  <c r="G97" i="14606"/>
  <c r="H97" i="14606"/>
  <c r="CN244" i="14608" l="1"/>
  <c r="I97" i="14606"/>
  <c r="CP244" i="14608" s="1"/>
  <c r="CO244" i="14608"/>
  <c r="I94" i="14606"/>
  <c r="AZ244" i="14608" s="1"/>
  <c r="AY244" i="14608"/>
  <c r="DX244" i="14608"/>
  <c r="B100" i="14606"/>
  <c r="DY244" i="14608" s="1"/>
  <c r="BY244" i="14608"/>
  <c r="H96" i="14606"/>
  <c r="DK244" i="14608"/>
  <c r="FK244" i="14608"/>
  <c r="M102" i="14606"/>
  <c r="L103" i="14606"/>
  <c r="CX244" i="14608"/>
  <c r="D98" i="14606"/>
  <c r="E99" i="14606"/>
  <c r="DN244" i="14608" s="1"/>
  <c r="DL244" i="14608"/>
  <c r="D99" i="14606"/>
  <c r="A101" i="14606"/>
  <c r="EX244" i="14608"/>
  <c r="F99" i="14606" l="1"/>
  <c r="DO244" i="14608" s="1"/>
  <c r="J94" i="14606"/>
  <c r="BA244" i="14608" s="1"/>
  <c r="I96" i="14606"/>
  <c r="CA244" i="14608"/>
  <c r="A102" i="14606"/>
  <c r="FL244" i="14608"/>
  <c r="CY244" i="14608"/>
  <c r="E98" i="14606"/>
  <c r="EL244" i="14608"/>
  <c r="B101" i="14606"/>
  <c r="DM244" i="14608"/>
  <c r="FY244" i="14608"/>
  <c r="M103" i="14606"/>
  <c r="L104" i="14606"/>
  <c r="C100" i="14606"/>
  <c r="DZ244" i="14608" s="1"/>
  <c r="J97" i="14606"/>
  <c r="CQ244" i="14608" s="1"/>
  <c r="A103" i="14606" l="1"/>
  <c r="FZ244" i="14608"/>
  <c r="EZ244" i="14608"/>
  <c r="B102" i="14606"/>
  <c r="C102" i="14606"/>
  <c r="FB244" i="14608" s="1"/>
  <c r="D102" i="14606"/>
  <c r="FC244" i="14608" s="1"/>
  <c r="GM244" i="14608"/>
  <c r="L105" i="14606"/>
  <c r="M104" i="14606"/>
  <c r="CB244" i="14608"/>
  <c r="J96" i="14606"/>
  <c r="CC244" i="14608" s="1"/>
  <c r="CZ244" i="14608"/>
  <c r="G99" i="14606"/>
  <c r="C101" i="14606"/>
  <c r="EN244" i="14608" s="1"/>
  <c r="EM244" i="14608"/>
  <c r="D100" i="14606"/>
  <c r="F98" i="14606"/>
  <c r="DA244" i="14608" s="1"/>
  <c r="FA244" i="14608" l="1"/>
  <c r="E102" i="14606"/>
  <c r="FD244" i="14608" s="1"/>
  <c r="H99" i="14606"/>
  <c r="DQ244" i="14608" s="1"/>
  <c r="DP244" i="14608"/>
  <c r="I99" i="14606"/>
  <c r="DR244" i="14608" s="1"/>
  <c r="J99" i="14606"/>
  <c r="DS244" i="14608" s="1"/>
  <c r="A104" i="14606"/>
  <c r="GN244" i="14608"/>
  <c r="FN244" i="14608"/>
  <c r="B103" i="14606"/>
  <c r="C103" i="14606"/>
  <c r="FP244" i="14608" s="1"/>
  <c r="E101" i="14606"/>
  <c r="EP244" i="14608" s="1"/>
  <c r="H98" i="14606"/>
  <c r="DC244" i="14608" s="1"/>
  <c r="HA244" i="14608"/>
  <c r="M105" i="14606"/>
  <c r="L106" i="14606"/>
  <c r="D101" i="14606"/>
  <c r="F102" i="14606"/>
  <c r="FE244" i="14608" s="1"/>
  <c r="E100" i="14606"/>
  <c r="EA244" i="14608"/>
  <c r="G98" i="14606"/>
  <c r="FO244" i="14608" l="1"/>
  <c r="G102" i="14606"/>
  <c r="EB244" i="14608"/>
  <c r="D103" i="14606"/>
  <c r="FQ244" i="14608" s="1"/>
  <c r="F101" i="14606"/>
  <c r="EQ244" i="14608" s="1"/>
  <c r="EO244" i="14608"/>
  <c r="G101" i="14606"/>
  <c r="ER244" i="14608" s="1"/>
  <c r="A105" i="14606"/>
  <c r="HB244" i="14608"/>
  <c r="DB244" i="14608"/>
  <c r="I98" i="14606"/>
  <c r="DD244" i="14608" s="1"/>
  <c r="HO244" i="14608"/>
  <c r="L107" i="14606"/>
  <c r="M106" i="14606"/>
  <c r="F100" i="14606"/>
  <c r="GB244" i="14608"/>
  <c r="B104" i="14606"/>
  <c r="C104" i="14606"/>
  <c r="GD244" i="14608" s="1"/>
  <c r="GP244" i="14608" l="1"/>
  <c r="B105" i="14606"/>
  <c r="GQ244" i="14608" s="1"/>
  <c r="H101" i="14606"/>
  <c r="IC244" i="14608"/>
  <c r="L108" i="14606"/>
  <c r="M107" i="14606"/>
  <c r="H102" i="14606"/>
  <c r="FG244" i="14608" s="1"/>
  <c r="FF244" i="14608"/>
  <c r="I102" i="14606"/>
  <c r="FH244" i="14608" s="1"/>
  <c r="EC244" i="14608"/>
  <c r="H100" i="14606"/>
  <c r="EE244" i="14608" s="1"/>
  <c r="E103" i="14606"/>
  <c r="FR244" i="14608" s="1"/>
  <c r="F103" i="14606"/>
  <c r="G100" i="14606"/>
  <c r="ED244" i="14608" s="1"/>
  <c r="GC244" i="14608"/>
  <c r="D104" i="14606"/>
  <c r="A106" i="14606"/>
  <c r="HP244" i="14608"/>
  <c r="J98" i="14606"/>
  <c r="DE244" i="14608" s="1"/>
  <c r="J102" i="14606"/>
  <c r="FI244" i="14608" s="1"/>
  <c r="IQ244" i="14608" l="1"/>
  <c r="L109" i="14606"/>
  <c r="M108" i="14606"/>
  <c r="A107" i="14606"/>
  <c r="ID244" i="14608"/>
  <c r="HD244" i="14608"/>
  <c r="B106" i="14606"/>
  <c r="HE244" i="14608" s="1"/>
  <c r="I101" i="14606"/>
  <c r="ET244" i="14608" s="1"/>
  <c r="ES244" i="14608"/>
  <c r="H103" i="14606"/>
  <c r="C105" i="14606"/>
  <c r="GE244" i="14608"/>
  <c r="E104" i="14606"/>
  <c r="G103" i="14606"/>
  <c r="FT244" i="14608" s="1"/>
  <c r="FS244" i="14608"/>
  <c r="J101" i="14606"/>
  <c r="EU244" i="14608" s="1"/>
  <c r="I100" i="14606"/>
  <c r="C106" i="14606" l="1"/>
  <c r="GR244" i="14608"/>
  <c r="D105" i="14606"/>
  <c r="GS244" i="14608" s="1"/>
  <c r="E105" i="14606"/>
  <c r="GT244" i="14608" s="1"/>
  <c r="FU244" i="14608"/>
  <c r="HR244" i="14608"/>
  <c r="B107" i="14606"/>
  <c r="C107" i="14606"/>
  <c r="HT244" i="14608" s="1"/>
  <c r="J100" i="14606"/>
  <c r="EG244" i="14608" s="1"/>
  <c r="EF244" i="14608"/>
  <c r="A108" i="14606"/>
  <c r="IR244" i="14608"/>
  <c r="F104" i="14606"/>
  <c r="GG244" i="14608" s="1"/>
  <c r="GF244" i="14608"/>
  <c r="G104" i="14606"/>
  <c r="I245" i="14608"/>
  <c r="M109" i="14606"/>
  <c r="L110" i="14606"/>
  <c r="I103" i="14606"/>
  <c r="FV244" i="14608" s="1"/>
  <c r="D106" i="14606"/>
  <c r="HG244" i="14608" s="1"/>
  <c r="IF244" i="14608" l="1"/>
  <c r="B108" i="14606"/>
  <c r="IG244" i="14608" s="1"/>
  <c r="C108" i="14606"/>
  <c r="IH244" i="14608" s="1"/>
  <c r="W245" i="14608"/>
  <c r="M110" i="14606"/>
  <c r="L111" i="14606"/>
  <c r="F105" i="14606"/>
  <c r="GU244" i="14608" s="1"/>
  <c r="A109" i="14606"/>
  <c r="J245" i="14608"/>
  <c r="H104" i="14606"/>
  <c r="GI244" i="14608" s="1"/>
  <c r="GH244" i="14608"/>
  <c r="HS244" i="14608"/>
  <c r="D107" i="14606"/>
  <c r="E106" i="14606"/>
  <c r="HF244" i="14608"/>
  <c r="F106" i="14606"/>
  <c r="HI244" i="14608" s="1"/>
  <c r="J103" i="14606"/>
  <c r="FW244" i="14608" s="1"/>
  <c r="I104" i="14606"/>
  <c r="A110" i="14606" l="1"/>
  <c r="X245" i="14608"/>
  <c r="HU244" i="14608"/>
  <c r="E107" i="14606"/>
  <c r="HV244" i="14608" s="1"/>
  <c r="F107" i="14606"/>
  <c r="HW244" i="14608" s="1"/>
  <c r="AK245" i="14608"/>
  <c r="M111" i="14606"/>
  <c r="L112" i="14606"/>
  <c r="G105" i="14606"/>
  <c r="GV244" i="14608" s="1"/>
  <c r="D108" i="14606"/>
  <c r="J104" i="14606"/>
  <c r="GK244" i="14608" s="1"/>
  <c r="GJ244" i="14608"/>
  <c r="H105" i="14606"/>
  <c r="HH244" i="14608"/>
  <c r="G106" i="14606"/>
  <c r="IT244" i="14608"/>
  <c r="B109" i="14606"/>
  <c r="G107" i="14606"/>
  <c r="HJ244" i="14608" l="1"/>
  <c r="A111" i="14606"/>
  <c r="AL245" i="14608"/>
  <c r="IU244" i="14608"/>
  <c r="AY245" i="14608"/>
  <c r="M112" i="14606"/>
  <c r="L113" i="14606"/>
  <c r="HX244" i="14608"/>
  <c r="I105" i="14606"/>
  <c r="GX244" i="14608" s="1"/>
  <c r="GW244" i="14608"/>
  <c r="H107" i="14606"/>
  <c r="E108" i="14606"/>
  <c r="II244" i="14608"/>
  <c r="H106" i="14606"/>
  <c r="HK244" i="14608" s="1"/>
  <c r="C109" i="14606"/>
  <c r="IV244" i="14608" s="1"/>
  <c r="I106" i="14606"/>
  <c r="HL244" i="14608" s="1"/>
  <c r="J105" i="14606"/>
  <c r="GY244" i="14608" s="1"/>
  <c r="L245" i="14608"/>
  <c r="B110" i="14606"/>
  <c r="HY244" i="14608" l="1"/>
  <c r="I107" i="14606"/>
  <c r="HZ244" i="14608" s="1"/>
  <c r="Z245" i="14608"/>
  <c r="B111" i="14606"/>
  <c r="C111" i="14606" s="1"/>
  <c r="BM245" i="14608"/>
  <c r="M113" i="14606"/>
  <c r="L114" i="14606"/>
  <c r="M245" i="14608"/>
  <c r="C110" i="14606"/>
  <c r="A112" i="14606"/>
  <c r="AZ245" i="14608"/>
  <c r="J106" i="14606"/>
  <c r="HM244" i="14608" s="1"/>
  <c r="IJ244" i="14608"/>
  <c r="F108" i="14606"/>
  <c r="D109" i="14606"/>
  <c r="AB245" i="14608" l="1"/>
  <c r="D110" i="14606"/>
  <c r="O245" i="14608" s="1"/>
  <c r="N245" i="14608"/>
  <c r="A245" i="14608"/>
  <c r="E109" i="14606"/>
  <c r="B245" i="14608" s="1"/>
  <c r="AN245" i="14608"/>
  <c r="B112" i="14606"/>
  <c r="C112" i="14606" s="1"/>
  <c r="AA245" i="14608"/>
  <c r="J107" i="14606"/>
  <c r="IA244" i="14608" s="1"/>
  <c r="G108" i="14606"/>
  <c r="IL244" i="14608" s="1"/>
  <c r="IK244" i="14608"/>
  <c r="CA245" i="14608"/>
  <c r="M114" i="14606"/>
  <c r="L115" i="14606"/>
  <c r="A113" i="14606"/>
  <c r="BN245" i="14608"/>
  <c r="D111" i="14606"/>
  <c r="AC245" i="14608" s="1"/>
  <c r="F109" i="14606"/>
  <c r="C245" i="14608" s="1"/>
  <c r="AP245" i="14608" l="1"/>
  <c r="A114" i="14606"/>
  <c r="CB245" i="14608"/>
  <c r="BB245" i="14608"/>
  <c r="B113" i="14606"/>
  <c r="BC245" i="14608" s="1"/>
  <c r="C113" i="14606"/>
  <c r="BD245" i="14608" s="1"/>
  <c r="G109" i="14606"/>
  <c r="D113" i="14606"/>
  <c r="CO245" i="14608"/>
  <c r="L116" i="14606"/>
  <c r="M115" i="14606"/>
  <c r="H108" i="14606"/>
  <c r="E111" i="14606"/>
  <c r="D112" i="14606"/>
  <c r="AQ245" i="14608" s="1"/>
  <c r="AO245" i="14608"/>
  <c r="E110" i="14606"/>
  <c r="E113" i="14606" l="1"/>
  <c r="BF245" i="14608" s="1"/>
  <c r="BE245" i="14608"/>
  <c r="BP245" i="14608"/>
  <c r="B114" i="14606"/>
  <c r="C114" i="14606"/>
  <c r="BR245" i="14608" s="1"/>
  <c r="P245" i="14608"/>
  <c r="F110" i="14606"/>
  <c r="Q245" i="14608" s="1"/>
  <c r="F113" i="14606"/>
  <c r="BG245" i="14608" s="1"/>
  <c r="AD245" i="14608"/>
  <c r="F111" i="14606"/>
  <c r="D245" i="14608"/>
  <c r="H109" i="14606"/>
  <c r="I108" i="14606"/>
  <c r="IN244" i="14608" s="1"/>
  <c r="IM244" i="14608"/>
  <c r="J108" i="14606"/>
  <c r="IO244" i="14608" s="1"/>
  <c r="E112" i="14606"/>
  <c r="DC245" i="14608"/>
  <c r="M116" i="14606"/>
  <c r="L117" i="14606"/>
  <c r="A115" i="14606"/>
  <c r="CP245" i="14608"/>
  <c r="AR245" i="14608" l="1"/>
  <c r="BQ245" i="14608"/>
  <c r="D114" i="14606"/>
  <c r="AE245" i="14608"/>
  <c r="DQ245" i="14608"/>
  <c r="M117" i="14606"/>
  <c r="L118" i="14606"/>
  <c r="G113" i="14606"/>
  <c r="G110" i="14606"/>
  <c r="E245" i="14608"/>
  <c r="I109" i="14606"/>
  <c r="F245" i="14608" s="1"/>
  <c r="G111" i="14606"/>
  <c r="AF245" i="14608" s="1"/>
  <c r="CD245" i="14608"/>
  <c r="B115" i="14606"/>
  <c r="A116" i="14606"/>
  <c r="DD245" i="14608"/>
  <c r="F112" i="14606"/>
  <c r="AS245" i="14608" s="1"/>
  <c r="J109" i="14606" l="1"/>
  <c r="G245" i="14608" s="1"/>
  <c r="BS245" i="14608"/>
  <c r="E114" i="14606"/>
  <c r="H110" i="14606"/>
  <c r="S245" i="14608" s="1"/>
  <c r="R245" i="14608"/>
  <c r="I110" i="14606"/>
  <c r="T245" i="14608" s="1"/>
  <c r="H113" i="14606"/>
  <c r="BI245" i="14608" s="1"/>
  <c r="BH245" i="14608"/>
  <c r="G112" i="14606"/>
  <c r="CR245" i="14608"/>
  <c r="B116" i="14606"/>
  <c r="CS245" i="14608" s="1"/>
  <c r="H111" i="14606"/>
  <c r="C115" i="14606"/>
  <c r="CE245" i="14608"/>
  <c r="EE245" i="14608"/>
  <c r="M118" i="14606"/>
  <c r="L119" i="14606"/>
  <c r="A117" i="14606"/>
  <c r="DR245" i="14608"/>
  <c r="ES245" i="14608" l="1"/>
  <c r="L120" i="14606"/>
  <c r="M119" i="14606"/>
  <c r="C116" i="14606"/>
  <c r="DF245" i="14608"/>
  <c r="B117" i="14606"/>
  <c r="DG245" i="14608" s="1"/>
  <c r="C117" i="14606"/>
  <c r="DH245" i="14608" s="1"/>
  <c r="D117" i="14606"/>
  <c r="DI245" i="14608" s="1"/>
  <c r="F114" i="14606"/>
  <c r="BT245" i="14608"/>
  <c r="G114" i="14606"/>
  <c r="H112" i="14606"/>
  <c r="AT245" i="14608"/>
  <c r="I113" i="14606"/>
  <c r="AG245" i="14608"/>
  <c r="A118" i="14606"/>
  <c r="EF245" i="14608"/>
  <c r="CF245" i="14608"/>
  <c r="D115" i="14606"/>
  <c r="CG245" i="14608" s="1"/>
  <c r="E115" i="14606"/>
  <c r="CH245" i="14608" s="1"/>
  <c r="J110" i="14606"/>
  <c r="U245" i="14608" s="1"/>
  <c r="I111" i="14606"/>
  <c r="AH245" i="14608" s="1"/>
  <c r="E117" i="14606" l="1"/>
  <c r="DJ245" i="14608" s="1"/>
  <c r="J113" i="14606"/>
  <c r="BK245" i="14608" s="1"/>
  <c r="BJ245" i="14608"/>
  <c r="AU245" i="14608"/>
  <c r="I112" i="14606"/>
  <c r="F117" i="14606"/>
  <c r="DK245" i="14608" s="1"/>
  <c r="CT245" i="14608"/>
  <c r="D116" i="14606"/>
  <c r="DT245" i="14608"/>
  <c r="B118" i="14606"/>
  <c r="DU245" i="14608" s="1"/>
  <c r="H114" i="14606"/>
  <c r="BW245" i="14608" s="1"/>
  <c r="BV245" i="14608"/>
  <c r="A119" i="14606"/>
  <c r="ET245" i="14608"/>
  <c r="F115" i="14606"/>
  <c r="CI245" i="14608" s="1"/>
  <c r="FG245" i="14608"/>
  <c r="L121" i="14606"/>
  <c r="M120" i="14606"/>
  <c r="J111" i="14606"/>
  <c r="AI245" i="14608" s="1"/>
  <c r="BU245" i="14608"/>
  <c r="I114" i="14606"/>
  <c r="CU245" i="14608" l="1"/>
  <c r="E116" i="14606"/>
  <c r="CV245" i="14608" s="1"/>
  <c r="EH245" i="14608"/>
  <c r="B119" i="14606"/>
  <c r="EI245" i="14608" s="1"/>
  <c r="J112" i="14606"/>
  <c r="AW245" i="14608" s="1"/>
  <c r="AV245" i="14608"/>
  <c r="J114" i="14606"/>
  <c r="BY245" i="14608" s="1"/>
  <c r="BX245" i="14608"/>
  <c r="G117" i="14606"/>
  <c r="C118" i="14606"/>
  <c r="G115" i="14606"/>
  <c r="CJ245" i="14608" s="1"/>
  <c r="A120" i="14606"/>
  <c r="FH245" i="14608"/>
  <c r="FU245" i="14608"/>
  <c r="M121" i="14606"/>
  <c r="L122" i="14606"/>
  <c r="A121" i="14606" l="1"/>
  <c r="FV245" i="14608"/>
  <c r="C119" i="14606"/>
  <c r="GI245" i="14608"/>
  <c r="L123" i="14606"/>
  <c r="M122" i="14606"/>
  <c r="EV245" i="14608"/>
  <c r="B120" i="14606"/>
  <c r="C120" i="14606"/>
  <c r="EX245" i="14608" s="1"/>
  <c r="D120" i="14606"/>
  <c r="DV245" i="14608"/>
  <c r="E118" i="14606"/>
  <c r="DX245" i="14608" s="1"/>
  <c r="H115" i="14606"/>
  <c r="F116" i="14606"/>
  <c r="DL245" i="14608"/>
  <c r="H117" i="14606"/>
  <c r="DM245" i="14608" s="1"/>
  <c r="D118" i="14606"/>
  <c r="F118" i="14606" l="1"/>
  <c r="DY245" i="14608" s="1"/>
  <c r="DW245" i="14608"/>
  <c r="G118" i="14606"/>
  <c r="DZ245" i="14608" s="1"/>
  <c r="GW245" i="14608"/>
  <c r="L124" i="14606"/>
  <c r="M123" i="14606"/>
  <c r="E120" i="14606"/>
  <c r="F120" i="14606" s="1"/>
  <c r="FA245" i="14608" s="1"/>
  <c r="EY245" i="14608"/>
  <c r="EJ245" i="14608"/>
  <c r="D119" i="14606"/>
  <c r="FJ245" i="14608"/>
  <c r="B121" i="14606"/>
  <c r="C121" i="14606"/>
  <c r="FL245" i="14608" s="1"/>
  <c r="A122" i="14606"/>
  <c r="GJ245" i="14608"/>
  <c r="H118" i="14606"/>
  <c r="G116" i="14606"/>
  <c r="CX245" i="14608" s="1"/>
  <c r="CW245" i="14608"/>
  <c r="H116" i="14606"/>
  <c r="CY245" i="14608" s="1"/>
  <c r="I115" i="14606"/>
  <c r="CK245" i="14608"/>
  <c r="EW245" i="14608"/>
  <c r="I117" i="14606"/>
  <c r="G120" i="14606" l="1"/>
  <c r="FB245" i="14608" s="1"/>
  <c r="HK245" i="14608"/>
  <c r="L125" i="14606"/>
  <c r="M124" i="14606"/>
  <c r="H120" i="14606"/>
  <c r="EA245" i="14608"/>
  <c r="J117" i="14606"/>
  <c r="DO245" i="14608" s="1"/>
  <c r="DN245" i="14608"/>
  <c r="A123" i="14606"/>
  <c r="GX245" i="14608"/>
  <c r="EK245" i="14608"/>
  <c r="E119" i="14606"/>
  <c r="EL245" i="14608" s="1"/>
  <c r="F119" i="14606"/>
  <c r="EM245" i="14608" s="1"/>
  <c r="I118" i="14606"/>
  <c r="EB245" i="14608" s="1"/>
  <c r="FK245" i="14608"/>
  <c r="CL245" i="14608"/>
  <c r="J115" i="14606"/>
  <c r="CM245" i="14608" s="1"/>
  <c r="FX245" i="14608"/>
  <c r="B122" i="14606"/>
  <c r="C122" i="14606"/>
  <c r="EZ245" i="14608"/>
  <c r="I116" i="14606"/>
  <c r="D121" i="14606"/>
  <c r="J118" i="14606" l="1"/>
  <c r="EC245" i="14608" s="1"/>
  <c r="I120" i="14606"/>
  <c r="FC245" i="14608"/>
  <c r="A124" i="14606"/>
  <c r="HL245" i="14608"/>
  <c r="E121" i="14606"/>
  <c r="FN245" i="14608" s="1"/>
  <c r="FM245" i="14608"/>
  <c r="CZ245" i="14608"/>
  <c r="J116" i="14606"/>
  <c r="DA245" i="14608" s="1"/>
  <c r="HY245" i="14608"/>
  <c r="L126" i="14606"/>
  <c r="M125" i="14606"/>
  <c r="FZ245" i="14608"/>
  <c r="FY245" i="14608"/>
  <c r="GL245" i="14608"/>
  <c r="B123" i="14606"/>
  <c r="G119" i="14606"/>
  <c r="EN245" i="14608" s="1"/>
  <c r="D122" i="14606"/>
  <c r="GA245" i="14608" s="1"/>
  <c r="F121" i="14606" l="1"/>
  <c r="IM245" i="14608"/>
  <c r="M126" i="14606"/>
  <c r="L127" i="14606"/>
  <c r="GZ245" i="14608"/>
  <c r="B124" i="14606"/>
  <c r="GM245" i="14608"/>
  <c r="H119" i="14606"/>
  <c r="FD245" i="14608"/>
  <c r="J120" i="14606"/>
  <c r="FE245" i="14608" s="1"/>
  <c r="E122" i="14606"/>
  <c r="GB245" i="14608" s="1"/>
  <c r="A125" i="14606"/>
  <c r="HZ245" i="14608"/>
  <c r="F122" i="14606"/>
  <c r="C123" i="14606"/>
  <c r="GN245" i="14608" s="1"/>
  <c r="HA245" i="14608" l="1"/>
  <c r="C124" i="14606"/>
  <c r="HB245" i="14608" s="1"/>
  <c r="D123" i="14606"/>
  <c r="E246" i="14608"/>
  <c r="M127" i="14606"/>
  <c r="L128" i="14606"/>
  <c r="I119" i="14606"/>
  <c r="EO245" i="14608"/>
  <c r="A126" i="14606"/>
  <c r="IN245" i="14608"/>
  <c r="G122" i="14606"/>
  <c r="GD245" i="14608" s="1"/>
  <c r="GC245" i="14608"/>
  <c r="G121" i="14606"/>
  <c r="FO245" i="14608"/>
  <c r="HN245" i="14608"/>
  <c r="B125" i="14606"/>
  <c r="C125" i="14606"/>
  <c r="HP245" i="14608" s="1"/>
  <c r="D125" i="14606"/>
  <c r="HQ245" i="14608" s="1"/>
  <c r="A127" i="14606" l="1"/>
  <c r="F246" i="14608"/>
  <c r="IB245" i="14608"/>
  <c r="B126" i="14606"/>
  <c r="C126" i="14606"/>
  <c r="ID245" i="14608" s="1"/>
  <c r="GO245" i="14608"/>
  <c r="E123" i="14606"/>
  <c r="HO245" i="14608"/>
  <c r="E125" i="14606"/>
  <c r="HR245" i="14608" s="1"/>
  <c r="J119" i="14606"/>
  <c r="EQ245" i="14608" s="1"/>
  <c r="EP245" i="14608"/>
  <c r="D124" i="14606"/>
  <c r="FP245" i="14608"/>
  <c r="I121" i="14606"/>
  <c r="FR245" i="14608" s="1"/>
  <c r="H121" i="14606"/>
  <c r="S246" i="14608"/>
  <c r="L129" i="14606"/>
  <c r="M128" i="14606"/>
  <c r="H122" i="14606"/>
  <c r="GE245" i="14608" s="1"/>
  <c r="F123" i="14606"/>
  <c r="GQ245" i="14608" s="1"/>
  <c r="IC245" i="14608" l="1"/>
  <c r="D126" i="14606"/>
  <c r="IE245" i="14608" s="1"/>
  <c r="E124" i="14606"/>
  <c r="HD245" i="14608" s="1"/>
  <c r="HC245" i="14608"/>
  <c r="AG246" i="14608"/>
  <c r="M129" i="14606"/>
  <c r="L130" i="14606"/>
  <c r="E126" i="14606"/>
  <c r="IF245" i="14608" s="1"/>
  <c r="G123" i="14606"/>
  <c r="GR245" i="14608" s="1"/>
  <c r="IP245" i="14608"/>
  <c r="B127" i="14606"/>
  <c r="C127" i="14606"/>
  <c r="I122" i="14606"/>
  <c r="GF245" i="14608" s="1"/>
  <c r="A128" i="14606"/>
  <c r="T246" i="14608"/>
  <c r="F124" i="14606"/>
  <c r="J121" i="14606"/>
  <c r="FS245" i="14608" s="1"/>
  <c r="FQ245" i="14608"/>
  <c r="GP245" i="14608"/>
  <c r="F125" i="14606"/>
  <c r="F126" i="14606"/>
  <c r="G124" i="14606" l="1"/>
  <c r="HF245" i="14608" s="1"/>
  <c r="G126" i="14606"/>
  <c r="IG245" i="14608"/>
  <c r="H124" i="14606"/>
  <c r="HG245" i="14608" s="1"/>
  <c r="HE245" i="14608"/>
  <c r="H246" i="14608"/>
  <c r="B128" i="14606"/>
  <c r="G125" i="14606"/>
  <c r="HT245" i="14608" s="1"/>
  <c r="HS245" i="14608"/>
  <c r="AU246" i="14608"/>
  <c r="L131" i="14606"/>
  <c r="M130" i="14606"/>
  <c r="D127" i="14606"/>
  <c r="IR245" i="14608"/>
  <c r="A129" i="14606"/>
  <c r="AH246" i="14608"/>
  <c r="J122" i="14606"/>
  <c r="GG245" i="14608" s="1"/>
  <c r="H123" i="14606"/>
  <c r="IQ245" i="14608"/>
  <c r="A130" i="14606" l="1"/>
  <c r="AV246" i="14608"/>
  <c r="GS245" i="14608"/>
  <c r="C128" i="14606"/>
  <c r="J246" i="14608" s="1"/>
  <c r="I246" i="14608"/>
  <c r="BI246" i="14608"/>
  <c r="M131" i="14606"/>
  <c r="L132" i="14606"/>
  <c r="H126" i="14606"/>
  <c r="IH245" i="14608"/>
  <c r="I123" i="14606"/>
  <c r="GT245" i="14608" s="1"/>
  <c r="V246" i="14608"/>
  <c r="B129" i="14606"/>
  <c r="D129" i="14606" s="1"/>
  <c r="Y246" i="14608" s="1"/>
  <c r="C129" i="14606"/>
  <c r="X246" i="14608" s="1"/>
  <c r="IS245" i="14608"/>
  <c r="E127" i="14606"/>
  <c r="H125" i="14606"/>
  <c r="D128" i="14606"/>
  <c r="K246" i="14608" s="1"/>
  <c r="I124" i="14606"/>
  <c r="W246" i="14608" l="1"/>
  <c r="E129" i="14606"/>
  <c r="HH245" i="14608"/>
  <c r="J124" i="14606"/>
  <c r="HI245" i="14608" s="1"/>
  <c r="HU245" i="14608"/>
  <c r="I125" i="14606"/>
  <c r="J123" i="14606"/>
  <c r="GU245" i="14608" s="1"/>
  <c r="A131" i="14606"/>
  <c r="BJ246" i="14608"/>
  <c r="E128" i="14606"/>
  <c r="L246" i="14608" s="1"/>
  <c r="IT245" i="14608"/>
  <c r="I126" i="14606"/>
  <c r="IJ245" i="14608" s="1"/>
  <c r="II245" i="14608"/>
  <c r="F127" i="14606"/>
  <c r="BW246" i="14608"/>
  <c r="L133" i="14606"/>
  <c r="M132" i="14606"/>
  <c r="AJ246" i="14608"/>
  <c r="B130" i="14606"/>
  <c r="C130" i="14606"/>
  <c r="AL246" i="14608" s="1"/>
  <c r="J125" i="14606" l="1"/>
  <c r="HW245" i="14608" s="1"/>
  <c r="HV245" i="14608"/>
  <c r="CK246" i="14608"/>
  <c r="L134" i="14606"/>
  <c r="M133" i="14606"/>
  <c r="A132" i="14606"/>
  <c r="BX246" i="14608"/>
  <c r="F129" i="14606"/>
  <c r="Z246" i="14608"/>
  <c r="G127" i="14606"/>
  <c r="IU245" i="14608"/>
  <c r="F128" i="14606"/>
  <c r="AK246" i="14608"/>
  <c r="D130" i="14606"/>
  <c r="H128" i="14606"/>
  <c r="O246" i="14608" s="1"/>
  <c r="J126" i="14606"/>
  <c r="IK245" i="14608" s="1"/>
  <c r="AX246" i="14608"/>
  <c r="B131" i="14606"/>
  <c r="C131" i="14606"/>
  <c r="D131" i="14606"/>
  <c r="BA246" i="14608" s="1"/>
  <c r="G128" i="14606"/>
  <c r="AM246" i="14608" l="1"/>
  <c r="E130" i="14606"/>
  <c r="AN246" i="14608" s="1"/>
  <c r="BL246" i="14608"/>
  <c r="B132" i="14606"/>
  <c r="A133" i="14606"/>
  <c r="CL246" i="14608"/>
  <c r="M246" i="14608"/>
  <c r="I128" i="14606"/>
  <c r="P246" i="14608" s="1"/>
  <c r="CY246" i="14608"/>
  <c r="L135" i="14606"/>
  <c r="M134" i="14606"/>
  <c r="E131" i="14606"/>
  <c r="BB246" i="14608" s="1"/>
  <c r="AZ246" i="14608"/>
  <c r="AY246" i="14608"/>
  <c r="F131" i="14606"/>
  <c r="BC246" i="14608" s="1"/>
  <c r="G131" i="14606"/>
  <c r="AA246" i="14608"/>
  <c r="G129" i="14606"/>
  <c r="AB246" i="14608" s="1"/>
  <c r="IV245" i="14608"/>
  <c r="H127" i="14606"/>
  <c r="I127" i="14606"/>
  <c r="B246" i="14608" s="1"/>
  <c r="N246" i="14608"/>
  <c r="G246" i="14608"/>
  <c r="DM246" i="14608" l="1"/>
  <c r="L136" i="14606"/>
  <c r="M135" i="14606"/>
  <c r="H131" i="14606"/>
  <c r="BD246" i="14608"/>
  <c r="A134" i="14606"/>
  <c r="CZ246" i="14608"/>
  <c r="I129" i="14606"/>
  <c r="J127" i="14606"/>
  <c r="C246" i="14608" s="1"/>
  <c r="A246" i="14608"/>
  <c r="BZ246" i="14608"/>
  <c r="B133" i="14606"/>
  <c r="C133" i="14606"/>
  <c r="CB246" i="14608" s="1"/>
  <c r="D133" i="14606"/>
  <c r="CC246" i="14608" s="1"/>
  <c r="F130" i="14606"/>
  <c r="BM246" i="14608"/>
  <c r="H129" i="14606"/>
  <c r="AC246" i="14608" s="1"/>
  <c r="C132" i="14606"/>
  <c r="J128" i="14606"/>
  <c r="Q246" i="14608" s="1"/>
  <c r="AO246" i="14608" l="1"/>
  <c r="BN246" i="14608"/>
  <c r="D132" i="14606"/>
  <c r="BE246" i="14608"/>
  <c r="I131" i="14606"/>
  <c r="J129" i="14606"/>
  <c r="AE246" i="14608" s="1"/>
  <c r="AD246" i="14608"/>
  <c r="CA246" i="14608"/>
  <c r="E133" i="14606"/>
  <c r="A135" i="14606"/>
  <c r="DN246" i="14608"/>
  <c r="CN246" i="14608"/>
  <c r="B134" i="14606"/>
  <c r="G130" i="14606"/>
  <c r="AP246" i="14608" s="1"/>
  <c r="EA246" i="14608"/>
  <c r="M136" i="14606"/>
  <c r="L137" i="14606"/>
  <c r="CO246" i="14608" l="1"/>
  <c r="A136" i="14606"/>
  <c r="EB246" i="14608"/>
  <c r="DB246" i="14608"/>
  <c r="B135" i="14606"/>
  <c r="DC246" i="14608" s="1"/>
  <c r="BO246" i="14608"/>
  <c r="E132" i="14606"/>
  <c r="EO246" i="14608"/>
  <c r="L138" i="14606"/>
  <c r="M137" i="14606"/>
  <c r="CD246" i="14608"/>
  <c r="F133" i="14606"/>
  <c r="G133" i="14606" s="1"/>
  <c r="CF246" i="14608" s="1"/>
  <c r="H130" i="14606"/>
  <c r="AQ246" i="14608" s="1"/>
  <c r="J131" i="14606"/>
  <c r="BG246" i="14608" s="1"/>
  <c r="BF246" i="14608"/>
  <c r="C134" i="14606"/>
  <c r="C135" i="14606" l="1"/>
  <c r="DD246" i="14608" s="1"/>
  <c r="F132" i="14606"/>
  <c r="BQ246" i="14608" s="1"/>
  <c r="BP246" i="14608"/>
  <c r="DP246" i="14608"/>
  <c r="B136" i="14606"/>
  <c r="H133" i="14606"/>
  <c r="CG246" i="14608" s="1"/>
  <c r="CE246" i="14608"/>
  <c r="D134" i="14606"/>
  <c r="CP246" i="14608"/>
  <c r="A137" i="14606"/>
  <c r="EP246" i="14608"/>
  <c r="FC246" i="14608"/>
  <c r="L139" i="14606"/>
  <c r="M138" i="14606"/>
  <c r="I130" i="14606"/>
  <c r="D135" i="14606"/>
  <c r="DE246" i="14608" s="1"/>
  <c r="FQ246" i="14608" l="1"/>
  <c r="L140" i="14606"/>
  <c r="M139" i="14606"/>
  <c r="ED246" i="14608"/>
  <c r="B137" i="14606"/>
  <c r="EE246" i="14608" s="1"/>
  <c r="C136" i="14606"/>
  <c r="DQ246" i="14608"/>
  <c r="E135" i="14606"/>
  <c r="DF246" i="14608" s="1"/>
  <c r="CQ246" i="14608"/>
  <c r="G132" i="14606"/>
  <c r="BR246" i="14608" s="1"/>
  <c r="J130" i="14606"/>
  <c r="AS246" i="14608" s="1"/>
  <c r="AR246" i="14608"/>
  <c r="A138" i="14606"/>
  <c r="FD246" i="14608"/>
  <c r="I133" i="14606"/>
  <c r="E134" i="14606"/>
  <c r="F134" i="14606" s="1"/>
  <c r="CS246" i="14608" s="1"/>
  <c r="F135" i="14606" l="1"/>
  <c r="DR246" i="14608"/>
  <c r="A139" i="14606"/>
  <c r="FR246" i="14608"/>
  <c r="J133" i="14606"/>
  <c r="CI246" i="14608" s="1"/>
  <c r="CH246" i="14608"/>
  <c r="GE246" i="14608"/>
  <c r="L141" i="14606"/>
  <c r="M140" i="14606"/>
  <c r="H132" i="14606"/>
  <c r="BS246" i="14608" s="1"/>
  <c r="CR246" i="14608"/>
  <c r="G134" i="14606"/>
  <c r="CT246" i="14608" s="1"/>
  <c r="ER246" i="14608"/>
  <c r="B138" i="14606"/>
  <c r="C137" i="14606"/>
  <c r="EF246" i="14608" s="1"/>
  <c r="D136" i="14606"/>
  <c r="DS246" i="14608" l="1"/>
  <c r="I132" i="14606"/>
  <c r="C138" i="14606"/>
  <c r="ES246" i="14608"/>
  <c r="GS246" i="14608"/>
  <c r="M141" i="14606"/>
  <c r="L142" i="14606"/>
  <c r="E137" i="14606"/>
  <c r="EH246" i="14608" s="1"/>
  <c r="F137" i="14606"/>
  <c r="A140" i="14606"/>
  <c r="GF246" i="14608"/>
  <c r="D137" i="14606"/>
  <c r="EG246" i="14608" s="1"/>
  <c r="E136" i="14606"/>
  <c r="DT246" i="14608" s="1"/>
  <c r="DG246" i="14608"/>
  <c r="G135" i="14606"/>
  <c r="FF246" i="14608"/>
  <c r="C139" i="14606"/>
  <c r="FH246" i="14608" s="1"/>
  <c r="B139" i="14606"/>
  <c r="FG246" i="14608" s="1"/>
  <c r="H134" i="14606"/>
  <c r="H135" i="14606"/>
  <c r="DI246" i="14608" l="1"/>
  <c r="G137" i="14606"/>
  <c r="EJ246" i="14608" s="1"/>
  <c r="EI246" i="14608"/>
  <c r="ET246" i="14608"/>
  <c r="D138" i="14606"/>
  <c r="CU246" i="14608"/>
  <c r="I134" i="14606"/>
  <c r="H137" i="14606"/>
  <c r="EK246" i="14608" s="1"/>
  <c r="J132" i="14606"/>
  <c r="BU246" i="14608" s="1"/>
  <c r="BT246" i="14608"/>
  <c r="I135" i="14606"/>
  <c r="DJ246" i="14608" s="1"/>
  <c r="DH246" i="14608"/>
  <c r="HG246" i="14608"/>
  <c r="L143" i="14606"/>
  <c r="M142" i="14606"/>
  <c r="D139" i="14606"/>
  <c r="FI246" i="14608" s="1"/>
  <c r="A141" i="14606"/>
  <c r="GT246" i="14608"/>
  <c r="F136" i="14606"/>
  <c r="FT246" i="14608"/>
  <c r="B140" i="14606"/>
  <c r="FU246" i="14608" l="1"/>
  <c r="A142" i="14606"/>
  <c r="HH246" i="14608"/>
  <c r="EU246" i="14608"/>
  <c r="E138" i="14606"/>
  <c r="EV246" i="14608" s="1"/>
  <c r="E139" i="14606"/>
  <c r="FJ246" i="14608" s="1"/>
  <c r="HU246" i="14608"/>
  <c r="L144" i="14606"/>
  <c r="M143" i="14606"/>
  <c r="I137" i="14606"/>
  <c r="EL246" i="14608" s="1"/>
  <c r="GH246" i="14608"/>
  <c r="B141" i="14606"/>
  <c r="C141" i="14606" s="1"/>
  <c r="F139" i="14606"/>
  <c r="C140" i="14606"/>
  <c r="DU246" i="14608"/>
  <c r="G136" i="14606"/>
  <c r="DV246" i="14608" s="1"/>
  <c r="H136" i="14606"/>
  <c r="DW246" i="14608" s="1"/>
  <c r="J134" i="14606"/>
  <c r="CW246" i="14608" s="1"/>
  <c r="CV246" i="14608"/>
  <c r="J135" i="14606"/>
  <c r="DK246" i="14608" s="1"/>
  <c r="D141" i="14606" l="1"/>
  <c r="GK246" i="14608" s="1"/>
  <c r="GJ246" i="14608"/>
  <c r="E141" i="14606"/>
  <c r="A143" i="14606"/>
  <c r="HV246" i="14608"/>
  <c r="II246" i="14608"/>
  <c r="M144" i="14606"/>
  <c r="L145" i="14606"/>
  <c r="GV246" i="14608"/>
  <c r="B142" i="14606"/>
  <c r="C142" i="14606"/>
  <c r="J137" i="14606"/>
  <c r="EM246" i="14608" s="1"/>
  <c r="GI246" i="14608"/>
  <c r="I136" i="14606"/>
  <c r="G139" i="14606"/>
  <c r="FL246" i="14608" s="1"/>
  <c r="FK246" i="14608"/>
  <c r="FV246" i="14608"/>
  <c r="D140" i="14606"/>
  <c r="F138" i="14606"/>
  <c r="GW246" i="14608" l="1"/>
  <c r="F141" i="14606"/>
  <c r="GL246" i="14608"/>
  <c r="D142" i="14606"/>
  <c r="GY246" i="14608" s="1"/>
  <c r="A247" i="14608"/>
  <c r="M145" i="14606"/>
  <c r="L146" i="14606"/>
  <c r="HJ246" i="14608"/>
  <c r="B143" i="14606"/>
  <c r="HK246" i="14608" s="1"/>
  <c r="C143" i="14606"/>
  <c r="HL246" i="14608" s="1"/>
  <c r="G138" i="14606"/>
  <c r="EX246" i="14608" s="1"/>
  <c r="EW246" i="14608"/>
  <c r="A144" i="14606"/>
  <c r="IJ246" i="14608"/>
  <c r="J136" i="14606"/>
  <c r="DY246" i="14608" s="1"/>
  <c r="DX246" i="14608"/>
  <c r="H139" i="14606"/>
  <c r="GX246" i="14608"/>
  <c r="E140" i="14606"/>
  <c r="FW246" i="14608"/>
  <c r="D143" i="14606" l="1"/>
  <c r="HM246" i="14608" s="1"/>
  <c r="E143" i="14606"/>
  <c r="HN246" i="14608" s="1"/>
  <c r="GM246" i="14608"/>
  <c r="G141" i="14606"/>
  <c r="H141" i="14606" s="1"/>
  <c r="GO246" i="14608" s="1"/>
  <c r="FX246" i="14608"/>
  <c r="F140" i="14606"/>
  <c r="HX246" i="14608"/>
  <c r="B144" i="14606"/>
  <c r="O247" i="14608"/>
  <c r="M146" i="14606"/>
  <c r="L147" i="14606"/>
  <c r="F142" i="14606"/>
  <c r="HA246" i="14608" s="1"/>
  <c r="H138" i="14606"/>
  <c r="A145" i="14606"/>
  <c r="B247" i="14608"/>
  <c r="I139" i="14606"/>
  <c r="FN246" i="14608" s="1"/>
  <c r="FM246" i="14608"/>
  <c r="E142" i="14606"/>
  <c r="I138" i="14606"/>
  <c r="EZ246" i="14608" s="1"/>
  <c r="F143" i="14606"/>
  <c r="GZ246" i="14608" l="1"/>
  <c r="G142" i="14606"/>
  <c r="HB246" i="14608" s="1"/>
  <c r="HY246" i="14608"/>
  <c r="HO246" i="14608"/>
  <c r="AC247" i="14608"/>
  <c r="M147" i="14606"/>
  <c r="L148" i="14606"/>
  <c r="A146" i="14606"/>
  <c r="P247" i="14608"/>
  <c r="G143" i="14606"/>
  <c r="C144" i="14606"/>
  <c r="H140" i="14606"/>
  <c r="FY246" i="14608"/>
  <c r="G140" i="14606"/>
  <c r="FZ246" i="14608" s="1"/>
  <c r="I141" i="14606"/>
  <c r="GP246" i="14608" s="1"/>
  <c r="GN246" i="14608"/>
  <c r="IL246" i="14608"/>
  <c r="B145" i="14606"/>
  <c r="J138" i="14606"/>
  <c r="FA246" i="14608" s="1"/>
  <c r="EY246" i="14608"/>
  <c r="H142" i="14606"/>
  <c r="HC246" i="14608" s="1"/>
  <c r="J139" i="14606"/>
  <c r="FO246" i="14608" s="1"/>
  <c r="I142" i="14606" l="1"/>
  <c r="J141" i="14606"/>
  <c r="GQ246" i="14608" s="1"/>
  <c r="H143" i="14606"/>
  <c r="HP246" i="14608"/>
  <c r="C145" i="14606"/>
  <c r="IN246" i="14608" s="1"/>
  <c r="IM246" i="14608"/>
  <c r="D144" i="14606"/>
  <c r="IA246" i="14608" s="1"/>
  <c r="HZ246" i="14608"/>
  <c r="D247" i="14608"/>
  <c r="B146" i="14606"/>
  <c r="C146" i="14606"/>
  <c r="AQ247" i="14608"/>
  <c r="L149" i="14606"/>
  <c r="M148" i="14606"/>
  <c r="A147" i="14606"/>
  <c r="AD247" i="14608"/>
  <c r="I140" i="14606"/>
  <c r="GB246" i="14608" s="1"/>
  <c r="GA246" i="14608"/>
  <c r="E144" i="14606"/>
  <c r="HQ246" i="14608" l="1"/>
  <c r="I143" i="14606"/>
  <c r="HR246" i="14608" s="1"/>
  <c r="F247" i="14608"/>
  <c r="C247" i="14608"/>
  <c r="F144" i="14606"/>
  <c r="IB246" i="14608"/>
  <c r="J142" i="14606"/>
  <c r="HE246" i="14608" s="1"/>
  <c r="HD246" i="14608"/>
  <c r="R247" i="14608"/>
  <c r="B147" i="14606"/>
  <c r="S247" i="14608" s="1"/>
  <c r="C147" i="14606"/>
  <c r="T247" i="14608" s="1"/>
  <c r="D147" i="14606"/>
  <c r="U247" i="14608" s="1"/>
  <c r="A148" i="14606"/>
  <c r="AR247" i="14608"/>
  <c r="E247" i="14608"/>
  <c r="D146" i="14606"/>
  <c r="G247" i="14608" s="1"/>
  <c r="E146" i="14606"/>
  <c r="H247" i="14608" s="1"/>
  <c r="D145" i="14606"/>
  <c r="IO246" i="14608" s="1"/>
  <c r="BE247" i="14608"/>
  <c r="M149" i="14606"/>
  <c r="L150" i="14606"/>
  <c r="J140" i="14606"/>
  <c r="GC246" i="14608" s="1"/>
  <c r="IC246" i="14608" l="1"/>
  <c r="G144" i="14606"/>
  <c r="F146" i="14606"/>
  <c r="I247" i="14608" s="1"/>
  <c r="BS247" i="14608"/>
  <c r="L151" i="14606"/>
  <c r="M150" i="14606"/>
  <c r="E147" i="14606"/>
  <c r="A149" i="14606"/>
  <c r="BF247" i="14608"/>
  <c r="H144" i="14606"/>
  <c r="IE246" i="14608" s="1"/>
  <c r="E145" i="14606"/>
  <c r="J143" i="14606"/>
  <c r="HS246" i="14608" s="1"/>
  <c r="AF247" i="14608"/>
  <c r="B148" i="14606"/>
  <c r="G146" i="14606"/>
  <c r="J247" i="14608" s="1"/>
  <c r="V247" i="14608" l="1"/>
  <c r="AT247" i="14608"/>
  <c r="B149" i="14606"/>
  <c r="AU247" i="14608" s="1"/>
  <c r="A150" i="14606"/>
  <c r="BT247" i="14608"/>
  <c r="F147" i="14606"/>
  <c r="W247" i="14608" s="1"/>
  <c r="CG247" i="14608"/>
  <c r="L152" i="14606"/>
  <c r="M151" i="14606"/>
  <c r="ID246" i="14608"/>
  <c r="I144" i="14606"/>
  <c r="AG247" i="14608"/>
  <c r="D148" i="14606"/>
  <c r="AI247" i="14608" s="1"/>
  <c r="IP246" i="14608"/>
  <c r="F145" i="14606"/>
  <c r="IQ246" i="14608" s="1"/>
  <c r="C148" i="14606"/>
  <c r="AH247" i="14608" s="1"/>
  <c r="H146" i="14606"/>
  <c r="A151" i="14606" l="1"/>
  <c r="CH247" i="14608"/>
  <c r="C149" i="14606"/>
  <c r="I146" i="14606"/>
  <c r="K247" i="14608"/>
  <c r="CU247" i="14608"/>
  <c r="M152" i="14606"/>
  <c r="L153" i="14606"/>
  <c r="J144" i="14606"/>
  <c r="IG246" i="14608" s="1"/>
  <c r="IF246" i="14608"/>
  <c r="G147" i="14606"/>
  <c r="E148" i="14606"/>
  <c r="H145" i="14606"/>
  <c r="IS246" i="14608" s="1"/>
  <c r="BH247" i="14608"/>
  <c r="B150" i="14606"/>
  <c r="G145" i="14606"/>
  <c r="IR246" i="14608" s="1"/>
  <c r="J146" i="14606" l="1"/>
  <c r="M247" i="14608" s="1"/>
  <c r="L247" i="14608"/>
  <c r="AV247" i="14608"/>
  <c r="D149" i="14606"/>
  <c r="F148" i="14606"/>
  <c r="AK247" i="14608" s="1"/>
  <c r="AJ247" i="14608"/>
  <c r="H147" i="14606"/>
  <c r="Y247" i="14608" s="1"/>
  <c r="X247" i="14608"/>
  <c r="BV247" i="14608"/>
  <c r="B151" i="14606"/>
  <c r="C151" i="14606"/>
  <c r="BX247" i="14608" s="1"/>
  <c r="C150" i="14606"/>
  <c r="BI247" i="14608"/>
  <c r="DI247" i="14608"/>
  <c r="M153" i="14606"/>
  <c r="L154" i="14606"/>
  <c r="A152" i="14606"/>
  <c r="CV247" i="14608"/>
  <c r="I145" i="14606"/>
  <c r="D151" i="14606" l="1"/>
  <c r="BY247" i="14608" s="1"/>
  <c r="BW247" i="14608"/>
  <c r="AW247" i="14608"/>
  <c r="CJ247" i="14608"/>
  <c r="B152" i="14606"/>
  <c r="C152" i="14606" s="1"/>
  <c r="I147" i="14606"/>
  <c r="J145" i="14606"/>
  <c r="IU246" i="14608" s="1"/>
  <c r="IT246" i="14608"/>
  <c r="BJ247" i="14608"/>
  <c r="D150" i="14606"/>
  <c r="DW247" i="14608"/>
  <c r="L155" i="14606"/>
  <c r="M154" i="14606"/>
  <c r="E149" i="14606"/>
  <c r="A153" i="14606"/>
  <c r="DJ247" i="14608"/>
  <c r="G148" i="14606"/>
  <c r="AL247" i="14608" s="1"/>
  <c r="E151" i="14606"/>
  <c r="BZ247" i="14608" s="1"/>
  <c r="H148" i="14606"/>
  <c r="CL247" i="14608" l="1"/>
  <c r="J147" i="14606"/>
  <c r="AA247" i="14608" s="1"/>
  <c r="Z247" i="14608"/>
  <c r="AX247" i="14608"/>
  <c r="F149" i="14606"/>
  <c r="AY247" i="14608" s="1"/>
  <c r="I148" i="14606"/>
  <c r="AN247" i="14608" s="1"/>
  <c r="AM247" i="14608"/>
  <c r="E150" i="14606"/>
  <c r="BL247" i="14608" s="1"/>
  <c r="BK247" i="14608"/>
  <c r="F150" i="14606"/>
  <c r="BM247" i="14608" s="1"/>
  <c r="A154" i="14606"/>
  <c r="DX247" i="14608"/>
  <c r="EK247" i="14608"/>
  <c r="L156" i="14606"/>
  <c r="M155" i="14606"/>
  <c r="CK247" i="14608"/>
  <c r="D152" i="14606"/>
  <c r="CM247" i="14608" s="1"/>
  <c r="CX247" i="14608"/>
  <c r="B153" i="14606"/>
  <c r="CY247" i="14608" s="1"/>
  <c r="C153" i="14606"/>
  <c r="CZ247" i="14608" s="1"/>
  <c r="F151" i="14606"/>
  <c r="G150" i="14606" l="1"/>
  <c r="G151" i="14606"/>
  <c r="CA247" i="14608"/>
  <c r="J148" i="14606"/>
  <c r="AO247" i="14608" s="1"/>
  <c r="F153" i="14606"/>
  <c r="DC247" i="14608" s="1"/>
  <c r="A155" i="14606"/>
  <c r="EL247" i="14608"/>
  <c r="EY247" i="14608"/>
  <c r="L157" i="14606"/>
  <c r="M156" i="14606"/>
  <c r="G149" i="14606"/>
  <c r="E152" i="14606"/>
  <c r="DL247" i="14608"/>
  <c r="B154" i="14606"/>
  <c r="DM247" i="14608" s="1"/>
  <c r="C154" i="14606"/>
  <c r="DN247" i="14608" s="1"/>
  <c r="D153" i="14606"/>
  <c r="E153" i="14606"/>
  <c r="DB247" i="14608" s="1"/>
  <c r="A156" i="14606" l="1"/>
  <c r="EZ247" i="14608"/>
  <c r="AZ247" i="14608"/>
  <c r="H149" i="14606"/>
  <c r="G153" i="14606"/>
  <c r="DD247" i="14608" s="1"/>
  <c r="DA247" i="14608"/>
  <c r="FM247" i="14608"/>
  <c r="M157" i="14606"/>
  <c r="L158" i="14606"/>
  <c r="H151" i="14606"/>
  <c r="CB247" i="14608"/>
  <c r="CN247" i="14608"/>
  <c r="F152" i="14606"/>
  <c r="DZ247" i="14608"/>
  <c r="B155" i="14606"/>
  <c r="C155" i="14606"/>
  <c r="EB247" i="14608" s="1"/>
  <c r="BN247" i="14608"/>
  <c r="H150" i="14606"/>
  <c r="D154" i="14606"/>
  <c r="DO247" i="14608" s="1"/>
  <c r="CC247" i="14608" l="1"/>
  <c r="I151" i="14606"/>
  <c r="CD247" i="14608" s="1"/>
  <c r="I149" i="14606"/>
  <c r="BA247" i="14608"/>
  <c r="H153" i="14606"/>
  <c r="GA247" i="14608"/>
  <c r="M158" i="14606"/>
  <c r="L159" i="14606"/>
  <c r="BO247" i="14608"/>
  <c r="EA247" i="14608"/>
  <c r="D155" i="14606"/>
  <c r="EC247" i="14608" s="1"/>
  <c r="A157" i="14606"/>
  <c r="FN247" i="14608"/>
  <c r="EN247" i="14608"/>
  <c r="B156" i="14606"/>
  <c r="J151" i="14606"/>
  <c r="CE247" i="14608" s="1"/>
  <c r="I150" i="14606"/>
  <c r="BP247" i="14608" s="1"/>
  <c r="E155" i="14606"/>
  <c r="ED247" i="14608" s="1"/>
  <c r="F154" i="14606"/>
  <c r="DQ247" i="14608" s="1"/>
  <c r="E154" i="14606"/>
  <c r="DP247" i="14608" s="1"/>
  <c r="G152" i="14606"/>
  <c r="CO247" i="14608"/>
  <c r="EO247" i="14608" l="1"/>
  <c r="GO247" i="14608"/>
  <c r="L160" i="14606"/>
  <c r="M159" i="14606"/>
  <c r="A158" i="14606"/>
  <c r="GB247" i="14608"/>
  <c r="FB247" i="14608"/>
  <c r="B157" i="14606"/>
  <c r="C157" i="14606" s="1"/>
  <c r="I153" i="14606"/>
  <c r="DE247" i="14608"/>
  <c r="G154" i="14606"/>
  <c r="F155" i="14606"/>
  <c r="BB247" i="14608"/>
  <c r="J149" i="14606"/>
  <c r="BC247" i="14608" s="1"/>
  <c r="CP247" i="14608"/>
  <c r="H152" i="14606"/>
  <c r="I152" i="14606" s="1"/>
  <c r="CR247" i="14608" s="1"/>
  <c r="D156" i="14606"/>
  <c r="EQ247" i="14608" s="1"/>
  <c r="C156" i="14606"/>
  <c r="EP247" i="14608" s="1"/>
  <c r="J150" i="14606"/>
  <c r="BQ247" i="14608" s="1"/>
  <c r="FD247" i="14608" l="1"/>
  <c r="D157" i="14606"/>
  <c r="FE247" i="14608" s="1"/>
  <c r="FP247" i="14608"/>
  <c r="B158" i="14606"/>
  <c r="A159" i="14606"/>
  <c r="GP247" i="14608"/>
  <c r="H154" i="14606"/>
  <c r="DS247" i="14608" s="1"/>
  <c r="DR247" i="14608"/>
  <c r="G155" i="14606"/>
  <c r="HC247" i="14608"/>
  <c r="L161" i="14606"/>
  <c r="M160" i="14606"/>
  <c r="CQ247" i="14608"/>
  <c r="J152" i="14606"/>
  <c r="CS247" i="14608" s="1"/>
  <c r="E156" i="14606"/>
  <c r="ER247" i="14608" s="1"/>
  <c r="EE247" i="14608"/>
  <c r="DF247" i="14608"/>
  <c r="J153" i="14606"/>
  <c r="DG247" i="14608" s="1"/>
  <c r="FC247" i="14608"/>
  <c r="E157" i="14606"/>
  <c r="FF247" i="14608" s="1"/>
  <c r="H155" i="14606" l="1"/>
  <c r="EF247" i="14608"/>
  <c r="I154" i="14606"/>
  <c r="DT247" i="14608" s="1"/>
  <c r="C158" i="14606"/>
  <c r="FR247" i="14608" s="1"/>
  <c r="F157" i="14606"/>
  <c r="HQ247" i="14608"/>
  <c r="L162" i="14606"/>
  <c r="M161" i="14606"/>
  <c r="F156" i="14606"/>
  <c r="J154" i="14606"/>
  <c r="DU247" i="14608" s="1"/>
  <c r="GD247" i="14608"/>
  <c r="B159" i="14606"/>
  <c r="C159" i="14606" s="1"/>
  <c r="FQ247" i="14608"/>
  <c r="A160" i="14606"/>
  <c r="HD247" i="14608"/>
  <c r="G156" i="14606"/>
  <c r="GF247" i="14608" l="1"/>
  <c r="FG247" i="14608"/>
  <c r="G157" i="14606"/>
  <c r="FH247" i="14608" s="1"/>
  <c r="H157" i="14606"/>
  <c r="I157" i="14606" s="1"/>
  <c r="FJ247" i="14608" s="1"/>
  <c r="H156" i="14606"/>
  <c r="EU247" i="14608" s="1"/>
  <c r="ET247" i="14608"/>
  <c r="ES247" i="14608"/>
  <c r="GE247" i="14608"/>
  <c r="GR247" i="14608"/>
  <c r="B160" i="14606"/>
  <c r="GS247" i="14608" s="1"/>
  <c r="EG247" i="14608"/>
  <c r="I155" i="14606"/>
  <c r="D158" i="14606"/>
  <c r="A161" i="14606"/>
  <c r="HR247" i="14608"/>
  <c r="D159" i="14606"/>
  <c r="GG247" i="14608" s="1"/>
  <c r="IE247" i="14608"/>
  <c r="L163" i="14606"/>
  <c r="M162" i="14606"/>
  <c r="FS247" i="14608" l="1"/>
  <c r="EH247" i="14608"/>
  <c r="J155" i="14606"/>
  <c r="EI247" i="14608" s="1"/>
  <c r="E158" i="14606"/>
  <c r="FT247" i="14608" s="1"/>
  <c r="IS247" i="14608"/>
  <c r="L164" i="14606"/>
  <c r="M163" i="14606"/>
  <c r="J157" i="14606"/>
  <c r="FK247" i="14608" s="1"/>
  <c r="FI247" i="14608"/>
  <c r="A162" i="14606"/>
  <c r="IF247" i="14608"/>
  <c r="D160" i="14606"/>
  <c r="GU247" i="14608" s="1"/>
  <c r="I156" i="14606"/>
  <c r="E159" i="14606"/>
  <c r="C160" i="14606"/>
  <c r="HF247" i="14608"/>
  <c r="B161" i="14606"/>
  <c r="K248" i="14608" l="1"/>
  <c r="M164" i="14606"/>
  <c r="L165" i="14606"/>
  <c r="C161" i="14606"/>
  <c r="HH247" i="14608" s="1"/>
  <c r="HG247" i="14608"/>
  <c r="HT247" i="14608"/>
  <c r="B162" i="14606"/>
  <c r="HU247" i="14608" s="1"/>
  <c r="C162" i="14606"/>
  <c r="D161" i="14606"/>
  <c r="GT247" i="14608"/>
  <c r="E160" i="14606"/>
  <c r="GV247" i="14608" s="1"/>
  <c r="G158" i="14606"/>
  <c r="FV247" i="14608" s="1"/>
  <c r="EV247" i="14608"/>
  <c r="J156" i="14606"/>
  <c r="EW247" i="14608" s="1"/>
  <c r="F158" i="14606"/>
  <c r="FU247" i="14608" s="1"/>
  <c r="GH247" i="14608"/>
  <c r="F159" i="14606"/>
  <c r="A163" i="14606"/>
  <c r="IT247" i="14608"/>
  <c r="H158" i="14606" l="1"/>
  <c r="F160" i="14606"/>
  <c r="E161" i="14606"/>
  <c r="HI247" i="14608"/>
  <c r="D162" i="14606"/>
  <c r="HV247" i="14608"/>
  <c r="Y248" i="14608"/>
  <c r="L166" i="14606"/>
  <c r="M165" i="14606"/>
  <c r="IH247" i="14608"/>
  <c r="B163" i="14606"/>
  <c r="GI247" i="14608"/>
  <c r="H159" i="14606"/>
  <c r="G159" i="14606"/>
  <c r="GJ247" i="14608" s="1"/>
  <c r="A164" i="14606"/>
  <c r="L248" i="14608"/>
  <c r="I159" i="14606" l="1"/>
  <c r="GL247" i="14608" s="1"/>
  <c r="GK247" i="14608"/>
  <c r="C163" i="14606"/>
  <c r="II247" i="14608"/>
  <c r="HJ247" i="14608"/>
  <c r="F161" i="14606"/>
  <c r="HK247" i="14608" s="1"/>
  <c r="HW247" i="14608"/>
  <c r="E162" i="14606"/>
  <c r="HX247" i="14608" s="1"/>
  <c r="F162" i="14606"/>
  <c r="HY247" i="14608" s="1"/>
  <c r="IV247" i="14608"/>
  <c r="B164" i="14606"/>
  <c r="C164" i="14606" s="1"/>
  <c r="J159" i="14606"/>
  <c r="GM247" i="14608" s="1"/>
  <c r="Z248" i="14608"/>
  <c r="M248" i="14608"/>
  <c r="A165" i="14606"/>
  <c r="G160" i="14606"/>
  <c r="GW247" i="14608"/>
  <c r="AM248" i="14608"/>
  <c r="L167" i="14606"/>
  <c r="M166" i="14606"/>
  <c r="I158" i="14606"/>
  <c r="FW247" i="14608"/>
  <c r="B248" i="14608" l="1"/>
  <c r="G162" i="14606"/>
  <c r="BA248" i="14608"/>
  <c r="M167" i="14606"/>
  <c r="L168" i="14606"/>
  <c r="D164" i="14606"/>
  <c r="C248" i="14608" s="1"/>
  <c r="GX247" i="14608"/>
  <c r="H160" i="14606"/>
  <c r="GY247" i="14608" s="1"/>
  <c r="IJ247" i="14608"/>
  <c r="D163" i="14606"/>
  <c r="N248" i="14608"/>
  <c r="B165" i="14606"/>
  <c r="A248" i="14608"/>
  <c r="FX247" i="14608"/>
  <c r="J158" i="14606"/>
  <c r="FY247" i="14608" s="1"/>
  <c r="A166" i="14606"/>
  <c r="AN248" i="14608"/>
  <c r="G161" i="14606"/>
  <c r="HZ247" i="14608" l="1"/>
  <c r="I160" i="14606"/>
  <c r="H162" i="14606"/>
  <c r="IA247" i="14608" s="1"/>
  <c r="A167" i="14606"/>
  <c r="BB248" i="14608"/>
  <c r="HL247" i="14608"/>
  <c r="C165" i="14606"/>
  <c r="P248" i="14608" s="1"/>
  <c r="IK247" i="14608"/>
  <c r="AB248" i="14608"/>
  <c r="B166" i="14606"/>
  <c r="O248" i="14608"/>
  <c r="D165" i="14606"/>
  <c r="Q248" i="14608" s="1"/>
  <c r="H161" i="14606"/>
  <c r="HM247" i="14608" s="1"/>
  <c r="E163" i="14606"/>
  <c r="F163" i="14606" s="1"/>
  <c r="BO248" i="14608"/>
  <c r="L169" i="14606"/>
  <c r="M168" i="14606"/>
  <c r="E164" i="14606"/>
  <c r="G163" i="14606" l="1"/>
  <c r="IN247" i="14608" s="1"/>
  <c r="IM247" i="14608"/>
  <c r="AP248" i="14608"/>
  <c r="B167" i="14606"/>
  <c r="AQ248" i="14608" s="1"/>
  <c r="C167" i="14606"/>
  <c r="AR248" i="14608" s="1"/>
  <c r="J160" i="14606"/>
  <c r="HA247" i="14608" s="1"/>
  <c r="GZ247" i="14608"/>
  <c r="AC248" i="14608"/>
  <c r="C166" i="14606"/>
  <c r="D248" i="14608"/>
  <c r="I162" i="14606"/>
  <c r="IL247" i="14608"/>
  <c r="H163" i="14606"/>
  <c r="IO247" i="14608" s="1"/>
  <c r="A168" i="14606"/>
  <c r="BP248" i="14608"/>
  <c r="I163" i="14606"/>
  <c r="F164" i="14606"/>
  <c r="E248" i="14608" s="1"/>
  <c r="CC248" i="14608"/>
  <c r="M169" i="14606"/>
  <c r="L170" i="14606"/>
  <c r="I161" i="14606"/>
  <c r="E165" i="14606"/>
  <c r="J163" i="14606" l="1"/>
  <c r="IQ247" i="14608" s="1"/>
  <c r="IP247" i="14608"/>
  <c r="R248" i="14608"/>
  <c r="F165" i="14606"/>
  <c r="S248" i="14608" s="1"/>
  <c r="D167" i="14606"/>
  <c r="D166" i="14606"/>
  <c r="AD248" i="14608"/>
  <c r="G164" i="14606"/>
  <c r="F248" i="14608" s="1"/>
  <c r="H164" i="14606"/>
  <c r="J161" i="14606"/>
  <c r="HO247" i="14608" s="1"/>
  <c r="HN247" i="14608"/>
  <c r="BD248" i="14608"/>
  <c r="B168" i="14606"/>
  <c r="CQ248" i="14608"/>
  <c r="L171" i="14606"/>
  <c r="M170" i="14606"/>
  <c r="A169" i="14606"/>
  <c r="CD248" i="14608"/>
  <c r="J162" i="14606"/>
  <c r="IC247" i="14608" s="1"/>
  <c r="IB247" i="14608"/>
  <c r="BR248" i="14608" l="1"/>
  <c r="B169" i="14606"/>
  <c r="BS248" i="14608" s="1"/>
  <c r="C169" i="14606"/>
  <c r="BT248" i="14608" s="1"/>
  <c r="AS248" i="14608"/>
  <c r="E167" i="14606"/>
  <c r="AT248" i="14608" s="1"/>
  <c r="DE248" i="14608"/>
  <c r="L172" i="14606"/>
  <c r="M171" i="14606"/>
  <c r="J164" i="14606"/>
  <c r="I248" i="14608" s="1"/>
  <c r="I164" i="14606"/>
  <c r="H248" i="14608" s="1"/>
  <c r="G248" i="14608"/>
  <c r="AE248" i="14608"/>
  <c r="E166" i="14606"/>
  <c r="AF248" i="14608" s="1"/>
  <c r="A170" i="14606"/>
  <c r="CR248" i="14608"/>
  <c r="G165" i="14606"/>
  <c r="H165" i="14606"/>
  <c r="C168" i="14606"/>
  <c r="BE248" i="14608"/>
  <c r="I165" i="14606" l="1"/>
  <c r="V248" i="14608" s="1"/>
  <c r="U248" i="14608"/>
  <c r="T248" i="14608"/>
  <c r="J165" i="14606"/>
  <c r="W248" i="14608" s="1"/>
  <c r="D169" i="14606"/>
  <c r="BF248" i="14608"/>
  <c r="D168" i="14606"/>
  <c r="BG248" i="14608" s="1"/>
  <c r="G166" i="14606"/>
  <c r="A171" i="14606"/>
  <c r="DF248" i="14608"/>
  <c r="F167" i="14606"/>
  <c r="G167" i="14606" s="1"/>
  <c r="CF248" i="14608"/>
  <c r="B170" i="14606"/>
  <c r="DS248" i="14608"/>
  <c r="L173" i="14606"/>
  <c r="M172" i="14606"/>
  <c r="F166" i="14606"/>
  <c r="AV248" i="14608" l="1"/>
  <c r="CT248" i="14608"/>
  <c r="B171" i="14606"/>
  <c r="CU248" i="14608" s="1"/>
  <c r="C171" i="14606"/>
  <c r="CV248" i="14608" s="1"/>
  <c r="BU248" i="14608"/>
  <c r="E169" i="14606"/>
  <c r="BV248" i="14608" s="1"/>
  <c r="CG248" i="14608"/>
  <c r="H166" i="14606"/>
  <c r="AI248" i="14608" s="1"/>
  <c r="AH248" i="14608"/>
  <c r="C170" i="14606"/>
  <c r="D170" i="14606" s="1"/>
  <c r="AG248" i="14608"/>
  <c r="E168" i="14606"/>
  <c r="A172" i="14606"/>
  <c r="DT248" i="14608"/>
  <c r="AU248" i="14608"/>
  <c r="H167" i="14606"/>
  <c r="AW248" i="14608" s="1"/>
  <c r="EG248" i="14608"/>
  <c r="M173" i="14606"/>
  <c r="L174" i="14606"/>
  <c r="E170" i="14606" l="1"/>
  <c r="CJ248" i="14608" s="1"/>
  <c r="CI248" i="14608"/>
  <c r="D171" i="14606"/>
  <c r="CW248" i="14608" s="1"/>
  <c r="CH248" i="14608"/>
  <c r="F170" i="14606"/>
  <c r="EU248" i="14608"/>
  <c r="M174" i="14606"/>
  <c r="L175" i="14606"/>
  <c r="A173" i="14606"/>
  <c r="EH248" i="14608"/>
  <c r="I167" i="14606"/>
  <c r="AX248" i="14608" s="1"/>
  <c r="BH248" i="14608"/>
  <c r="F168" i="14606"/>
  <c r="BI248" i="14608" s="1"/>
  <c r="DH248" i="14608"/>
  <c r="B172" i="14606"/>
  <c r="DI248" i="14608" s="1"/>
  <c r="C172" i="14606"/>
  <c r="DJ248" i="14608" s="1"/>
  <c r="I166" i="14606"/>
  <c r="AJ248" i="14608" s="1"/>
  <c r="F169" i="14606"/>
  <c r="J167" i="14606"/>
  <c r="AY248" i="14608" s="1"/>
  <c r="A174" i="14606" l="1"/>
  <c r="EV248" i="14608"/>
  <c r="D172" i="14606"/>
  <c r="DK248" i="14608" s="1"/>
  <c r="G170" i="14606"/>
  <c r="CK248" i="14608"/>
  <c r="H168" i="14606"/>
  <c r="BK248" i="14608" s="1"/>
  <c r="E171" i="14606"/>
  <c r="DV248" i="14608"/>
  <c r="B173" i="14606"/>
  <c r="BW248" i="14608"/>
  <c r="G169" i="14606"/>
  <c r="BX248" i="14608" s="1"/>
  <c r="G168" i="14606"/>
  <c r="BJ248" i="14608" s="1"/>
  <c r="J166" i="14606"/>
  <c r="AK248" i="14608" s="1"/>
  <c r="FI248" i="14608"/>
  <c r="M175" i="14606"/>
  <c r="L176" i="14606"/>
  <c r="C173" i="14606" l="1"/>
  <c r="DW248" i="14608"/>
  <c r="CL248" i="14608"/>
  <c r="A175" i="14606"/>
  <c r="FJ248" i="14608"/>
  <c r="I168" i="14606"/>
  <c r="E172" i="14606"/>
  <c r="CX248" i="14608"/>
  <c r="F171" i="14606"/>
  <c r="FW248" i="14608"/>
  <c r="L177" i="14606"/>
  <c r="M176" i="14606"/>
  <c r="H169" i="14606"/>
  <c r="H170" i="14606"/>
  <c r="CM248" i="14608" s="1"/>
  <c r="EJ248" i="14608"/>
  <c r="B174" i="14606"/>
  <c r="CY248" i="14608" l="1"/>
  <c r="G171" i="14606"/>
  <c r="CZ248" i="14608" s="1"/>
  <c r="EX248" i="14608"/>
  <c r="B175" i="14606"/>
  <c r="I170" i="14606"/>
  <c r="J168" i="14606"/>
  <c r="BM248" i="14608" s="1"/>
  <c r="BL248" i="14608"/>
  <c r="GK248" i="14608"/>
  <c r="L178" i="14606"/>
  <c r="M177" i="14606"/>
  <c r="F172" i="14606"/>
  <c r="DL248" i="14608"/>
  <c r="BY248" i="14608"/>
  <c r="A176" i="14606"/>
  <c r="FX248" i="14608"/>
  <c r="EK248" i="14608"/>
  <c r="C174" i="14606"/>
  <c r="I169" i="14606"/>
  <c r="BZ248" i="14608" s="1"/>
  <c r="DX248" i="14608"/>
  <c r="D173" i="14606"/>
  <c r="A177" i="14606" l="1"/>
  <c r="GL248" i="14608"/>
  <c r="C175" i="14606"/>
  <c r="EY248" i="14608"/>
  <c r="DM248" i="14608"/>
  <c r="GY248" i="14608"/>
  <c r="M178" i="14606"/>
  <c r="L179" i="14606"/>
  <c r="J169" i="14606"/>
  <c r="CA248" i="14608" s="1"/>
  <c r="H171" i="14606"/>
  <c r="DY248" i="14608"/>
  <c r="E173" i="14606"/>
  <c r="DZ248" i="14608" s="1"/>
  <c r="FL248" i="14608"/>
  <c r="B176" i="14606"/>
  <c r="FM248" i="14608" s="1"/>
  <c r="C176" i="14606"/>
  <c r="FN248" i="14608" s="1"/>
  <c r="D174" i="14606"/>
  <c r="EL248" i="14608"/>
  <c r="E174" i="14606"/>
  <c r="EN248" i="14608" s="1"/>
  <c r="G172" i="14606"/>
  <c r="DN248" i="14608" s="1"/>
  <c r="F174" i="14606"/>
  <c r="EO248" i="14608" s="1"/>
  <c r="J170" i="14606"/>
  <c r="CO248" i="14608" s="1"/>
  <c r="CN248" i="14608"/>
  <c r="I171" i="14606" l="1"/>
  <c r="DB248" i="14608" s="1"/>
  <c r="DA248" i="14608"/>
  <c r="HM248" i="14608"/>
  <c r="L180" i="14606"/>
  <c r="M179" i="14606"/>
  <c r="EZ248" i="14608"/>
  <c r="G174" i="14606"/>
  <c r="J171" i="14606"/>
  <c r="DC248" i="14608" s="1"/>
  <c r="FZ248" i="14608"/>
  <c r="B177" i="14606"/>
  <c r="A178" i="14606"/>
  <c r="GZ248" i="14608"/>
  <c r="E176" i="14606"/>
  <c r="FP248" i="14608" s="1"/>
  <c r="EM248" i="14608"/>
  <c r="F173" i="14606"/>
  <c r="I172" i="14606"/>
  <c r="DP248" i="14608" s="1"/>
  <c r="D175" i="14606"/>
  <c r="E175" i="14606" s="1"/>
  <c r="D176" i="14606"/>
  <c r="FO248" i="14608" s="1"/>
  <c r="H172" i="14606"/>
  <c r="DO248" i="14608" s="1"/>
  <c r="G175" i="14606" l="1"/>
  <c r="FD248" i="14608" s="1"/>
  <c r="FB248" i="14608"/>
  <c r="G173" i="14606"/>
  <c r="EB248" i="14608" s="1"/>
  <c r="EA248" i="14608"/>
  <c r="H173" i="14606"/>
  <c r="F175" i="14606"/>
  <c r="FC248" i="14608" s="1"/>
  <c r="FA248" i="14608"/>
  <c r="H175" i="14606"/>
  <c r="FE248" i="14608" s="1"/>
  <c r="GA248" i="14608"/>
  <c r="C177" i="14606"/>
  <c r="GB248" i="14608" s="1"/>
  <c r="A179" i="14606"/>
  <c r="HN248" i="14608"/>
  <c r="IA248" i="14608"/>
  <c r="M180" i="14606"/>
  <c r="L181" i="14606"/>
  <c r="H174" i="14606"/>
  <c r="EQ248" i="14608" s="1"/>
  <c r="EP248" i="14608"/>
  <c r="F176" i="14606"/>
  <c r="GN248" i="14608"/>
  <c r="B178" i="14606"/>
  <c r="GO248" i="14608" s="1"/>
  <c r="J172" i="14606"/>
  <c r="DQ248" i="14608" s="1"/>
  <c r="I173" i="14606" l="1"/>
  <c r="EC248" i="14608"/>
  <c r="FQ248" i="14608"/>
  <c r="G176" i="14606"/>
  <c r="FR248" i="14608" s="1"/>
  <c r="HB248" i="14608"/>
  <c r="B179" i="14606"/>
  <c r="HC248" i="14608" s="1"/>
  <c r="C178" i="14606"/>
  <c r="A180" i="14606"/>
  <c r="IB248" i="14608"/>
  <c r="D177" i="14606"/>
  <c r="GC248" i="14608" s="1"/>
  <c r="E177" i="14606"/>
  <c r="IO248" i="14608"/>
  <c r="M181" i="14606"/>
  <c r="L182" i="14606"/>
  <c r="I175" i="14606"/>
  <c r="I174" i="14606"/>
  <c r="HP248" i="14608" l="1"/>
  <c r="B180" i="14606"/>
  <c r="HQ248" i="14608" s="1"/>
  <c r="C180" i="14606"/>
  <c r="HR248" i="14608" s="1"/>
  <c r="D180" i="14606"/>
  <c r="HS248" i="14608" s="1"/>
  <c r="GP248" i="14608"/>
  <c r="E178" i="14606"/>
  <c r="GR248" i="14608" s="1"/>
  <c r="D178" i="14606"/>
  <c r="GQ248" i="14608" s="1"/>
  <c r="G249" i="14608"/>
  <c r="M182" i="14606"/>
  <c r="L183" i="14606"/>
  <c r="A181" i="14606"/>
  <c r="IP248" i="14608"/>
  <c r="H176" i="14606"/>
  <c r="C179" i="14606"/>
  <c r="F177" i="14606"/>
  <c r="GE248" i="14608" s="1"/>
  <c r="GD248" i="14608"/>
  <c r="J175" i="14606"/>
  <c r="FG248" i="14608" s="1"/>
  <c r="FF248" i="14608"/>
  <c r="J174" i="14606"/>
  <c r="ES248" i="14608" s="1"/>
  <c r="ER248" i="14608"/>
  <c r="ED248" i="14608"/>
  <c r="J173" i="14606"/>
  <c r="EE248" i="14608" s="1"/>
  <c r="ID248" i="14608" l="1"/>
  <c r="B181" i="14606"/>
  <c r="C181" i="14606" s="1"/>
  <c r="F178" i="14606"/>
  <c r="G177" i="14606"/>
  <c r="HD248" i="14608"/>
  <c r="E179" i="14606"/>
  <c r="HF248" i="14608" s="1"/>
  <c r="U249" i="14608"/>
  <c r="L184" i="14606"/>
  <c r="M183" i="14606"/>
  <c r="A182" i="14606"/>
  <c r="H249" i="14608"/>
  <c r="D179" i="14606"/>
  <c r="HE248" i="14608" s="1"/>
  <c r="E180" i="14606"/>
  <c r="HT248" i="14608" s="1"/>
  <c r="F180" i="14606"/>
  <c r="I176" i="14606"/>
  <c r="FS248" i="14608"/>
  <c r="D181" i="14606" l="1"/>
  <c r="IG248" i="14608" s="1"/>
  <c r="IF248" i="14608"/>
  <c r="IR248" i="14608"/>
  <c r="B182" i="14606"/>
  <c r="C182" i="14606"/>
  <c r="A183" i="14606"/>
  <c r="V249" i="14608"/>
  <c r="FT248" i="14608"/>
  <c r="J176" i="14606"/>
  <c r="FU248" i="14608" s="1"/>
  <c r="AI249" i="14608"/>
  <c r="L185" i="14606"/>
  <c r="M184" i="14606"/>
  <c r="G180" i="14606"/>
  <c r="HV248" i="14608" s="1"/>
  <c r="HU248" i="14608"/>
  <c r="F179" i="14606"/>
  <c r="HG248" i="14608" s="1"/>
  <c r="IE248" i="14608"/>
  <c r="E181" i="14606"/>
  <c r="H177" i="14606"/>
  <c r="GG248" i="14608" s="1"/>
  <c r="GF248" i="14608"/>
  <c r="G178" i="14606"/>
  <c r="GS248" i="14608"/>
  <c r="G179" i="14606"/>
  <c r="HH248" i="14608" s="1"/>
  <c r="IS248" i="14608" l="1"/>
  <c r="AW249" i="14608"/>
  <c r="M185" i="14606"/>
  <c r="L186" i="14606"/>
  <c r="H179" i="14606"/>
  <c r="F181" i="14606"/>
  <c r="II248" i="14608" s="1"/>
  <c r="IH248" i="14608"/>
  <c r="D182" i="14606"/>
  <c r="IU248" i="14608" s="1"/>
  <c r="IT248" i="14608"/>
  <c r="A184" i="14606"/>
  <c r="AJ249" i="14608"/>
  <c r="GT248" i="14608"/>
  <c r="H178" i="14606"/>
  <c r="H180" i="14606"/>
  <c r="HW248" i="14608" s="1"/>
  <c r="J249" i="14608"/>
  <c r="B183" i="14606"/>
  <c r="C183" i="14606"/>
  <c r="L249" i="14608" s="1"/>
  <c r="I177" i="14606"/>
  <c r="K249" i="14608" l="1"/>
  <c r="X249" i="14608"/>
  <c r="B184" i="14606"/>
  <c r="Y249" i="14608" s="1"/>
  <c r="BK249" i="14608"/>
  <c r="M186" i="14606"/>
  <c r="L187" i="14606"/>
  <c r="A185" i="14606"/>
  <c r="AX249" i="14608"/>
  <c r="I178" i="14606"/>
  <c r="GV248" i="14608" s="1"/>
  <c r="GU248" i="14608"/>
  <c r="E182" i="14606"/>
  <c r="J177" i="14606"/>
  <c r="GI248" i="14608" s="1"/>
  <c r="GH248" i="14608"/>
  <c r="I179" i="14606"/>
  <c r="HI248" i="14608"/>
  <c r="D183" i="14606"/>
  <c r="I180" i="14606"/>
  <c r="G181" i="14606"/>
  <c r="IV248" i="14608" l="1"/>
  <c r="A186" i="14606"/>
  <c r="BL249" i="14608"/>
  <c r="BY249" i="14608"/>
  <c r="L188" i="14606"/>
  <c r="M187" i="14606"/>
  <c r="F182" i="14606"/>
  <c r="C184" i="14606"/>
  <c r="J179" i="14606"/>
  <c r="HK248" i="14608" s="1"/>
  <c r="HJ248" i="14608"/>
  <c r="J180" i="14606"/>
  <c r="HY248" i="14608" s="1"/>
  <c r="HX248" i="14608"/>
  <c r="J178" i="14606"/>
  <c r="GW248" i="14608" s="1"/>
  <c r="IJ248" i="14608"/>
  <c r="H181" i="14606"/>
  <c r="E183" i="14606"/>
  <c r="M249" i="14608"/>
  <c r="AL249" i="14608"/>
  <c r="B185" i="14606"/>
  <c r="C185" i="14606"/>
  <c r="AN249" i="14608" s="1"/>
  <c r="D185" i="14606" l="1"/>
  <c r="AM249" i="14608"/>
  <c r="AZ249" i="14608"/>
  <c r="B186" i="14606"/>
  <c r="C186" i="14606"/>
  <c r="BB249" i="14608" s="1"/>
  <c r="CM249" i="14608"/>
  <c r="M188" i="14606"/>
  <c r="L189" i="14606"/>
  <c r="N249" i="14608"/>
  <c r="F183" i="14606"/>
  <c r="O249" i="14608" s="1"/>
  <c r="A187" i="14606"/>
  <c r="BZ249" i="14608"/>
  <c r="I181" i="14606"/>
  <c r="IK248" i="14608"/>
  <c r="Z249" i="14608"/>
  <c r="D184" i="14606"/>
  <c r="G182" i="14606"/>
  <c r="A249" i="14608"/>
  <c r="B249" i="14608" l="1"/>
  <c r="H182" i="14606"/>
  <c r="C249" i="14608" s="1"/>
  <c r="BA249" i="14608"/>
  <c r="D186" i="14606"/>
  <c r="BC249" i="14608" s="1"/>
  <c r="G183" i="14606"/>
  <c r="P249" i="14608" s="1"/>
  <c r="AA249" i="14608"/>
  <c r="DA249" i="14608"/>
  <c r="M189" i="14606"/>
  <c r="L190" i="14606"/>
  <c r="E184" i="14606"/>
  <c r="AB249" i="14608" s="1"/>
  <c r="A188" i="14606"/>
  <c r="CN249" i="14608"/>
  <c r="AO249" i="14608"/>
  <c r="E185" i="14606"/>
  <c r="J181" i="14606"/>
  <c r="IM248" i="14608" s="1"/>
  <c r="IL248" i="14608"/>
  <c r="BN249" i="14608"/>
  <c r="B187" i="14606"/>
  <c r="DO249" i="14608" l="1"/>
  <c r="M190" i="14606"/>
  <c r="L191" i="14606"/>
  <c r="A189" i="14606"/>
  <c r="DB249" i="14608"/>
  <c r="H183" i="14606"/>
  <c r="Q249" i="14608" s="1"/>
  <c r="E186" i="14606"/>
  <c r="AP249" i="14608"/>
  <c r="F185" i="14606"/>
  <c r="AQ249" i="14608" s="1"/>
  <c r="C187" i="14606"/>
  <c r="BO249" i="14608"/>
  <c r="F184" i="14606"/>
  <c r="I183" i="14606"/>
  <c r="J183" i="14606" s="1"/>
  <c r="S249" i="14608" s="1"/>
  <c r="CB249" i="14608"/>
  <c r="B188" i="14606"/>
  <c r="I182" i="14606"/>
  <c r="G185" i="14606" l="1"/>
  <c r="AR249" i="14608" s="1"/>
  <c r="CP249" i="14608"/>
  <c r="B189" i="14606"/>
  <c r="C189" i="14606" s="1"/>
  <c r="CC249" i="14608"/>
  <c r="BP249" i="14608"/>
  <c r="D187" i="14606"/>
  <c r="BQ249" i="14608" s="1"/>
  <c r="I249" i="14608"/>
  <c r="R249" i="14608"/>
  <c r="EC249" i="14608"/>
  <c r="M191" i="14606"/>
  <c r="L192" i="14606"/>
  <c r="D249" i="14608"/>
  <c r="J182" i="14606"/>
  <c r="E249" i="14608" s="1"/>
  <c r="G184" i="14606"/>
  <c r="AD249" i="14608" s="1"/>
  <c r="AC249" i="14608"/>
  <c r="BD249" i="14608"/>
  <c r="F186" i="14606"/>
  <c r="A190" i="14606"/>
  <c r="DP249" i="14608"/>
  <c r="C188" i="14606"/>
  <c r="H185" i="14606"/>
  <c r="AS249" i="14608" s="1"/>
  <c r="CR249" i="14608" l="1"/>
  <c r="D189" i="14606"/>
  <c r="CS249" i="14608" s="1"/>
  <c r="E189" i="14606"/>
  <c r="CT249" i="14608" s="1"/>
  <c r="DD249" i="14608"/>
  <c r="B190" i="14606"/>
  <c r="C190" i="14606"/>
  <c r="DF249" i="14608" s="1"/>
  <c r="EQ249" i="14608"/>
  <c r="M192" i="14606"/>
  <c r="L193" i="14606"/>
  <c r="I185" i="14606"/>
  <c r="CD249" i="14608"/>
  <c r="D188" i="14606"/>
  <c r="CE249" i="14608" s="1"/>
  <c r="BE249" i="14608"/>
  <c r="G186" i="14606"/>
  <c r="BF249" i="14608" s="1"/>
  <c r="A191" i="14606"/>
  <c r="ED249" i="14608"/>
  <c r="CQ249" i="14608"/>
  <c r="E187" i="14606"/>
  <c r="BR249" i="14608" s="1"/>
  <c r="H184" i="14606"/>
  <c r="AE249" i="14608" s="1"/>
  <c r="FE249" i="14608" l="1"/>
  <c r="L194" i="14606"/>
  <c r="M193" i="14606"/>
  <c r="J185" i="14606"/>
  <c r="AU249" i="14608" s="1"/>
  <c r="AT249" i="14608"/>
  <c r="A192" i="14606"/>
  <c r="ER249" i="14608"/>
  <c r="H186" i="14606"/>
  <c r="DE249" i="14608"/>
  <c r="D190" i="14606"/>
  <c r="DG249" i="14608" s="1"/>
  <c r="F189" i="14606"/>
  <c r="CU249" i="14608" s="1"/>
  <c r="DR249" i="14608"/>
  <c r="B191" i="14606"/>
  <c r="C191" i="14606"/>
  <c r="DT249" i="14608" s="1"/>
  <c r="I184" i="14606"/>
  <c r="F187" i="14606"/>
  <c r="E188" i="14606"/>
  <c r="G189" i="14606" l="1"/>
  <c r="CV249" i="14608" s="1"/>
  <c r="BS249" i="14608"/>
  <c r="G187" i="14606"/>
  <c r="BT249" i="14608" s="1"/>
  <c r="H187" i="14606"/>
  <c r="BU249" i="14608" s="1"/>
  <c r="J184" i="14606"/>
  <c r="AG249" i="14608" s="1"/>
  <c r="AF249" i="14608"/>
  <c r="E190" i="14606"/>
  <c r="A193" i="14606"/>
  <c r="FF249" i="14608"/>
  <c r="F188" i="14606"/>
  <c r="CG249" i="14608" s="1"/>
  <c r="CF249" i="14608"/>
  <c r="FS249" i="14608"/>
  <c r="L195" i="14606"/>
  <c r="M194" i="14606"/>
  <c r="EF249" i="14608"/>
  <c r="B192" i="14606"/>
  <c r="EG249" i="14608" s="1"/>
  <c r="C192" i="14606"/>
  <c r="EH249" i="14608" s="1"/>
  <c r="BG249" i="14608"/>
  <c r="I186" i="14606"/>
  <c r="DS249" i="14608"/>
  <c r="D191" i="14606"/>
  <c r="E191" i="14606" l="1"/>
  <c r="DV249" i="14608" s="1"/>
  <c r="DU249" i="14608"/>
  <c r="A194" i="14606"/>
  <c r="FT249" i="14608"/>
  <c r="GG249" i="14608"/>
  <c r="L196" i="14606"/>
  <c r="M195" i="14606"/>
  <c r="ET249" i="14608"/>
  <c r="B193" i="14606"/>
  <c r="C193" i="14606"/>
  <c r="EV249" i="14608" s="1"/>
  <c r="H189" i="14606"/>
  <c r="J186" i="14606"/>
  <c r="BI249" i="14608" s="1"/>
  <c r="BH249" i="14608"/>
  <c r="D192" i="14606"/>
  <c r="I187" i="14606"/>
  <c r="DH249" i="14608"/>
  <c r="F190" i="14606"/>
  <c r="G188" i="14606"/>
  <c r="G190" i="14606" l="1"/>
  <c r="DI249" i="14608"/>
  <c r="H190" i="14606"/>
  <c r="A195" i="14606"/>
  <c r="GH249" i="14608"/>
  <c r="I189" i="14606"/>
  <c r="CX249" i="14608" s="1"/>
  <c r="CW249" i="14608"/>
  <c r="J187" i="14606"/>
  <c r="BW249" i="14608" s="1"/>
  <c r="BV249" i="14608"/>
  <c r="EI249" i="14608"/>
  <c r="E192" i="14606"/>
  <c r="EU249" i="14608"/>
  <c r="D193" i="14606"/>
  <c r="FH249" i="14608"/>
  <c r="C194" i="14606"/>
  <c r="B194" i="14606"/>
  <c r="CH249" i="14608"/>
  <c r="H188" i="14606"/>
  <c r="CI249" i="14608" s="1"/>
  <c r="GU249" i="14608"/>
  <c r="L197" i="14606"/>
  <c r="M196" i="14606"/>
  <c r="F191" i="14606"/>
  <c r="EW249" i="14608" l="1"/>
  <c r="E193" i="14606"/>
  <c r="A196" i="14606"/>
  <c r="GV249" i="14608"/>
  <c r="I188" i="14606"/>
  <c r="I190" i="14606"/>
  <c r="DL249" i="14608" s="1"/>
  <c r="DK249" i="14608"/>
  <c r="EJ249" i="14608"/>
  <c r="F192" i="14606"/>
  <c r="D194" i="14606"/>
  <c r="FJ249" i="14608"/>
  <c r="G191" i="14606"/>
  <c r="DX249" i="14608" s="1"/>
  <c r="DW249" i="14608"/>
  <c r="DJ249" i="14608"/>
  <c r="HI249" i="14608"/>
  <c r="L198" i="14606"/>
  <c r="M197" i="14606"/>
  <c r="FV249" i="14608"/>
  <c r="B195" i="14606"/>
  <c r="FW249" i="14608" s="1"/>
  <c r="FI249" i="14608"/>
  <c r="J189" i="14606"/>
  <c r="CY249" i="14608" s="1"/>
  <c r="A197" i="14606" l="1"/>
  <c r="HJ249" i="14608"/>
  <c r="HW249" i="14608"/>
  <c r="M198" i="14606"/>
  <c r="L199" i="14606"/>
  <c r="GJ249" i="14608"/>
  <c r="B196" i="14606"/>
  <c r="EX249" i="14608"/>
  <c r="F193" i="14606"/>
  <c r="J188" i="14606"/>
  <c r="CK249" i="14608" s="1"/>
  <c r="CJ249" i="14608"/>
  <c r="FK249" i="14608"/>
  <c r="J190" i="14606"/>
  <c r="DM249" i="14608" s="1"/>
  <c r="G192" i="14606"/>
  <c r="EK249" i="14608"/>
  <c r="H191" i="14606"/>
  <c r="C195" i="14606"/>
  <c r="D195" i="14606" s="1"/>
  <c r="FY249" i="14608" s="1"/>
  <c r="E194" i="14606"/>
  <c r="C196" i="14606" l="1"/>
  <c r="GK249" i="14608"/>
  <c r="E195" i="14606"/>
  <c r="FZ249" i="14608" s="1"/>
  <c r="FX249" i="14608"/>
  <c r="IK249" i="14608"/>
  <c r="M199" i="14606"/>
  <c r="L200" i="14606"/>
  <c r="A198" i="14606"/>
  <c r="HX249" i="14608"/>
  <c r="EL249" i="14608"/>
  <c r="H192" i="14606"/>
  <c r="I192" i="14606"/>
  <c r="EN249" i="14608" s="1"/>
  <c r="I191" i="14606"/>
  <c r="DY249" i="14608"/>
  <c r="FL249" i="14608"/>
  <c r="F194" i="14606"/>
  <c r="FM249" i="14608" s="1"/>
  <c r="F195" i="14606"/>
  <c r="EY249" i="14608"/>
  <c r="G193" i="14606"/>
  <c r="GX249" i="14608"/>
  <c r="B197" i="14606"/>
  <c r="C197" i="14606"/>
  <c r="GZ249" i="14608" s="1"/>
  <c r="D197" i="14606"/>
  <c r="HA249" i="14608" s="1"/>
  <c r="DZ249" i="14608" l="1"/>
  <c r="J191" i="14606"/>
  <c r="EA249" i="14608" s="1"/>
  <c r="EZ249" i="14608"/>
  <c r="H193" i="14606"/>
  <c r="J192" i="14606"/>
  <c r="EO249" i="14608" s="1"/>
  <c r="EM249" i="14608"/>
  <c r="HL249" i="14608"/>
  <c r="B198" i="14606"/>
  <c r="C198" i="14606"/>
  <c r="HN249" i="14608" s="1"/>
  <c r="A199" i="14606"/>
  <c r="IL249" i="14608"/>
  <c r="G195" i="14606"/>
  <c r="GA249" i="14608"/>
  <c r="GY249" i="14608"/>
  <c r="E197" i="14606"/>
  <c r="HB249" i="14608" s="1"/>
  <c r="F197" i="14606"/>
  <c r="GL249" i="14608"/>
  <c r="D196" i="14606"/>
  <c r="C250" i="14608"/>
  <c r="L201" i="14606"/>
  <c r="M200" i="14606"/>
  <c r="G194" i="14606"/>
  <c r="GB249" i="14608" l="1"/>
  <c r="I193" i="14606"/>
  <c r="FA249" i="14608"/>
  <c r="H194" i="14606"/>
  <c r="FO249" i="14608" s="1"/>
  <c r="FN249" i="14608"/>
  <c r="I194" i="14606"/>
  <c r="H195" i="14606"/>
  <c r="HZ249" i="14608"/>
  <c r="B199" i="14606"/>
  <c r="IA249" i="14608" s="1"/>
  <c r="E196" i="14606"/>
  <c r="GM249" i="14608"/>
  <c r="A200" i="14606"/>
  <c r="D250" i="14608"/>
  <c r="G197" i="14606"/>
  <c r="HC249" i="14608"/>
  <c r="Q250" i="14608"/>
  <c r="L202" i="14606"/>
  <c r="M201" i="14606"/>
  <c r="HM249" i="14608"/>
  <c r="D198" i="14606"/>
  <c r="J194" i="14606" l="1"/>
  <c r="FQ249" i="14608" s="1"/>
  <c r="FP249" i="14608"/>
  <c r="HD249" i="14608"/>
  <c r="H197" i="14606"/>
  <c r="I197" i="14606" s="1"/>
  <c r="HF249" i="14608" s="1"/>
  <c r="FB249" i="14608"/>
  <c r="J193" i="14606"/>
  <c r="FC249" i="14608" s="1"/>
  <c r="GN249" i="14608"/>
  <c r="HO249" i="14608"/>
  <c r="F198" i="14606"/>
  <c r="HQ249" i="14608" s="1"/>
  <c r="I195" i="14606"/>
  <c r="GD249" i="14608" s="1"/>
  <c r="GC249" i="14608"/>
  <c r="E198" i="14606"/>
  <c r="IN249" i="14608"/>
  <c r="B200" i="14606"/>
  <c r="IO249" i="14608" s="1"/>
  <c r="C200" i="14606"/>
  <c r="IP249" i="14608" s="1"/>
  <c r="A201" i="14606"/>
  <c r="R250" i="14608"/>
  <c r="F196" i="14606"/>
  <c r="GO249" i="14608" s="1"/>
  <c r="C199" i="14606"/>
  <c r="AE250" i="14608"/>
  <c r="M202" i="14606"/>
  <c r="L203" i="14606"/>
  <c r="D200" i="14606" l="1"/>
  <c r="IQ249" i="14608" s="1"/>
  <c r="J197" i="14606"/>
  <c r="HG249" i="14608" s="1"/>
  <c r="HE249" i="14608"/>
  <c r="A202" i="14606"/>
  <c r="AF250" i="14608"/>
  <c r="G196" i="14606"/>
  <c r="IB249" i="14608"/>
  <c r="D199" i="14606"/>
  <c r="F250" i="14608"/>
  <c r="B201" i="14606"/>
  <c r="G250" i="14608" s="1"/>
  <c r="C201" i="14606"/>
  <c r="H250" i="14608" s="1"/>
  <c r="D201" i="14606"/>
  <c r="I250" i="14608" s="1"/>
  <c r="AS250" i="14608"/>
  <c r="L204" i="14606"/>
  <c r="M203" i="14606"/>
  <c r="HP249" i="14608"/>
  <c r="G198" i="14606"/>
  <c r="J195" i="14606"/>
  <c r="GE249" i="14608" s="1"/>
  <c r="H198" i="14606" l="1"/>
  <c r="HS249" i="14608" s="1"/>
  <c r="HR249" i="14608"/>
  <c r="I198" i="14606"/>
  <c r="HT249" i="14608" s="1"/>
  <c r="J198" i="14606"/>
  <c r="HU249" i="14608" s="1"/>
  <c r="T250" i="14608"/>
  <c r="B202" i="14606"/>
  <c r="C202" i="14606"/>
  <c r="V250" i="14608" s="1"/>
  <c r="GP249" i="14608"/>
  <c r="H196" i="14606"/>
  <c r="GQ249" i="14608" s="1"/>
  <c r="E201" i="14606"/>
  <c r="A203" i="14606"/>
  <c r="AT250" i="14608"/>
  <c r="BG250" i="14608"/>
  <c r="M204" i="14606"/>
  <c r="L205" i="14606"/>
  <c r="IC249" i="14608"/>
  <c r="E199" i="14606"/>
  <c r="E200" i="14606"/>
  <c r="E250" i="14608" l="1"/>
  <c r="J250" i="14608"/>
  <c r="IR249" i="14608"/>
  <c r="F200" i="14606"/>
  <c r="IS249" i="14608" s="1"/>
  <c r="G200" i="14606"/>
  <c r="IT249" i="14608" s="1"/>
  <c r="AH250" i="14608"/>
  <c r="B203" i="14606"/>
  <c r="U250" i="14608"/>
  <c r="E202" i="14606"/>
  <c r="X250" i="14608" s="1"/>
  <c r="I196" i="14606"/>
  <c r="BU250" i="14608"/>
  <c r="L206" i="14606"/>
  <c r="M205" i="14606"/>
  <c r="A204" i="14606"/>
  <c r="BH250" i="14608"/>
  <c r="F202" i="14606"/>
  <c r="Y250" i="14608" s="1"/>
  <c r="F201" i="14606"/>
  <c r="K250" i="14608" s="1"/>
  <c r="ID249" i="14608"/>
  <c r="F199" i="14606"/>
  <c r="IE249" i="14608" s="1"/>
  <c r="D202" i="14606"/>
  <c r="W250" i="14608" s="1"/>
  <c r="J196" i="14606" l="1"/>
  <c r="GS249" i="14608" s="1"/>
  <c r="GR249" i="14608"/>
  <c r="H200" i="14606"/>
  <c r="CI250" i="14608"/>
  <c r="L207" i="14606"/>
  <c r="M206" i="14606"/>
  <c r="G199" i="14606"/>
  <c r="AV250" i="14608"/>
  <c r="B204" i="14606"/>
  <c r="C204" i="14606" s="1"/>
  <c r="G201" i="14606"/>
  <c r="C203" i="14606"/>
  <c r="AI250" i="14608"/>
  <c r="A205" i="14606"/>
  <c r="BV250" i="14608"/>
  <c r="G202" i="14606"/>
  <c r="Z250" i="14608" s="1"/>
  <c r="AX250" i="14608" l="1"/>
  <c r="IF249" i="14608"/>
  <c r="L250" i="14608"/>
  <c r="H201" i="14606"/>
  <c r="IU249" i="14608"/>
  <c r="I200" i="14606"/>
  <c r="AJ250" i="14608"/>
  <c r="AW250" i="14608"/>
  <c r="D204" i="14606"/>
  <c r="AY250" i="14608" s="1"/>
  <c r="A206" i="14606"/>
  <c r="CJ250" i="14608"/>
  <c r="CW250" i="14608"/>
  <c r="M207" i="14606"/>
  <c r="L208" i="14606"/>
  <c r="BJ250" i="14608"/>
  <c r="B205" i="14606"/>
  <c r="C205" i="14606"/>
  <c r="BL250" i="14608" s="1"/>
  <c r="H199" i="14606"/>
  <c r="IG249" i="14608" s="1"/>
  <c r="H202" i="14606"/>
  <c r="D203" i="14606"/>
  <c r="AA250" i="14608" l="1"/>
  <c r="I202" i="14606"/>
  <c r="M250" i="14608"/>
  <c r="I201" i="14606"/>
  <c r="A207" i="14606"/>
  <c r="CX250" i="14608"/>
  <c r="I199" i="14606"/>
  <c r="J200" i="14606"/>
  <c r="A250" i="14608" s="1"/>
  <c r="IV249" i="14608"/>
  <c r="E204" i="14606"/>
  <c r="AZ250" i="14608" s="1"/>
  <c r="E203" i="14606"/>
  <c r="AL250" i="14608" s="1"/>
  <c r="AK250" i="14608"/>
  <c r="BX250" i="14608"/>
  <c r="B206" i="14606"/>
  <c r="C206" i="14606"/>
  <c r="BZ250" i="14608" s="1"/>
  <c r="D206" i="14606"/>
  <c r="CA250" i="14608" s="1"/>
  <c r="BK250" i="14608"/>
  <c r="E205" i="14606"/>
  <c r="BN250" i="14608" s="1"/>
  <c r="D205" i="14606"/>
  <c r="DK250" i="14608"/>
  <c r="M208" i="14606"/>
  <c r="L209" i="14606"/>
  <c r="CL250" i="14608" l="1"/>
  <c r="B207" i="14606"/>
  <c r="CM250" i="14608" s="1"/>
  <c r="C207" i="14606"/>
  <c r="E207" i="14606" s="1"/>
  <c r="CP250" i="14608" s="1"/>
  <c r="D207" i="14606"/>
  <c r="CO250" i="14608" s="1"/>
  <c r="J201" i="14606"/>
  <c r="O250" i="14608" s="1"/>
  <c r="N250" i="14608"/>
  <c r="BY250" i="14608"/>
  <c r="E206" i="14606"/>
  <c r="J199" i="14606"/>
  <c r="II249" i="14608" s="1"/>
  <c r="IH249" i="14608"/>
  <c r="F205" i="14606"/>
  <c r="BO250" i="14608" s="1"/>
  <c r="F203" i="14606"/>
  <c r="AM250" i="14608" s="1"/>
  <c r="F204" i="14606"/>
  <c r="DY250" i="14608"/>
  <c r="M209" i="14606"/>
  <c r="L210" i="14606"/>
  <c r="A208" i="14606"/>
  <c r="DL250" i="14608"/>
  <c r="J202" i="14606"/>
  <c r="AC250" i="14608" s="1"/>
  <c r="AB250" i="14608"/>
  <c r="BM250" i="14608"/>
  <c r="CZ250" i="14608" l="1"/>
  <c r="B208" i="14606"/>
  <c r="DA250" i="14608" s="1"/>
  <c r="EM250" i="14608"/>
  <c r="M210" i="14606"/>
  <c r="L211" i="14606"/>
  <c r="A209" i="14606"/>
  <c r="DZ250" i="14608"/>
  <c r="G205" i="14606"/>
  <c r="BP250" i="14608" s="1"/>
  <c r="G204" i="14606"/>
  <c r="BA250" i="14608"/>
  <c r="F207" i="14606"/>
  <c r="CQ250" i="14608" s="1"/>
  <c r="CN250" i="14608"/>
  <c r="H205" i="14606"/>
  <c r="F206" i="14606"/>
  <c r="CB250" i="14608"/>
  <c r="G203" i="14606"/>
  <c r="DN250" i="14608" l="1"/>
  <c r="B209" i="14606"/>
  <c r="DO250" i="14608" s="1"/>
  <c r="A210" i="14606"/>
  <c r="EN250" i="14608"/>
  <c r="BB250" i="14608"/>
  <c r="H204" i="14606"/>
  <c r="CC250" i="14608"/>
  <c r="G206" i="14606"/>
  <c r="C208" i="14606"/>
  <c r="D208" i="14606" s="1"/>
  <c r="DC250" i="14608" s="1"/>
  <c r="FA250" i="14608"/>
  <c r="L212" i="14606"/>
  <c r="M211" i="14606"/>
  <c r="I205" i="14606"/>
  <c r="BQ250" i="14608"/>
  <c r="G207" i="14606"/>
  <c r="CR250" i="14608" s="1"/>
  <c r="AN250" i="14608"/>
  <c r="H203" i="14606"/>
  <c r="I204" i="14606" l="1"/>
  <c r="BC250" i="14608"/>
  <c r="H207" i="14606"/>
  <c r="EB250" i="14608"/>
  <c r="B210" i="14606"/>
  <c r="BR250" i="14608"/>
  <c r="J205" i="14606"/>
  <c r="BS250" i="14608" s="1"/>
  <c r="A211" i="14606"/>
  <c r="FB250" i="14608"/>
  <c r="C209" i="14606"/>
  <c r="E208" i="14606"/>
  <c r="DD250" i="14608" s="1"/>
  <c r="DB250" i="14608"/>
  <c r="FO250" i="14608"/>
  <c r="M212" i="14606"/>
  <c r="L213" i="14606"/>
  <c r="H206" i="14606"/>
  <c r="CE250" i="14608" s="1"/>
  <c r="CD250" i="14608"/>
  <c r="I203" i="14606"/>
  <c r="AP250" i="14608" s="1"/>
  <c r="AO250" i="14608"/>
  <c r="J203" i="14606"/>
  <c r="AQ250" i="14608" s="1"/>
  <c r="C210" i="14606" l="1"/>
  <c r="EC250" i="14608"/>
  <c r="DP250" i="14608"/>
  <c r="E209" i="14606"/>
  <c r="DR250" i="14608" s="1"/>
  <c r="D209" i="14606"/>
  <c r="I207" i="14606"/>
  <c r="CT250" i="14608" s="1"/>
  <c r="CS250" i="14608"/>
  <c r="F208" i="14606"/>
  <c r="EP250" i="14608"/>
  <c r="B211" i="14606"/>
  <c r="C211" i="14606" s="1"/>
  <c r="A212" i="14606"/>
  <c r="FP250" i="14608"/>
  <c r="G208" i="14606"/>
  <c r="BD250" i="14608"/>
  <c r="J204" i="14606"/>
  <c r="BE250" i="14608" s="1"/>
  <c r="GC250" i="14608"/>
  <c r="M213" i="14606"/>
  <c r="L214" i="14606"/>
  <c r="I206" i="14606"/>
  <c r="CF250" i="14608" s="1"/>
  <c r="J206" i="14606"/>
  <c r="CG250" i="14608" s="1"/>
  <c r="ER250" i="14608" l="1"/>
  <c r="D211" i="14606"/>
  <c r="ES250" i="14608" s="1"/>
  <c r="FD250" i="14608"/>
  <c r="C212" i="14606"/>
  <c r="FF250" i="14608" s="1"/>
  <c r="B212" i="14606"/>
  <c r="FE250" i="14608" s="1"/>
  <c r="D212" i="14606"/>
  <c r="FG250" i="14608" s="1"/>
  <c r="A213" i="14606"/>
  <c r="GD250" i="14608"/>
  <c r="DQ250" i="14608"/>
  <c r="EQ250" i="14608"/>
  <c r="E211" i="14606"/>
  <c r="F209" i="14606"/>
  <c r="DS250" i="14608" s="1"/>
  <c r="GQ250" i="14608"/>
  <c r="M214" i="14606"/>
  <c r="L215" i="14606"/>
  <c r="DE250" i="14608"/>
  <c r="H208" i="14606"/>
  <c r="DG250" i="14608" s="1"/>
  <c r="DF250" i="14608"/>
  <c r="J207" i="14606"/>
  <c r="CU250" i="14608" s="1"/>
  <c r="ED250" i="14608"/>
  <c r="D210" i="14606"/>
  <c r="F211" i="14606" l="1"/>
  <c r="EU250" i="14608" s="1"/>
  <c r="ET250" i="14608"/>
  <c r="G211" i="14606"/>
  <c r="EV250" i="14608" s="1"/>
  <c r="HE250" i="14608"/>
  <c r="L216" i="14606"/>
  <c r="M215" i="14606"/>
  <c r="H211" i="14606"/>
  <c r="EW250" i="14608" s="1"/>
  <c r="EE250" i="14608"/>
  <c r="F210" i="14606"/>
  <c r="EG250" i="14608" s="1"/>
  <c r="E210" i="14606"/>
  <c r="EF250" i="14608" s="1"/>
  <c r="G209" i="14606"/>
  <c r="DT250" i="14608" s="1"/>
  <c r="A214" i="14606"/>
  <c r="GR250" i="14608"/>
  <c r="FR250" i="14608"/>
  <c r="B213" i="14606"/>
  <c r="C213" i="14606"/>
  <c r="FT250" i="14608" s="1"/>
  <c r="I211" i="14606"/>
  <c r="I208" i="14606"/>
  <c r="DH250" i="14608" s="1"/>
  <c r="E212" i="14606"/>
  <c r="FH250" i="14608" s="1"/>
  <c r="J211" i="14606" l="1"/>
  <c r="EY250" i="14608" s="1"/>
  <c r="EX250" i="14608"/>
  <c r="H209" i="14606"/>
  <c r="HS250" i="14608"/>
  <c r="M216" i="14606"/>
  <c r="L217" i="14606"/>
  <c r="F212" i="14606"/>
  <c r="G210" i="14606"/>
  <c r="FS250" i="14608"/>
  <c r="D213" i="14606"/>
  <c r="F213" i="14606" s="1"/>
  <c r="E213" i="14606"/>
  <c r="FV250" i="14608" s="1"/>
  <c r="J208" i="14606"/>
  <c r="DI250" i="14608" s="1"/>
  <c r="GF250" i="14608"/>
  <c r="C214" i="14606"/>
  <c r="GH250" i="14608" s="1"/>
  <c r="B214" i="14606"/>
  <c r="GG250" i="14608" s="1"/>
  <c r="A215" i="14606"/>
  <c r="HF250" i="14608"/>
  <c r="G213" i="14606" l="1"/>
  <c r="FX250" i="14608" s="1"/>
  <c r="FW250" i="14608"/>
  <c r="FI250" i="14608"/>
  <c r="IG250" i="14608"/>
  <c r="L218" i="14606"/>
  <c r="M217" i="14606"/>
  <c r="A216" i="14606"/>
  <c r="HT250" i="14608"/>
  <c r="FU250" i="14608"/>
  <c r="H213" i="14606"/>
  <c r="I209" i="14606"/>
  <c r="DU250" i="14608"/>
  <c r="GT250" i="14608"/>
  <c r="B215" i="14606"/>
  <c r="C215" i="14606" s="1"/>
  <c r="D214" i="14606"/>
  <c r="GI250" i="14608" s="1"/>
  <c r="EH250" i="14608"/>
  <c r="H210" i="14606"/>
  <c r="G212" i="14606"/>
  <c r="FJ250" i="14608" s="1"/>
  <c r="GV250" i="14608" l="1"/>
  <c r="I213" i="14606"/>
  <c r="FZ250" i="14608" s="1"/>
  <c r="FY250" i="14608"/>
  <c r="J209" i="14606"/>
  <c r="DW250" i="14608" s="1"/>
  <c r="DV250" i="14608"/>
  <c r="H212" i="14606"/>
  <c r="E214" i="14606"/>
  <c r="I210" i="14606"/>
  <c r="EJ250" i="14608" s="1"/>
  <c r="EI250" i="14608"/>
  <c r="J213" i="14606"/>
  <c r="GA250" i="14608" s="1"/>
  <c r="GU250" i="14608"/>
  <c r="D215" i="14606"/>
  <c r="GW250" i="14608" s="1"/>
  <c r="HH250" i="14608"/>
  <c r="B216" i="14606"/>
  <c r="IU250" i="14608"/>
  <c r="L219" i="14606"/>
  <c r="M218" i="14606"/>
  <c r="A217" i="14606"/>
  <c r="IH250" i="14608"/>
  <c r="M251" i="14608" l="1"/>
  <c r="L220" i="14606"/>
  <c r="M219" i="14606"/>
  <c r="A218" i="14606"/>
  <c r="IV250" i="14608"/>
  <c r="J210" i="14606"/>
  <c r="EK250" i="14608" s="1"/>
  <c r="C216" i="14606"/>
  <c r="HI250" i="14608"/>
  <c r="GJ250" i="14608"/>
  <c r="F214" i="14606"/>
  <c r="E215" i="14606"/>
  <c r="GX250" i="14608" s="1"/>
  <c r="HV250" i="14608"/>
  <c r="B217" i="14606"/>
  <c r="HW250" i="14608" s="1"/>
  <c r="C217" i="14606"/>
  <c r="HX250" i="14608" s="1"/>
  <c r="I212" i="14606"/>
  <c r="FK250" i="14608"/>
  <c r="HJ250" i="14608" l="1"/>
  <c r="D216" i="14606"/>
  <c r="F215" i="14606"/>
  <c r="IJ250" i="14608"/>
  <c r="B218" i="14606"/>
  <c r="IK250" i="14608" s="1"/>
  <c r="A219" i="14606"/>
  <c r="N251" i="14608"/>
  <c r="FL250" i="14608"/>
  <c r="J212" i="14606"/>
  <c r="FM250" i="14608" s="1"/>
  <c r="GK250" i="14608"/>
  <c r="E217" i="14606"/>
  <c r="AA251" i="14608"/>
  <c r="M220" i="14606"/>
  <c r="L221" i="14606"/>
  <c r="G214" i="14606"/>
  <c r="GL250" i="14608" s="1"/>
  <c r="D217" i="14606"/>
  <c r="HY250" i="14608" s="1"/>
  <c r="F216" i="14606" l="1"/>
  <c r="HM250" i="14608" s="1"/>
  <c r="HK250" i="14608"/>
  <c r="AO251" i="14608"/>
  <c r="L222" i="14606"/>
  <c r="M221" i="14606"/>
  <c r="E216" i="14606"/>
  <c r="HL250" i="14608" s="1"/>
  <c r="G215" i="14606"/>
  <c r="GZ250" i="14608" s="1"/>
  <c r="GY250" i="14608"/>
  <c r="F217" i="14606"/>
  <c r="HZ250" i="14608"/>
  <c r="B251" i="14608"/>
  <c r="B219" i="14606"/>
  <c r="A251" i="14608"/>
  <c r="G216" i="14606"/>
  <c r="HN250" i="14608" s="1"/>
  <c r="D218" i="14606"/>
  <c r="IM250" i="14608" s="1"/>
  <c r="H215" i="14606"/>
  <c r="A220" i="14606"/>
  <c r="AB251" i="14608"/>
  <c r="H214" i="14606"/>
  <c r="C218" i="14606"/>
  <c r="IL250" i="14608" s="1"/>
  <c r="BC251" i="14608" l="1"/>
  <c r="L223" i="14606"/>
  <c r="M222" i="14606"/>
  <c r="P251" i="14608"/>
  <c r="B220" i="14606"/>
  <c r="Q251" i="14608" s="1"/>
  <c r="I215" i="14606"/>
  <c r="HA250" i="14608"/>
  <c r="G217" i="14606"/>
  <c r="IB250" i="14608" s="1"/>
  <c r="IA250" i="14608"/>
  <c r="H217" i="14606"/>
  <c r="D219" i="14606"/>
  <c r="E251" i="14608" s="1"/>
  <c r="C251" i="14608"/>
  <c r="E218" i="14606"/>
  <c r="F218" i="14606"/>
  <c r="IO250" i="14608" s="1"/>
  <c r="A221" i="14606"/>
  <c r="AP251" i="14608"/>
  <c r="I214" i="14606"/>
  <c r="GN250" i="14608" s="1"/>
  <c r="GM250" i="14608"/>
  <c r="C219" i="14606"/>
  <c r="H216" i="14606"/>
  <c r="E219" i="14606" l="1"/>
  <c r="F251" i="14608" s="1"/>
  <c r="C220" i="14606"/>
  <c r="I217" i="14606"/>
  <c r="IC250" i="14608"/>
  <c r="AD251" i="14608"/>
  <c r="B221" i="14606"/>
  <c r="AE251" i="14608" s="1"/>
  <c r="A222" i="14606"/>
  <c r="BD251" i="14608"/>
  <c r="D251" i="14608"/>
  <c r="IN250" i="14608"/>
  <c r="G218" i="14606"/>
  <c r="BQ251" i="14608"/>
  <c r="L224" i="14606"/>
  <c r="M223" i="14606"/>
  <c r="I216" i="14606"/>
  <c r="HP250" i="14608" s="1"/>
  <c r="HO250" i="14608"/>
  <c r="J214" i="14606"/>
  <c r="GO250" i="14608" s="1"/>
  <c r="J215" i="14606"/>
  <c r="HC250" i="14608" s="1"/>
  <c r="HB250" i="14608"/>
  <c r="F219" i="14606"/>
  <c r="G251" i="14608" s="1"/>
  <c r="J216" i="14606"/>
  <c r="HQ250" i="14608" s="1"/>
  <c r="C221" i="14606" l="1"/>
  <c r="CE251" i="14608"/>
  <c r="L225" i="14606"/>
  <c r="M224" i="14606"/>
  <c r="H219" i="14606"/>
  <c r="I251" i="14608" s="1"/>
  <c r="AR251" i="14608"/>
  <c r="B222" i="14606"/>
  <c r="AS251" i="14608" s="1"/>
  <c r="G219" i="14606"/>
  <c r="H251" i="14608" s="1"/>
  <c r="ID250" i="14608"/>
  <c r="J217" i="14606"/>
  <c r="IE250" i="14608" s="1"/>
  <c r="H218" i="14606"/>
  <c r="IQ250" i="14608" s="1"/>
  <c r="IP250" i="14608"/>
  <c r="I218" i="14606"/>
  <c r="IR250" i="14608" s="1"/>
  <c r="J218" i="14606"/>
  <c r="IS250" i="14608" s="1"/>
  <c r="D220" i="14606"/>
  <c r="R251" i="14608"/>
  <c r="E220" i="14606"/>
  <c r="T251" i="14608" s="1"/>
  <c r="A223" i="14606"/>
  <c r="BR251" i="14608"/>
  <c r="A224" i="14606" l="1"/>
  <c r="CF251" i="14608"/>
  <c r="S251" i="14608"/>
  <c r="F220" i="14606"/>
  <c r="U251" i="14608" s="1"/>
  <c r="CS251" i="14608"/>
  <c r="M225" i="14606"/>
  <c r="L226" i="14606"/>
  <c r="BF251" i="14608"/>
  <c r="B223" i="14606"/>
  <c r="C223" i="14606" s="1"/>
  <c r="I219" i="14606"/>
  <c r="C222" i="14606"/>
  <c r="AT251" i="14608" s="1"/>
  <c r="AF251" i="14608"/>
  <c r="D221" i="14606"/>
  <c r="D223" i="14606" l="1"/>
  <c r="BI251" i="14608" s="1"/>
  <c r="BH251" i="14608"/>
  <c r="J219" i="14606"/>
  <c r="K251" i="14608" s="1"/>
  <c r="J251" i="14608"/>
  <c r="DG251" i="14608"/>
  <c r="M226" i="14606"/>
  <c r="L227" i="14606"/>
  <c r="G220" i="14606"/>
  <c r="A225" i="14606"/>
  <c r="CT251" i="14608"/>
  <c r="D222" i="14606"/>
  <c r="BG251" i="14608"/>
  <c r="E223" i="14606"/>
  <c r="BJ251" i="14608" s="1"/>
  <c r="AG251" i="14608"/>
  <c r="E221" i="14606"/>
  <c r="BT251" i="14608"/>
  <c r="B224" i="14606"/>
  <c r="C224" i="14606" l="1"/>
  <c r="A226" i="14606"/>
  <c r="DH251" i="14608"/>
  <c r="E222" i="14606"/>
  <c r="AU251" i="14608"/>
  <c r="F223" i="14606"/>
  <c r="DU251" i="14608"/>
  <c r="M227" i="14606"/>
  <c r="L228" i="14606"/>
  <c r="F222" i="14606"/>
  <c r="AH251" i="14608"/>
  <c r="F221" i="14606"/>
  <c r="AI251" i="14608" s="1"/>
  <c r="H220" i="14606"/>
  <c r="W251" i="14608" s="1"/>
  <c r="V251" i="14608"/>
  <c r="I220" i="14606"/>
  <c r="BU251" i="14608"/>
  <c r="CH251" i="14608"/>
  <c r="B225" i="14606"/>
  <c r="C225" i="14606" s="1"/>
  <c r="CJ251" i="14608" s="1"/>
  <c r="G221" i="14606" l="1"/>
  <c r="AJ251" i="14608" s="1"/>
  <c r="G222" i="14606"/>
  <c r="AW251" i="14608"/>
  <c r="AV251" i="14608"/>
  <c r="H221" i="14606"/>
  <c r="J220" i="14606"/>
  <c r="Y251" i="14608" s="1"/>
  <c r="X251" i="14608"/>
  <c r="G223" i="14606"/>
  <c r="BL251" i="14608" s="1"/>
  <c r="BK251" i="14608"/>
  <c r="EI251" i="14608"/>
  <c r="M228" i="14606"/>
  <c r="L229" i="14606"/>
  <c r="CV251" i="14608"/>
  <c r="B226" i="14606"/>
  <c r="E225" i="14606"/>
  <c r="CL251" i="14608" s="1"/>
  <c r="A227" i="14606"/>
  <c r="DV251" i="14608"/>
  <c r="D224" i="14606"/>
  <c r="BV251" i="14608"/>
  <c r="CI251" i="14608"/>
  <c r="D225" i="14606"/>
  <c r="CK251" i="14608" s="1"/>
  <c r="DJ251" i="14608" l="1"/>
  <c r="B227" i="14606"/>
  <c r="C227" i="14606" s="1"/>
  <c r="J221" i="14606"/>
  <c r="AM251" i="14608" s="1"/>
  <c r="AK251" i="14608"/>
  <c r="AX251" i="14608"/>
  <c r="H222" i="14606"/>
  <c r="EW251" i="14608"/>
  <c r="L230" i="14606"/>
  <c r="M229" i="14606"/>
  <c r="A228" i="14606"/>
  <c r="EJ251" i="14608"/>
  <c r="C226" i="14606"/>
  <c r="CW251" i="14608"/>
  <c r="I221" i="14606"/>
  <c r="AL251" i="14608" s="1"/>
  <c r="BW251" i="14608"/>
  <c r="E224" i="14606"/>
  <c r="BX251" i="14608" s="1"/>
  <c r="F225" i="14606"/>
  <c r="CM251" i="14608" s="1"/>
  <c r="H223" i="14606"/>
  <c r="D227" i="14606" l="1"/>
  <c r="DM251" i="14608" s="1"/>
  <c r="DL251" i="14608"/>
  <c r="CX251" i="14608"/>
  <c r="D226" i="14606"/>
  <c r="F224" i="14606"/>
  <c r="DX251" i="14608"/>
  <c r="B228" i="14606"/>
  <c r="G225" i="14606"/>
  <c r="CN251" i="14608" s="1"/>
  <c r="H225" i="14606"/>
  <c r="CO251" i="14608" s="1"/>
  <c r="A229" i="14606"/>
  <c r="EX251" i="14608"/>
  <c r="DK251" i="14608"/>
  <c r="E227" i="14606"/>
  <c r="DN251" i="14608" s="1"/>
  <c r="I222" i="14606"/>
  <c r="AZ251" i="14608" s="1"/>
  <c r="AY251" i="14608"/>
  <c r="J222" i="14606"/>
  <c r="BA251" i="14608" s="1"/>
  <c r="I223" i="14606"/>
  <c r="BN251" i="14608" s="1"/>
  <c r="BM251" i="14608"/>
  <c r="FK251" i="14608"/>
  <c r="M230" i="14606"/>
  <c r="L231" i="14606"/>
  <c r="FY251" i="14608" l="1"/>
  <c r="M231" i="14606"/>
  <c r="L232" i="14606"/>
  <c r="F227" i="14606"/>
  <c r="EL251" i="14608"/>
  <c r="B229" i="14606"/>
  <c r="EM251" i="14608" s="1"/>
  <c r="C228" i="14606"/>
  <c r="DY251" i="14608"/>
  <c r="A230" i="14606"/>
  <c r="FL251" i="14608"/>
  <c r="J223" i="14606"/>
  <c r="BO251" i="14608" s="1"/>
  <c r="CY251" i="14608"/>
  <c r="E226" i="14606"/>
  <c r="F226" i="14606"/>
  <c r="DA251" i="14608" s="1"/>
  <c r="I225" i="14606"/>
  <c r="BY251" i="14608"/>
  <c r="G224" i="14606"/>
  <c r="DZ251" i="14608" l="1"/>
  <c r="D228" i="14606"/>
  <c r="EA251" i="14608" s="1"/>
  <c r="GM251" i="14608"/>
  <c r="L233" i="14606"/>
  <c r="M232" i="14606"/>
  <c r="CZ251" i="14608"/>
  <c r="H226" i="14606"/>
  <c r="DC251" i="14608" s="1"/>
  <c r="DO251" i="14608"/>
  <c r="G226" i="14606"/>
  <c r="DB251" i="14608" s="1"/>
  <c r="A231" i="14606"/>
  <c r="FZ251" i="14608"/>
  <c r="H224" i="14606"/>
  <c r="BZ251" i="14608"/>
  <c r="EZ251" i="14608"/>
  <c r="B230" i="14606"/>
  <c r="G227" i="14606"/>
  <c r="DP251" i="14608" s="1"/>
  <c r="C229" i="14606"/>
  <c r="E228" i="14606"/>
  <c r="EB251" i="14608" s="1"/>
  <c r="J225" i="14606"/>
  <c r="CQ251" i="14608" s="1"/>
  <c r="CP251" i="14608"/>
  <c r="A232" i="14606" l="1"/>
  <c r="GN251" i="14608"/>
  <c r="EN251" i="14608"/>
  <c r="D229" i="14606"/>
  <c r="EO251" i="14608" s="1"/>
  <c r="FN251" i="14608"/>
  <c r="B231" i="14606"/>
  <c r="C231" i="14606"/>
  <c r="FP251" i="14608" s="1"/>
  <c r="HA251" i="14608"/>
  <c r="M233" i="14606"/>
  <c r="L234" i="14606"/>
  <c r="CA251" i="14608"/>
  <c r="I224" i="14606"/>
  <c r="F228" i="14606"/>
  <c r="I226" i="14606"/>
  <c r="C230" i="14606"/>
  <c r="FA251" i="14608"/>
  <c r="H227" i="14606"/>
  <c r="G228" i="14606"/>
  <c r="ED251" i="14608" s="1"/>
  <c r="J224" i="14606" l="1"/>
  <c r="CC251" i="14608" s="1"/>
  <c r="CB251" i="14608"/>
  <c r="FB251" i="14608"/>
  <c r="D230" i="14606"/>
  <c r="A233" i="14606"/>
  <c r="HB251" i="14608"/>
  <c r="DQ251" i="14608"/>
  <c r="I227" i="14606"/>
  <c r="E229" i="14606"/>
  <c r="EP251" i="14608" s="1"/>
  <c r="J226" i="14606"/>
  <c r="DE251" i="14608" s="1"/>
  <c r="DD251" i="14608"/>
  <c r="I228" i="14606"/>
  <c r="HO251" i="14608"/>
  <c r="L235" i="14606"/>
  <c r="M234" i="14606"/>
  <c r="EC251" i="14608"/>
  <c r="H228" i="14606"/>
  <c r="EE251" i="14608" s="1"/>
  <c r="FO251" i="14608"/>
  <c r="D231" i="14606"/>
  <c r="GB251" i="14608"/>
  <c r="B232" i="14606"/>
  <c r="FC251" i="14608" l="1"/>
  <c r="E230" i="14606"/>
  <c r="FQ251" i="14608"/>
  <c r="E231" i="14606"/>
  <c r="FR251" i="14608" s="1"/>
  <c r="J227" i="14606"/>
  <c r="DS251" i="14608" s="1"/>
  <c r="DR251" i="14608"/>
  <c r="C232" i="14606"/>
  <c r="GD251" i="14608" s="1"/>
  <c r="A234" i="14606"/>
  <c r="HP251" i="14608"/>
  <c r="F229" i="14606"/>
  <c r="EQ251" i="14608" s="1"/>
  <c r="GP251" i="14608"/>
  <c r="B233" i="14606"/>
  <c r="F231" i="14606"/>
  <c r="FS251" i="14608" s="1"/>
  <c r="IC251" i="14608"/>
  <c r="M235" i="14606"/>
  <c r="L236" i="14606"/>
  <c r="J228" i="14606"/>
  <c r="EG251" i="14608" s="1"/>
  <c r="EF251" i="14608"/>
  <c r="GC251" i="14608"/>
  <c r="C233" i="14606" l="1"/>
  <c r="GQ251" i="14608"/>
  <c r="G229" i="14606"/>
  <c r="FD251" i="14608"/>
  <c r="F230" i="14606"/>
  <c r="G231" i="14606"/>
  <c r="FT251" i="14608" s="1"/>
  <c r="A235" i="14606"/>
  <c r="ID251" i="14608"/>
  <c r="HD251" i="14608"/>
  <c r="B234" i="14606"/>
  <c r="IQ251" i="14608"/>
  <c r="M236" i="14606"/>
  <c r="L237" i="14606"/>
  <c r="D232" i="14606"/>
  <c r="FE251" i="14608" l="1"/>
  <c r="HE251" i="14608"/>
  <c r="D234" i="14606"/>
  <c r="HG251" i="14608" s="1"/>
  <c r="H230" i="14606"/>
  <c r="H229" i="14606"/>
  <c r="ER251" i="14608"/>
  <c r="C234" i="14606"/>
  <c r="HF251" i="14608" s="1"/>
  <c r="GE251" i="14608"/>
  <c r="E232" i="14606"/>
  <c r="I252" i="14608"/>
  <c r="M237" i="14606"/>
  <c r="L238" i="14606"/>
  <c r="H231" i="14606"/>
  <c r="G230" i="14606"/>
  <c r="FF251" i="14608" s="1"/>
  <c r="A236" i="14606"/>
  <c r="IR251" i="14608"/>
  <c r="HR251" i="14608"/>
  <c r="B235" i="14606"/>
  <c r="C235" i="14606"/>
  <c r="HT251" i="14608" s="1"/>
  <c r="GR251" i="14608"/>
  <c r="D233" i="14606"/>
  <c r="E233" i="14606" s="1"/>
  <c r="GT251" i="14608" l="1"/>
  <c r="ES251" i="14608"/>
  <c r="I229" i="14606"/>
  <c r="I230" i="14606"/>
  <c r="FH251" i="14608" s="1"/>
  <c r="FG251" i="14608"/>
  <c r="F232" i="14606"/>
  <c r="GF251" i="14608"/>
  <c r="E234" i="14606"/>
  <c r="HS251" i="14608"/>
  <c r="A237" i="14606"/>
  <c r="J252" i="14608"/>
  <c r="GS251" i="14608"/>
  <c r="F233" i="14606"/>
  <c r="GU251" i="14608" s="1"/>
  <c r="I231" i="14606"/>
  <c r="FU251" i="14608"/>
  <c r="J230" i="14606"/>
  <c r="FI251" i="14608" s="1"/>
  <c r="IF251" i="14608"/>
  <c r="B236" i="14606"/>
  <c r="D235" i="14606"/>
  <c r="W252" i="14608"/>
  <c r="M238" i="14606"/>
  <c r="L239" i="14606"/>
  <c r="IT251" i="14608" l="1"/>
  <c r="B237" i="14606"/>
  <c r="GG251" i="14608"/>
  <c r="A238" i="14606"/>
  <c r="X252" i="14608"/>
  <c r="HU251" i="14608"/>
  <c r="J229" i="14606"/>
  <c r="EU251" i="14608" s="1"/>
  <c r="ET251" i="14608"/>
  <c r="G232" i="14606"/>
  <c r="IG251" i="14608"/>
  <c r="E235" i="14606"/>
  <c r="C236" i="14606"/>
  <c r="F234" i="14606"/>
  <c r="HI251" i="14608" s="1"/>
  <c r="HH251" i="14608"/>
  <c r="G234" i="14606"/>
  <c r="AK252" i="14608"/>
  <c r="L240" i="14606"/>
  <c r="M239" i="14606"/>
  <c r="J231" i="14606"/>
  <c r="FW251" i="14608" s="1"/>
  <c r="FV251" i="14608"/>
  <c r="D236" i="14606"/>
  <c r="II251" i="14608" s="1"/>
  <c r="G233" i="14606"/>
  <c r="GV251" i="14608" s="1"/>
  <c r="H234" i="14606" l="1"/>
  <c r="HJ251" i="14608"/>
  <c r="L252" i="14608"/>
  <c r="B238" i="14606"/>
  <c r="C238" i="14606" s="1"/>
  <c r="H232" i="14606"/>
  <c r="GI251" i="14608" s="1"/>
  <c r="GH251" i="14608"/>
  <c r="IU251" i="14608"/>
  <c r="A239" i="14606"/>
  <c r="AL252" i="14608"/>
  <c r="AY252" i="14608"/>
  <c r="M240" i="14606"/>
  <c r="L241" i="14606"/>
  <c r="HV251" i="14608"/>
  <c r="C237" i="14606"/>
  <c r="H233" i="14606"/>
  <c r="IH251" i="14608"/>
  <c r="E236" i="14606"/>
  <c r="IJ251" i="14608" s="1"/>
  <c r="F235" i="14606"/>
  <c r="N252" i="14608" l="1"/>
  <c r="BM252" i="14608"/>
  <c r="M241" i="14606"/>
  <c r="L242" i="14606"/>
  <c r="F236" i="14606"/>
  <c r="M252" i="14608"/>
  <c r="D238" i="14606"/>
  <c r="O252" i="14608" s="1"/>
  <c r="Z252" i="14608"/>
  <c r="B239" i="14606"/>
  <c r="I233" i="14606"/>
  <c r="GW251" i="14608"/>
  <c r="HW251" i="14608"/>
  <c r="G235" i="14606"/>
  <c r="HX251" i="14608" s="1"/>
  <c r="HK251" i="14608"/>
  <c r="I234" i="14606"/>
  <c r="A240" i="14606"/>
  <c r="AZ252" i="14608"/>
  <c r="IV251" i="14608"/>
  <c r="D237" i="14606"/>
  <c r="A252" i="14608" s="1"/>
  <c r="I232" i="14606"/>
  <c r="A241" i="14606" l="1"/>
  <c r="BN252" i="14608"/>
  <c r="J234" i="14606"/>
  <c r="HM251" i="14608" s="1"/>
  <c r="HL251" i="14608"/>
  <c r="H235" i="14606"/>
  <c r="J232" i="14606"/>
  <c r="GK251" i="14608" s="1"/>
  <c r="GJ251" i="14608"/>
  <c r="CA252" i="14608"/>
  <c r="L243" i="14606"/>
  <c r="M242" i="14606"/>
  <c r="AN252" i="14608"/>
  <c r="B240" i="14606"/>
  <c r="C239" i="14606"/>
  <c r="AA252" i="14608"/>
  <c r="E237" i="14606"/>
  <c r="F237" i="14606" s="1"/>
  <c r="IK251" i="14608"/>
  <c r="G236" i="14606"/>
  <c r="IL251" i="14608" s="1"/>
  <c r="E238" i="14606"/>
  <c r="J233" i="14606"/>
  <c r="GY251" i="14608" s="1"/>
  <c r="GX251" i="14608"/>
  <c r="G237" i="14606" l="1"/>
  <c r="D252" i="14608" s="1"/>
  <c r="C252" i="14608"/>
  <c r="P252" i="14608"/>
  <c r="F238" i="14606"/>
  <c r="Q252" i="14608" s="1"/>
  <c r="J235" i="14606"/>
  <c r="IA251" i="14608" s="1"/>
  <c r="HY251" i="14608"/>
  <c r="I235" i="14606"/>
  <c r="HZ251" i="14608" s="1"/>
  <c r="H236" i="14606"/>
  <c r="C240" i="14606"/>
  <c r="AO252" i="14608"/>
  <c r="AB252" i="14608"/>
  <c r="D239" i="14606"/>
  <c r="AC252" i="14608" s="1"/>
  <c r="E239" i="14606"/>
  <c r="AD252" i="14608" s="1"/>
  <c r="A242" i="14606"/>
  <c r="CB252" i="14608"/>
  <c r="B252" i="14608"/>
  <c r="H237" i="14606"/>
  <c r="CO252" i="14608"/>
  <c r="L244" i="14606"/>
  <c r="M243" i="14606"/>
  <c r="BB252" i="14608"/>
  <c r="B241" i="14606"/>
  <c r="C241" i="14606"/>
  <c r="BD252" i="14608" s="1"/>
  <c r="BC252" i="14608" l="1"/>
  <c r="D241" i="14606"/>
  <c r="G238" i="14606"/>
  <c r="A243" i="14606"/>
  <c r="CP252" i="14608"/>
  <c r="BP252" i="14608"/>
  <c r="B242" i="14606"/>
  <c r="AP252" i="14608"/>
  <c r="D240" i="14606"/>
  <c r="E240" i="14606" s="1"/>
  <c r="I237" i="14606"/>
  <c r="F252" i="14608" s="1"/>
  <c r="E252" i="14608"/>
  <c r="DC252" i="14608"/>
  <c r="M244" i="14606"/>
  <c r="L245" i="14606"/>
  <c r="I236" i="14606"/>
  <c r="IM251" i="14608"/>
  <c r="F239" i="14606"/>
  <c r="AE252" i="14608" s="1"/>
  <c r="AR252" i="14608" l="1"/>
  <c r="F240" i="14606"/>
  <c r="G239" i="14606"/>
  <c r="AF252" i="14608" s="1"/>
  <c r="CD252" i="14608"/>
  <c r="B243" i="14606"/>
  <c r="C243" i="14606"/>
  <c r="CF252" i="14608" s="1"/>
  <c r="BQ252" i="14608"/>
  <c r="R252" i="14608"/>
  <c r="A244" i="14606"/>
  <c r="DD252" i="14608"/>
  <c r="H239" i="14606"/>
  <c r="I239" i="14606" s="1"/>
  <c r="AH252" i="14608" s="1"/>
  <c r="BE252" i="14608"/>
  <c r="E241" i="14606"/>
  <c r="IN251" i="14608"/>
  <c r="J236" i="14606"/>
  <c r="IO251" i="14608" s="1"/>
  <c r="DQ252" i="14608"/>
  <c r="L246" i="14606"/>
  <c r="M245" i="14606"/>
  <c r="AQ252" i="14608"/>
  <c r="H238" i="14606"/>
  <c r="J237" i="14606"/>
  <c r="G252" i="14608" s="1"/>
  <c r="C242" i="14606"/>
  <c r="BR252" i="14608" s="1"/>
  <c r="A245" i="14606" l="1"/>
  <c r="DR252" i="14608"/>
  <c r="EE252" i="14608"/>
  <c r="M246" i="14606"/>
  <c r="L247" i="14606"/>
  <c r="CE252" i="14608"/>
  <c r="E243" i="14606"/>
  <c r="CH252" i="14608" s="1"/>
  <c r="D243" i="14606"/>
  <c r="J239" i="14606"/>
  <c r="AI252" i="14608" s="1"/>
  <c r="AG252" i="14608"/>
  <c r="CR252" i="14608"/>
  <c r="G244" i="14606"/>
  <c r="CX252" i="14608" s="1"/>
  <c r="D244" i="14606"/>
  <c r="CU252" i="14608" s="1"/>
  <c r="B244" i="14606"/>
  <c r="CS252" i="14608" s="1"/>
  <c r="I244" i="14606"/>
  <c r="CZ252" i="14608" s="1"/>
  <c r="H244" i="14606"/>
  <c r="CY252" i="14608" s="1"/>
  <c r="F244" i="14606"/>
  <c r="CW252" i="14608" s="1"/>
  <c r="E244" i="14606"/>
  <c r="CV252" i="14608" s="1"/>
  <c r="C244" i="14606"/>
  <c r="CT252" i="14608" s="1"/>
  <c r="J244" i="14606"/>
  <c r="DA252" i="14608" s="1"/>
  <c r="F241" i="14606"/>
  <c r="BF252" i="14608"/>
  <c r="G241" i="14606"/>
  <c r="BH252" i="14608" s="1"/>
  <c r="G240" i="14606"/>
  <c r="AS252" i="14608"/>
  <c r="I238" i="14606"/>
  <c r="T252" i="14608" s="1"/>
  <c r="S252" i="14608"/>
  <c r="D242" i="14606"/>
  <c r="BS252" i="14608" s="1"/>
  <c r="ES252" i="14608" l="1"/>
  <c r="L248" i="14606"/>
  <c r="M247" i="14606"/>
  <c r="A246" i="14606"/>
  <c r="EF252" i="14608"/>
  <c r="DF252" i="14608"/>
  <c r="E245" i="14606"/>
  <c r="DJ252" i="14608" s="1"/>
  <c r="G245" i="14606"/>
  <c r="DL252" i="14608" s="1"/>
  <c r="F245" i="14606"/>
  <c r="DK252" i="14608" s="1"/>
  <c r="D245" i="14606"/>
  <c r="DI252" i="14608" s="1"/>
  <c r="I245" i="14606"/>
  <c r="DN252" i="14608" s="1"/>
  <c r="J245" i="14606"/>
  <c r="DO252" i="14608" s="1"/>
  <c r="C245" i="14606"/>
  <c r="DH252" i="14608" s="1"/>
  <c r="H245" i="14606"/>
  <c r="DM252" i="14608" s="1"/>
  <c r="B245" i="14606"/>
  <c r="DG252" i="14608" s="1"/>
  <c r="BG252" i="14608"/>
  <c r="H241" i="14606"/>
  <c r="BI252" i="14608" s="1"/>
  <c r="I241" i="14606"/>
  <c r="AT252" i="14608"/>
  <c r="H240" i="14606"/>
  <c r="E242" i="14606"/>
  <c r="BT252" i="14608" s="1"/>
  <c r="CG252" i="14608"/>
  <c r="F243" i="14606"/>
  <c r="J238" i="14606"/>
  <c r="U252" i="14608" s="1"/>
  <c r="DT252" i="14608" l="1"/>
  <c r="B246" i="14606"/>
  <c r="DU252" i="14608" s="1"/>
  <c r="C246" i="14606"/>
  <c r="DV252" i="14608" s="1"/>
  <c r="I246" i="14606"/>
  <c r="EB252" i="14608" s="1"/>
  <c r="F246" i="14606"/>
  <c r="DY252" i="14608" s="1"/>
  <c r="J246" i="14606"/>
  <c r="EC252" i="14608" s="1"/>
  <c r="G246" i="14606"/>
  <c r="DZ252" i="14608" s="1"/>
  <c r="H246" i="14606"/>
  <c r="EA252" i="14608" s="1"/>
  <c r="D246" i="14606"/>
  <c r="DW252" i="14608" s="1"/>
  <c r="E246" i="14606"/>
  <c r="DX252" i="14608" s="1"/>
  <c r="J241" i="14606"/>
  <c r="BK252" i="14608" s="1"/>
  <c r="BJ252" i="14608"/>
  <c r="A247" i="14606"/>
  <c r="ET252" i="14608"/>
  <c r="I240" i="14606"/>
  <c r="AU252" i="14608"/>
  <c r="G243" i="14606"/>
  <c r="CI252" i="14608"/>
  <c r="FG252" i="14608"/>
  <c r="L249" i="14606"/>
  <c r="M248" i="14606"/>
  <c r="F242" i="14606"/>
  <c r="BU252" i="14608" s="1"/>
  <c r="J240" i="14606" l="1"/>
  <c r="AW252" i="14608" s="1"/>
  <c r="AV252" i="14608"/>
  <c r="A248" i="14606"/>
  <c r="FH252" i="14608"/>
  <c r="FU252" i="14608"/>
  <c r="L250" i="14606"/>
  <c r="M249" i="14606"/>
  <c r="EH252" i="14608"/>
  <c r="B247" i="14606"/>
  <c r="EI252" i="14608" s="1"/>
  <c r="D247" i="14606"/>
  <c r="EK252" i="14608" s="1"/>
  <c r="H247" i="14606"/>
  <c r="EO252" i="14608" s="1"/>
  <c r="E247" i="14606"/>
  <c r="EL252" i="14608" s="1"/>
  <c r="G247" i="14606"/>
  <c r="EN252" i="14608" s="1"/>
  <c r="I247" i="14606"/>
  <c r="EP252" i="14608" s="1"/>
  <c r="C247" i="14606"/>
  <c r="EJ252" i="14608" s="1"/>
  <c r="F247" i="14606"/>
  <c r="EM252" i="14608" s="1"/>
  <c r="J247" i="14606"/>
  <c r="EQ252" i="14608" s="1"/>
  <c r="G242" i="14606"/>
  <c r="CJ252" i="14608"/>
  <c r="H243" i="14606"/>
  <c r="CK252" i="14608" s="1"/>
  <c r="A249" i="14606" l="1"/>
  <c r="FV252" i="14608"/>
  <c r="I243" i="14606"/>
  <c r="GI252" i="14608"/>
  <c r="M250" i="14606"/>
  <c r="L251" i="14606"/>
  <c r="EV252" i="14608"/>
  <c r="I248" i="14606"/>
  <c r="FD252" i="14608" s="1"/>
  <c r="G248" i="14606"/>
  <c r="FB252" i="14608" s="1"/>
  <c r="J248" i="14606"/>
  <c r="FE252" i="14608" s="1"/>
  <c r="H248" i="14606"/>
  <c r="FC252" i="14608" s="1"/>
  <c r="E248" i="14606"/>
  <c r="EZ252" i="14608" s="1"/>
  <c r="C248" i="14606"/>
  <c r="EX252" i="14608" s="1"/>
  <c r="F248" i="14606"/>
  <c r="FA252" i="14608" s="1"/>
  <c r="D248" i="14606"/>
  <c r="EY252" i="14608" s="1"/>
  <c r="B248" i="14606"/>
  <c r="EW252" i="14608" s="1"/>
  <c r="H242" i="14606"/>
  <c r="BW252" i="14608" s="1"/>
  <c r="BV252" i="14608"/>
  <c r="GW252" i="14608" l="1"/>
  <c r="M251" i="14606"/>
  <c r="L252" i="14606"/>
  <c r="A250" i="14606"/>
  <c r="GJ252" i="14608"/>
  <c r="FJ252" i="14608"/>
  <c r="J249" i="14606"/>
  <c r="FS252" i="14608" s="1"/>
  <c r="E249" i="14606"/>
  <c r="FN252" i="14608" s="1"/>
  <c r="I249" i="14606"/>
  <c r="FR252" i="14608" s="1"/>
  <c r="F249" i="14606"/>
  <c r="FO252" i="14608" s="1"/>
  <c r="H249" i="14606"/>
  <c r="FQ252" i="14608" s="1"/>
  <c r="C249" i="14606"/>
  <c r="FL252" i="14608" s="1"/>
  <c r="G249" i="14606"/>
  <c r="FP252" i="14608" s="1"/>
  <c r="D249" i="14606"/>
  <c r="FM252" i="14608" s="1"/>
  <c r="B249" i="14606"/>
  <c r="FK252" i="14608" s="1"/>
  <c r="J243" i="14606"/>
  <c r="CM252" i="14608" s="1"/>
  <c r="CL252" i="14608"/>
  <c r="I242" i="14606"/>
  <c r="FX252" i="14608" l="1"/>
  <c r="E250" i="14606"/>
  <c r="GB252" i="14608" s="1"/>
  <c r="C250" i="14606"/>
  <c r="FZ252" i="14608" s="1"/>
  <c r="I250" i="14606"/>
  <c r="GF252" i="14608" s="1"/>
  <c r="B250" i="14606"/>
  <c r="FY252" i="14608" s="1"/>
  <c r="F250" i="14606"/>
  <c r="GC252" i="14608" s="1"/>
  <c r="J250" i="14606"/>
  <c r="GG252" i="14608" s="1"/>
  <c r="H250" i="14606"/>
  <c r="GE252" i="14608" s="1"/>
  <c r="G250" i="14606"/>
  <c r="GD252" i="14608" s="1"/>
  <c r="D250" i="14606"/>
  <c r="GA252" i="14608" s="1"/>
  <c r="HK252" i="14608"/>
  <c r="M252" i="14606"/>
  <c r="L253" i="14606"/>
  <c r="A251" i="14606"/>
  <c r="GX252" i="14608"/>
  <c r="J242" i="14606"/>
  <c r="BY252" i="14608" s="1"/>
  <c r="BX252" i="14608"/>
  <c r="HY252" i="14608" l="1"/>
  <c r="M253" i="14606"/>
  <c r="CJ253" i="14608"/>
  <c r="L254" i="14606"/>
  <c r="A252" i="14606"/>
  <c r="HL252" i="14608"/>
  <c r="GL252" i="14608"/>
  <c r="C251" i="14606"/>
  <c r="GN252" i="14608" s="1"/>
  <c r="J251" i="14606"/>
  <c r="GU252" i="14608" s="1"/>
  <c r="D251" i="14606"/>
  <c r="GO252" i="14608" s="1"/>
  <c r="F251" i="14606"/>
  <c r="GQ252" i="14608" s="1"/>
  <c r="H251" i="14606"/>
  <c r="GS252" i="14608" s="1"/>
  <c r="G251" i="14606"/>
  <c r="GR252" i="14608" s="1"/>
  <c r="I251" i="14606"/>
  <c r="GT252" i="14608" s="1"/>
  <c r="B251" i="14606"/>
  <c r="GM252" i="14608" s="1"/>
  <c r="E251" i="14606"/>
  <c r="GP252" i="14608" s="1"/>
  <c r="GZ252" i="14608" l="1"/>
  <c r="E252" i="14606"/>
  <c r="HD252" i="14608" s="1"/>
  <c r="J252" i="14606"/>
  <c r="HI252" i="14608" s="1"/>
  <c r="D252" i="14606"/>
  <c r="HC252" i="14608" s="1"/>
  <c r="I252" i="14606"/>
  <c r="HH252" i="14608" s="1"/>
  <c r="C252" i="14606"/>
  <c r="HB252" i="14608" s="1"/>
  <c r="B252" i="14606"/>
  <c r="HA252" i="14608" s="1"/>
  <c r="H252" i="14606"/>
  <c r="HG252" i="14608" s="1"/>
  <c r="F252" i="14606"/>
  <c r="HE252" i="14608" s="1"/>
  <c r="G252" i="14606"/>
  <c r="HF252" i="14608" s="1"/>
  <c r="IM252" i="14608"/>
  <c r="M254" i="14606"/>
  <c r="L255" i="14606"/>
  <c r="HZ252" i="14608"/>
  <c r="CK253" i="14608"/>
  <c r="A253" i="14606"/>
  <c r="A254" i="14606" l="1"/>
  <c r="IN252" i="14608"/>
  <c r="HN252" i="14608"/>
  <c r="D253" i="14606"/>
  <c r="J253" i="14606"/>
  <c r="H253" i="14606"/>
  <c r="C253" i="14606"/>
  <c r="F253" i="14606"/>
  <c r="I253" i="14606"/>
  <c r="E253" i="14606"/>
  <c r="BY253" i="14608"/>
  <c r="G253" i="14606"/>
  <c r="B253" i="14606"/>
  <c r="E253" i="14608"/>
  <c r="M255" i="14606"/>
  <c r="L256" i="14606"/>
  <c r="A255" i="14606" l="1"/>
  <c r="F253" i="14608"/>
  <c r="CA253" i="14608"/>
  <c r="HP252" i="14608"/>
  <c r="BZ253" i="14608"/>
  <c r="HO252" i="14608"/>
  <c r="CB253" i="14608"/>
  <c r="HQ252" i="14608"/>
  <c r="CD253" i="14608"/>
  <c r="HS252" i="14608"/>
  <c r="CF253" i="14608"/>
  <c r="HU252" i="14608"/>
  <c r="CH253" i="14608"/>
  <c r="HW252" i="14608"/>
  <c r="CE253" i="14608"/>
  <c r="HT252" i="14608"/>
  <c r="S253" i="14608"/>
  <c r="L257" i="14606"/>
  <c r="M256" i="14606"/>
  <c r="CC253" i="14608"/>
  <c r="HR252" i="14608"/>
  <c r="CG253" i="14608"/>
  <c r="HV252" i="14608"/>
  <c r="IB252" i="14608"/>
  <c r="I254" i="14606"/>
  <c r="IJ252" i="14608" s="1"/>
  <c r="J254" i="14606"/>
  <c r="IK252" i="14608" s="1"/>
  <c r="B254" i="14606"/>
  <c r="IC252" i="14608" s="1"/>
  <c r="D254" i="14606"/>
  <c r="IE252" i="14608" s="1"/>
  <c r="H254" i="14606"/>
  <c r="II252" i="14608" s="1"/>
  <c r="G254" i="14606"/>
  <c r="IH252" i="14608" s="1"/>
  <c r="C254" i="14606"/>
  <c r="ID252" i="14608" s="1"/>
  <c r="F254" i="14606"/>
  <c r="IG252" i="14608" s="1"/>
  <c r="E254" i="14606"/>
  <c r="IF252" i="14608" s="1"/>
  <c r="A256" i="14606" l="1"/>
  <c r="T253" i="14608"/>
  <c r="AG253" i="14608"/>
  <c r="L258" i="14606"/>
  <c r="M257" i="14606"/>
  <c r="IP252" i="14608"/>
  <c r="I255" i="14606"/>
  <c r="B253" i="14608" s="1"/>
  <c r="E255" i="14606"/>
  <c r="IT252" i="14608" s="1"/>
  <c r="F255" i="14606"/>
  <c r="IU252" i="14608" s="1"/>
  <c r="C255" i="14606"/>
  <c r="IR252" i="14608" s="1"/>
  <c r="G255" i="14606"/>
  <c r="IV252" i="14608" s="1"/>
  <c r="H255" i="14606"/>
  <c r="A253" i="14608" s="1"/>
  <c r="B255" i="14606"/>
  <c r="IQ252" i="14608" s="1"/>
  <c r="D255" i="14606"/>
  <c r="IS252" i="14608" s="1"/>
  <c r="J255" i="14606"/>
  <c r="C253" i="14608" s="1"/>
  <c r="AU253" i="14608" l="1"/>
  <c r="L259" i="14606"/>
  <c r="M258" i="14606"/>
  <c r="A257" i="14606"/>
  <c r="AH253" i="14608"/>
  <c r="H253" i="14608"/>
  <c r="G256" i="14606"/>
  <c r="I256" i="14606"/>
  <c r="P253" i="14608" s="1"/>
  <c r="H256" i="14606"/>
  <c r="O253" i="14608" s="1"/>
  <c r="J256" i="14606"/>
  <c r="Q253" i="14608" s="1"/>
  <c r="D256" i="14606"/>
  <c r="K253" i="14608" s="1"/>
  <c r="C256" i="14606"/>
  <c r="J253" i="14608" s="1"/>
  <c r="E256" i="14606"/>
  <c r="L253" i="14608" s="1"/>
  <c r="F256" i="14606"/>
  <c r="M253" i="14608" s="1"/>
  <c r="B256" i="14606"/>
  <c r="I253" i="14608" s="1"/>
  <c r="G253" i="14608" l="1"/>
  <c r="N253" i="14608"/>
  <c r="V253" i="14608"/>
  <c r="G257" i="14606"/>
  <c r="AB253" i="14608" s="1"/>
  <c r="I257" i="14606"/>
  <c r="AD253" i="14608" s="1"/>
  <c r="F257" i="14606"/>
  <c r="AA253" i="14608" s="1"/>
  <c r="D257" i="14606"/>
  <c r="Y253" i="14608" s="1"/>
  <c r="C257" i="14606"/>
  <c r="X253" i="14608" s="1"/>
  <c r="J257" i="14606"/>
  <c r="AE253" i="14608" s="1"/>
  <c r="H257" i="14606"/>
  <c r="AC253" i="14608" s="1"/>
  <c r="E257" i="14606"/>
  <c r="Z253" i="14608" s="1"/>
  <c r="B257" i="14606"/>
  <c r="W253" i="14608" s="1"/>
  <c r="A258" i="14606"/>
  <c r="AV253" i="14608"/>
  <c r="BI253" i="14608"/>
  <c r="L260" i="14606"/>
  <c r="M259" i="14606"/>
  <c r="AJ253" i="14608" l="1"/>
  <c r="G258" i="14606"/>
  <c r="AP253" i="14608" s="1"/>
  <c r="I258" i="14606"/>
  <c r="AR253" i="14608" s="1"/>
  <c r="C258" i="14606"/>
  <c r="AL253" i="14608" s="1"/>
  <c r="H258" i="14606"/>
  <c r="AQ253" i="14608" s="1"/>
  <c r="E258" i="14606"/>
  <c r="AN253" i="14608" s="1"/>
  <c r="F258" i="14606"/>
  <c r="AO253" i="14608" s="1"/>
  <c r="D258" i="14606"/>
  <c r="AM253" i="14608" s="1"/>
  <c r="B258" i="14606"/>
  <c r="AK253" i="14608" s="1"/>
  <c r="J258" i="14606"/>
  <c r="AS253" i="14608" s="1"/>
  <c r="M260" i="14606"/>
  <c r="BW253" i="14608"/>
  <c r="A259" i="14606"/>
  <c r="BJ253" i="14608"/>
  <c r="AX253" i="14608" l="1"/>
  <c r="G259" i="14606"/>
  <c r="BD253" i="14608" s="1"/>
  <c r="J259" i="14606"/>
  <c r="BG253" i="14608" s="1"/>
  <c r="E259" i="14606"/>
  <c r="BB253" i="14608" s="1"/>
  <c r="F259" i="14606"/>
  <c r="BC253" i="14608" s="1"/>
  <c r="H259" i="14606"/>
  <c r="BE253" i="14608" s="1"/>
  <c r="D259" i="14606"/>
  <c r="BA253" i="14608" s="1"/>
  <c r="B259" i="14606"/>
  <c r="AY253" i="14608" s="1"/>
  <c r="I259" i="14606"/>
  <c r="BF253" i="14608" s="1"/>
  <c r="C259" i="14606"/>
  <c r="AZ253" i="14608" s="1"/>
  <c r="A260" i="14606"/>
  <c r="BX253" i="14608"/>
  <c r="BL253" i="14608" l="1"/>
  <c r="G260" i="14606"/>
  <c r="BR253" i="14608" s="1"/>
  <c r="E260" i="14606"/>
  <c r="BP253" i="14608" s="1"/>
  <c r="C260" i="14606"/>
  <c r="BN253" i="14608" s="1"/>
  <c r="J260" i="14606"/>
  <c r="BU253" i="14608" s="1"/>
  <c r="H260" i="14606"/>
  <c r="BS253" i="14608" s="1"/>
  <c r="D260" i="14606"/>
  <c r="BO253" i="14608" s="1"/>
  <c r="B260" i="14606"/>
  <c r="BM253" i="14608" s="1"/>
  <c r="F260" i="14606"/>
  <c r="BQ253" i="14608" s="1"/>
  <c r="I260" i="14606"/>
  <c r="BT253" i="14608" s="1"/>
</calcChain>
</file>

<file path=xl/sharedStrings.xml><?xml version="1.0" encoding="utf-8"?>
<sst xmlns="http://schemas.openxmlformats.org/spreadsheetml/2006/main" count="113" uniqueCount="105">
  <si>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</si>
  <si>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</si>
  <si>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</si>
  <si>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</si>
  <si>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</si>
  <si>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</si>
  <si>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</si>
  <si>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</si>
  <si>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</si>
  <si>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</si>
  <si>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</si>
  <si>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</si>
  <si>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</si>
  <si>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</si>
  <si>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</si>
  <si>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</si>
  <si>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</si>
  <si>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</si>
  <si>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</si>
  <si>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</si>
  <si>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</si>
  <si>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</si>
  <si>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</si>
  <si>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</si>
  <si>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</si>
  <si>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</si>
  <si>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</si>
  <si>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</si>
  <si>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</si>
  <si>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</si>
  <si>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</si>
  <si>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</si>
  <si>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</si>
  <si>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</si>
  <si>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</si>
  <si>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</si>
  <si>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</si>
  <si>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</si>
  <si>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</si>
  <si>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PL Total</t>
  </si>
  <si>
    <t>Foster Age Multiples</t>
  </si>
  <si>
    <t>McCulloch Numbers</t>
  </si>
  <si>
    <t>513-477-0775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</si>
  <si>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</si>
  <si>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</si>
  <si>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</si>
  <si>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</si>
  <si>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</si>
  <si>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</si>
  <si>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</si>
  <si>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</si>
  <si>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</si>
  <si>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</si>
  <si>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</si>
  <si>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</si>
  <si>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</si>
  <si>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</si>
  <si>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</si>
  <si>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</si>
  <si>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</si>
  <si>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</si>
  <si>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</si>
  <si>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</si>
  <si>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</si>
  <si>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</si>
  <si>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</si>
  <si>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</si>
  <si>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</si>
  <si>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</si>
  <si>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</si>
  <si>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Available</t>
  </si>
  <si>
    <t>Bar &amp; Collars</t>
  </si>
  <si>
    <t>Index</t>
  </si>
  <si>
    <t>Weight</t>
  </si>
  <si>
    <t>Wt w/o bar</t>
  </si>
  <si>
    <t>Men Reshel</t>
  </si>
  <si>
    <t>Women Reshel</t>
  </si>
  <si>
    <t>AAAAABvfvV0=</t>
  </si>
  <si>
    <t>AAAAABvfvV4=</t>
  </si>
  <si>
    <t>AAAAABvfvV8=</t>
  </si>
  <si>
    <t>BWt (Kg)</t>
  </si>
  <si>
    <t>Glossbrenner</t>
  </si>
  <si>
    <t>M-OcR</t>
  </si>
  <si>
    <t>M-Oeq</t>
  </si>
  <si>
    <t>M-OAAR</t>
  </si>
  <si>
    <t>M-OAAcR</t>
  </si>
  <si>
    <t>F-OAAR</t>
  </si>
  <si>
    <t>F-OAAcR</t>
  </si>
  <si>
    <t>Carly Hines</t>
  </si>
  <si>
    <t>Megan Thornhill</t>
  </si>
  <si>
    <t>Matthew Birkeland</t>
  </si>
  <si>
    <t>Blake Anderson</t>
  </si>
  <si>
    <t>Jacob Birkeland</t>
  </si>
  <si>
    <t>Jace Anderson</t>
  </si>
  <si>
    <t>Nickolas Hill</t>
  </si>
  <si>
    <t>Todd Curtis</t>
  </si>
  <si>
    <t>1-F-OAAR-75</t>
  </si>
  <si>
    <t>1-M-OAAcR-60</t>
  </si>
  <si>
    <t>1-F-OAAcR-SHW</t>
  </si>
  <si>
    <t>1-M-OAAR-82.5</t>
  </si>
  <si>
    <t>1-M-OAAcR-82.5</t>
  </si>
  <si>
    <t>1-M-OcR-110</t>
  </si>
  <si>
    <t>1-M-OAAcR-100</t>
  </si>
  <si>
    <t>1-M-Oeq-140</t>
  </si>
  <si>
    <t>2023 SD APF/AAPF State Powerlifting Championships-Kg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</si>
</sst>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0.00000000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7" fontId="1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 applyProtection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1" fillId="6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 wrapText="1"/>
    </xf>
    <xf numFmtId="164" fontId="14" fillId="0" borderId="1" xfId="2" applyNumberFormat="1" applyFont="1" applyBorder="1" applyAlignment="1">
      <alignment horizontal="center" wrapText="1"/>
    </xf>
    <xf numFmtId="0" fontId="12" fillId="2" borderId="1" xfId="2" applyFont="1" applyFill="1" applyBorder="1" applyAlignment="1" applyProtection="1">
      <alignment horizontal="center" wrapText="1"/>
      <protection locked="0"/>
    </xf>
    <xf numFmtId="0" fontId="12" fillId="0" borderId="1" xfId="2" applyFont="1" applyBorder="1" applyAlignment="1" applyProtection="1">
      <alignment horizontal="center" wrapText="1"/>
      <protection locked="0"/>
    </xf>
    <xf numFmtId="0" fontId="13" fillId="0" borderId="0" xfId="2" applyAlignment="1">
      <alignment horizontal="center" wrapText="1"/>
    </xf>
    <xf numFmtId="0" fontId="13" fillId="0" borderId="0" xfId="2" applyAlignment="1">
      <alignment wrapText="1"/>
    </xf>
    <xf numFmtId="164" fontId="14" fillId="0" borderId="1" xfId="2" applyNumberFormat="1" applyFont="1" applyBorder="1" applyAlignment="1" applyProtection="1">
      <alignment horizontal="center"/>
      <protection locked="0"/>
    </xf>
    <xf numFmtId="0" fontId="12" fillId="2" borderId="1" xfId="2" applyFont="1" applyFill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 applyProtection="1">
      <alignment horizontal="center"/>
      <protection locked="0"/>
    </xf>
    <xf numFmtId="0" fontId="13" fillId="0" borderId="0" xfId="2" applyAlignment="1">
      <alignment horizontal="center"/>
    </xf>
    <xf numFmtId="0" fontId="13" fillId="0" borderId="0" xfId="2"/>
    <xf numFmtId="164" fontId="14" fillId="0" borderId="1" xfId="2" applyNumberFormat="1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" fillId="2" borderId="0" xfId="2" applyFont="1" applyFill="1"/>
    <xf numFmtId="0" fontId="1" fillId="0" borderId="0" xfId="2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vertical="center" wrapText="1" shrinkToFit="1"/>
    </xf>
    <xf numFmtId="0" fontId="9" fillId="6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8" fillId="0" borderId="0" xfId="0" applyNumberFormat="1" applyFont="1" applyAlignment="1">
      <alignment horizontal="left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0" xfId="0" applyAlignment="1">
      <alignment horizontal="left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_BarLoader" xfId="2" xr:uid="{00000000-0005-0000-0000-000003000000}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S25"/>
  <sheetViews>
    <sheetView tabSelected="1" workbookViewId="0">
      <selection activeCell="B1" sqref="B1"/>
    </sheetView>
  </sheetViews>
  <sheetFormatPr defaultRowHeight="13.2" x14ac:dyDescent="0.25"/>
  <cols>
    <col min="1" max="1" width="17.21875" customWidth="1"/>
    <col min="2" max="2" width="5.6640625" style="4" customWidth="1"/>
    <col min="3" max="3" width="10.21875" style="4" customWidth="1"/>
    <col min="4" max="4" width="6.5546875" style="4" customWidth="1"/>
    <col min="5" max="22" width="7.5546875" style="4" customWidth="1"/>
    <col min="23" max="25" width="9.6640625" style="57" customWidth="1"/>
    <col min="26" max="26" width="11.6640625" style="53" customWidth="1"/>
    <col min="27" max="27" width="15.5546875" style="53" bestFit="1" customWidth="1"/>
    <col min="28" max="29" width="8.88671875" style="4"/>
  </cols>
  <sheetData>
    <row r="1" spans="1:45" s="31" customFormat="1" ht="30" customHeight="1" thickBot="1" x14ac:dyDescent="0.3">
      <c r="A1" s="58">
        <v>45010</v>
      </c>
      <c r="B1" s="31" t="s">
        <v>104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4"/>
      <c r="X1" s="54"/>
      <c r="Y1" s="54"/>
      <c r="Z1" s="51"/>
      <c r="AA1" s="51"/>
      <c r="AB1" s="50"/>
      <c r="AC1" s="50"/>
    </row>
    <row r="2" spans="1:45" s="25" customFormat="1" ht="41.25" customHeight="1" thickBot="1" x14ac:dyDescent="0.3">
      <c r="A2" s="21" t="s">
        <v>0</v>
      </c>
      <c r="B2" s="22" t="s">
        <v>1</v>
      </c>
      <c r="C2" s="23" t="s">
        <v>18</v>
      </c>
      <c r="D2" s="23" t="s">
        <v>80</v>
      </c>
      <c r="E2" s="23" t="s">
        <v>52</v>
      </c>
      <c r="F2" s="29" t="s">
        <v>81</v>
      </c>
      <c r="G2" s="24" t="s">
        <v>14</v>
      </c>
      <c r="H2" s="24" t="s">
        <v>15</v>
      </c>
      <c r="I2" s="24" t="s">
        <v>16</v>
      </c>
      <c r="J2" s="24" t="s">
        <v>17</v>
      </c>
      <c r="K2" s="23" t="s">
        <v>3</v>
      </c>
      <c r="L2" s="24" t="s">
        <v>4</v>
      </c>
      <c r="M2" s="24" t="s">
        <v>5</v>
      </c>
      <c r="N2" s="24" t="s">
        <v>6</v>
      </c>
      <c r="O2" s="24" t="s">
        <v>53</v>
      </c>
      <c r="P2" s="23" t="s">
        <v>7</v>
      </c>
      <c r="Q2" s="23" t="s">
        <v>8</v>
      </c>
      <c r="R2" s="24" t="s">
        <v>9</v>
      </c>
      <c r="S2" s="24" t="s">
        <v>10</v>
      </c>
      <c r="T2" s="24" t="s">
        <v>11</v>
      </c>
      <c r="U2" s="24" t="s">
        <v>12</v>
      </c>
      <c r="V2" s="24" t="s">
        <v>13</v>
      </c>
      <c r="W2" s="55" t="s">
        <v>39</v>
      </c>
      <c r="X2" s="56" t="s">
        <v>47</v>
      </c>
      <c r="Y2" s="56" t="s">
        <v>51</v>
      </c>
      <c r="Z2" s="52" t="s">
        <v>68</v>
      </c>
      <c r="AA2" s="52" t="s">
        <v>19</v>
      </c>
      <c r="AB2" s="23" t="s">
        <v>69</v>
      </c>
      <c r="AC2" s="30" t="s">
        <v>22</v>
      </c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</row>
    <row r="3" spans="1:45" x14ac:dyDescent="0.25">
      <c r="A3" t="s">
        <v>89</v>
      </c>
      <c r="B3" s="4">
        <v>24</v>
      </c>
      <c r="C3" s="4" t="s">
        <v>87</v>
      </c>
      <c r="D3" s="4">
        <v>123.3</v>
      </c>
      <c r="E3" s="4" t="s">
        <v>44</v>
      </c>
      <c r="F3" s="4">
        <v>0.67374999999999996</v>
      </c>
      <c r="G3" s="4">
        <v>132.5</v>
      </c>
      <c r="H3" s="4">
        <v>-157.5</v>
      </c>
      <c r="I3" s="4">
        <v>-157.5</v>
      </c>
      <c r="K3" s="4">
        <v>132.5</v>
      </c>
      <c r="L3" s="4">
        <v>60</v>
      </c>
      <c r="M3" s="4">
        <v>70</v>
      </c>
      <c r="N3" s="4">
        <v>-80</v>
      </c>
      <c r="P3" s="4">
        <v>70</v>
      </c>
      <c r="Q3" s="4">
        <v>202.5</v>
      </c>
      <c r="R3" s="4">
        <v>150</v>
      </c>
      <c r="S3" s="4">
        <v>165</v>
      </c>
      <c r="T3" s="4">
        <v>-180</v>
      </c>
      <c r="V3" s="4">
        <v>165</v>
      </c>
      <c r="W3" s="57">
        <v>367.5</v>
      </c>
      <c r="X3" s="57">
        <v>247.60312499999998</v>
      </c>
      <c r="Y3" s="57">
        <v>247.60312499999998</v>
      </c>
      <c r="Z3" s="53">
        <v>1</v>
      </c>
      <c r="AA3" s="53" t="s">
        <v>98</v>
      </c>
      <c r="AB3" s="4" t="e">
        <v>#N/A</v>
      </c>
    </row>
    <row r="4" spans="1:45" x14ac:dyDescent="0.25">
      <c r="A4" t="s">
        <v>88</v>
      </c>
      <c r="B4" s="4">
        <v>36</v>
      </c>
      <c r="C4" s="4" t="s">
        <v>86</v>
      </c>
      <c r="D4" s="4">
        <v>68</v>
      </c>
      <c r="E4" s="4">
        <v>75</v>
      </c>
      <c r="F4" s="4">
        <v>0.89449999999999996</v>
      </c>
      <c r="G4" s="4">
        <v>92.5</v>
      </c>
      <c r="H4" s="4">
        <v>115</v>
      </c>
      <c r="I4" s="4">
        <v>-120</v>
      </c>
      <c r="K4" s="4">
        <v>115</v>
      </c>
      <c r="L4" s="4">
        <v>55</v>
      </c>
      <c r="M4" s="4">
        <v>70</v>
      </c>
      <c r="N4" s="4">
        <v>-75</v>
      </c>
      <c r="P4" s="4">
        <v>70</v>
      </c>
      <c r="Q4" s="4">
        <v>185</v>
      </c>
      <c r="R4" s="4">
        <v>142.5</v>
      </c>
      <c r="S4" s="4">
        <v>152.5</v>
      </c>
      <c r="T4" s="4">
        <v>160</v>
      </c>
      <c r="V4" s="4">
        <v>160</v>
      </c>
      <c r="W4" s="57">
        <v>345</v>
      </c>
      <c r="X4" s="57">
        <v>308.60249999999996</v>
      </c>
      <c r="Y4" s="57">
        <v>308.60249999999996</v>
      </c>
      <c r="Z4" s="53">
        <v>1</v>
      </c>
      <c r="AA4" s="53" t="s">
        <v>96</v>
      </c>
      <c r="AB4" s="4" t="e">
        <v>#N/A</v>
      </c>
    </row>
    <row r="5" spans="1:45" x14ac:dyDescent="0.25">
      <c r="A5" t="s">
        <v>92</v>
      </c>
      <c r="B5" s="4">
        <v>22</v>
      </c>
      <c r="C5" s="4" t="s">
        <v>85</v>
      </c>
      <c r="D5" s="4">
        <v>56.2</v>
      </c>
      <c r="E5" s="4">
        <v>60</v>
      </c>
      <c r="F5" s="4">
        <v>0.88929999999999998</v>
      </c>
      <c r="G5" s="4">
        <v>125</v>
      </c>
      <c r="H5" s="4">
        <v>-155</v>
      </c>
      <c r="I5" s="4">
        <v>-155</v>
      </c>
      <c r="K5" s="4">
        <v>125</v>
      </c>
      <c r="L5" s="4">
        <v>85</v>
      </c>
      <c r="M5" s="4">
        <v>-97.5</v>
      </c>
      <c r="N5" s="4">
        <v>-97.5</v>
      </c>
      <c r="P5" s="4">
        <v>85</v>
      </c>
      <c r="Q5" s="4">
        <v>210</v>
      </c>
      <c r="R5" s="4">
        <v>145</v>
      </c>
      <c r="S5" s="4">
        <v>157.5</v>
      </c>
      <c r="T5" s="4">
        <v>-177.5</v>
      </c>
      <c r="V5" s="4">
        <v>157.5</v>
      </c>
      <c r="W5" s="57">
        <v>367.5</v>
      </c>
      <c r="X5" s="57">
        <v>326.81774999999999</v>
      </c>
      <c r="Y5" s="57">
        <v>326.81774999999999</v>
      </c>
      <c r="Z5" s="53">
        <v>1</v>
      </c>
      <c r="AA5" s="53" t="s">
        <v>97</v>
      </c>
      <c r="AB5" s="4" t="e">
        <v>#N/A</v>
      </c>
    </row>
    <row r="6" spans="1:45" x14ac:dyDescent="0.25">
      <c r="A6" t="s">
        <v>91</v>
      </c>
      <c r="B6" s="4">
        <v>22</v>
      </c>
      <c r="C6" s="4" t="s">
        <v>85</v>
      </c>
      <c r="D6" s="4">
        <v>77.150000000000006</v>
      </c>
      <c r="E6" s="4">
        <v>82.5</v>
      </c>
      <c r="F6" s="4">
        <v>0.67425000000000002</v>
      </c>
      <c r="G6" s="4">
        <v>187.5</v>
      </c>
      <c r="H6" s="4">
        <v>197.5</v>
      </c>
      <c r="I6" s="4">
        <v>207.5</v>
      </c>
      <c r="K6" s="4">
        <v>207.5</v>
      </c>
      <c r="L6" s="4">
        <v>117.5</v>
      </c>
      <c r="M6" s="4">
        <v>127.5</v>
      </c>
      <c r="N6" s="4">
        <v>-137.5</v>
      </c>
      <c r="P6" s="4">
        <v>127.5</v>
      </c>
      <c r="Q6" s="4">
        <v>335</v>
      </c>
      <c r="R6" s="4">
        <v>207.5</v>
      </c>
      <c r="S6" s="4">
        <v>-225</v>
      </c>
      <c r="T6" s="4">
        <v>-225</v>
      </c>
      <c r="V6" s="4">
        <v>207.5</v>
      </c>
      <c r="W6" s="57">
        <v>542.5</v>
      </c>
      <c r="X6" s="57">
        <v>365.78062499999999</v>
      </c>
      <c r="Y6" s="57">
        <v>365.78062499999999</v>
      </c>
      <c r="Z6" s="53">
        <v>1</v>
      </c>
      <c r="AA6" s="53" t="s">
        <v>100</v>
      </c>
      <c r="AB6" s="4" t="e">
        <v>#N/A</v>
      </c>
    </row>
    <row r="7" spans="1:45" x14ac:dyDescent="0.25">
      <c r="A7" t="s">
        <v>93</v>
      </c>
      <c r="B7" s="4">
        <v>27</v>
      </c>
      <c r="C7" s="4" t="s">
        <v>85</v>
      </c>
      <c r="D7" s="4">
        <v>93</v>
      </c>
      <c r="E7" s="4">
        <v>100</v>
      </c>
      <c r="F7" s="4">
        <v>0.60129999999999995</v>
      </c>
      <c r="G7" s="4">
        <v>175</v>
      </c>
      <c r="H7" s="4">
        <v>190</v>
      </c>
      <c r="I7" s="4">
        <v>-205</v>
      </c>
      <c r="K7" s="4">
        <v>190</v>
      </c>
      <c r="L7" s="4">
        <v>120</v>
      </c>
      <c r="M7" s="4">
        <v>132.5</v>
      </c>
      <c r="N7" s="4">
        <v>-140</v>
      </c>
      <c r="P7" s="4">
        <v>132.5</v>
      </c>
      <c r="Q7" s="4">
        <v>322.5</v>
      </c>
      <c r="R7" s="4">
        <v>202.5</v>
      </c>
      <c r="S7" s="4">
        <v>215</v>
      </c>
      <c r="T7" s="4">
        <v>-227.5</v>
      </c>
      <c r="V7" s="4">
        <v>215</v>
      </c>
      <c r="W7" s="57">
        <v>537.5</v>
      </c>
      <c r="X7" s="57">
        <v>323.19874999999996</v>
      </c>
      <c r="Y7" s="57">
        <v>323.19874999999996</v>
      </c>
      <c r="Z7" s="53">
        <v>1</v>
      </c>
      <c r="AA7" s="53" t="s">
        <v>102</v>
      </c>
      <c r="AB7" s="4" t="e">
        <v>#N/A</v>
      </c>
    </row>
    <row r="8" spans="1:45" x14ac:dyDescent="0.25">
      <c r="A8" t="s">
        <v>90</v>
      </c>
      <c r="B8" s="4">
        <v>18</v>
      </c>
      <c r="C8" s="4" t="s">
        <v>84</v>
      </c>
      <c r="D8" s="4">
        <v>75.95</v>
      </c>
      <c r="E8" s="4">
        <v>82.5</v>
      </c>
      <c r="F8" s="4">
        <v>0.68189999999999995</v>
      </c>
      <c r="G8" s="4">
        <v>142.5</v>
      </c>
      <c r="H8" s="4">
        <v>160</v>
      </c>
      <c r="I8" s="4">
        <v>-165</v>
      </c>
      <c r="K8" s="4">
        <v>160</v>
      </c>
      <c r="L8" s="4">
        <v>102.5</v>
      </c>
      <c r="M8" s="4">
        <v>112.5</v>
      </c>
      <c r="N8" s="4">
        <v>120</v>
      </c>
      <c r="P8" s="4">
        <v>120</v>
      </c>
      <c r="Q8" s="4">
        <v>280</v>
      </c>
      <c r="R8" s="4">
        <v>182.5</v>
      </c>
      <c r="S8" s="4">
        <v>200</v>
      </c>
      <c r="T8" s="4">
        <v>205</v>
      </c>
      <c r="V8" s="4">
        <v>205</v>
      </c>
      <c r="W8" s="57">
        <v>485</v>
      </c>
      <c r="X8" s="57">
        <v>330.72149999999999</v>
      </c>
      <c r="Y8" s="57">
        <v>330.72149999999999</v>
      </c>
      <c r="Z8" s="53">
        <v>1</v>
      </c>
      <c r="AA8" s="53" t="s">
        <v>99</v>
      </c>
      <c r="AB8" s="4" t="e">
        <v>#N/A</v>
      </c>
    </row>
    <row r="9" spans="1:45" x14ac:dyDescent="0.25">
      <c r="A9" t="s">
        <v>94</v>
      </c>
      <c r="B9" s="4">
        <v>50</v>
      </c>
      <c r="C9" s="4" t="s">
        <v>82</v>
      </c>
      <c r="D9" s="4">
        <v>105.3</v>
      </c>
      <c r="E9" s="4">
        <v>110</v>
      </c>
      <c r="F9" s="4">
        <v>0.57010000000000005</v>
      </c>
      <c r="G9" s="4">
        <v>155</v>
      </c>
      <c r="H9" s="4">
        <v>162.5</v>
      </c>
      <c r="I9" s="4">
        <v>180</v>
      </c>
      <c r="K9" s="4">
        <v>180</v>
      </c>
      <c r="L9" s="4">
        <v>147.5</v>
      </c>
      <c r="M9" s="4">
        <v>162.5</v>
      </c>
      <c r="N9" s="4">
        <v>175</v>
      </c>
      <c r="P9" s="4">
        <v>175</v>
      </c>
      <c r="Q9" s="4">
        <v>355</v>
      </c>
      <c r="R9" s="4">
        <v>-200</v>
      </c>
      <c r="S9" s="4">
        <v>210</v>
      </c>
      <c r="T9" s="4">
        <v>227.5</v>
      </c>
      <c r="V9" s="4">
        <v>227.5</v>
      </c>
      <c r="W9" s="57">
        <v>582.5</v>
      </c>
      <c r="X9" s="57">
        <v>332.08325000000002</v>
      </c>
      <c r="Y9" s="57">
        <v>375.25407250000001</v>
      </c>
      <c r="Z9" s="53">
        <v>1</v>
      </c>
      <c r="AA9" s="53" t="s">
        <v>101</v>
      </c>
      <c r="AB9" s="4" t="e">
        <v>#N/A</v>
      </c>
    </row>
    <row r="10" spans="1:45" x14ac:dyDescent="0.25">
      <c r="A10" t="s">
        <v>95</v>
      </c>
      <c r="B10" s="4">
        <v>59</v>
      </c>
      <c r="C10" s="4" t="s">
        <v>83</v>
      </c>
      <c r="D10" s="4">
        <v>130.19999999999999</v>
      </c>
      <c r="E10" s="4">
        <v>140</v>
      </c>
      <c r="F10" s="4">
        <v>0.54005000000000003</v>
      </c>
      <c r="G10" s="4">
        <v>250</v>
      </c>
      <c r="H10" s="4">
        <v>260</v>
      </c>
      <c r="I10" s="4">
        <v>-280</v>
      </c>
      <c r="K10" s="4">
        <v>260</v>
      </c>
      <c r="L10" s="4">
        <v>147.5</v>
      </c>
      <c r="M10" s="4">
        <v>175</v>
      </c>
      <c r="N10" s="4">
        <v>-192.5</v>
      </c>
      <c r="P10" s="4">
        <v>175</v>
      </c>
      <c r="Q10" s="4">
        <v>435</v>
      </c>
      <c r="R10" s="4">
        <v>227.5</v>
      </c>
      <c r="S10" s="4">
        <v>240</v>
      </c>
      <c r="T10" s="4">
        <v>250</v>
      </c>
      <c r="V10" s="4">
        <v>250</v>
      </c>
      <c r="W10" s="57">
        <v>685</v>
      </c>
      <c r="X10" s="57">
        <v>369.93425000000002</v>
      </c>
      <c r="Y10" s="57">
        <v>486.46353875</v>
      </c>
      <c r="Z10" s="53">
        <v>1</v>
      </c>
      <c r="AA10" s="53" t="s">
        <v>103</v>
      </c>
      <c r="AB10" s="4" t="e">
        <v>#N/A</v>
      </c>
    </row>
    <row r="25" spans="23:23" x14ac:dyDescent="0.25">
      <c r="W25" s="57">
        <v>1</v>
      </c>
    </row>
  </sheetData>
  <sortState xmlns:xlrd2="http://schemas.microsoft.com/office/spreadsheetml/2017/richdata2" ref="A3:AB10">
    <sortCondition ref="C3:C10"/>
    <sortCondition ref="E3:E10"/>
  </sortState>
  <phoneticPr fontId="0" type="noConversion"/>
  <conditionalFormatting sqref="G2:J2 L2:O2 R2:U2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42" fitToHeight="0" orientation="landscape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W1911"/>
  <sheetViews>
    <sheetView workbookViewId="0">
      <pane ySplit="1" topLeftCell="A2" activePane="bottomLeft" state="frozen"/>
      <selection activeCell="J1" sqref="J1"/>
      <selection pane="bottomLeft" activeCell="R2" sqref="R2:R1911"/>
    </sheetView>
  </sheetViews>
  <sheetFormatPr defaultRowHeight="13.2" x14ac:dyDescent="0.25"/>
  <cols>
    <col min="1" max="2" width="9.109375" style="4"/>
    <col min="5" max="5" width="8.33203125" customWidth="1"/>
    <col min="6" max="6" width="9.44140625" customWidth="1"/>
    <col min="7" max="7" width="16.5546875" customWidth="1"/>
    <col min="8" max="8" width="9.33203125" customWidth="1"/>
    <col min="9" max="9" width="6.6640625" customWidth="1"/>
    <col min="12" max="22" width="9.109375" style="1"/>
  </cols>
  <sheetData>
    <row r="1" spans="1:22" ht="26.4" x14ac:dyDescent="0.25">
      <c r="A1" s="8" t="s">
        <v>1</v>
      </c>
      <c r="B1" s="8" t="s">
        <v>2</v>
      </c>
      <c r="E1" s="15" t="s">
        <v>21</v>
      </c>
      <c r="F1" s="15"/>
      <c r="G1" s="15"/>
      <c r="H1" s="15"/>
      <c r="L1" s="26" t="s">
        <v>45</v>
      </c>
      <c r="M1" s="32" t="s">
        <v>54</v>
      </c>
      <c r="N1" s="32" t="s">
        <v>55</v>
      </c>
      <c r="O1" s="27" t="s">
        <v>59</v>
      </c>
      <c r="P1" s="27" t="s">
        <v>58</v>
      </c>
      <c r="Q1" s="26" t="s">
        <v>48</v>
      </c>
      <c r="R1" s="26" t="s">
        <v>49</v>
      </c>
      <c r="S1" s="27" t="s">
        <v>56</v>
      </c>
      <c r="T1" s="27" t="s">
        <v>57</v>
      </c>
      <c r="U1" s="27" t="s">
        <v>75</v>
      </c>
      <c r="V1" s="27" t="s">
        <v>76</v>
      </c>
    </row>
    <row r="2" spans="1:22" x14ac:dyDescent="0.25">
      <c r="A2" s="9">
        <v>13</v>
      </c>
      <c r="B2" s="9">
        <v>1.28</v>
      </c>
      <c r="C2" s="61" t="s">
        <v>40</v>
      </c>
      <c r="L2" s="1">
        <v>40</v>
      </c>
      <c r="M2" s="1">
        <v>1.3243499999999999</v>
      </c>
      <c r="N2" s="1">
        <v>1.3436999999999999</v>
      </c>
      <c r="O2" s="1">
        <v>1.3132999999999999</v>
      </c>
      <c r="P2" s="1">
        <v>1.1938</v>
      </c>
      <c r="Q2" s="1">
        <v>1.3353999999999999</v>
      </c>
      <c r="R2" s="1">
        <v>1.4936</v>
      </c>
      <c r="S2" s="1">
        <v>1.3243499999999999</v>
      </c>
      <c r="T2" s="1">
        <v>1.3436999999999999</v>
      </c>
      <c r="V2" s="1">
        <v>3.145</v>
      </c>
    </row>
    <row r="3" spans="1:22" x14ac:dyDescent="0.25">
      <c r="A3" s="9">
        <v>14</v>
      </c>
      <c r="B3" s="9">
        <v>1.23</v>
      </c>
      <c r="C3" s="61"/>
      <c r="L3" s="1">
        <v>40.1</v>
      </c>
      <c r="M3" s="1">
        <v>1.3201499999999999</v>
      </c>
      <c r="N3" s="1">
        <v>1.3414999999999999</v>
      </c>
      <c r="O3" s="1">
        <v>1.3091999999999999</v>
      </c>
      <c r="P3" s="1">
        <v>1.1915</v>
      </c>
      <c r="Q3" s="1">
        <v>1.3310999999999999</v>
      </c>
      <c r="R3" s="1">
        <v>1.4915</v>
      </c>
      <c r="S3" s="1">
        <v>1.3201499999999999</v>
      </c>
      <c r="T3" s="1">
        <v>1.3414999999999999</v>
      </c>
      <c r="V3" s="1">
        <v>3.129</v>
      </c>
    </row>
    <row r="4" spans="1:22" x14ac:dyDescent="0.25">
      <c r="A4" s="9">
        <v>15</v>
      </c>
      <c r="B4" s="9">
        <v>1.18</v>
      </c>
      <c r="C4" s="61"/>
      <c r="L4" s="1">
        <v>40.200000000000003</v>
      </c>
      <c r="M4" s="1">
        <v>1.3159999999999998</v>
      </c>
      <c r="N4" s="1">
        <v>1.3392999999999999</v>
      </c>
      <c r="O4" s="1">
        <v>1.3051999999999999</v>
      </c>
      <c r="P4" s="1">
        <v>1.1892</v>
      </c>
      <c r="Q4" s="1">
        <v>1.3268</v>
      </c>
      <c r="R4" s="1">
        <v>1.4894000000000001</v>
      </c>
      <c r="S4" s="1">
        <v>1.3159999999999998</v>
      </c>
      <c r="T4" s="1">
        <v>1.3392999999999999</v>
      </c>
      <c r="V4" s="1">
        <v>3.113</v>
      </c>
    </row>
    <row r="5" spans="1:22" x14ac:dyDescent="0.25">
      <c r="A5" s="9">
        <v>16</v>
      </c>
      <c r="B5" s="9">
        <v>1.1299999999999999</v>
      </c>
      <c r="C5" s="61"/>
      <c r="L5" s="1">
        <v>40.299999999999997</v>
      </c>
      <c r="M5" s="1">
        <v>1.3117999999999999</v>
      </c>
      <c r="N5" s="1">
        <v>1.337</v>
      </c>
      <c r="O5" s="1">
        <v>1.3010999999999999</v>
      </c>
      <c r="P5" s="1">
        <v>1.1869000000000001</v>
      </c>
      <c r="Q5" s="1">
        <v>1.3225</v>
      </c>
      <c r="R5" s="1">
        <v>1.4872000000000001</v>
      </c>
      <c r="S5" s="1">
        <v>1.3117999999999999</v>
      </c>
      <c r="T5" s="1">
        <v>1.337</v>
      </c>
      <c r="V5" s="1">
        <v>3.097</v>
      </c>
    </row>
    <row r="6" spans="1:22" x14ac:dyDescent="0.25">
      <c r="A6" s="10">
        <v>17</v>
      </c>
      <c r="B6" s="10">
        <v>1.08</v>
      </c>
      <c r="C6" s="61"/>
      <c r="L6" s="1">
        <v>40.4</v>
      </c>
      <c r="M6" s="1">
        <v>1.30765</v>
      </c>
      <c r="N6" s="1">
        <v>1.3348</v>
      </c>
      <c r="O6" s="1">
        <v>1.2970999999999999</v>
      </c>
      <c r="P6" s="1">
        <v>1.1846000000000001</v>
      </c>
      <c r="Q6" s="1">
        <v>1.3182</v>
      </c>
      <c r="R6" s="1">
        <v>1.4851000000000001</v>
      </c>
      <c r="S6" s="1">
        <v>1.30765</v>
      </c>
      <c r="T6" s="1">
        <v>1.3348</v>
      </c>
      <c r="V6" s="1">
        <v>3.081</v>
      </c>
    </row>
    <row r="7" spans="1:22" x14ac:dyDescent="0.25">
      <c r="A7" s="10">
        <v>18</v>
      </c>
      <c r="B7" s="10">
        <v>1.06</v>
      </c>
      <c r="C7" s="61"/>
      <c r="L7" s="1">
        <v>40.5</v>
      </c>
      <c r="M7" s="1">
        <v>1.30355</v>
      </c>
      <c r="N7" s="1">
        <v>1.3326</v>
      </c>
      <c r="O7" s="1">
        <v>1.2930999999999999</v>
      </c>
      <c r="P7" s="1">
        <v>1.1822999999999999</v>
      </c>
      <c r="Q7" s="1">
        <v>1.3140000000000001</v>
      </c>
      <c r="R7" s="1">
        <v>1.4830000000000001</v>
      </c>
      <c r="S7" s="1">
        <v>1.30355</v>
      </c>
      <c r="T7" s="1">
        <v>1.3326</v>
      </c>
      <c r="V7" s="1">
        <v>3.0649999999999999</v>
      </c>
    </row>
    <row r="8" spans="1:22" x14ac:dyDescent="0.25">
      <c r="A8" s="10">
        <v>19</v>
      </c>
      <c r="B8" s="10">
        <v>1.04</v>
      </c>
      <c r="C8" s="61"/>
      <c r="L8" s="1">
        <v>40.6</v>
      </c>
      <c r="M8" s="1">
        <v>1.29945</v>
      </c>
      <c r="N8" s="1">
        <v>1.3305</v>
      </c>
      <c r="O8" s="1">
        <v>1.2890999999999999</v>
      </c>
      <c r="P8" s="1">
        <v>1.181</v>
      </c>
      <c r="Q8" s="1">
        <v>1.3098000000000001</v>
      </c>
      <c r="R8" s="1">
        <v>1.4809000000000001</v>
      </c>
      <c r="S8" s="1">
        <v>1.29945</v>
      </c>
      <c r="T8" s="1">
        <v>1.3305</v>
      </c>
      <c r="V8" s="1">
        <v>3.0489999999999999</v>
      </c>
    </row>
    <row r="9" spans="1:22" x14ac:dyDescent="0.25">
      <c r="A9" s="10">
        <v>20</v>
      </c>
      <c r="B9" s="10">
        <v>1.03</v>
      </c>
      <c r="C9" s="61"/>
      <c r="L9" s="1">
        <v>40.700000000000003</v>
      </c>
      <c r="M9" s="1">
        <v>1.2953999999999999</v>
      </c>
      <c r="N9" s="1">
        <v>1.3283</v>
      </c>
      <c r="O9" s="1">
        <v>1.2850999999999999</v>
      </c>
      <c r="P9" s="1">
        <v>1.1778</v>
      </c>
      <c r="Q9" s="1">
        <v>1.3057000000000001</v>
      </c>
      <c r="R9" s="1">
        <v>1.4787999999999999</v>
      </c>
      <c r="S9" s="1">
        <v>1.2953999999999999</v>
      </c>
      <c r="T9" s="1">
        <v>1.3283</v>
      </c>
      <c r="V9" s="1">
        <v>3.0329999999999999</v>
      </c>
    </row>
    <row r="10" spans="1:22" x14ac:dyDescent="0.25">
      <c r="A10" s="10">
        <v>21</v>
      </c>
      <c r="B10" s="10">
        <v>1.02</v>
      </c>
      <c r="C10" s="61"/>
      <c r="L10" s="1">
        <v>40.799999999999997</v>
      </c>
      <c r="M10" s="1">
        <v>1.2913999999999999</v>
      </c>
      <c r="N10" s="1">
        <v>1.3261000000000001</v>
      </c>
      <c r="O10" s="1">
        <v>1.2811999999999999</v>
      </c>
      <c r="P10" s="1">
        <v>1.1756</v>
      </c>
      <c r="Q10" s="1">
        <v>1.3016000000000001</v>
      </c>
      <c r="R10" s="1">
        <v>1.4765999999999999</v>
      </c>
      <c r="S10" s="1">
        <v>1.2913999999999999</v>
      </c>
      <c r="T10" s="1">
        <v>1.3261000000000001</v>
      </c>
      <c r="V10" s="1">
        <v>3.0169999999999999</v>
      </c>
    </row>
    <row r="11" spans="1:22" x14ac:dyDescent="0.25">
      <c r="A11" s="10">
        <v>22</v>
      </c>
      <c r="B11" s="10">
        <v>1.01</v>
      </c>
      <c r="C11" s="61"/>
      <c r="L11" s="1">
        <v>40.9</v>
      </c>
      <c r="M11" s="1">
        <v>1.2874000000000001</v>
      </c>
      <c r="N11" s="1">
        <v>1.3239000000000001</v>
      </c>
      <c r="O11" s="1">
        <f t="shared" ref="O11:T11" si="0">ROUND((O10+O12)/2,4)</f>
        <v>1.2773000000000001</v>
      </c>
      <c r="P11" s="1">
        <f t="shared" si="0"/>
        <v>1.1744000000000001</v>
      </c>
      <c r="Q11" s="1">
        <f t="shared" si="0"/>
        <v>1.2975000000000001</v>
      </c>
      <c r="R11" s="1">
        <v>1.4744999999999999</v>
      </c>
      <c r="S11" s="1">
        <f t="shared" si="0"/>
        <v>1.2874000000000001</v>
      </c>
      <c r="T11" s="1">
        <f t="shared" si="0"/>
        <v>1.3239000000000001</v>
      </c>
      <c r="V11" s="1">
        <v>3.0009999999999999</v>
      </c>
    </row>
    <row r="12" spans="1:22" ht="12.75" customHeight="1" x14ac:dyDescent="0.25">
      <c r="A12" s="1">
        <v>23</v>
      </c>
      <c r="B12" s="1">
        <v>1</v>
      </c>
      <c r="D12" s="16"/>
      <c r="E12" s="59" t="s">
        <v>20</v>
      </c>
      <c r="F12" s="60"/>
      <c r="G12" s="17"/>
      <c r="L12" s="1">
        <v>41</v>
      </c>
      <c r="M12" s="1">
        <v>1.2834000000000001</v>
      </c>
      <c r="N12" s="1">
        <v>1.3217000000000001</v>
      </c>
      <c r="O12" s="1">
        <v>1.2734000000000001</v>
      </c>
      <c r="P12" s="1">
        <v>1.1732</v>
      </c>
      <c r="Q12" s="1">
        <v>1.2934000000000001</v>
      </c>
      <c r="R12" s="1">
        <v>1.4723999999999999</v>
      </c>
      <c r="S12" s="1">
        <v>1.2834000000000001</v>
      </c>
      <c r="T12" s="1">
        <v>1.3217000000000001</v>
      </c>
      <c r="V12" s="1">
        <v>2.9849999999999999</v>
      </c>
    </row>
    <row r="13" spans="1:22" ht="17.25" customHeight="1" x14ac:dyDescent="0.25">
      <c r="A13" s="11">
        <v>40</v>
      </c>
      <c r="B13" s="11">
        <v>1</v>
      </c>
      <c r="C13" s="62" t="s">
        <v>41</v>
      </c>
      <c r="E13" s="18" t="s">
        <v>45</v>
      </c>
      <c r="F13" s="20" t="s">
        <v>46</v>
      </c>
      <c r="G13" s="2" t="s">
        <v>66</v>
      </c>
      <c r="L13" s="1">
        <v>41.1</v>
      </c>
      <c r="M13" s="1">
        <v>1.2794500000000002</v>
      </c>
      <c r="N13" s="1">
        <v>1.3194999999999999</v>
      </c>
      <c r="O13" s="1">
        <v>1.2695000000000001</v>
      </c>
      <c r="P13" s="1">
        <v>1.1711</v>
      </c>
      <c r="Q13" s="1">
        <v>1.2894000000000001</v>
      </c>
      <c r="R13" s="1">
        <v>1.4702</v>
      </c>
      <c r="S13" s="1">
        <v>1.2794500000000002</v>
      </c>
      <c r="T13" s="1">
        <v>1.3194999999999999</v>
      </c>
      <c r="V13" s="1">
        <v>2.827</v>
      </c>
    </row>
    <row r="14" spans="1:22" x14ac:dyDescent="0.25">
      <c r="A14" s="11">
        <v>41</v>
      </c>
      <c r="B14" s="11">
        <v>1.01</v>
      </c>
      <c r="C14" s="62"/>
      <c r="E14" s="18">
        <v>44</v>
      </c>
      <c r="F14" s="20">
        <v>97</v>
      </c>
      <c r="G14" s="2">
        <v>97.002400000000009</v>
      </c>
      <c r="L14" s="1">
        <v>41.2</v>
      </c>
      <c r="M14" s="1">
        <v>1.2755000000000001</v>
      </c>
      <c r="N14" s="1">
        <v>1.3173999999999999</v>
      </c>
      <c r="O14" s="1">
        <v>1.2656000000000001</v>
      </c>
      <c r="P14" s="1">
        <v>1.1689000000000001</v>
      </c>
      <c r="Q14" s="1">
        <v>1.2854000000000001</v>
      </c>
      <c r="R14" s="1">
        <v>1.4681</v>
      </c>
      <c r="S14" s="1">
        <v>1.2755000000000001</v>
      </c>
      <c r="T14" s="1">
        <v>1.3173999999999999</v>
      </c>
      <c r="V14" s="1">
        <v>2.669</v>
      </c>
    </row>
    <row r="15" spans="1:22" x14ac:dyDescent="0.25">
      <c r="A15" s="11">
        <v>42</v>
      </c>
      <c r="B15" s="11">
        <v>1.02</v>
      </c>
      <c r="C15" s="62"/>
      <c r="E15" s="18">
        <v>48</v>
      </c>
      <c r="F15" s="20">
        <v>105</v>
      </c>
      <c r="G15" s="2">
        <v>105.82080000000001</v>
      </c>
      <c r="L15" s="1">
        <v>41.3</v>
      </c>
      <c r="M15" s="1">
        <v>1.2716000000000001</v>
      </c>
      <c r="N15" s="1">
        <v>1.3151999999999999</v>
      </c>
      <c r="O15" s="1">
        <v>1.2618</v>
      </c>
      <c r="P15" s="1">
        <v>1.1667000000000001</v>
      </c>
      <c r="Q15" s="1">
        <v>1.2814000000000001</v>
      </c>
      <c r="R15" s="1">
        <v>1.466</v>
      </c>
      <c r="S15" s="1">
        <v>1.2716000000000001</v>
      </c>
      <c r="T15" s="1">
        <v>1.3151999999999999</v>
      </c>
      <c r="V15" s="1">
        <v>2.5109999999999997</v>
      </c>
    </row>
    <row r="16" spans="1:22" x14ac:dyDescent="0.25">
      <c r="A16" s="11">
        <v>43</v>
      </c>
      <c r="B16" s="11">
        <v>1.0309999999999999</v>
      </c>
      <c r="C16" s="62"/>
      <c r="E16" s="18">
        <v>52</v>
      </c>
      <c r="F16" s="20">
        <v>114</v>
      </c>
      <c r="G16" s="2">
        <v>114.6392</v>
      </c>
      <c r="L16" s="1">
        <v>41.4</v>
      </c>
      <c r="M16" s="1">
        <v>1.2677499999999999</v>
      </c>
      <c r="N16" s="1">
        <v>1.3129999999999999</v>
      </c>
      <c r="O16" s="1">
        <v>1.258</v>
      </c>
      <c r="P16" s="1">
        <v>1.1645000000000001</v>
      </c>
      <c r="Q16" s="1">
        <v>1.2775000000000001</v>
      </c>
      <c r="R16" s="1">
        <v>1.4638</v>
      </c>
      <c r="S16" s="1">
        <v>1.2677499999999999</v>
      </c>
      <c r="T16" s="1">
        <v>1.3129999999999999</v>
      </c>
      <c r="V16" s="1">
        <v>2.3529999999999998</v>
      </c>
    </row>
    <row r="17" spans="1:23" x14ac:dyDescent="0.25">
      <c r="A17" s="11">
        <v>44</v>
      </c>
      <c r="B17" s="11">
        <v>1.0429999999999999</v>
      </c>
      <c r="C17" s="62"/>
      <c r="E17" s="18">
        <v>56</v>
      </c>
      <c r="F17" s="20">
        <v>123</v>
      </c>
      <c r="G17" s="2">
        <v>123.45760000000001</v>
      </c>
      <c r="L17" s="1">
        <v>41.5</v>
      </c>
      <c r="M17" s="1">
        <v>1.2639</v>
      </c>
      <c r="N17" s="1">
        <v>1.3109</v>
      </c>
      <c r="O17" s="1">
        <v>1.2542</v>
      </c>
      <c r="P17" s="1">
        <v>1.1623000000000001</v>
      </c>
      <c r="Q17" s="1">
        <v>1.2736000000000001</v>
      </c>
      <c r="R17" s="1">
        <v>1.4617</v>
      </c>
      <c r="S17" s="1">
        <v>1.2639</v>
      </c>
      <c r="T17" s="1">
        <v>1.3109</v>
      </c>
      <c r="V17" s="1">
        <v>2.1949999999999998</v>
      </c>
    </row>
    <row r="18" spans="1:23" ht="12.75" customHeight="1" x14ac:dyDescent="0.25">
      <c r="A18" s="11">
        <v>45</v>
      </c>
      <c r="B18" s="11">
        <v>1.0549999999999999</v>
      </c>
      <c r="C18" s="62"/>
      <c r="E18" s="18">
        <v>60</v>
      </c>
      <c r="F18" s="20">
        <v>132</v>
      </c>
      <c r="G18" s="2">
        <v>132.27600000000001</v>
      </c>
      <c r="J18" s="14"/>
      <c r="K18" s="14"/>
      <c r="L18" s="1">
        <v>41.6</v>
      </c>
      <c r="M18" s="1">
        <v>1.2600500000000001</v>
      </c>
      <c r="N18" s="1">
        <v>1.3087</v>
      </c>
      <c r="O18" s="1">
        <v>1.2504</v>
      </c>
      <c r="P18" s="1">
        <v>1.1600999999999999</v>
      </c>
      <c r="Q18" s="1">
        <v>1.2697000000000001</v>
      </c>
      <c r="R18" s="1">
        <v>1.4595</v>
      </c>
      <c r="S18" s="1">
        <v>1.2600500000000001</v>
      </c>
      <c r="T18" s="1">
        <v>1.3087</v>
      </c>
      <c r="V18" s="1">
        <v>2.3258000000000001</v>
      </c>
      <c r="W18" s="14"/>
    </row>
    <row r="19" spans="1:23" ht="12.75" customHeight="1" x14ac:dyDescent="0.25">
      <c r="A19" s="11">
        <v>46</v>
      </c>
      <c r="B19" s="11">
        <v>1.0680000000000001</v>
      </c>
      <c r="C19" s="62"/>
      <c r="E19" s="18">
        <v>67.5</v>
      </c>
      <c r="F19" s="20">
        <v>148</v>
      </c>
      <c r="G19" s="2">
        <v>148.81050000000002</v>
      </c>
      <c r="L19" s="28">
        <v>41.7</v>
      </c>
      <c r="M19" s="28">
        <v>1.2562500000000001</v>
      </c>
      <c r="N19" s="28">
        <v>1.3065</v>
      </c>
      <c r="O19" s="28">
        <v>1.2466999999999999</v>
      </c>
      <c r="P19" s="28">
        <v>1.1578999999999999</v>
      </c>
      <c r="Q19" s="28">
        <v>1.2658</v>
      </c>
      <c r="R19" s="28">
        <v>1.4574</v>
      </c>
      <c r="S19" s="1">
        <v>1.2562500000000001</v>
      </c>
      <c r="T19" s="1">
        <v>1.3065</v>
      </c>
      <c r="V19" s="1">
        <v>2.4565999999999999</v>
      </c>
    </row>
    <row r="20" spans="1:23" ht="12.75" customHeight="1" x14ac:dyDescent="0.25">
      <c r="A20" s="11">
        <v>47</v>
      </c>
      <c r="B20" s="11">
        <v>1.0820000000000001</v>
      </c>
      <c r="C20" s="62"/>
      <c r="E20" s="18">
        <v>75</v>
      </c>
      <c r="F20" s="20">
        <v>165</v>
      </c>
      <c r="G20" s="2">
        <v>165.345</v>
      </c>
      <c r="L20" s="1">
        <v>41.8</v>
      </c>
      <c r="M20" s="1">
        <v>1.2524500000000001</v>
      </c>
      <c r="N20" s="1">
        <v>1.3043</v>
      </c>
      <c r="O20" s="1">
        <v>1.2428999999999999</v>
      </c>
      <c r="P20" s="1">
        <v>1.1556999999999999</v>
      </c>
      <c r="Q20" s="1">
        <v>1.262</v>
      </c>
      <c r="R20" s="1">
        <v>1.4552</v>
      </c>
      <c r="S20" s="1">
        <v>1.2524500000000001</v>
      </c>
      <c r="T20" s="1">
        <v>1.3043</v>
      </c>
      <c r="V20" s="1">
        <v>2.5874000000000001</v>
      </c>
    </row>
    <row r="21" spans="1:23" x14ac:dyDescent="0.25">
      <c r="A21" s="11">
        <v>48</v>
      </c>
      <c r="B21" s="11">
        <v>1.097</v>
      </c>
      <c r="C21" s="62"/>
      <c r="E21" s="18">
        <v>82.5</v>
      </c>
      <c r="F21" s="20">
        <v>181</v>
      </c>
      <c r="G21" s="2">
        <v>181.87950000000001</v>
      </c>
      <c r="L21" s="1">
        <v>41.9</v>
      </c>
      <c r="M21" s="1">
        <v>1.2677499999999999</v>
      </c>
      <c r="N21" s="1">
        <v>1.3022</v>
      </c>
      <c r="O21" s="1">
        <v>1.2773000000000001</v>
      </c>
      <c r="P21" s="1">
        <v>1.1535</v>
      </c>
      <c r="Q21" s="1">
        <v>1.2582</v>
      </c>
      <c r="R21" s="1">
        <v>1.4531000000000001</v>
      </c>
      <c r="S21" s="1">
        <v>1.2677499999999999</v>
      </c>
      <c r="T21" s="1">
        <v>1.3022</v>
      </c>
      <c r="V21" s="1">
        <v>2.7182000000000004</v>
      </c>
    </row>
    <row r="22" spans="1:23" x14ac:dyDescent="0.25">
      <c r="A22" s="11">
        <v>49</v>
      </c>
      <c r="B22" s="11">
        <v>1.113</v>
      </c>
      <c r="C22" s="62"/>
      <c r="E22" s="18">
        <v>90</v>
      </c>
      <c r="F22" s="20">
        <v>198</v>
      </c>
      <c r="G22" s="2">
        <v>198.41400000000002</v>
      </c>
      <c r="L22" s="1">
        <v>42</v>
      </c>
      <c r="M22" s="1">
        <v>1.2450000000000001</v>
      </c>
      <c r="N22" s="1">
        <v>1.3001</v>
      </c>
      <c r="O22" s="1">
        <v>1.2355</v>
      </c>
      <c r="P22" s="1">
        <v>1.1514</v>
      </c>
      <c r="Q22" s="1">
        <v>1.2544999999999999</v>
      </c>
      <c r="R22" s="1">
        <v>1.4510000000000001</v>
      </c>
      <c r="S22" s="1">
        <v>1.2450000000000001</v>
      </c>
      <c r="T22" s="1">
        <v>1.3001</v>
      </c>
      <c r="V22" s="1">
        <v>2.8490000000000002</v>
      </c>
    </row>
    <row r="23" spans="1:23" x14ac:dyDescent="0.25">
      <c r="A23" s="11">
        <v>50</v>
      </c>
      <c r="B23" s="11">
        <v>1.1299999999999999</v>
      </c>
      <c r="E23" s="18">
        <v>100</v>
      </c>
      <c r="F23" s="20">
        <v>220</v>
      </c>
      <c r="G23" s="2">
        <v>220.46</v>
      </c>
      <c r="L23" s="1">
        <v>42.1</v>
      </c>
      <c r="M23" s="1">
        <v>1.24125</v>
      </c>
      <c r="N23" s="1">
        <v>1.2979000000000001</v>
      </c>
      <c r="O23" s="1">
        <v>1.2318</v>
      </c>
      <c r="P23" s="1">
        <v>1.1492</v>
      </c>
      <c r="Q23" s="1">
        <v>1.2506999999999999</v>
      </c>
      <c r="R23" s="1">
        <v>1.4488000000000001</v>
      </c>
      <c r="S23" s="1">
        <v>1.24125</v>
      </c>
      <c r="T23" s="1">
        <v>1.2979000000000001</v>
      </c>
      <c r="V23" s="1">
        <v>2.8364000000000003</v>
      </c>
    </row>
    <row r="24" spans="1:23" x14ac:dyDescent="0.25">
      <c r="A24" s="11">
        <v>51</v>
      </c>
      <c r="B24" s="11">
        <v>1.147</v>
      </c>
      <c r="E24" s="18">
        <v>110</v>
      </c>
      <c r="F24" s="20">
        <v>242</v>
      </c>
      <c r="G24" s="2">
        <v>242.506</v>
      </c>
      <c r="I24" s="3"/>
      <c r="L24" s="1">
        <v>42.2</v>
      </c>
      <c r="M24" s="1">
        <v>1.2376</v>
      </c>
      <c r="N24" s="1">
        <v>1.2958000000000001</v>
      </c>
      <c r="O24" s="1">
        <v>1.2282</v>
      </c>
      <c r="P24" s="1">
        <v>1.1471</v>
      </c>
      <c r="Q24" s="1">
        <v>1.2470000000000001</v>
      </c>
      <c r="R24" s="1">
        <v>1.4467000000000001</v>
      </c>
      <c r="S24" s="1">
        <v>1.2376</v>
      </c>
      <c r="T24" s="1">
        <v>1.2958000000000001</v>
      </c>
      <c r="V24" s="1">
        <v>2.8238000000000003</v>
      </c>
    </row>
    <row r="25" spans="1:23" x14ac:dyDescent="0.25">
      <c r="A25" s="11">
        <v>52</v>
      </c>
      <c r="B25" s="11">
        <v>1.165</v>
      </c>
      <c r="E25" s="18">
        <v>125</v>
      </c>
      <c r="F25" s="20">
        <v>275</v>
      </c>
      <c r="G25" s="2">
        <v>275.57499999999999</v>
      </c>
      <c r="I25" s="3"/>
      <c r="L25" s="1">
        <v>42.3</v>
      </c>
      <c r="M25" s="1">
        <v>1.2339</v>
      </c>
      <c r="N25" s="1">
        <v>1.2936000000000001</v>
      </c>
      <c r="O25" s="1">
        <v>1.2244999999999999</v>
      </c>
      <c r="P25" s="1">
        <v>1.145</v>
      </c>
      <c r="Q25" s="1">
        <v>1.2433000000000001</v>
      </c>
      <c r="R25" s="1">
        <v>1.4444999999999999</v>
      </c>
      <c r="S25" s="1">
        <v>1.2339</v>
      </c>
      <c r="T25" s="1">
        <v>1.2936000000000001</v>
      </c>
      <c r="V25" s="1">
        <v>2.8111999999999999</v>
      </c>
    </row>
    <row r="26" spans="1:23" x14ac:dyDescent="0.25">
      <c r="A26" s="11">
        <v>53</v>
      </c>
      <c r="B26" s="11">
        <v>1.1839999999999999</v>
      </c>
      <c r="E26" s="18">
        <v>140</v>
      </c>
      <c r="F26" s="20">
        <v>308</v>
      </c>
      <c r="G26" s="2">
        <v>308.64400000000001</v>
      </c>
      <c r="L26" s="1">
        <v>42.4</v>
      </c>
      <c r="M26" s="1">
        <v>1.2303000000000002</v>
      </c>
      <c r="N26" s="1">
        <v>1.2915000000000001</v>
      </c>
      <c r="O26" s="1">
        <v>1.2209000000000001</v>
      </c>
      <c r="P26" s="1">
        <v>1.1428</v>
      </c>
      <c r="Q26" s="1">
        <v>1.2397</v>
      </c>
      <c r="R26" s="1">
        <v>1.4423999999999999</v>
      </c>
      <c r="S26" s="1">
        <v>1.2303000000000002</v>
      </c>
      <c r="T26" s="1">
        <v>1.2915000000000001</v>
      </c>
      <c r="V26" s="1">
        <v>2.7986</v>
      </c>
    </row>
    <row r="27" spans="1:23" x14ac:dyDescent="0.25">
      <c r="A27" s="11">
        <v>54</v>
      </c>
      <c r="B27" s="11">
        <v>1.204</v>
      </c>
      <c r="E27" s="18">
        <v>145</v>
      </c>
      <c r="F27" s="20">
        <v>319</v>
      </c>
      <c r="G27" s="2">
        <v>319.66700000000003</v>
      </c>
      <c r="L27" s="1">
        <v>42.5</v>
      </c>
      <c r="M27" s="1">
        <v>1.22665</v>
      </c>
      <c r="N27" s="1">
        <v>1.2894000000000001</v>
      </c>
      <c r="O27" s="1">
        <v>1.2173</v>
      </c>
      <c r="P27" s="1">
        <v>1.1407</v>
      </c>
      <c r="Q27" s="1">
        <v>1.236</v>
      </c>
      <c r="R27" s="1">
        <v>1.4401999999999999</v>
      </c>
      <c r="S27" s="1">
        <v>1.22665</v>
      </c>
      <c r="T27" s="1">
        <v>1.2894000000000001</v>
      </c>
      <c r="V27" s="1">
        <v>2.786</v>
      </c>
    </row>
    <row r="28" spans="1:23" x14ac:dyDescent="0.25">
      <c r="A28" s="11">
        <v>55</v>
      </c>
      <c r="B28" s="11">
        <v>1.2250000000000001</v>
      </c>
      <c r="E28" s="19" t="s">
        <v>44</v>
      </c>
      <c r="F28" s="7" t="s">
        <v>44</v>
      </c>
      <c r="G28" s="34" t="s">
        <v>67</v>
      </c>
      <c r="L28" s="1">
        <v>42.6</v>
      </c>
      <c r="M28" s="1">
        <v>1.2231000000000001</v>
      </c>
      <c r="N28" s="1">
        <v>1.2873000000000001</v>
      </c>
      <c r="O28" s="1">
        <v>1.2138</v>
      </c>
      <c r="P28" s="1">
        <v>1.1386000000000001</v>
      </c>
      <c r="Q28" s="1">
        <v>1.2323999999999999</v>
      </c>
      <c r="R28" s="1">
        <v>1.4380999999999999</v>
      </c>
      <c r="S28" s="1">
        <v>1.2231000000000001</v>
      </c>
      <c r="T28" s="1">
        <v>1.2873000000000001</v>
      </c>
      <c r="V28" s="1">
        <v>2.7751999999999999</v>
      </c>
    </row>
    <row r="29" spans="1:23" x14ac:dyDescent="0.25">
      <c r="A29" s="11">
        <v>56</v>
      </c>
      <c r="B29" s="11">
        <v>1.246</v>
      </c>
      <c r="L29" s="1">
        <v>42.7</v>
      </c>
      <c r="M29" s="1">
        <v>1.2195499999999999</v>
      </c>
      <c r="N29" s="1">
        <v>1.2850999999999999</v>
      </c>
      <c r="O29" s="1">
        <v>1.2101999999999999</v>
      </c>
      <c r="P29" s="1">
        <v>1.1365000000000001</v>
      </c>
      <c r="Q29" s="1">
        <v>1.2289000000000001</v>
      </c>
      <c r="R29" s="1">
        <v>1.4359</v>
      </c>
      <c r="S29" s="1">
        <v>1.2195499999999999</v>
      </c>
      <c r="T29" s="1">
        <v>1.2850999999999999</v>
      </c>
      <c r="V29" s="1">
        <v>2.7644000000000002</v>
      </c>
    </row>
    <row r="30" spans="1:23" x14ac:dyDescent="0.25">
      <c r="A30" s="12">
        <v>57</v>
      </c>
      <c r="B30" s="12">
        <v>1.268</v>
      </c>
      <c r="L30" s="1">
        <v>42.8</v>
      </c>
      <c r="M30" s="1">
        <v>1.2160000000000002</v>
      </c>
      <c r="N30" s="1">
        <v>1.2829999999999999</v>
      </c>
      <c r="O30" s="1">
        <v>1.2067000000000001</v>
      </c>
      <c r="P30" s="1">
        <v>1.1344000000000001</v>
      </c>
      <c r="Q30" s="1">
        <v>1.2253000000000001</v>
      </c>
      <c r="R30" s="1">
        <v>1.4338</v>
      </c>
      <c r="S30" s="1">
        <v>1.2160000000000002</v>
      </c>
      <c r="T30" s="1">
        <v>1.2829999999999999</v>
      </c>
      <c r="V30" s="1">
        <v>2.7536</v>
      </c>
    </row>
    <row r="31" spans="1:23" x14ac:dyDescent="0.25">
      <c r="A31" s="13">
        <v>58</v>
      </c>
      <c r="B31" s="13">
        <v>1.2909999999999999</v>
      </c>
      <c r="L31" s="1">
        <v>42.9</v>
      </c>
      <c r="M31" s="1">
        <v>1.2305000000000001</v>
      </c>
      <c r="N31" s="1">
        <v>1.2808999999999999</v>
      </c>
      <c r="O31" s="1">
        <v>1.2392000000000001</v>
      </c>
      <c r="P31" s="1">
        <v>1.1323000000000001</v>
      </c>
      <c r="Q31" s="1">
        <v>1.2218</v>
      </c>
      <c r="R31" s="1">
        <v>1.4316</v>
      </c>
      <c r="S31" s="1">
        <v>1.2305000000000001</v>
      </c>
      <c r="T31" s="1">
        <v>1.2808999999999999</v>
      </c>
      <c r="V31" s="1">
        <v>2.7428000000000003</v>
      </c>
    </row>
    <row r="32" spans="1:23" x14ac:dyDescent="0.25">
      <c r="A32" s="13">
        <v>59</v>
      </c>
      <c r="B32" s="13">
        <v>1.3149999999999999</v>
      </c>
      <c r="F32" s="4">
        <v>44</v>
      </c>
      <c r="G32" s="4">
        <v>44</v>
      </c>
      <c r="L32" s="1">
        <v>43</v>
      </c>
      <c r="M32" s="1">
        <v>1.2090000000000001</v>
      </c>
      <c r="N32" s="1">
        <v>1.2787999999999999</v>
      </c>
      <c r="O32" s="1">
        <v>1.1997</v>
      </c>
      <c r="P32" s="1">
        <v>1.1303000000000001</v>
      </c>
      <c r="Q32" s="1">
        <v>1.2182999999999999</v>
      </c>
      <c r="R32" s="1">
        <v>1.4295</v>
      </c>
      <c r="S32" s="1">
        <v>1.2090000000000001</v>
      </c>
      <c r="T32" s="1">
        <v>1.2787999999999999</v>
      </c>
      <c r="V32" s="1">
        <v>2.7320000000000002</v>
      </c>
    </row>
    <row r="33" spans="1:22" ht="12.75" customHeight="1" x14ac:dyDescent="0.25">
      <c r="A33" s="13">
        <v>60</v>
      </c>
      <c r="B33" s="13">
        <v>1.34</v>
      </c>
      <c r="F33" s="4">
        <v>48</v>
      </c>
      <c r="G33" s="4">
        <v>48</v>
      </c>
      <c r="L33" s="1">
        <v>43.1</v>
      </c>
      <c r="M33" s="1">
        <v>1.2055</v>
      </c>
      <c r="N33" s="1">
        <v>1.2766999999999999</v>
      </c>
      <c r="O33" s="1">
        <v>1.1961999999999999</v>
      </c>
      <c r="P33" s="1">
        <v>1.1282000000000001</v>
      </c>
      <c r="Q33" s="1">
        <v>1.2148000000000001</v>
      </c>
      <c r="R33" s="1">
        <v>1.4273</v>
      </c>
      <c r="S33" s="1">
        <v>1.2055</v>
      </c>
      <c r="T33" s="1">
        <v>1.2766999999999999</v>
      </c>
      <c r="V33" s="1">
        <v>2.7218</v>
      </c>
    </row>
    <row r="34" spans="1:22" ht="12.75" customHeight="1" x14ac:dyDescent="0.25">
      <c r="A34" s="13">
        <v>61</v>
      </c>
      <c r="B34" s="13">
        <v>1.3660000000000001</v>
      </c>
      <c r="F34" s="4">
        <v>52</v>
      </c>
      <c r="G34" s="4">
        <v>52</v>
      </c>
      <c r="L34" s="1">
        <v>43.2</v>
      </c>
      <c r="M34" s="1">
        <v>1.202</v>
      </c>
      <c r="N34" s="1">
        <v>1.2746</v>
      </c>
      <c r="O34" s="1">
        <v>1.1927000000000001</v>
      </c>
      <c r="P34" s="1">
        <v>1.1261000000000001</v>
      </c>
      <c r="Q34" s="1">
        <v>1.2113</v>
      </c>
      <c r="R34" s="1">
        <v>1.4252</v>
      </c>
      <c r="S34" s="1">
        <v>1.202</v>
      </c>
      <c r="T34" s="1">
        <v>1.2746</v>
      </c>
      <c r="V34" s="1">
        <v>2.7116000000000002</v>
      </c>
    </row>
    <row r="35" spans="1:22" ht="12.75" customHeight="1" x14ac:dyDescent="0.25">
      <c r="A35" s="13">
        <v>62</v>
      </c>
      <c r="B35" s="13">
        <v>1.393</v>
      </c>
      <c r="F35" s="4">
        <v>56</v>
      </c>
      <c r="G35" s="4">
        <v>56</v>
      </c>
      <c r="L35" s="1">
        <v>43.3</v>
      </c>
      <c r="M35" s="1">
        <v>1.1985999999999999</v>
      </c>
      <c r="N35" s="1">
        <v>1.2725</v>
      </c>
      <c r="O35" s="1">
        <v>1.1893</v>
      </c>
      <c r="P35" s="1">
        <v>1.1241000000000001</v>
      </c>
      <c r="Q35" s="1">
        <v>1.2079</v>
      </c>
      <c r="R35" s="1">
        <v>1.4231</v>
      </c>
      <c r="S35" s="1">
        <v>1.1985999999999999</v>
      </c>
      <c r="T35" s="1">
        <v>1.2725</v>
      </c>
      <c r="V35" s="1">
        <v>2.7014</v>
      </c>
    </row>
    <row r="36" spans="1:22" ht="12.75" customHeight="1" x14ac:dyDescent="0.25">
      <c r="A36" s="13">
        <v>63</v>
      </c>
      <c r="B36" s="13">
        <v>1.421</v>
      </c>
      <c r="F36" s="4">
        <v>60</v>
      </c>
      <c r="G36" s="4">
        <v>60</v>
      </c>
      <c r="L36" s="1">
        <v>43.4</v>
      </c>
      <c r="M36" s="1">
        <v>1.1951499999999999</v>
      </c>
      <c r="N36" s="1">
        <v>1.2704</v>
      </c>
      <c r="O36" s="1">
        <v>1.1858</v>
      </c>
      <c r="P36" s="1">
        <v>1.1220000000000001</v>
      </c>
      <c r="Q36" s="1">
        <v>1.2044999999999999</v>
      </c>
      <c r="R36" s="1">
        <v>1.4209000000000001</v>
      </c>
      <c r="S36" s="1">
        <v>1.1951499999999999</v>
      </c>
      <c r="T36" s="1">
        <v>1.2704</v>
      </c>
      <c r="V36" s="1">
        <v>2.6912000000000003</v>
      </c>
    </row>
    <row r="37" spans="1:22" x14ac:dyDescent="0.25">
      <c r="A37" s="13">
        <v>64</v>
      </c>
      <c r="B37" s="13">
        <v>1.45</v>
      </c>
      <c r="F37" s="4">
        <v>67.5</v>
      </c>
      <c r="G37" s="4">
        <v>67.5</v>
      </c>
      <c r="L37" s="1">
        <v>43.5</v>
      </c>
      <c r="M37" s="1">
        <v>1.1917499999999999</v>
      </c>
      <c r="N37" s="1">
        <v>1.2684</v>
      </c>
      <c r="O37" s="1">
        <v>1.1823999999999999</v>
      </c>
      <c r="P37" s="1">
        <v>1.1200000000000001</v>
      </c>
      <c r="Q37" s="1">
        <v>1.2011000000000001</v>
      </c>
      <c r="R37" s="1">
        <v>1.4188000000000001</v>
      </c>
      <c r="S37" s="1">
        <v>1.1917499999999999</v>
      </c>
      <c r="T37" s="1">
        <v>1.2684</v>
      </c>
      <c r="V37" s="1">
        <v>2.681</v>
      </c>
    </row>
    <row r="38" spans="1:22" ht="12.75" customHeight="1" x14ac:dyDescent="0.25">
      <c r="A38" s="13">
        <v>65</v>
      </c>
      <c r="B38" s="13">
        <v>1.48</v>
      </c>
      <c r="F38" s="4">
        <v>75</v>
      </c>
      <c r="G38" s="4">
        <v>75</v>
      </c>
      <c r="L38" s="1">
        <v>43.6</v>
      </c>
      <c r="M38" s="1">
        <v>1.18845</v>
      </c>
      <c r="N38" s="1">
        <v>1.2662</v>
      </c>
      <c r="O38" s="1">
        <v>1.1791</v>
      </c>
      <c r="P38" s="1">
        <v>1.1180000000000001</v>
      </c>
      <c r="Q38" s="1">
        <v>1.1978</v>
      </c>
      <c r="R38" s="1">
        <v>1.4166000000000001</v>
      </c>
      <c r="S38" s="1">
        <v>1.18845</v>
      </c>
      <c r="T38" s="1">
        <v>1.2662</v>
      </c>
      <c r="V38" s="1">
        <v>2.6712000000000002</v>
      </c>
    </row>
    <row r="39" spans="1:22" ht="13.5" customHeight="1" x14ac:dyDescent="0.25">
      <c r="A39" s="13">
        <v>66</v>
      </c>
      <c r="B39" s="13">
        <v>1.5109999999999999</v>
      </c>
      <c r="F39" s="4">
        <v>82.5</v>
      </c>
      <c r="G39" s="4">
        <v>82.5</v>
      </c>
      <c r="L39" s="1">
        <v>43.7</v>
      </c>
      <c r="M39" s="1">
        <v>1.1850499999999999</v>
      </c>
      <c r="N39" s="1">
        <v>1.2642</v>
      </c>
      <c r="O39" s="1">
        <v>1.1757</v>
      </c>
      <c r="P39" s="1">
        <v>1.1158999999999999</v>
      </c>
      <c r="Q39" s="1">
        <v>1.1943999999999999</v>
      </c>
      <c r="R39" s="1">
        <v>1.4145000000000001</v>
      </c>
      <c r="S39" s="1">
        <v>1.1850499999999999</v>
      </c>
      <c r="T39" s="1">
        <v>1.2642</v>
      </c>
      <c r="V39" s="1">
        <v>2.6614</v>
      </c>
    </row>
    <row r="40" spans="1:22" ht="12.75" customHeight="1" x14ac:dyDescent="0.25">
      <c r="A40" s="13">
        <v>67</v>
      </c>
      <c r="B40" s="13">
        <v>1.5429999999999999</v>
      </c>
      <c r="F40" s="4">
        <v>90</v>
      </c>
      <c r="G40" s="4">
        <v>90</v>
      </c>
      <c r="L40" s="1">
        <v>43.8</v>
      </c>
      <c r="M40" s="1">
        <v>1.1817</v>
      </c>
      <c r="N40" s="1">
        <v>1.2621</v>
      </c>
      <c r="O40" s="1">
        <v>1.1722999999999999</v>
      </c>
      <c r="P40" s="1">
        <v>1.1138999999999999</v>
      </c>
      <c r="Q40" s="1">
        <v>1.1911</v>
      </c>
      <c r="R40" s="1">
        <v>1.4123000000000001</v>
      </c>
      <c r="S40" s="1">
        <v>1.1817</v>
      </c>
      <c r="T40" s="1">
        <v>1.2621</v>
      </c>
      <c r="V40" s="1">
        <v>2.6516000000000002</v>
      </c>
    </row>
    <row r="41" spans="1:22" ht="12.75" customHeight="1" x14ac:dyDescent="0.25">
      <c r="A41" s="13">
        <v>68</v>
      </c>
      <c r="B41" s="13">
        <v>1.5760000000000001</v>
      </c>
      <c r="F41" s="4">
        <v>97</v>
      </c>
      <c r="G41" s="4">
        <v>97.002400000000009</v>
      </c>
      <c r="L41" s="1">
        <v>43.9</v>
      </c>
      <c r="M41" s="1">
        <v>1.1955</v>
      </c>
      <c r="N41" s="1">
        <v>1.26</v>
      </c>
      <c r="O41" s="1">
        <v>1.2032</v>
      </c>
      <c r="P41" s="1">
        <v>1.1119000000000001</v>
      </c>
      <c r="Q41" s="1">
        <v>1.1878</v>
      </c>
      <c r="R41" s="1">
        <v>1.4101999999999999</v>
      </c>
      <c r="S41" s="1">
        <v>1.1955</v>
      </c>
      <c r="T41" s="1">
        <v>1.26</v>
      </c>
      <c r="V41" s="1">
        <v>2.6417999999999999</v>
      </c>
    </row>
    <row r="42" spans="1:22" x14ac:dyDescent="0.25">
      <c r="A42" s="13">
        <v>69</v>
      </c>
      <c r="B42" s="13">
        <v>1.61</v>
      </c>
      <c r="F42" s="4">
        <v>100</v>
      </c>
      <c r="G42" s="4">
        <v>100</v>
      </c>
      <c r="L42" s="1">
        <v>44</v>
      </c>
      <c r="M42" s="1">
        <v>1.1751499999999999</v>
      </c>
      <c r="N42" s="1">
        <v>1.258</v>
      </c>
      <c r="O42" s="1">
        <v>1.1657</v>
      </c>
      <c r="P42" s="1">
        <v>1.1099000000000001</v>
      </c>
      <c r="Q42" s="1">
        <v>1.1846000000000001</v>
      </c>
      <c r="R42" s="1">
        <v>1.4080999999999999</v>
      </c>
      <c r="S42" s="1">
        <v>1.1751499999999999</v>
      </c>
      <c r="T42" s="1">
        <v>1.258</v>
      </c>
      <c r="V42" s="1">
        <v>2.6320000000000001</v>
      </c>
    </row>
    <row r="43" spans="1:22" x14ac:dyDescent="0.25">
      <c r="A43" s="13">
        <v>70</v>
      </c>
      <c r="B43" s="13">
        <v>1.645</v>
      </c>
      <c r="F43" s="4">
        <v>105</v>
      </c>
      <c r="G43" s="4">
        <v>105.82080000000001</v>
      </c>
      <c r="L43" s="1">
        <v>44.1</v>
      </c>
      <c r="M43" s="1">
        <v>1.1718500000000001</v>
      </c>
      <c r="N43" s="1">
        <v>1.2559</v>
      </c>
      <c r="O43" s="1">
        <v>1.1624000000000001</v>
      </c>
      <c r="P43" s="1">
        <v>1.1079000000000001</v>
      </c>
      <c r="Q43" s="1">
        <v>1.1813</v>
      </c>
      <c r="R43" s="1">
        <v>1.4058999999999999</v>
      </c>
      <c r="S43" s="1">
        <v>1.1718500000000001</v>
      </c>
      <c r="T43" s="1">
        <v>1.2559</v>
      </c>
      <c r="V43" s="1">
        <v>2.6234000000000002</v>
      </c>
    </row>
    <row r="44" spans="1:22" x14ac:dyDescent="0.25">
      <c r="A44" s="13">
        <v>71</v>
      </c>
      <c r="B44" s="13">
        <v>1.681</v>
      </c>
      <c r="F44" s="4">
        <v>110</v>
      </c>
      <c r="G44" s="4">
        <v>110</v>
      </c>
      <c r="L44" s="1">
        <v>44.2</v>
      </c>
      <c r="M44" s="1">
        <v>1.1686000000000001</v>
      </c>
      <c r="N44" s="1">
        <v>1.2538</v>
      </c>
      <c r="O44" s="1">
        <v>1.1591</v>
      </c>
      <c r="P44" s="1">
        <v>1.1059000000000001</v>
      </c>
      <c r="Q44" s="1">
        <v>1.1780999999999999</v>
      </c>
      <c r="R44" s="1">
        <v>1.4037999999999999</v>
      </c>
      <c r="S44" s="1">
        <v>1.1686000000000001</v>
      </c>
      <c r="T44" s="1">
        <v>1.2538</v>
      </c>
      <c r="V44" s="1">
        <v>2.6148000000000002</v>
      </c>
    </row>
    <row r="45" spans="1:22" x14ac:dyDescent="0.25">
      <c r="A45" s="13">
        <v>72</v>
      </c>
      <c r="B45" s="13">
        <v>1.718</v>
      </c>
      <c r="F45" s="4">
        <v>114</v>
      </c>
      <c r="G45" s="4">
        <v>114.6392</v>
      </c>
      <c r="L45" s="1">
        <v>44.3</v>
      </c>
      <c r="M45" s="1">
        <v>1.1653500000000001</v>
      </c>
      <c r="N45" s="1">
        <v>1.2518</v>
      </c>
      <c r="O45" s="1">
        <v>1.1557999999999999</v>
      </c>
      <c r="P45" s="1">
        <v>1.1039000000000001</v>
      </c>
      <c r="Q45" s="1">
        <v>1.1749000000000001</v>
      </c>
      <c r="R45" s="1">
        <v>1.4016999999999999</v>
      </c>
      <c r="S45" s="1">
        <v>1.1653500000000001</v>
      </c>
      <c r="T45" s="1">
        <v>1.2518</v>
      </c>
      <c r="V45" s="1">
        <v>2.6061999999999999</v>
      </c>
    </row>
    <row r="46" spans="1:22" x14ac:dyDescent="0.25">
      <c r="A46" s="13">
        <v>73</v>
      </c>
      <c r="B46" s="13">
        <v>1.756</v>
      </c>
      <c r="F46" s="4">
        <v>123</v>
      </c>
      <c r="G46" s="4">
        <v>123.45760000000001</v>
      </c>
      <c r="L46" s="1">
        <v>44.4</v>
      </c>
      <c r="M46" s="1">
        <v>1.16215</v>
      </c>
      <c r="N46" s="1">
        <v>1.2497</v>
      </c>
      <c r="O46" s="1">
        <v>1.1526000000000001</v>
      </c>
      <c r="P46" s="1">
        <v>1.1020000000000001</v>
      </c>
      <c r="Q46" s="1">
        <v>1.1717</v>
      </c>
      <c r="R46" s="1">
        <v>1.3995</v>
      </c>
      <c r="S46" s="1">
        <v>1.16215</v>
      </c>
      <c r="T46" s="1">
        <v>1.2497</v>
      </c>
      <c r="V46" s="1">
        <v>2.5975999999999999</v>
      </c>
    </row>
    <row r="47" spans="1:22" x14ac:dyDescent="0.25">
      <c r="A47" s="13">
        <v>74</v>
      </c>
      <c r="B47" s="13">
        <v>1.7949999999999999</v>
      </c>
      <c r="F47" s="4">
        <v>125</v>
      </c>
      <c r="G47" s="4">
        <v>125</v>
      </c>
      <c r="L47" s="1">
        <v>44.5</v>
      </c>
      <c r="M47" s="1">
        <v>1.159</v>
      </c>
      <c r="N47" s="1">
        <v>1.2477</v>
      </c>
      <c r="O47" s="1">
        <v>1.1494</v>
      </c>
      <c r="P47" s="1">
        <v>1.1000000000000001</v>
      </c>
      <c r="Q47" s="1">
        <v>1.1686000000000001</v>
      </c>
      <c r="R47" s="1">
        <v>1.3974</v>
      </c>
      <c r="S47" s="1">
        <v>1.159</v>
      </c>
      <c r="T47" s="1">
        <v>1.2477</v>
      </c>
      <c r="V47" s="1">
        <v>2.589</v>
      </c>
    </row>
    <row r="48" spans="1:22" x14ac:dyDescent="0.25">
      <c r="A48" s="13">
        <v>75</v>
      </c>
      <c r="B48" s="13">
        <v>1.835</v>
      </c>
      <c r="F48" s="4">
        <v>132</v>
      </c>
      <c r="G48" s="4">
        <v>132.27600000000001</v>
      </c>
      <c r="L48" s="1">
        <v>44.6</v>
      </c>
      <c r="M48" s="1">
        <v>1.1558000000000002</v>
      </c>
      <c r="N48" s="1">
        <v>1.2457</v>
      </c>
      <c r="O48" s="1">
        <v>1.1462000000000001</v>
      </c>
      <c r="P48" s="1">
        <v>1.0980000000000001</v>
      </c>
      <c r="Q48" s="1">
        <v>1.1654</v>
      </c>
      <c r="R48" s="1">
        <v>1.3953</v>
      </c>
      <c r="S48" s="1">
        <v>1.1558000000000002</v>
      </c>
      <c r="T48" s="1">
        <v>1.2457</v>
      </c>
      <c r="V48" s="1">
        <v>2.5802</v>
      </c>
    </row>
    <row r="49" spans="1:22" x14ac:dyDescent="0.25">
      <c r="A49" s="13">
        <v>76</v>
      </c>
      <c r="B49" s="13">
        <v>1.8759999999999999</v>
      </c>
      <c r="F49" s="4">
        <v>140</v>
      </c>
      <c r="G49" s="4">
        <v>140</v>
      </c>
      <c r="L49" s="1">
        <v>44.7</v>
      </c>
      <c r="M49" s="1">
        <v>1.15265</v>
      </c>
      <c r="N49" s="1">
        <v>1.2436</v>
      </c>
      <c r="O49" s="1">
        <v>1.143</v>
      </c>
      <c r="P49" s="1">
        <v>1.0961000000000001</v>
      </c>
      <c r="Q49" s="1">
        <v>1.1623000000000001</v>
      </c>
      <c r="R49" s="1">
        <v>1.3932</v>
      </c>
      <c r="S49" s="1">
        <v>1.15265</v>
      </c>
      <c r="T49" s="1">
        <v>1.2436</v>
      </c>
      <c r="V49" s="1">
        <v>2.5714000000000001</v>
      </c>
    </row>
    <row r="50" spans="1:22" x14ac:dyDescent="0.25">
      <c r="A50" s="13">
        <v>77</v>
      </c>
      <c r="B50" s="13">
        <v>1.9179999999999999</v>
      </c>
      <c r="F50" s="4">
        <v>145</v>
      </c>
      <c r="G50" s="4">
        <v>145</v>
      </c>
      <c r="L50" s="1">
        <v>44.8</v>
      </c>
      <c r="M50" s="1">
        <v>1.1495</v>
      </c>
      <c r="N50" s="1">
        <v>1.2416</v>
      </c>
      <c r="O50" s="1">
        <v>1.1397999999999999</v>
      </c>
      <c r="P50" s="1">
        <v>1.0941000000000001</v>
      </c>
      <c r="Q50" s="1">
        <v>1.1592</v>
      </c>
      <c r="R50" s="1">
        <v>1.391</v>
      </c>
      <c r="S50" s="1">
        <v>1.1495</v>
      </c>
      <c r="T50" s="1">
        <v>1.2416</v>
      </c>
      <c r="V50" s="1">
        <v>2.5625999999999998</v>
      </c>
    </row>
    <row r="51" spans="1:22" x14ac:dyDescent="0.25">
      <c r="A51" s="13">
        <v>78</v>
      </c>
      <c r="B51" s="13">
        <v>1.9610000000000001</v>
      </c>
      <c r="F51" s="4">
        <v>148</v>
      </c>
      <c r="G51" s="4">
        <v>148.81050000000002</v>
      </c>
      <c r="L51" s="1">
        <v>44.9</v>
      </c>
      <c r="M51" s="1">
        <v>1.1625999999999999</v>
      </c>
      <c r="N51" s="1">
        <v>1.2396</v>
      </c>
      <c r="O51" s="1">
        <v>1.169</v>
      </c>
      <c r="P51" s="1">
        <v>1.0922000000000001</v>
      </c>
      <c r="Q51" s="1">
        <v>1.1561999999999999</v>
      </c>
      <c r="R51" s="1">
        <v>1.3889</v>
      </c>
      <c r="S51" s="1">
        <v>1.1625999999999999</v>
      </c>
      <c r="T51" s="1">
        <v>1.2396</v>
      </c>
      <c r="V51" s="1">
        <v>2.5537999999999998</v>
      </c>
    </row>
    <row r="52" spans="1:22" x14ac:dyDescent="0.25">
      <c r="A52" s="13">
        <v>79</v>
      </c>
      <c r="B52" s="13">
        <v>2.0049999999999999</v>
      </c>
      <c r="F52" s="4">
        <v>165</v>
      </c>
      <c r="G52" s="4">
        <v>165.345</v>
      </c>
      <c r="L52" s="1">
        <v>45</v>
      </c>
      <c r="M52" s="1">
        <v>1.1442999999999999</v>
      </c>
      <c r="N52" s="1">
        <v>1.2373000000000001</v>
      </c>
      <c r="O52" s="1">
        <v>1.1355</v>
      </c>
      <c r="P52" s="1">
        <v>1.0903</v>
      </c>
      <c r="Q52" s="1">
        <v>1.1531</v>
      </c>
      <c r="R52" s="1">
        <v>1.3868</v>
      </c>
      <c r="S52" s="1">
        <v>1.1442999999999999</v>
      </c>
      <c r="T52" s="1">
        <v>1.2373000000000001</v>
      </c>
      <c r="V52" s="1">
        <v>2.5449999999999999</v>
      </c>
    </row>
    <row r="53" spans="1:22" x14ac:dyDescent="0.25">
      <c r="A53" s="13">
        <v>80</v>
      </c>
      <c r="B53" s="13">
        <v>2.0499999999999998</v>
      </c>
      <c r="F53" s="4">
        <v>181</v>
      </c>
      <c r="G53" s="4">
        <v>181.87950000000001</v>
      </c>
      <c r="L53" s="1">
        <v>45.1</v>
      </c>
      <c r="M53" s="1">
        <v>1.14025</v>
      </c>
      <c r="N53" s="1">
        <v>1.2355</v>
      </c>
      <c r="O53" s="1">
        <v>1.1304000000000001</v>
      </c>
      <c r="P53" s="1">
        <v>1.0883</v>
      </c>
      <c r="Q53" s="1">
        <v>1.1500999999999999</v>
      </c>
      <c r="R53" s="1">
        <v>1.3847</v>
      </c>
      <c r="S53" s="1">
        <v>1.14025</v>
      </c>
      <c r="T53" s="1">
        <v>1.2355</v>
      </c>
      <c r="V53" s="1">
        <v>2.5366</v>
      </c>
    </row>
    <row r="54" spans="1:22" x14ac:dyDescent="0.25">
      <c r="F54" s="4">
        <v>198</v>
      </c>
      <c r="G54" s="4">
        <v>198.41400000000002</v>
      </c>
      <c r="L54" s="1">
        <v>45.2</v>
      </c>
      <c r="M54" s="1">
        <v>1.1372</v>
      </c>
      <c r="N54" s="1">
        <v>1.2335</v>
      </c>
      <c r="O54" s="1">
        <v>1.1273</v>
      </c>
      <c r="P54" s="1">
        <v>1.0864</v>
      </c>
      <c r="Q54" s="1">
        <v>1.1471</v>
      </c>
      <c r="R54" s="1">
        <v>1.3825000000000001</v>
      </c>
      <c r="S54" s="1">
        <v>1.1372</v>
      </c>
      <c r="T54" s="1">
        <v>1.2335</v>
      </c>
      <c r="V54" s="1">
        <v>2.5282</v>
      </c>
    </row>
    <row r="55" spans="1:22" x14ac:dyDescent="0.25">
      <c r="F55" s="4">
        <v>220</v>
      </c>
      <c r="G55" s="4">
        <v>220.46</v>
      </c>
      <c r="L55" s="1">
        <v>45.3</v>
      </c>
      <c r="M55" s="1">
        <v>1.13415</v>
      </c>
      <c r="N55" s="1">
        <v>1.2315</v>
      </c>
      <c r="O55" s="1">
        <v>1.1242000000000001</v>
      </c>
      <c r="P55" s="1">
        <v>1.0845</v>
      </c>
      <c r="Q55" s="1">
        <v>1.1440999999999999</v>
      </c>
      <c r="R55" s="1">
        <v>1.3804000000000001</v>
      </c>
      <c r="S55" s="1">
        <v>1.13415</v>
      </c>
      <c r="T55" s="1">
        <v>1.2315</v>
      </c>
      <c r="V55" s="1">
        <v>2.5198</v>
      </c>
    </row>
    <row r="56" spans="1:22" x14ac:dyDescent="0.25">
      <c r="F56" s="4">
        <v>242</v>
      </c>
      <c r="G56" s="4">
        <v>242.506</v>
      </c>
      <c r="L56" s="1">
        <v>45.4</v>
      </c>
      <c r="M56" s="1">
        <v>1.1311</v>
      </c>
      <c r="N56" s="1">
        <v>1.2295</v>
      </c>
      <c r="O56" s="1">
        <v>1.1211</v>
      </c>
      <c r="P56" s="1">
        <v>1.0826</v>
      </c>
      <c r="Q56" s="1">
        <v>1.1411</v>
      </c>
      <c r="R56" s="1">
        <v>1.3783000000000001</v>
      </c>
      <c r="S56" s="1">
        <v>1.1311</v>
      </c>
      <c r="T56" s="1">
        <v>1.2295</v>
      </c>
      <c r="V56" s="1">
        <v>2.5114000000000001</v>
      </c>
    </row>
    <row r="57" spans="1:22" x14ac:dyDescent="0.25">
      <c r="F57" s="4">
        <v>275</v>
      </c>
      <c r="G57" s="4">
        <v>275.57499999999999</v>
      </c>
      <c r="L57" s="1">
        <v>45.5</v>
      </c>
      <c r="M57" s="1">
        <v>1.1281500000000002</v>
      </c>
      <c r="N57" s="1">
        <v>1.2275</v>
      </c>
      <c r="O57" s="1">
        <v>1.1181000000000001</v>
      </c>
      <c r="P57" s="1">
        <v>1.0807</v>
      </c>
      <c r="Q57" s="1">
        <v>1.1382000000000001</v>
      </c>
      <c r="R57" s="1">
        <v>1.3762000000000001</v>
      </c>
      <c r="S57" s="1">
        <v>1.1281500000000002</v>
      </c>
      <c r="T57" s="1">
        <v>1.2275</v>
      </c>
      <c r="V57" s="1">
        <v>2.5030000000000001</v>
      </c>
    </row>
    <row r="58" spans="1:22" x14ac:dyDescent="0.25">
      <c r="F58" s="4">
        <v>308</v>
      </c>
      <c r="G58" s="4">
        <v>308.64400000000001</v>
      </c>
      <c r="L58" s="1">
        <v>45.6</v>
      </c>
      <c r="M58" s="1">
        <v>1.1251</v>
      </c>
      <c r="N58" s="1">
        <v>1.2255</v>
      </c>
      <c r="O58" s="1">
        <v>1.115</v>
      </c>
      <c r="P58" s="1">
        <v>1.0788</v>
      </c>
      <c r="Q58" s="1">
        <v>1.1352</v>
      </c>
      <c r="R58" s="1">
        <v>1.3741000000000001</v>
      </c>
      <c r="S58" s="1">
        <v>1.1251</v>
      </c>
      <c r="T58" s="1">
        <v>1.2255</v>
      </c>
      <c r="V58" s="1">
        <v>2.4950000000000001</v>
      </c>
    </row>
    <row r="59" spans="1:22" x14ac:dyDescent="0.25">
      <c r="F59" s="4">
        <v>319</v>
      </c>
      <c r="G59" s="4">
        <v>319.66700000000003</v>
      </c>
      <c r="L59" s="1">
        <v>45.7</v>
      </c>
      <c r="M59" s="1">
        <v>1.12215</v>
      </c>
      <c r="N59" s="1">
        <v>1.2235</v>
      </c>
      <c r="O59" s="1">
        <v>1.1120000000000001</v>
      </c>
      <c r="P59" s="1">
        <v>1.0769</v>
      </c>
      <c r="Q59" s="1">
        <v>1.1323000000000001</v>
      </c>
      <c r="R59" s="1">
        <v>1.3720000000000001</v>
      </c>
      <c r="S59" s="1">
        <v>1.12215</v>
      </c>
      <c r="T59" s="1">
        <v>1.2235</v>
      </c>
      <c r="V59" s="1">
        <v>2.4870000000000001</v>
      </c>
    </row>
    <row r="60" spans="1:22" x14ac:dyDescent="0.25">
      <c r="L60" s="1">
        <v>45.8</v>
      </c>
      <c r="M60" s="1">
        <v>1.1192</v>
      </c>
      <c r="N60" s="1">
        <v>1.2215</v>
      </c>
      <c r="O60" s="1">
        <v>1.109</v>
      </c>
      <c r="P60" s="1">
        <v>1.075</v>
      </c>
      <c r="Q60" s="1">
        <v>1.1294</v>
      </c>
      <c r="R60" s="1">
        <v>1.3698999999999999</v>
      </c>
      <c r="S60" s="1">
        <v>1.1192</v>
      </c>
      <c r="T60" s="1">
        <v>1.2215</v>
      </c>
      <c r="V60" s="1">
        <v>2.4790000000000001</v>
      </c>
    </row>
    <row r="61" spans="1:22" x14ac:dyDescent="0.25">
      <c r="L61" s="1">
        <v>45.9</v>
      </c>
      <c r="M61" s="1">
        <v>1.13165</v>
      </c>
      <c r="N61" s="1">
        <v>1.2195</v>
      </c>
      <c r="O61" s="1">
        <v>1.1367</v>
      </c>
      <c r="P61" s="1">
        <v>1.0731999999999999</v>
      </c>
      <c r="Q61" s="1">
        <v>1.1266</v>
      </c>
      <c r="R61" s="1">
        <v>1.3677999999999999</v>
      </c>
      <c r="S61" s="1">
        <v>1.13165</v>
      </c>
      <c r="T61" s="1">
        <v>1.2195</v>
      </c>
      <c r="V61" s="1">
        <v>2.4710000000000001</v>
      </c>
    </row>
    <row r="62" spans="1:22" x14ac:dyDescent="0.25">
      <c r="L62" s="1">
        <v>46</v>
      </c>
      <c r="M62" s="1">
        <v>1.1133999999999999</v>
      </c>
      <c r="N62" s="1">
        <v>1.2175</v>
      </c>
      <c r="O62" s="1">
        <v>1.1031</v>
      </c>
      <c r="P62" s="1">
        <v>1.0712999999999999</v>
      </c>
      <c r="Q62" s="1">
        <v>1.1236999999999999</v>
      </c>
      <c r="R62" s="1">
        <v>1.3656999999999999</v>
      </c>
      <c r="S62" s="1">
        <v>1.1133999999999999</v>
      </c>
      <c r="T62" s="1">
        <v>1.2175</v>
      </c>
      <c r="V62" s="1">
        <v>2.4630000000000001</v>
      </c>
    </row>
    <row r="63" spans="1:22" x14ac:dyDescent="0.25">
      <c r="L63" s="1">
        <v>46.1</v>
      </c>
      <c r="M63" s="1">
        <v>1.1105</v>
      </c>
      <c r="N63" s="1">
        <v>1.2156</v>
      </c>
      <c r="O63" s="1">
        <v>1.1001000000000001</v>
      </c>
      <c r="P63" s="1">
        <v>1.0693999999999999</v>
      </c>
      <c r="Q63" s="1">
        <v>1.1209</v>
      </c>
      <c r="R63" s="1">
        <v>1.3635999999999999</v>
      </c>
      <c r="S63" s="1">
        <v>1.1105</v>
      </c>
      <c r="T63" s="1">
        <v>1.2156</v>
      </c>
      <c r="V63" s="1">
        <v>2.4552</v>
      </c>
    </row>
    <row r="64" spans="1:22" x14ac:dyDescent="0.25">
      <c r="L64" s="1">
        <v>46.2</v>
      </c>
      <c r="M64" s="1">
        <v>1.10765</v>
      </c>
      <c r="N64" s="1">
        <v>1.2136</v>
      </c>
      <c r="O64" s="1">
        <v>1.0972</v>
      </c>
      <c r="P64" s="1">
        <v>1.0676000000000001</v>
      </c>
      <c r="Q64" s="1">
        <v>1.1181000000000001</v>
      </c>
      <c r="R64" s="1">
        <v>1.3614999999999999</v>
      </c>
      <c r="S64" s="1">
        <v>1.10765</v>
      </c>
      <c r="T64" s="1">
        <v>1.2136</v>
      </c>
      <c r="V64" s="1">
        <v>2.4474</v>
      </c>
    </row>
    <row r="65" spans="12:22" x14ac:dyDescent="0.25">
      <c r="L65" s="1">
        <v>46.3</v>
      </c>
      <c r="M65" s="1">
        <v>1.1047500000000001</v>
      </c>
      <c r="N65" s="1">
        <v>1.2116</v>
      </c>
      <c r="O65" s="1">
        <v>1.0942000000000001</v>
      </c>
      <c r="P65" s="1">
        <v>1.0657000000000001</v>
      </c>
      <c r="Q65" s="1">
        <v>1.1153</v>
      </c>
      <c r="R65" s="1">
        <v>1.3593999999999999</v>
      </c>
      <c r="S65" s="1">
        <v>1.1047500000000001</v>
      </c>
      <c r="T65" s="1">
        <v>1.2116</v>
      </c>
      <c r="V65" s="1">
        <v>2.4396</v>
      </c>
    </row>
    <row r="66" spans="12:22" x14ac:dyDescent="0.25">
      <c r="L66" s="1">
        <v>46.4</v>
      </c>
      <c r="M66" s="1">
        <v>1.1019000000000001</v>
      </c>
      <c r="N66" s="1">
        <v>1.2097</v>
      </c>
      <c r="O66" s="1">
        <v>1.0912999999999999</v>
      </c>
      <c r="P66" s="1">
        <v>1.0639000000000001</v>
      </c>
      <c r="Q66" s="1">
        <v>1.1125</v>
      </c>
      <c r="R66" s="1">
        <v>1.3573</v>
      </c>
      <c r="S66" s="1">
        <v>1.1019000000000001</v>
      </c>
      <c r="T66" s="1">
        <v>1.2097</v>
      </c>
      <c r="V66" s="1">
        <v>2.4318</v>
      </c>
    </row>
    <row r="67" spans="12:22" x14ac:dyDescent="0.25">
      <c r="L67" s="1">
        <v>46.5</v>
      </c>
      <c r="M67" s="1">
        <v>1.0990500000000001</v>
      </c>
      <c r="N67" s="1">
        <v>1.2077</v>
      </c>
      <c r="O67" s="1">
        <v>1.0884</v>
      </c>
      <c r="P67" s="1">
        <v>1.0621</v>
      </c>
      <c r="Q67" s="1">
        <v>1.1096999999999999</v>
      </c>
      <c r="R67" s="1">
        <v>1.3552999999999999</v>
      </c>
      <c r="S67" s="1">
        <v>1.0990500000000001</v>
      </c>
      <c r="T67" s="1">
        <v>1.2077</v>
      </c>
      <c r="V67" s="1">
        <v>2.4239999999999999</v>
      </c>
    </row>
    <row r="68" spans="12:22" x14ac:dyDescent="0.25">
      <c r="L68" s="1">
        <v>46.6</v>
      </c>
      <c r="M68" s="1">
        <v>1.0962999999999998</v>
      </c>
      <c r="N68" s="1">
        <v>1.2058</v>
      </c>
      <c r="O68" s="1">
        <v>1.0855999999999999</v>
      </c>
      <c r="P68" s="1">
        <v>1.0602</v>
      </c>
      <c r="Q68" s="1">
        <v>1.107</v>
      </c>
      <c r="R68" s="1">
        <v>1.3532</v>
      </c>
      <c r="S68" s="1">
        <v>1.0962999999999998</v>
      </c>
      <c r="T68" s="1">
        <v>1.2058</v>
      </c>
      <c r="V68" s="1">
        <v>2.4165999999999999</v>
      </c>
    </row>
    <row r="69" spans="12:22" x14ac:dyDescent="0.25">
      <c r="L69" s="1">
        <v>46.7</v>
      </c>
      <c r="M69" s="1">
        <v>1.09345</v>
      </c>
      <c r="N69" s="1">
        <v>1.2038</v>
      </c>
      <c r="O69" s="1">
        <v>1.0827</v>
      </c>
      <c r="P69" s="1">
        <v>1.0584</v>
      </c>
      <c r="Q69" s="1">
        <v>1.1042000000000001</v>
      </c>
      <c r="R69" s="1">
        <v>1.3511</v>
      </c>
      <c r="S69" s="1">
        <v>1.09345</v>
      </c>
      <c r="T69" s="1">
        <v>1.2038</v>
      </c>
      <c r="V69" s="1">
        <v>2.4091999999999998</v>
      </c>
    </row>
    <row r="70" spans="12:22" x14ac:dyDescent="0.25">
      <c r="L70" s="1">
        <v>46.8</v>
      </c>
      <c r="M70" s="1">
        <v>1.0907</v>
      </c>
      <c r="N70" s="1">
        <v>1.2019</v>
      </c>
      <c r="O70" s="1">
        <v>1.0799000000000001</v>
      </c>
      <c r="P70" s="1">
        <v>1.0566</v>
      </c>
      <c r="Q70" s="1">
        <v>1.1014999999999999</v>
      </c>
      <c r="R70" s="1">
        <v>1.349</v>
      </c>
      <c r="S70" s="1">
        <v>1.0907</v>
      </c>
      <c r="T70" s="1">
        <v>1.2019</v>
      </c>
      <c r="V70" s="1">
        <v>2.4018000000000002</v>
      </c>
    </row>
    <row r="71" spans="12:22" x14ac:dyDescent="0.25">
      <c r="L71" s="1">
        <v>46.9</v>
      </c>
      <c r="M71" s="1">
        <v>1.1024</v>
      </c>
      <c r="N71" s="1">
        <v>1.2</v>
      </c>
      <c r="O71" s="1">
        <v>1.1060000000000001</v>
      </c>
      <c r="P71" s="1">
        <v>1.0548</v>
      </c>
      <c r="Q71" s="1">
        <v>1.0988</v>
      </c>
      <c r="R71" s="1">
        <v>1.347</v>
      </c>
      <c r="S71" s="1">
        <v>1.1024</v>
      </c>
      <c r="T71" s="1">
        <v>1.2</v>
      </c>
      <c r="V71" s="1">
        <v>2.3944000000000001</v>
      </c>
    </row>
    <row r="72" spans="12:22" x14ac:dyDescent="0.25">
      <c r="L72" s="1">
        <v>47</v>
      </c>
      <c r="M72" s="1">
        <v>1.0851999999999999</v>
      </c>
      <c r="N72" s="1">
        <v>1.198</v>
      </c>
      <c r="O72" s="1">
        <v>1.0742</v>
      </c>
      <c r="P72" s="1">
        <v>1.0529999999999999</v>
      </c>
      <c r="Q72" s="1">
        <v>1.0962000000000001</v>
      </c>
      <c r="R72" s="1">
        <v>1.3449</v>
      </c>
      <c r="S72" s="1">
        <v>1.0851999999999999</v>
      </c>
      <c r="T72" s="1">
        <v>1.198</v>
      </c>
      <c r="V72" s="1">
        <v>2.387</v>
      </c>
    </row>
    <row r="73" spans="12:22" x14ac:dyDescent="0.25">
      <c r="L73" s="1">
        <v>47.1</v>
      </c>
      <c r="M73" s="1">
        <v>1.0824499999999999</v>
      </c>
      <c r="N73" s="1">
        <v>1.1960999999999999</v>
      </c>
      <c r="O73" s="1">
        <v>1.0713999999999999</v>
      </c>
      <c r="P73" s="1">
        <v>1.0511999999999999</v>
      </c>
      <c r="Q73" s="1">
        <v>1.0934999999999999</v>
      </c>
      <c r="R73" s="1">
        <v>1.3428</v>
      </c>
      <c r="S73" s="1">
        <v>1.0824499999999999</v>
      </c>
      <c r="T73" s="1">
        <v>1.1960999999999999</v>
      </c>
      <c r="V73" s="1">
        <v>2.3797999999999999</v>
      </c>
    </row>
    <row r="74" spans="12:22" x14ac:dyDescent="0.25">
      <c r="L74" s="1">
        <v>47.2</v>
      </c>
      <c r="M74" s="1">
        <v>1.07975</v>
      </c>
      <c r="N74" s="1">
        <v>1.1941999999999999</v>
      </c>
      <c r="O74" s="1">
        <v>1.0686</v>
      </c>
      <c r="P74" s="1">
        <v>1.0494000000000001</v>
      </c>
      <c r="Q74" s="1">
        <v>1.0909</v>
      </c>
      <c r="R74" s="1">
        <v>1.3408</v>
      </c>
      <c r="S74" s="1">
        <v>1.07975</v>
      </c>
      <c r="T74" s="1">
        <v>1.1941999999999999</v>
      </c>
      <c r="V74" s="1">
        <v>2.3725999999999998</v>
      </c>
    </row>
    <row r="75" spans="12:22" x14ac:dyDescent="0.25">
      <c r="L75" s="1">
        <v>47.3</v>
      </c>
      <c r="M75" s="1">
        <v>1.0770500000000001</v>
      </c>
      <c r="N75" s="1">
        <v>1.1921999999999999</v>
      </c>
      <c r="O75" s="1">
        <v>1.0659000000000001</v>
      </c>
      <c r="P75" s="1">
        <v>1.0476000000000001</v>
      </c>
      <c r="Q75" s="1">
        <v>1.0882000000000001</v>
      </c>
      <c r="R75" s="1">
        <v>1.3387</v>
      </c>
      <c r="S75" s="1">
        <v>1.0770500000000001</v>
      </c>
      <c r="T75" s="1">
        <v>1.1921999999999999</v>
      </c>
      <c r="V75" s="1">
        <v>2.3654000000000002</v>
      </c>
    </row>
    <row r="76" spans="12:22" x14ac:dyDescent="0.25">
      <c r="L76" s="1">
        <v>47.4</v>
      </c>
      <c r="M76" s="1">
        <v>1.0743499999999999</v>
      </c>
      <c r="N76" s="1">
        <v>1.1903999999999999</v>
      </c>
      <c r="O76" s="1">
        <v>1.0630999999999999</v>
      </c>
      <c r="P76" s="1">
        <v>1.0458000000000001</v>
      </c>
      <c r="Q76" s="1">
        <v>1.0855999999999999</v>
      </c>
      <c r="R76" s="1">
        <v>1.3367</v>
      </c>
      <c r="S76" s="1">
        <v>1.0743499999999999</v>
      </c>
      <c r="T76" s="1">
        <v>1.1903999999999999</v>
      </c>
      <c r="V76" s="1">
        <v>2.3582000000000001</v>
      </c>
    </row>
    <row r="77" spans="12:22" x14ac:dyDescent="0.25">
      <c r="L77" s="1">
        <v>47.5</v>
      </c>
      <c r="M77" s="1">
        <v>1.0716999999999999</v>
      </c>
      <c r="N77" s="1">
        <v>1.1883999999999999</v>
      </c>
      <c r="O77" s="1">
        <v>1.0604</v>
      </c>
      <c r="P77" s="1">
        <v>1.0441</v>
      </c>
      <c r="Q77" s="1">
        <v>1.083</v>
      </c>
      <c r="R77" s="1">
        <v>1.3346</v>
      </c>
      <c r="S77" s="1">
        <v>1.0716999999999999</v>
      </c>
      <c r="T77" s="1">
        <v>1.1883999999999999</v>
      </c>
      <c r="V77" s="1">
        <v>2.351</v>
      </c>
    </row>
    <row r="78" spans="12:22" x14ac:dyDescent="0.25">
      <c r="L78" s="1">
        <v>47.6</v>
      </c>
      <c r="M78" s="1">
        <v>1.0691000000000002</v>
      </c>
      <c r="N78" s="1">
        <v>1.1865000000000001</v>
      </c>
      <c r="O78" s="1">
        <v>1.0577000000000001</v>
      </c>
      <c r="P78" s="1">
        <v>1.0423</v>
      </c>
      <c r="Q78" s="1">
        <v>1.0805</v>
      </c>
      <c r="R78" s="1">
        <v>1.3326</v>
      </c>
      <c r="S78" s="1">
        <v>1.0691000000000002</v>
      </c>
      <c r="T78" s="1">
        <v>1.1865000000000001</v>
      </c>
      <c r="V78" s="1">
        <v>2.3437999999999999</v>
      </c>
    </row>
    <row r="79" spans="12:22" x14ac:dyDescent="0.25">
      <c r="L79" s="1">
        <v>47.7</v>
      </c>
      <c r="M79" s="1">
        <v>1.0664500000000001</v>
      </c>
      <c r="N79" s="1">
        <v>1.1846000000000001</v>
      </c>
      <c r="O79" s="1">
        <v>1.0549999999999999</v>
      </c>
      <c r="P79" s="1">
        <v>1.0405</v>
      </c>
      <c r="Q79" s="1">
        <v>1.0779000000000001</v>
      </c>
      <c r="R79" s="1">
        <v>1.3305</v>
      </c>
      <c r="S79" s="1">
        <v>1.0664500000000001</v>
      </c>
      <c r="T79" s="1">
        <v>1.1846000000000001</v>
      </c>
      <c r="V79" s="1">
        <v>2.3365999999999998</v>
      </c>
    </row>
    <row r="80" spans="12:22" x14ac:dyDescent="0.25">
      <c r="L80" s="1">
        <v>47.8</v>
      </c>
      <c r="M80" s="1">
        <v>1.06385</v>
      </c>
      <c r="N80" s="1">
        <v>1.1827000000000001</v>
      </c>
      <c r="O80" s="1">
        <v>1.0523</v>
      </c>
      <c r="P80" s="1">
        <v>1.0387999999999999</v>
      </c>
      <c r="Q80" s="1">
        <v>1.0753999999999999</v>
      </c>
      <c r="R80" s="1">
        <v>1.3285</v>
      </c>
      <c r="S80" s="1">
        <v>1.06385</v>
      </c>
      <c r="T80" s="1">
        <v>1.1827000000000001</v>
      </c>
      <c r="V80" s="1">
        <v>2.3294000000000001</v>
      </c>
    </row>
    <row r="81" spans="12:22" x14ac:dyDescent="0.25">
      <c r="L81" s="1">
        <v>47.9</v>
      </c>
      <c r="M81" s="1">
        <v>1.0749</v>
      </c>
      <c r="N81" s="1">
        <v>1.1809000000000001</v>
      </c>
      <c r="O81" s="1">
        <v>1.077</v>
      </c>
      <c r="P81" s="1">
        <v>1.0369999999999999</v>
      </c>
      <c r="Q81" s="1">
        <v>1.0728</v>
      </c>
      <c r="R81" s="1">
        <v>1.3265</v>
      </c>
      <c r="S81" s="1">
        <v>1.0749</v>
      </c>
      <c r="T81" s="1">
        <v>1.1809000000000001</v>
      </c>
      <c r="V81" s="1">
        <v>2.3222</v>
      </c>
    </row>
    <row r="82" spans="12:22" x14ac:dyDescent="0.25">
      <c r="L82" s="1">
        <v>48</v>
      </c>
      <c r="M82" s="1">
        <v>1.0586</v>
      </c>
      <c r="N82" s="1">
        <v>1.179</v>
      </c>
      <c r="O82" s="1">
        <v>1.0468999999999999</v>
      </c>
      <c r="P82" s="1">
        <v>1.0353000000000001</v>
      </c>
      <c r="Q82" s="1">
        <v>1.0703</v>
      </c>
      <c r="R82" s="1">
        <v>1.3244</v>
      </c>
      <c r="S82" s="1">
        <v>1.0586</v>
      </c>
      <c r="T82" s="1">
        <v>1.179</v>
      </c>
      <c r="V82" s="1">
        <v>2.3149999999999999</v>
      </c>
    </row>
    <row r="83" spans="12:22" x14ac:dyDescent="0.25">
      <c r="L83" s="1">
        <v>48.1</v>
      </c>
      <c r="M83" s="1">
        <v>1.0560499999999999</v>
      </c>
      <c r="N83" s="1">
        <v>1.1771</v>
      </c>
      <c r="O83" s="1">
        <v>1.0443</v>
      </c>
      <c r="P83" s="1">
        <v>1.0336000000000001</v>
      </c>
      <c r="Q83" s="1">
        <v>1.0678000000000001</v>
      </c>
      <c r="R83" s="1">
        <v>1.3224</v>
      </c>
      <c r="S83" s="1">
        <v>1.0560499999999999</v>
      </c>
      <c r="T83" s="1">
        <v>1.1771</v>
      </c>
      <c r="V83" s="1">
        <v>2.3079999999999998</v>
      </c>
    </row>
    <row r="84" spans="12:22" x14ac:dyDescent="0.25">
      <c r="L84" s="1">
        <v>48.2</v>
      </c>
      <c r="M84" s="1">
        <v>1.05345</v>
      </c>
      <c r="N84" s="1">
        <v>1.1752</v>
      </c>
      <c r="O84" s="1">
        <v>1.0416000000000001</v>
      </c>
      <c r="P84" s="1">
        <v>1.0318000000000001</v>
      </c>
      <c r="Q84" s="1">
        <v>1.0652999999999999</v>
      </c>
      <c r="R84" s="1">
        <v>1.3204</v>
      </c>
      <c r="S84" s="1">
        <v>1.05345</v>
      </c>
      <c r="T84" s="1">
        <v>1.1752</v>
      </c>
      <c r="V84" s="1">
        <v>2.3009999999999997</v>
      </c>
    </row>
    <row r="85" spans="12:22" x14ac:dyDescent="0.25">
      <c r="L85" s="1">
        <v>48.3</v>
      </c>
      <c r="M85" s="1">
        <v>1.0509499999999998</v>
      </c>
      <c r="N85" s="1">
        <v>1.1733</v>
      </c>
      <c r="O85" s="1">
        <v>1.0389999999999999</v>
      </c>
      <c r="P85" s="1">
        <v>1.0301</v>
      </c>
      <c r="Q85" s="1">
        <v>1.0629</v>
      </c>
      <c r="R85" s="1">
        <v>1.3183</v>
      </c>
      <c r="S85" s="1">
        <v>1.0509499999999998</v>
      </c>
      <c r="T85" s="1">
        <v>1.1733</v>
      </c>
      <c r="V85" s="1">
        <v>2.294</v>
      </c>
    </row>
    <row r="86" spans="12:22" x14ac:dyDescent="0.25">
      <c r="L86" s="1">
        <v>48.4</v>
      </c>
      <c r="M86" s="1">
        <v>1.0484</v>
      </c>
      <c r="N86" s="1">
        <v>1.1715</v>
      </c>
      <c r="O86" s="1">
        <v>1.0364</v>
      </c>
      <c r="P86" s="1">
        <v>1.0284</v>
      </c>
      <c r="Q86" s="1">
        <v>1.0604</v>
      </c>
      <c r="R86" s="1">
        <v>1.3163</v>
      </c>
      <c r="S86" s="1">
        <v>1.0484</v>
      </c>
      <c r="T86" s="1">
        <v>1.1715</v>
      </c>
      <c r="V86" s="1">
        <v>2.2869999999999999</v>
      </c>
    </row>
    <row r="87" spans="12:22" x14ac:dyDescent="0.25">
      <c r="L87" s="1">
        <v>48.5</v>
      </c>
      <c r="M87" s="1">
        <v>1.0459000000000001</v>
      </c>
      <c r="N87" s="1">
        <v>1.1696</v>
      </c>
      <c r="O87" s="1">
        <v>1.0338000000000001</v>
      </c>
      <c r="P87" s="1">
        <v>1.0266999999999999</v>
      </c>
      <c r="Q87" s="1">
        <v>1.0580000000000001</v>
      </c>
      <c r="R87" s="1">
        <v>1.3143</v>
      </c>
      <c r="S87" s="1">
        <v>1.0459000000000001</v>
      </c>
      <c r="T87" s="1">
        <v>1.1696</v>
      </c>
      <c r="V87" s="1">
        <v>2.2799999999999998</v>
      </c>
    </row>
    <row r="88" spans="12:22" x14ac:dyDescent="0.25">
      <c r="L88" s="1">
        <v>48.6</v>
      </c>
      <c r="M88" s="1">
        <v>1.0434000000000001</v>
      </c>
      <c r="N88" s="1">
        <v>1.1677999999999999</v>
      </c>
      <c r="O88" s="1">
        <v>1.0311999999999999</v>
      </c>
      <c r="P88" s="1">
        <v>1.0249999999999999</v>
      </c>
      <c r="Q88" s="1">
        <v>1.0556000000000001</v>
      </c>
      <c r="R88" s="1">
        <v>1.3123</v>
      </c>
      <c r="S88" s="1">
        <v>1.0434000000000001</v>
      </c>
      <c r="T88" s="1">
        <v>1.1677999999999999</v>
      </c>
      <c r="V88" s="1">
        <v>2.2733999999999996</v>
      </c>
    </row>
    <row r="89" spans="12:22" x14ac:dyDescent="0.25">
      <c r="L89" s="1">
        <v>48.7</v>
      </c>
      <c r="M89" s="1">
        <v>1.04095</v>
      </c>
      <c r="N89" s="1">
        <v>1.1658999999999999</v>
      </c>
      <c r="O89" s="1">
        <v>1.0286999999999999</v>
      </c>
      <c r="P89" s="1">
        <v>1.0233000000000001</v>
      </c>
      <c r="Q89" s="1">
        <v>1.0531999999999999</v>
      </c>
      <c r="R89" s="1">
        <v>1.3103</v>
      </c>
      <c r="S89" s="1">
        <v>1.04095</v>
      </c>
      <c r="T89" s="1">
        <v>1.1658999999999999</v>
      </c>
      <c r="V89" s="1">
        <v>2.2667999999999999</v>
      </c>
    </row>
    <row r="90" spans="12:22" x14ac:dyDescent="0.25">
      <c r="L90" s="1">
        <v>48.8</v>
      </c>
      <c r="M90" s="1">
        <v>1.0384500000000001</v>
      </c>
      <c r="N90" s="1">
        <v>1.1640999999999999</v>
      </c>
      <c r="O90" s="1">
        <v>1.0261</v>
      </c>
      <c r="P90" s="1">
        <v>1.0216000000000001</v>
      </c>
      <c r="Q90" s="1">
        <v>1.0508</v>
      </c>
      <c r="R90" s="1">
        <v>1.3083</v>
      </c>
      <c r="S90" s="1">
        <v>1.0384500000000001</v>
      </c>
      <c r="T90" s="1">
        <v>1.1640999999999999</v>
      </c>
      <c r="V90" s="1">
        <v>2.2601999999999998</v>
      </c>
    </row>
    <row r="91" spans="12:22" x14ac:dyDescent="0.25">
      <c r="L91" s="1">
        <v>48.9</v>
      </c>
      <c r="M91" s="1">
        <v>1.0489999999999999</v>
      </c>
      <c r="N91" s="1">
        <v>1.1621999999999999</v>
      </c>
      <c r="O91" s="1">
        <v>1.0496000000000001</v>
      </c>
      <c r="P91" s="1">
        <v>1.0199</v>
      </c>
      <c r="Q91" s="1">
        <v>1.0484</v>
      </c>
      <c r="R91" s="1">
        <v>1.3063</v>
      </c>
      <c r="S91" s="1">
        <v>1.0489999999999999</v>
      </c>
      <c r="T91" s="1">
        <v>1.1621999999999999</v>
      </c>
      <c r="V91" s="1">
        <v>2.2536</v>
      </c>
    </row>
    <row r="92" spans="12:22" x14ac:dyDescent="0.25">
      <c r="L92" s="1">
        <v>49</v>
      </c>
      <c r="M92" s="1">
        <v>1.03355</v>
      </c>
      <c r="N92" s="1">
        <v>1.1604000000000001</v>
      </c>
      <c r="O92" s="1">
        <v>1.0210999999999999</v>
      </c>
      <c r="P92" s="1">
        <v>1.0182</v>
      </c>
      <c r="Q92" s="1">
        <v>1.046</v>
      </c>
      <c r="R92" s="1">
        <v>1.3043</v>
      </c>
      <c r="S92" s="1">
        <v>1.03355</v>
      </c>
      <c r="T92" s="1">
        <v>1.1604000000000001</v>
      </c>
      <c r="V92" s="1">
        <v>2.2469999999999999</v>
      </c>
    </row>
    <row r="93" spans="12:22" x14ac:dyDescent="0.25">
      <c r="L93" s="1">
        <v>49.1</v>
      </c>
      <c r="M93" s="1">
        <v>1.03115</v>
      </c>
      <c r="N93" s="1">
        <v>1.1585000000000001</v>
      </c>
      <c r="O93" s="1">
        <v>1.0185999999999999</v>
      </c>
      <c r="P93" s="1">
        <v>1.0165</v>
      </c>
      <c r="Q93" s="1">
        <v>1.0437000000000001</v>
      </c>
      <c r="R93" s="1">
        <v>1.3023</v>
      </c>
      <c r="S93" s="1">
        <v>1.03115</v>
      </c>
      <c r="T93" s="1">
        <v>1.1585000000000001</v>
      </c>
      <c r="V93" s="1">
        <v>2.2408000000000001</v>
      </c>
    </row>
    <row r="94" spans="12:22" x14ac:dyDescent="0.25">
      <c r="L94" s="1">
        <v>49.2</v>
      </c>
      <c r="M94" s="1">
        <v>1.0286999999999999</v>
      </c>
      <c r="N94" s="1">
        <v>1.1568000000000001</v>
      </c>
      <c r="O94" s="1">
        <v>1.0161</v>
      </c>
      <c r="P94" s="1">
        <v>1.0147999999999999</v>
      </c>
      <c r="Q94" s="1">
        <v>1.0412999999999999</v>
      </c>
      <c r="R94" s="1">
        <v>1.3004</v>
      </c>
      <c r="S94" s="1">
        <v>1.0286999999999999</v>
      </c>
      <c r="T94" s="1">
        <v>1.1568000000000001</v>
      </c>
      <c r="V94" s="1">
        <v>2.2345999999999999</v>
      </c>
    </row>
    <row r="95" spans="12:22" x14ac:dyDescent="0.25">
      <c r="L95" s="1">
        <v>49.3</v>
      </c>
      <c r="M95" s="1">
        <v>1.0712999999999999</v>
      </c>
      <c r="N95" s="1">
        <v>1.1549</v>
      </c>
      <c r="O95" s="1">
        <v>1.1035999999999999</v>
      </c>
      <c r="P95" s="1">
        <v>1.0132000000000001</v>
      </c>
      <c r="Q95" s="1">
        <v>1.0389999999999999</v>
      </c>
      <c r="R95" s="1">
        <v>1.2984</v>
      </c>
      <c r="S95" s="1">
        <v>1.0712999999999999</v>
      </c>
      <c r="T95" s="1">
        <v>1.1549</v>
      </c>
      <c r="V95" s="1">
        <v>2.2284000000000002</v>
      </c>
    </row>
    <row r="96" spans="12:22" x14ac:dyDescent="0.25">
      <c r="L96" s="1">
        <v>49.4</v>
      </c>
      <c r="M96" s="1">
        <v>1.0239</v>
      </c>
      <c r="N96" s="1">
        <v>1.1531</v>
      </c>
      <c r="O96" s="1">
        <v>1.0111000000000001</v>
      </c>
      <c r="P96" s="1">
        <v>1.0115000000000001</v>
      </c>
      <c r="Q96" s="1">
        <v>1.0367</v>
      </c>
      <c r="R96" s="1">
        <v>1.2964</v>
      </c>
      <c r="S96" s="1">
        <v>1.0239</v>
      </c>
      <c r="T96" s="1">
        <v>1.1531</v>
      </c>
      <c r="V96" s="1">
        <v>2.2222</v>
      </c>
    </row>
    <row r="97" spans="12:22" x14ac:dyDescent="0.25">
      <c r="L97" s="1">
        <v>49.5</v>
      </c>
      <c r="M97" s="1">
        <v>1.02155</v>
      </c>
      <c r="N97" s="1">
        <v>1.1513</v>
      </c>
      <c r="O97" s="1">
        <v>1.0086999999999999</v>
      </c>
      <c r="P97" s="1">
        <v>1.0098</v>
      </c>
      <c r="Q97" s="1">
        <v>1.0344</v>
      </c>
      <c r="R97" s="1">
        <v>1.2944</v>
      </c>
      <c r="S97" s="1">
        <v>1.02155</v>
      </c>
      <c r="T97" s="1">
        <v>1.1513</v>
      </c>
      <c r="V97" s="1">
        <v>2.2160000000000002</v>
      </c>
    </row>
    <row r="98" spans="12:22" x14ac:dyDescent="0.25">
      <c r="L98" s="1">
        <v>49.6</v>
      </c>
      <c r="M98" s="1">
        <v>1.01915</v>
      </c>
      <c r="N98" s="1">
        <v>1.1495</v>
      </c>
      <c r="O98" s="1">
        <v>1.0062</v>
      </c>
      <c r="P98" s="1">
        <v>1.0082</v>
      </c>
      <c r="Q98" s="1">
        <v>1.0321</v>
      </c>
      <c r="R98" s="1">
        <v>1.2925</v>
      </c>
      <c r="S98" s="1">
        <v>1.01915</v>
      </c>
      <c r="T98" s="1">
        <v>1.1495</v>
      </c>
      <c r="V98" s="1">
        <v>2.2104000000000004</v>
      </c>
    </row>
    <row r="99" spans="12:22" x14ac:dyDescent="0.25">
      <c r="L99" s="1">
        <v>49.7</v>
      </c>
      <c r="M99" s="1">
        <v>1.01685</v>
      </c>
      <c r="N99" s="1">
        <v>1.1476999999999999</v>
      </c>
      <c r="O99" s="1">
        <v>1.0038</v>
      </c>
      <c r="P99" s="1">
        <v>1.0065</v>
      </c>
      <c r="Q99" s="1">
        <v>1.0299</v>
      </c>
      <c r="R99" s="1">
        <v>1.2905</v>
      </c>
      <c r="S99" s="1">
        <v>1.01685</v>
      </c>
      <c r="T99" s="1">
        <v>1.1476999999999999</v>
      </c>
      <c r="V99" s="1">
        <v>2.2048000000000001</v>
      </c>
    </row>
    <row r="100" spans="12:22" x14ac:dyDescent="0.25">
      <c r="L100" s="1">
        <v>49.8</v>
      </c>
      <c r="M100" s="1">
        <v>1.0145</v>
      </c>
      <c r="N100" s="1">
        <v>1.1458999999999999</v>
      </c>
      <c r="O100" s="1">
        <v>1.0014000000000001</v>
      </c>
      <c r="P100" s="1">
        <v>1.0048999999999999</v>
      </c>
      <c r="Q100" s="1">
        <v>1.0276000000000001</v>
      </c>
      <c r="R100" s="1">
        <v>1.2885</v>
      </c>
      <c r="S100" s="1">
        <v>1.0145</v>
      </c>
      <c r="T100" s="1">
        <v>1.1458999999999999</v>
      </c>
      <c r="V100" s="1">
        <v>2.1992000000000003</v>
      </c>
    </row>
    <row r="101" spans="12:22" x14ac:dyDescent="0.25">
      <c r="L101" s="1">
        <v>49.9</v>
      </c>
      <c r="M101" s="1">
        <v>1.0245000000000002</v>
      </c>
      <c r="N101" s="1">
        <v>1.1440999999999999</v>
      </c>
      <c r="O101" s="1">
        <v>1.0236000000000001</v>
      </c>
      <c r="P101" s="1">
        <v>1.0033000000000001</v>
      </c>
      <c r="Q101" s="1">
        <v>1.0254000000000001</v>
      </c>
      <c r="R101" s="1">
        <v>1.2866</v>
      </c>
      <c r="S101" s="1">
        <v>1.0245000000000002</v>
      </c>
      <c r="T101" s="1">
        <v>1.1440999999999999</v>
      </c>
      <c r="V101" s="1">
        <v>2.1936</v>
      </c>
    </row>
    <row r="102" spans="12:22" x14ac:dyDescent="0.25">
      <c r="L102" s="1">
        <v>50</v>
      </c>
      <c r="M102" s="1">
        <v>1.0099</v>
      </c>
      <c r="N102" s="1">
        <v>1.1423000000000001</v>
      </c>
      <c r="O102" s="1">
        <v>0.99660000000000004</v>
      </c>
      <c r="P102" s="1">
        <v>1.0016</v>
      </c>
      <c r="Q102" s="1">
        <v>1.0232000000000001</v>
      </c>
      <c r="R102" s="1">
        <v>1.2846</v>
      </c>
      <c r="S102" s="1">
        <v>1.0099</v>
      </c>
      <c r="T102" s="1">
        <v>1.1423000000000001</v>
      </c>
      <c r="U102" s="1">
        <v>1.9550000000000001</v>
      </c>
      <c r="V102" s="1">
        <v>2.1880000000000002</v>
      </c>
    </row>
    <row r="103" spans="12:22" x14ac:dyDescent="0.25">
      <c r="L103" s="1">
        <v>50.1</v>
      </c>
      <c r="M103" s="1">
        <v>1.0076000000000001</v>
      </c>
      <c r="N103" s="1">
        <v>1.1405000000000001</v>
      </c>
      <c r="O103" s="1">
        <v>0.99419999999999997</v>
      </c>
      <c r="P103" s="1">
        <v>1</v>
      </c>
      <c r="Q103" s="1">
        <v>1.0209999999999999</v>
      </c>
      <c r="R103" s="1">
        <v>1.2827</v>
      </c>
      <c r="S103" s="1">
        <v>1.0076000000000001</v>
      </c>
      <c r="T103" s="1">
        <v>1.1405000000000001</v>
      </c>
      <c r="U103" s="1">
        <v>1.9478</v>
      </c>
      <c r="V103" s="1">
        <v>2.1824000000000003</v>
      </c>
    </row>
    <row r="104" spans="12:22" x14ac:dyDescent="0.25">
      <c r="L104" s="1">
        <v>50.2</v>
      </c>
      <c r="M104" s="1">
        <v>1.00535</v>
      </c>
      <c r="N104" s="1">
        <v>1.1388</v>
      </c>
      <c r="O104" s="1">
        <v>0.9919</v>
      </c>
      <c r="P104" s="1">
        <v>0.99839999999999995</v>
      </c>
      <c r="Q104" s="1">
        <v>1.0187999999999999</v>
      </c>
      <c r="R104" s="1">
        <v>1.2807999999999999</v>
      </c>
      <c r="S104" s="1">
        <v>1.00535</v>
      </c>
      <c r="T104" s="1">
        <v>1.1388</v>
      </c>
      <c r="U104" s="1">
        <v>1.9406000000000001</v>
      </c>
      <c r="V104" s="1">
        <v>2.1768000000000001</v>
      </c>
    </row>
    <row r="105" spans="12:22" x14ac:dyDescent="0.25">
      <c r="L105" s="1">
        <v>50.3</v>
      </c>
      <c r="M105" s="1">
        <v>1.00305</v>
      </c>
      <c r="N105" s="1">
        <v>1.137</v>
      </c>
      <c r="O105" s="1">
        <v>0.98950000000000005</v>
      </c>
      <c r="P105" s="1">
        <v>0.99680000000000002</v>
      </c>
      <c r="Q105" s="1">
        <v>1.0165999999999999</v>
      </c>
      <c r="R105" s="1">
        <v>1.2787999999999999</v>
      </c>
      <c r="S105" s="1">
        <v>1.00305</v>
      </c>
      <c r="T105" s="1">
        <v>1.137</v>
      </c>
      <c r="U105" s="1">
        <v>1.9406000000000001</v>
      </c>
      <c r="V105" s="1">
        <v>2.1712000000000002</v>
      </c>
    </row>
    <row r="106" spans="12:22" x14ac:dyDescent="0.25">
      <c r="L106" s="1">
        <v>50.4</v>
      </c>
      <c r="M106" s="1">
        <v>1.0007999999999999</v>
      </c>
      <c r="N106" s="1">
        <v>1.1352</v>
      </c>
      <c r="O106" s="1">
        <v>0.98719999999999997</v>
      </c>
      <c r="P106" s="1">
        <v>0.99519999999999997</v>
      </c>
      <c r="Q106" s="1">
        <v>1.0144</v>
      </c>
      <c r="R106" s="1">
        <v>1.2768999999999999</v>
      </c>
      <c r="S106" s="1">
        <v>1.0007999999999999</v>
      </c>
      <c r="T106" s="1">
        <v>1.1352</v>
      </c>
      <c r="U106" s="1">
        <v>1.9336</v>
      </c>
      <c r="V106" s="1">
        <v>2.1656</v>
      </c>
    </row>
    <row r="107" spans="12:22" x14ac:dyDescent="0.25">
      <c r="L107" s="1">
        <v>50.5</v>
      </c>
      <c r="M107" s="1">
        <v>0.99855000000000005</v>
      </c>
      <c r="N107" s="1">
        <v>1.1334</v>
      </c>
      <c r="O107" s="1">
        <v>0.9849</v>
      </c>
      <c r="P107" s="1">
        <v>0.99350000000000005</v>
      </c>
      <c r="Q107" s="1">
        <v>1.0122</v>
      </c>
      <c r="R107" s="1">
        <v>1.2749999999999999</v>
      </c>
      <c r="S107" s="1">
        <v>0.99855000000000005</v>
      </c>
      <c r="T107" s="1">
        <v>1.1334</v>
      </c>
      <c r="U107" s="1">
        <v>1.92</v>
      </c>
      <c r="V107" s="1">
        <v>2.16</v>
      </c>
    </row>
    <row r="108" spans="12:22" x14ac:dyDescent="0.25">
      <c r="L108" s="1">
        <v>50.6</v>
      </c>
      <c r="M108" s="1">
        <v>0.99635000000000007</v>
      </c>
      <c r="N108" s="1">
        <v>1.1316999999999999</v>
      </c>
      <c r="O108" s="1">
        <v>0.98260000000000003</v>
      </c>
      <c r="P108" s="1">
        <v>0.9919</v>
      </c>
      <c r="Q108" s="1">
        <v>1.0101</v>
      </c>
      <c r="R108" s="1">
        <v>1.2729999999999999</v>
      </c>
      <c r="S108" s="1">
        <v>0.99635000000000007</v>
      </c>
      <c r="T108" s="1">
        <v>1.1316999999999999</v>
      </c>
      <c r="U108" s="1">
        <v>1.9127999999999998</v>
      </c>
      <c r="V108" s="1">
        <v>2.1544000000000003</v>
      </c>
    </row>
    <row r="109" spans="12:22" x14ac:dyDescent="0.25">
      <c r="L109" s="1">
        <v>50.7</v>
      </c>
      <c r="M109" s="1">
        <v>0.99409999999999998</v>
      </c>
      <c r="N109" s="1">
        <v>1.1298999999999999</v>
      </c>
      <c r="O109" s="1">
        <v>0.98029999999999995</v>
      </c>
      <c r="P109" s="1">
        <v>0.99039999999999995</v>
      </c>
      <c r="Q109" s="1">
        <v>1.0079</v>
      </c>
      <c r="R109" s="1">
        <v>1.2710999999999999</v>
      </c>
      <c r="S109" s="1">
        <v>0.99409999999999998</v>
      </c>
      <c r="T109" s="1">
        <v>1.1298999999999999</v>
      </c>
      <c r="U109" s="1">
        <v>1.9056</v>
      </c>
      <c r="V109" s="1">
        <v>2.1488</v>
      </c>
    </row>
    <row r="110" spans="12:22" x14ac:dyDescent="0.25">
      <c r="L110" s="1">
        <v>50.8</v>
      </c>
      <c r="M110" s="1">
        <v>0.9919</v>
      </c>
      <c r="N110" s="1">
        <v>1.1282000000000001</v>
      </c>
      <c r="O110" s="1">
        <v>0.97799999999999998</v>
      </c>
      <c r="P110" s="1">
        <v>0.98880000000000001</v>
      </c>
      <c r="Q110" s="1">
        <v>1.0058</v>
      </c>
      <c r="R110" s="1">
        <v>1.2692000000000001</v>
      </c>
      <c r="S110" s="1">
        <v>0.9919</v>
      </c>
      <c r="T110" s="1">
        <v>1.1282000000000001</v>
      </c>
      <c r="U110" s="1">
        <v>1.9056</v>
      </c>
      <c r="V110" s="1">
        <v>2.1432000000000002</v>
      </c>
    </row>
    <row r="111" spans="12:22" x14ac:dyDescent="0.25">
      <c r="L111" s="1">
        <v>50.9</v>
      </c>
      <c r="M111" s="1">
        <v>1.00135</v>
      </c>
      <c r="N111" s="1">
        <v>1.1264000000000001</v>
      </c>
      <c r="O111" s="1">
        <v>0.999</v>
      </c>
      <c r="P111" s="1">
        <v>0.98719999999999997</v>
      </c>
      <c r="Q111" s="1">
        <v>1.0037</v>
      </c>
      <c r="R111" s="1">
        <v>1.2673000000000001</v>
      </c>
      <c r="S111" s="1">
        <v>1.00135</v>
      </c>
      <c r="T111" s="1">
        <v>1.1264000000000001</v>
      </c>
      <c r="U111" s="1">
        <v>1.8985999999999998</v>
      </c>
      <c r="V111" s="1">
        <v>2.1375999999999999</v>
      </c>
    </row>
    <row r="112" spans="12:22" x14ac:dyDescent="0.25">
      <c r="L112" s="1">
        <v>51</v>
      </c>
      <c r="M112" s="1">
        <v>0.98750000000000004</v>
      </c>
      <c r="N112" s="1">
        <v>1.1247</v>
      </c>
      <c r="O112" s="1">
        <v>0.97340000000000004</v>
      </c>
      <c r="P112" s="1">
        <v>0.98560000000000003</v>
      </c>
      <c r="Q112" s="1">
        <v>1.0016</v>
      </c>
      <c r="R112" s="1">
        <v>1.2654000000000001</v>
      </c>
      <c r="S112" s="1">
        <v>0.98750000000000004</v>
      </c>
      <c r="T112" s="1">
        <v>1.1247</v>
      </c>
      <c r="U112" s="1">
        <v>1.885</v>
      </c>
      <c r="V112" s="1">
        <v>2.1320000000000001</v>
      </c>
    </row>
    <row r="113" spans="12:22" x14ac:dyDescent="0.25">
      <c r="L113" s="1">
        <v>51.1</v>
      </c>
      <c r="M113" s="1">
        <v>0.98534999999999995</v>
      </c>
      <c r="N113" s="1">
        <v>1.123</v>
      </c>
      <c r="O113" s="1">
        <v>0.97119999999999995</v>
      </c>
      <c r="P113" s="1">
        <v>0.98399999999999999</v>
      </c>
      <c r="Q113" s="1">
        <v>0.99950000000000006</v>
      </c>
      <c r="R113" s="1">
        <v>1.2635000000000001</v>
      </c>
      <c r="S113" s="1">
        <v>0.98534999999999995</v>
      </c>
      <c r="T113" s="1">
        <v>1.123</v>
      </c>
      <c r="U113" s="1">
        <v>1.8777999999999999</v>
      </c>
      <c r="V113" s="1">
        <v>2.1266000000000003</v>
      </c>
    </row>
    <row r="114" spans="12:22" x14ac:dyDescent="0.25">
      <c r="L114" s="1">
        <v>51.2</v>
      </c>
      <c r="M114" s="1">
        <v>0.98324999999999996</v>
      </c>
      <c r="N114" s="1">
        <v>1.1212</v>
      </c>
      <c r="O114" s="1">
        <v>0.96899999999999997</v>
      </c>
      <c r="P114" s="1">
        <v>0.98250000000000004</v>
      </c>
      <c r="Q114" s="1">
        <v>0.99750000000000005</v>
      </c>
      <c r="R114" s="1">
        <v>1.2616000000000001</v>
      </c>
      <c r="S114" s="1">
        <v>0.98324999999999996</v>
      </c>
      <c r="T114" s="1">
        <v>1.1212</v>
      </c>
      <c r="U114" s="1">
        <v>1.8706</v>
      </c>
      <c r="V114" s="1">
        <v>2.1212</v>
      </c>
    </row>
    <row r="115" spans="12:22" x14ac:dyDescent="0.25">
      <c r="L115" s="1">
        <v>51.3</v>
      </c>
      <c r="M115" s="1">
        <v>0.98104999999999998</v>
      </c>
      <c r="N115" s="1">
        <v>1.1194999999999999</v>
      </c>
      <c r="O115" s="1">
        <v>0.9667</v>
      </c>
      <c r="P115" s="1">
        <v>0.98089999999999999</v>
      </c>
      <c r="Q115" s="1">
        <v>0.99539999999999995</v>
      </c>
      <c r="R115" s="1">
        <v>1.2597</v>
      </c>
      <c r="S115" s="1">
        <v>0.98104999999999998</v>
      </c>
      <c r="T115" s="1">
        <v>1.1194999999999999</v>
      </c>
      <c r="U115" s="1">
        <v>1.8706</v>
      </c>
      <c r="V115" s="1">
        <v>2.1158000000000001</v>
      </c>
    </row>
    <row r="116" spans="12:22" x14ac:dyDescent="0.25">
      <c r="L116" s="1">
        <v>51.4</v>
      </c>
      <c r="M116" s="1">
        <v>0.97889999999999999</v>
      </c>
      <c r="N116" s="1">
        <v>1.1177999999999999</v>
      </c>
      <c r="O116" s="1">
        <v>0.96450000000000002</v>
      </c>
      <c r="P116" s="1">
        <v>0.97929999999999995</v>
      </c>
      <c r="Q116" s="1">
        <v>0.99329999999999996</v>
      </c>
      <c r="R116" s="1">
        <v>1.2578</v>
      </c>
      <c r="S116" s="1">
        <v>0.97889999999999999</v>
      </c>
      <c r="T116" s="1">
        <v>1.1177999999999999</v>
      </c>
      <c r="U116" s="1">
        <v>1.8637999999999999</v>
      </c>
      <c r="V116" s="1">
        <v>2.1103999999999998</v>
      </c>
    </row>
    <row r="117" spans="12:22" x14ac:dyDescent="0.25">
      <c r="L117" s="1">
        <v>51.5</v>
      </c>
      <c r="M117" s="1">
        <v>0.9768</v>
      </c>
      <c r="N117" s="1">
        <v>1.1161000000000001</v>
      </c>
      <c r="O117" s="1">
        <v>0.96230000000000004</v>
      </c>
      <c r="P117" s="1">
        <v>0.9778</v>
      </c>
      <c r="Q117" s="1">
        <v>0.99129999999999996</v>
      </c>
      <c r="R117" s="1">
        <v>1.256</v>
      </c>
      <c r="S117" s="1">
        <v>0.9768</v>
      </c>
      <c r="T117" s="1">
        <v>1.1161000000000001</v>
      </c>
      <c r="U117" s="1">
        <v>1.851</v>
      </c>
      <c r="V117" s="1">
        <v>2.105</v>
      </c>
    </row>
    <row r="118" spans="12:22" x14ac:dyDescent="0.25">
      <c r="L118" s="1">
        <v>51.6</v>
      </c>
      <c r="M118" s="1">
        <v>0.9746999999999999</v>
      </c>
      <c r="N118" s="1">
        <v>1.1144000000000001</v>
      </c>
      <c r="O118" s="1">
        <v>0.96009999999999995</v>
      </c>
      <c r="P118" s="1">
        <v>0.97619999999999996</v>
      </c>
      <c r="Q118" s="1">
        <v>0.98929999999999996</v>
      </c>
      <c r="R118" s="1">
        <v>1.2541</v>
      </c>
      <c r="S118" s="1">
        <v>0.9746999999999999</v>
      </c>
      <c r="T118" s="1">
        <v>1.1144000000000001</v>
      </c>
      <c r="U118" s="1">
        <v>1.8446</v>
      </c>
      <c r="V118" s="1">
        <v>2.0998000000000001</v>
      </c>
    </row>
    <row r="119" spans="12:22" x14ac:dyDescent="0.25">
      <c r="L119" s="1">
        <v>51.7</v>
      </c>
      <c r="M119" s="1">
        <v>0.97265000000000001</v>
      </c>
      <c r="N119" s="1">
        <v>1.1126</v>
      </c>
      <c r="O119" s="1">
        <v>0.95799999999999996</v>
      </c>
      <c r="P119" s="1">
        <v>0.97470000000000001</v>
      </c>
      <c r="Q119" s="1">
        <v>0.98729999999999996</v>
      </c>
      <c r="R119" s="1">
        <v>1.2522</v>
      </c>
      <c r="S119" s="1">
        <v>0.97265000000000001</v>
      </c>
      <c r="T119" s="1">
        <v>1.1126</v>
      </c>
      <c r="U119" s="1">
        <v>1.8382000000000001</v>
      </c>
      <c r="V119" s="1">
        <v>2.0946000000000002</v>
      </c>
    </row>
    <row r="120" spans="12:22" x14ac:dyDescent="0.25">
      <c r="L120" s="1">
        <v>51.8</v>
      </c>
      <c r="M120" s="1">
        <v>0.97055000000000002</v>
      </c>
      <c r="N120" s="1">
        <v>1.111</v>
      </c>
      <c r="O120" s="1">
        <v>0.95579999999999998</v>
      </c>
      <c r="P120" s="1">
        <v>0.97309999999999997</v>
      </c>
      <c r="Q120" s="1">
        <v>0.98529999999999995</v>
      </c>
      <c r="R120" s="1">
        <v>1.2504</v>
      </c>
      <c r="S120" s="1">
        <v>0.97055000000000002</v>
      </c>
      <c r="T120" s="1">
        <v>1.111</v>
      </c>
      <c r="U120" s="1">
        <v>1.8382000000000001</v>
      </c>
      <c r="V120" s="1">
        <v>2.0893999999999999</v>
      </c>
    </row>
    <row r="121" spans="12:22" x14ac:dyDescent="0.25">
      <c r="L121" s="1">
        <v>51.9</v>
      </c>
      <c r="M121" s="1">
        <v>0.97950000000000004</v>
      </c>
      <c r="N121" s="1">
        <v>1.1093</v>
      </c>
      <c r="O121" s="1">
        <v>0.97570000000000001</v>
      </c>
      <c r="P121" s="1">
        <v>0.97160000000000002</v>
      </c>
      <c r="Q121" s="1">
        <v>0.98329999999999995</v>
      </c>
      <c r="R121" s="1">
        <v>1.2484999999999999</v>
      </c>
      <c r="S121" s="1">
        <v>0.97950000000000004</v>
      </c>
      <c r="T121" s="1">
        <v>1.1093</v>
      </c>
      <c r="U121" s="1">
        <v>1.8315999999999999</v>
      </c>
      <c r="V121" s="1">
        <v>2.0842000000000001</v>
      </c>
    </row>
    <row r="122" spans="12:22" x14ac:dyDescent="0.25">
      <c r="L122" s="1">
        <v>52</v>
      </c>
      <c r="M122" s="1">
        <v>0.96639999999999993</v>
      </c>
      <c r="N122" s="1">
        <v>1.1075999999999999</v>
      </c>
      <c r="O122" s="1">
        <v>0.95150000000000001</v>
      </c>
      <c r="P122" s="1">
        <v>0.97009999999999996</v>
      </c>
      <c r="Q122" s="1">
        <v>0.98129999999999995</v>
      </c>
      <c r="R122" s="1">
        <v>1.2465999999999999</v>
      </c>
      <c r="S122" s="1">
        <v>0.96639999999999993</v>
      </c>
      <c r="T122" s="1">
        <v>1.1075999999999999</v>
      </c>
      <c r="U122" s="1">
        <v>1.8180000000000001</v>
      </c>
      <c r="V122" s="1">
        <v>2.0790000000000002</v>
      </c>
    </row>
    <row r="123" spans="12:22" x14ac:dyDescent="0.25">
      <c r="L123" s="1">
        <v>52.1</v>
      </c>
      <c r="M123" s="1">
        <v>0.96435000000000004</v>
      </c>
      <c r="N123" s="1">
        <v>1.1059000000000001</v>
      </c>
      <c r="O123" s="1">
        <v>0.94940000000000002</v>
      </c>
      <c r="P123" s="1">
        <v>0.96860000000000002</v>
      </c>
      <c r="Q123" s="1">
        <v>0.97929999999999995</v>
      </c>
      <c r="R123" s="1">
        <v>1.2447999999999999</v>
      </c>
      <c r="S123" s="1">
        <v>0.96435000000000004</v>
      </c>
      <c r="T123" s="1">
        <v>1.1059000000000001</v>
      </c>
      <c r="U123" s="1">
        <v>1.8120000000000001</v>
      </c>
      <c r="V123" s="1">
        <v>2.0738000000000003</v>
      </c>
    </row>
    <row r="124" spans="12:22" x14ac:dyDescent="0.25">
      <c r="L124" s="1">
        <v>52.2</v>
      </c>
      <c r="M124" s="1">
        <v>0.96229999999999993</v>
      </c>
      <c r="N124" s="1">
        <v>1.1042000000000001</v>
      </c>
      <c r="O124" s="1">
        <v>0.94730000000000003</v>
      </c>
      <c r="P124" s="1">
        <v>0.96699999999999997</v>
      </c>
      <c r="Q124" s="1">
        <v>0.97729999999999995</v>
      </c>
      <c r="R124" s="1">
        <v>1.2428999999999999</v>
      </c>
      <c r="S124" s="1">
        <v>0.96229999999999993</v>
      </c>
      <c r="T124" s="1">
        <v>1.1042000000000001</v>
      </c>
      <c r="U124" s="1">
        <v>1.806</v>
      </c>
      <c r="V124" s="1">
        <v>2.0686</v>
      </c>
    </row>
    <row r="125" spans="12:22" x14ac:dyDescent="0.25">
      <c r="L125" s="1">
        <v>52.3</v>
      </c>
      <c r="M125" s="1">
        <v>0.96030000000000004</v>
      </c>
      <c r="N125" s="1">
        <v>1.1025</v>
      </c>
      <c r="O125" s="1">
        <v>0.94520000000000004</v>
      </c>
      <c r="P125" s="1">
        <v>0.96550000000000002</v>
      </c>
      <c r="Q125" s="1">
        <v>0.97540000000000004</v>
      </c>
      <c r="R125" s="1">
        <v>1.2411000000000001</v>
      </c>
      <c r="S125" s="1">
        <v>0.96030000000000004</v>
      </c>
      <c r="T125" s="1">
        <v>1.1025</v>
      </c>
      <c r="U125" s="1">
        <v>1.806</v>
      </c>
      <c r="V125" s="1">
        <v>2.0634000000000001</v>
      </c>
    </row>
    <row r="126" spans="12:22" x14ac:dyDescent="0.25">
      <c r="L126" s="1">
        <v>52.4</v>
      </c>
      <c r="M126" s="1">
        <v>0.95835000000000004</v>
      </c>
      <c r="N126" s="1">
        <v>1.1009</v>
      </c>
      <c r="O126" s="1">
        <v>0.94320000000000004</v>
      </c>
      <c r="P126" s="1">
        <v>0.96399999999999997</v>
      </c>
      <c r="Q126" s="1">
        <v>0.97350000000000003</v>
      </c>
      <c r="R126" s="1">
        <v>1.2393000000000001</v>
      </c>
      <c r="S126" s="1">
        <v>0.95835000000000004</v>
      </c>
      <c r="T126" s="1">
        <v>1.1009</v>
      </c>
      <c r="U126" s="1">
        <v>1.8</v>
      </c>
      <c r="V126" s="1">
        <v>2.0581999999999998</v>
      </c>
    </row>
    <row r="127" spans="12:22" x14ac:dyDescent="0.25">
      <c r="L127" s="1">
        <v>52.5</v>
      </c>
      <c r="M127" s="1">
        <v>0.95625000000000004</v>
      </c>
      <c r="N127" s="1">
        <v>1.0992</v>
      </c>
      <c r="O127" s="1">
        <v>0.94099999999999995</v>
      </c>
      <c r="P127" s="1">
        <v>0.96250000000000002</v>
      </c>
      <c r="Q127" s="1">
        <v>0.97150000000000003</v>
      </c>
      <c r="R127" s="1">
        <v>1.2374000000000001</v>
      </c>
      <c r="S127" s="1">
        <v>0.95625000000000004</v>
      </c>
      <c r="T127" s="1">
        <v>1.0992</v>
      </c>
      <c r="U127" s="1">
        <v>1.788</v>
      </c>
      <c r="V127" s="1">
        <v>2.0529999999999999</v>
      </c>
    </row>
    <row r="128" spans="12:22" x14ac:dyDescent="0.25">
      <c r="L128" s="1">
        <v>52.6</v>
      </c>
      <c r="M128" s="1">
        <v>0.95425000000000004</v>
      </c>
      <c r="N128" s="1">
        <v>1.0974999999999999</v>
      </c>
      <c r="O128" s="1">
        <v>0.93889999999999996</v>
      </c>
      <c r="P128" s="1">
        <v>0.96099999999999997</v>
      </c>
      <c r="Q128" s="1">
        <v>0.96960000000000002</v>
      </c>
      <c r="R128" s="1">
        <v>1.2356</v>
      </c>
      <c r="S128" s="1">
        <v>0.95425000000000004</v>
      </c>
      <c r="T128" s="1">
        <v>1.0974999999999999</v>
      </c>
      <c r="U128" s="1">
        <v>1.782</v>
      </c>
      <c r="V128" s="1">
        <v>2.048</v>
      </c>
    </row>
    <row r="129" spans="12:22" x14ac:dyDescent="0.25">
      <c r="L129" s="1">
        <v>52.7</v>
      </c>
      <c r="M129" s="1">
        <v>0.95225000000000004</v>
      </c>
      <c r="N129" s="1">
        <v>1.0959000000000001</v>
      </c>
      <c r="O129" s="1">
        <v>0.93679999999999997</v>
      </c>
      <c r="P129" s="1">
        <v>0.95950000000000002</v>
      </c>
      <c r="Q129" s="1">
        <v>0.9677</v>
      </c>
      <c r="R129" s="1">
        <v>1.2338</v>
      </c>
      <c r="S129" s="1">
        <v>0.95225000000000004</v>
      </c>
      <c r="T129" s="1">
        <v>1.0959000000000001</v>
      </c>
      <c r="U129" s="1">
        <v>1.776</v>
      </c>
      <c r="V129" s="1">
        <v>2.0430000000000001</v>
      </c>
    </row>
    <row r="130" spans="12:22" x14ac:dyDescent="0.25">
      <c r="L130" s="1">
        <v>52.8</v>
      </c>
      <c r="M130" s="1">
        <v>0.95029999999999992</v>
      </c>
      <c r="N130" s="1">
        <v>1.0942000000000001</v>
      </c>
      <c r="O130" s="1">
        <v>0.93479999999999996</v>
      </c>
      <c r="P130" s="1">
        <v>0.95799999999999996</v>
      </c>
      <c r="Q130" s="1">
        <v>0.96579999999999999</v>
      </c>
      <c r="R130" s="1">
        <v>1.232</v>
      </c>
      <c r="S130" s="1">
        <v>0.95029999999999992</v>
      </c>
      <c r="T130" s="1">
        <v>1.0942000000000001</v>
      </c>
      <c r="U130" s="1">
        <v>1.776</v>
      </c>
      <c r="V130" s="1">
        <v>2.0379999999999998</v>
      </c>
    </row>
    <row r="131" spans="12:22" x14ac:dyDescent="0.25">
      <c r="L131" s="1">
        <v>52.9</v>
      </c>
      <c r="M131" s="1">
        <v>0.95874999999999999</v>
      </c>
      <c r="N131" s="1">
        <v>1.0926</v>
      </c>
      <c r="O131" s="1">
        <v>0.9536</v>
      </c>
      <c r="P131" s="1">
        <v>0.95650000000000002</v>
      </c>
      <c r="Q131" s="1">
        <v>0.96389999999999998</v>
      </c>
      <c r="R131" s="1">
        <v>1.2302</v>
      </c>
      <c r="S131" s="1">
        <v>0.95874999999999999</v>
      </c>
      <c r="T131" s="1">
        <v>1.0926</v>
      </c>
      <c r="U131" s="1">
        <v>1.77</v>
      </c>
      <c r="V131" s="1">
        <v>2.0329999999999999</v>
      </c>
    </row>
    <row r="132" spans="12:22" x14ac:dyDescent="0.25">
      <c r="L132" s="1">
        <v>53</v>
      </c>
      <c r="M132" s="1">
        <v>0.94639999999999991</v>
      </c>
      <c r="N132" s="1">
        <v>1.091</v>
      </c>
      <c r="O132" s="1">
        <v>0.93069999999999997</v>
      </c>
      <c r="P132" s="1">
        <v>0.95499999999999996</v>
      </c>
      <c r="Q132" s="1">
        <v>0.96209999999999996</v>
      </c>
      <c r="R132" s="1">
        <v>1.2283999999999999</v>
      </c>
      <c r="S132" s="1">
        <v>0.94639999999999991</v>
      </c>
      <c r="T132" s="1">
        <v>1.091</v>
      </c>
      <c r="U132" s="1">
        <v>1.758</v>
      </c>
      <c r="V132" s="1">
        <v>2.028</v>
      </c>
    </row>
    <row r="133" spans="12:22" x14ac:dyDescent="0.25">
      <c r="L133" s="1">
        <v>53.1</v>
      </c>
      <c r="M133" s="1">
        <v>0.94445000000000001</v>
      </c>
      <c r="N133" s="1">
        <v>1.0892999999999999</v>
      </c>
      <c r="O133" s="1">
        <v>0.92869999999999997</v>
      </c>
      <c r="P133" s="1">
        <v>0.9536</v>
      </c>
      <c r="Q133" s="1">
        <v>0.96020000000000005</v>
      </c>
      <c r="R133" s="1">
        <v>1.2265999999999999</v>
      </c>
      <c r="S133" s="1">
        <v>0.94445000000000001</v>
      </c>
      <c r="T133" s="1">
        <v>1.0892999999999999</v>
      </c>
      <c r="U133" s="1">
        <v>1.752</v>
      </c>
      <c r="V133" s="1">
        <v>2.0232000000000001</v>
      </c>
    </row>
    <row r="134" spans="12:22" x14ac:dyDescent="0.25">
      <c r="L134" s="1">
        <v>53.2</v>
      </c>
      <c r="M134" s="1">
        <v>0.9425</v>
      </c>
      <c r="N134" s="1">
        <v>1.0876999999999999</v>
      </c>
      <c r="O134" s="1">
        <v>0.92669999999999997</v>
      </c>
      <c r="P134" s="1">
        <v>0.95209999999999995</v>
      </c>
      <c r="Q134" s="1">
        <v>0.95830000000000004</v>
      </c>
      <c r="R134" s="1">
        <v>1.2248000000000001</v>
      </c>
      <c r="S134" s="1">
        <v>0.9425</v>
      </c>
      <c r="T134" s="1">
        <v>1.0876999999999999</v>
      </c>
      <c r="U134" s="1">
        <v>1.746</v>
      </c>
      <c r="V134" s="1">
        <v>2.0184000000000002</v>
      </c>
    </row>
    <row r="135" spans="12:22" x14ac:dyDescent="0.25">
      <c r="L135" s="1">
        <v>53.3</v>
      </c>
      <c r="M135" s="1">
        <v>0.94059999999999999</v>
      </c>
      <c r="N135" s="1">
        <v>1.0861000000000001</v>
      </c>
      <c r="O135" s="1">
        <v>0.92469999999999997</v>
      </c>
      <c r="P135" s="1">
        <v>0.9506</v>
      </c>
      <c r="Q135" s="1">
        <v>0.95650000000000002</v>
      </c>
      <c r="R135" s="1">
        <v>1.2230000000000001</v>
      </c>
      <c r="S135" s="1">
        <v>0.94059999999999999</v>
      </c>
      <c r="T135" s="1">
        <v>1.0861000000000001</v>
      </c>
      <c r="U135" s="1">
        <v>1.746</v>
      </c>
      <c r="V135" s="1">
        <v>2.0135999999999998</v>
      </c>
    </row>
    <row r="136" spans="12:22" x14ac:dyDescent="0.25">
      <c r="L136" s="1">
        <v>53.4</v>
      </c>
      <c r="M136" s="1">
        <v>0.93869999999999998</v>
      </c>
      <c r="N136" s="1">
        <v>1.0844</v>
      </c>
      <c r="O136" s="1">
        <v>0.92269999999999996</v>
      </c>
      <c r="P136" s="1">
        <v>0.94920000000000004</v>
      </c>
      <c r="Q136" s="1">
        <v>0.95469999999999999</v>
      </c>
      <c r="R136" s="1">
        <v>1.2212000000000001</v>
      </c>
      <c r="S136" s="1">
        <v>0.93869999999999998</v>
      </c>
      <c r="T136" s="1">
        <v>1.0844</v>
      </c>
      <c r="U136" s="1">
        <v>1.7398</v>
      </c>
      <c r="V136" s="1">
        <v>2.0087999999999999</v>
      </c>
    </row>
    <row r="137" spans="12:22" x14ac:dyDescent="0.25">
      <c r="L137" s="1">
        <v>53.5</v>
      </c>
      <c r="M137" s="1">
        <v>0.93730000000000002</v>
      </c>
      <c r="N137" s="1">
        <v>1.0828</v>
      </c>
      <c r="O137" s="1">
        <v>0.92179999999999995</v>
      </c>
      <c r="P137" s="1">
        <v>0.94769999999999999</v>
      </c>
      <c r="Q137" s="1">
        <v>0.95279999999999998</v>
      </c>
      <c r="R137" s="1">
        <v>1.2194</v>
      </c>
      <c r="S137" s="1">
        <v>0.93730000000000002</v>
      </c>
      <c r="T137" s="1">
        <v>1.0828</v>
      </c>
      <c r="U137" s="1">
        <v>1.7270000000000001</v>
      </c>
      <c r="V137" s="1">
        <v>2.004</v>
      </c>
    </row>
    <row r="138" spans="12:22" x14ac:dyDescent="0.25">
      <c r="L138" s="1">
        <v>53.6</v>
      </c>
      <c r="M138" s="1">
        <v>0.93489999999999995</v>
      </c>
      <c r="N138" s="1">
        <v>1.0811999999999999</v>
      </c>
      <c r="O138" s="1">
        <v>0.91879999999999995</v>
      </c>
      <c r="P138" s="1">
        <v>0.94620000000000004</v>
      </c>
      <c r="Q138" s="1">
        <v>0.95099999999999996</v>
      </c>
      <c r="R138" s="1">
        <v>1.2176</v>
      </c>
      <c r="S138" s="1">
        <v>0.93489999999999995</v>
      </c>
      <c r="T138" s="1">
        <v>1.0811999999999999</v>
      </c>
      <c r="U138" s="1">
        <v>1.7210000000000001</v>
      </c>
      <c r="V138" s="1">
        <v>2</v>
      </c>
    </row>
    <row r="139" spans="12:22" x14ac:dyDescent="0.25">
      <c r="L139" s="1">
        <v>53.7</v>
      </c>
      <c r="M139" s="1">
        <v>0.93305000000000005</v>
      </c>
      <c r="N139" s="1">
        <v>1.0795999999999999</v>
      </c>
      <c r="O139" s="1">
        <v>0.91690000000000005</v>
      </c>
      <c r="P139" s="1">
        <v>0.94479999999999997</v>
      </c>
      <c r="Q139" s="1">
        <v>0.94920000000000004</v>
      </c>
      <c r="R139" s="1">
        <v>1.2159</v>
      </c>
      <c r="S139" s="1">
        <v>0.93305000000000005</v>
      </c>
      <c r="T139" s="1">
        <v>1.0795999999999999</v>
      </c>
      <c r="U139" s="1">
        <v>1.7150000000000001</v>
      </c>
      <c r="V139" s="1">
        <v>1.996</v>
      </c>
    </row>
    <row r="140" spans="12:22" x14ac:dyDescent="0.25">
      <c r="L140" s="1">
        <v>53.8</v>
      </c>
      <c r="M140" s="1">
        <v>0.93115000000000003</v>
      </c>
      <c r="N140" s="1">
        <v>1.0780000000000001</v>
      </c>
      <c r="O140" s="1">
        <v>0.91490000000000005</v>
      </c>
      <c r="P140" s="1">
        <v>0.94330000000000003</v>
      </c>
      <c r="Q140" s="1">
        <v>0.94740000000000002</v>
      </c>
      <c r="R140" s="1">
        <v>1.2141</v>
      </c>
      <c r="S140" s="1">
        <v>0.93115000000000003</v>
      </c>
      <c r="T140" s="1">
        <v>1.0780000000000001</v>
      </c>
      <c r="U140" s="1">
        <v>1.7150000000000001</v>
      </c>
      <c r="V140" s="1">
        <v>1.992</v>
      </c>
    </row>
    <row r="141" spans="12:22" x14ac:dyDescent="0.25">
      <c r="L141" s="1">
        <v>53.9</v>
      </c>
      <c r="M141" s="1">
        <v>0.93924999999999992</v>
      </c>
      <c r="N141" s="1">
        <v>1.0764</v>
      </c>
      <c r="O141" s="1">
        <v>0.93279999999999996</v>
      </c>
      <c r="P141" s="1">
        <v>0.94189999999999996</v>
      </c>
      <c r="Q141" s="1">
        <v>0.94569999999999999</v>
      </c>
      <c r="R141" s="1">
        <v>1.2122999999999999</v>
      </c>
      <c r="S141" s="1">
        <v>0.93924999999999992</v>
      </c>
      <c r="T141" s="1">
        <v>1.0764</v>
      </c>
      <c r="U141" s="1">
        <v>1.7023999999999999</v>
      </c>
      <c r="V141" s="1">
        <v>1.988</v>
      </c>
    </row>
    <row r="142" spans="12:22" x14ac:dyDescent="0.25">
      <c r="L142" s="1">
        <v>54</v>
      </c>
      <c r="M142" s="1">
        <v>0.92749999999999999</v>
      </c>
      <c r="N142" s="1">
        <v>1.0748</v>
      </c>
      <c r="O142" s="1">
        <v>0.91110000000000002</v>
      </c>
      <c r="P142" s="1">
        <v>0.9405</v>
      </c>
      <c r="Q142" s="1">
        <v>0.94389999999999996</v>
      </c>
      <c r="R142" s="1">
        <v>1.2105999999999999</v>
      </c>
      <c r="S142" s="1">
        <v>0.92749999999999999</v>
      </c>
      <c r="T142" s="1">
        <v>1.0748</v>
      </c>
      <c r="U142" s="1">
        <v>1.696</v>
      </c>
      <c r="V142" s="1">
        <v>1.984</v>
      </c>
    </row>
    <row r="143" spans="12:22" x14ac:dyDescent="0.25">
      <c r="L143" s="1">
        <v>54.1</v>
      </c>
      <c r="M143" s="1">
        <v>0.92565000000000008</v>
      </c>
      <c r="N143" s="1">
        <v>1.0731999999999999</v>
      </c>
      <c r="O143" s="1">
        <v>0.90920000000000001</v>
      </c>
      <c r="P143" s="1">
        <v>0.93899999999999995</v>
      </c>
      <c r="Q143" s="1">
        <v>0.94210000000000005</v>
      </c>
      <c r="R143" s="1">
        <v>1.2088000000000001</v>
      </c>
      <c r="S143" s="1">
        <v>0.92565000000000008</v>
      </c>
      <c r="T143" s="1">
        <v>1.0731999999999999</v>
      </c>
      <c r="U143" s="1">
        <v>1.6903999999999999</v>
      </c>
      <c r="V143" s="1">
        <v>1.9798</v>
      </c>
    </row>
    <row r="144" spans="12:22" x14ac:dyDescent="0.25">
      <c r="L144" s="1">
        <v>54.2</v>
      </c>
      <c r="M144" s="1">
        <v>0.92385000000000006</v>
      </c>
      <c r="N144" s="1">
        <v>1.0716000000000001</v>
      </c>
      <c r="O144" s="1">
        <v>0.9073</v>
      </c>
      <c r="P144" s="1">
        <v>0.93759999999999999</v>
      </c>
      <c r="Q144" s="1">
        <v>0.94040000000000001</v>
      </c>
      <c r="R144" s="1">
        <v>1.2071000000000001</v>
      </c>
      <c r="S144" s="1">
        <v>0.92385000000000006</v>
      </c>
      <c r="T144" s="1">
        <v>1.0716000000000001</v>
      </c>
      <c r="U144" s="1">
        <v>1.6847999999999999</v>
      </c>
      <c r="V144" s="1">
        <v>1.9756</v>
      </c>
    </row>
    <row r="145" spans="12:22" x14ac:dyDescent="0.25">
      <c r="L145" s="1">
        <v>54.3</v>
      </c>
      <c r="M145" s="1">
        <v>0.92199999999999993</v>
      </c>
      <c r="N145" s="1">
        <v>1.0701000000000001</v>
      </c>
      <c r="O145" s="1">
        <v>0.90539999999999998</v>
      </c>
      <c r="P145" s="1">
        <v>0.93620000000000003</v>
      </c>
      <c r="Q145" s="1">
        <v>0.93859999999999999</v>
      </c>
      <c r="R145" s="1">
        <v>1.2054</v>
      </c>
      <c r="S145" s="1">
        <v>0.92199999999999993</v>
      </c>
      <c r="T145" s="1">
        <v>1.0701000000000001</v>
      </c>
      <c r="U145" s="1">
        <v>1.679</v>
      </c>
      <c r="V145" s="1">
        <v>1.9714</v>
      </c>
    </row>
    <row r="146" spans="12:22" x14ac:dyDescent="0.25">
      <c r="L146" s="1">
        <v>54.4</v>
      </c>
      <c r="M146" s="1">
        <v>0.92019999999999991</v>
      </c>
      <c r="N146" s="1">
        <v>1.0684</v>
      </c>
      <c r="O146" s="1">
        <v>0.90349999999999997</v>
      </c>
      <c r="P146" s="1">
        <v>0.93479999999999996</v>
      </c>
      <c r="Q146" s="1">
        <v>0.93689999999999996</v>
      </c>
      <c r="R146" s="1">
        <v>1.2036</v>
      </c>
      <c r="S146" s="1">
        <v>0.92019999999999991</v>
      </c>
      <c r="T146" s="1">
        <v>1.0684</v>
      </c>
      <c r="U146" s="1">
        <v>1.673</v>
      </c>
      <c r="V146" s="1">
        <v>1.9672000000000001</v>
      </c>
    </row>
    <row r="147" spans="12:22" x14ac:dyDescent="0.25">
      <c r="L147" s="1">
        <v>54.5</v>
      </c>
      <c r="M147" s="1">
        <v>0.91839999999999999</v>
      </c>
      <c r="N147" s="1">
        <v>1.0669</v>
      </c>
      <c r="O147" s="1">
        <v>0.90159999999999996</v>
      </c>
      <c r="P147" s="1">
        <v>0.93330000000000002</v>
      </c>
      <c r="Q147" s="1">
        <v>0.93520000000000003</v>
      </c>
      <c r="R147" s="1">
        <v>1.2019</v>
      </c>
      <c r="S147" s="1">
        <v>0.91839999999999999</v>
      </c>
      <c r="T147" s="1">
        <v>1.0669</v>
      </c>
      <c r="U147" s="1">
        <v>1.667</v>
      </c>
      <c r="V147" s="1">
        <v>1.9630000000000001</v>
      </c>
    </row>
    <row r="148" spans="12:22" x14ac:dyDescent="0.25">
      <c r="L148" s="1">
        <v>54.6</v>
      </c>
      <c r="M148" s="1">
        <v>0.91660000000000008</v>
      </c>
      <c r="N148" s="1">
        <v>1.0652999999999999</v>
      </c>
      <c r="O148" s="1">
        <v>0.89980000000000004</v>
      </c>
      <c r="P148" s="1">
        <v>0.93189999999999995</v>
      </c>
      <c r="Q148" s="1">
        <v>0.93340000000000001</v>
      </c>
      <c r="R148" s="1">
        <v>1.2001999999999999</v>
      </c>
      <c r="S148" s="1">
        <v>0.91660000000000008</v>
      </c>
      <c r="T148" s="1">
        <v>1.0652999999999999</v>
      </c>
      <c r="U148" s="1">
        <v>1.6622000000000001</v>
      </c>
      <c r="V148" s="1">
        <v>1.9588000000000001</v>
      </c>
    </row>
    <row r="149" spans="12:22" x14ac:dyDescent="0.25">
      <c r="L149" s="1">
        <v>54.7</v>
      </c>
      <c r="M149" s="1">
        <v>0.91480000000000006</v>
      </c>
      <c r="N149" s="1">
        <v>1.0638000000000001</v>
      </c>
      <c r="O149" s="1">
        <v>0.89790000000000003</v>
      </c>
      <c r="P149" s="1">
        <v>0.93049999999999999</v>
      </c>
      <c r="Q149" s="1">
        <v>0.93169999999999997</v>
      </c>
      <c r="R149" s="1">
        <v>1.1984999999999999</v>
      </c>
      <c r="S149" s="1">
        <v>0.91480000000000006</v>
      </c>
      <c r="T149" s="1">
        <v>1.0638000000000001</v>
      </c>
      <c r="U149" s="1">
        <v>1.6574</v>
      </c>
      <c r="V149" s="1">
        <v>1.9546000000000001</v>
      </c>
    </row>
    <row r="150" spans="12:22" x14ac:dyDescent="0.25">
      <c r="L150" s="1">
        <v>54.8</v>
      </c>
      <c r="M150" s="1">
        <v>0.91305000000000003</v>
      </c>
      <c r="N150" s="1">
        <v>1.0622</v>
      </c>
      <c r="O150" s="1">
        <v>0.89610000000000001</v>
      </c>
      <c r="P150" s="1">
        <v>0.92910000000000004</v>
      </c>
      <c r="Q150" s="1">
        <v>0.93</v>
      </c>
      <c r="R150" s="1">
        <v>1.1967000000000001</v>
      </c>
      <c r="S150" s="1">
        <v>0.91305000000000003</v>
      </c>
      <c r="T150" s="1">
        <v>1.0622</v>
      </c>
      <c r="U150" s="1">
        <v>1.6524000000000001</v>
      </c>
      <c r="V150" s="1">
        <v>1.9503999999999999</v>
      </c>
    </row>
    <row r="151" spans="12:22" x14ac:dyDescent="0.25">
      <c r="L151" s="1">
        <v>54.9</v>
      </c>
      <c r="M151" s="1">
        <v>0.92064999999999997</v>
      </c>
      <c r="N151" s="1">
        <v>1.0606</v>
      </c>
      <c r="O151" s="1">
        <v>0.91300000000000003</v>
      </c>
      <c r="P151" s="1">
        <v>0.92769999999999997</v>
      </c>
      <c r="Q151" s="1">
        <v>0.92830000000000001</v>
      </c>
      <c r="R151" s="1">
        <v>1.1950000000000001</v>
      </c>
      <c r="S151" s="1">
        <v>0.92064999999999997</v>
      </c>
      <c r="T151" s="1">
        <v>1.0606</v>
      </c>
      <c r="U151" s="1">
        <v>1.6472</v>
      </c>
      <c r="V151" s="1">
        <v>1.9461999999999999</v>
      </c>
    </row>
    <row r="152" spans="12:22" x14ac:dyDescent="0.25">
      <c r="L152" s="1">
        <v>55</v>
      </c>
      <c r="M152" s="1">
        <v>0.90954999999999997</v>
      </c>
      <c r="N152" s="1">
        <v>1.0590999999999999</v>
      </c>
      <c r="O152" s="1">
        <v>0.89239999999999997</v>
      </c>
      <c r="P152" s="1">
        <v>0.92630000000000001</v>
      </c>
      <c r="Q152" s="1">
        <v>0.92669999999999997</v>
      </c>
      <c r="R152" s="1">
        <v>1.1933</v>
      </c>
      <c r="S152" s="1">
        <v>0.90954999999999997</v>
      </c>
      <c r="T152" s="1">
        <v>1.0590999999999999</v>
      </c>
      <c r="U152" s="1">
        <v>1.6419999999999999</v>
      </c>
      <c r="V152" s="1">
        <v>1.9419999999999999</v>
      </c>
    </row>
    <row r="153" spans="12:22" x14ac:dyDescent="0.25">
      <c r="L153" s="1">
        <v>55.1</v>
      </c>
      <c r="M153" s="1">
        <v>0.90779999999999994</v>
      </c>
      <c r="N153" s="1">
        <v>1.0575000000000001</v>
      </c>
      <c r="O153" s="1">
        <v>0.89059999999999995</v>
      </c>
      <c r="P153" s="1">
        <v>0.92490000000000006</v>
      </c>
      <c r="Q153" s="1">
        <v>0.92500000000000004</v>
      </c>
      <c r="R153" s="1">
        <v>1.1916</v>
      </c>
      <c r="S153" s="1">
        <v>0.90779999999999994</v>
      </c>
      <c r="T153" s="1">
        <v>1.0575000000000001</v>
      </c>
      <c r="U153" s="1">
        <v>1.6372</v>
      </c>
      <c r="V153" s="1">
        <v>1.9381999999999999</v>
      </c>
    </row>
    <row r="154" spans="12:22" x14ac:dyDescent="0.25">
      <c r="L154" s="1">
        <v>55.2</v>
      </c>
      <c r="M154" s="1">
        <v>0.90605000000000002</v>
      </c>
      <c r="N154" s="1">
        <v>1.0561</v>
      </c>
      <c r="O154" s="1">
        <v>0.88880000000000003</v>
      </c>
      <c r="P154" s="1">
        <v>0.92349999999999999</v>
      </c>
      <c r="Q154" s="1">
        <v>0.92330000000000001</v>
      </c>
      <c r="R154" s="1">
        <v>1.19</v>
      </c>
      <c r="S154" s="1">
        <v>0.90605000000000002</v>
      </c>
      <c r="T154" s="1">
        <v>1.0561</v>
      </c>
      <c r="U154" s="1">
        <v>1.6323999999999999</v>
      </c>
      <c r="V154" s="1">
        <v>1.9343999999999999</v>
      </c>
    </row>
    <row r="155" spans="12:22" x14ac:dyDescent="0.25">
      <c r="L155" s="1">
        <v>55.3</v>
      </c>
      <c r="M155" s="1">
        <v>0.90434999999999999</v>
      </c>
      <c r="N155" s="1">
        <v>1.0545</v>
      </c>
      <c r="O155" s="1">
        <v>0.88700000000000001</v>
      </c>
      <c r="P155" s="1">
        <v>0.92220000000000002</v>
      </c>
      <c r="Q155" s="1">
        <v>0.92169999999999996</v>
      </c>
      <c r="R155" s="1">
        <v>1.1882999999999999</v>
      </c>
      <c r="S155" s="1">
        <v>0.90434999999999999</v>
      </c>
      <c r="T155" s="1">
        <v>1.0545</v>
      </c>
      <c r="U155" s="1">
        <v>1.6274</v>
      </c>
      <c r="V155" s="1">
        <v>1.9306000000000001</v>
      </c>
    </row>
    <row r="156" spans="12:22" x14ac:dyDescent="0.25">
      <c r="L156" s="1">
        <v>55.4</v>
      </c>
      <c r="M156" s="1">
        <v>0.90264999999999995</v>
      </c>
      <c r="N156" s="1">
        <v>1.0529999999999999</v>
      </c>
      <c r="O156" s="1">
        <v>0.88529999999999998</v>
      </c>
      <c r="P156" s="1">
        <v>0.92079999999999995</v>
      </c>
      <c r="Q156" s="1">
        <v>0.92</v>
      </c>
      <c r="R156" s="1">
        <v>1.1866000000000001</v>
      </c>
      <c r="S156" s="1">
        <v>0.90264999999999995</v>
      </c>
      <c r="T156" s="1">
        <v>1.0529999999999999</v>
      </c>
      <c r="U156" s="1">
        <v>1.6221999999999999</v>
      </c>
      <c r="V156" s="1">
        <v>1.9268000000000001</v>
      </c>
    </row>
    <row r="157" spans="12:22" x14ac:dyDescent="0.25">
      <c r="L157" s="1">
        <v>55.5</v>
      </c>
      <c r="M157" s="1">
        <v>0.90094999999999992</v>
      </c>
      <c r="N157" s="1">
        <v>1.0513999999999999</v>
      </c>
      <c r="O157" s="1">
        <v>0.88349999999999995</v>
      </c>
      <c r="P157" s="1">
        <v>0.9194</v>
      </c>
      <c r="Q157" s="1">
        <v>0.91839999999999999</v>
      </c>
      <c r="R157" s="1">
        <v>1.1849000000000001</v>
      </c>
      <c r="S157" s="1">
        <v>0.90094999999999992</v>
      </c>
      <c r="T157" s="1">
        <v>1.0513999999999999</v>
      </c>
      <c r="U157" s="1">
        <v>1.617</v>
      </c>
      <c r="V157" s="1">
        <v>1.923</v>
      </c>
    </row>
    <row r="158" spans="12:22" x14ac:dyDescent="0.25">
      <c r="L158" s="1">
        <v>55.6</v>
      </c>
      <c r="M158" s="1">
        <v>0.89924999999999999</v>
      </c>
      <c r="N158" s="1">
        <v>1.05</v>
      </c>
      <c r="O158" s="1">
        <v>0.88170000000000004</v>
      </c>
      <c r="P158" s="1">
        <v>0.91800000000000004</v>
      </c>
      <c r="Q158" s="1">
        <v>0.91679999999999995</v>
      </c>
      <c r="R158" s="1">
        <v>1.1832</v>
      </c>
      <c r="S158" s="1">
        <v>0.89924999999999999</v>
      </c>
      <c r="T158" s="1">
        <v>1.05</v>
      </c>
      <c r="U158" s="1">
        <v>1.6122000000000001</v>
      </c>
      <c r="V158" s="1">
        <v>1.9194</v>
      </c>
    </row>
    <row r="159" spans="12:22" x14ac:dyDescent="0.25">
      <c r="L159" s="1">
        <v>55.7</v>
      </c>
      <c r="M159" s="1">
        <v>0.89759999999999995</v>
      </c>
      <c r="N159" s="1">
        <v>1.0484</v>
      </c>
      <c r="O159" s="1">
        <v>0.88</v>
      </c>
      <c r="P159" s="1">
        <v>0.91669999999999996</v>
      </c>
      <c r="Q159" s="1">
        <v>0.91520000000000001</v>
      </c>
      <c r="R159" s="1">
        <v>1.1816</v>
      </c>
      <c r="S159" s="1">
        <v>0.89759999999999995</v>
      </c>
      <c r="T159" s="1">
        <v>1.0484</v>
      </c>
      <c r="U159" s="1">
        <v>1.6073999999999999</v>
      </c>
      <c r="V159" s="1">
        <v>1.9157999999999999</v>
      </c>
    </row>
    <row r="160" spans="12:22" x14ac:dyDescent="0.25">
      <c r="L160" s="1">
        <v>55.8</v>
      </c>
      <c r="M160" s="1">
        <v>0.89585000000000004</v>
      </c>
      <c r="N160" s="1">
        <v>1.0468999999999999</v>
      </c>
      <c r="O160" s="1">
        <v>0.87819999999999998</v>
      </c>
      <c r="P160" s="1">
        <v>0.9153</v>
      </c>
      <c r="Q160" s="1">
        <v>0.91349999999999998</v>
      </c>
      <c r="R160" s="1">
        <v>1.1798999999999999</v>
      </c>
      <c r="S160" s="1">
        <v>0.89585000000000004</v>
      </c>
      <c r="T160" s="1">
        <v>1.0468999999999999</v>
      </c>
      <c r="U160" s="1">
        <v>1.6026</v>
      </c>
      <c r="V160" s="1">
        <v>1.9122000000000001</v>
      </c>
    </row>
    <row r="161" spans="12:22" x14ac:dyDescent="0.25">
      <c r="L161" s="1">
        <v>55.9</v>
      </c>
      <c r="M161" s="1">
        <v>0.90310000000000001</v>
      </c>
      <c r="N161" s="1">
        <v>1.0454000000000001</v>
      </c>
      <c r="O161" s="1">
        <v>0.89429999999999998</v>
      </c>
      <c r="P161" s="1">
        <v>0.91400000000000003</v>
      </c>
      <c r="Q161" s="1">
        <v>0.91190000000000004</v>
      </c>
      <c r="R161" s="1">
        <v>1.1782999999999999</v>
      </c>
      <c r="S161" s="1">
        <v>0.90310000000000001</v>
      </c>
      <c r="T161" s="1">
        <v>1.0454000000000001</v>
      </c>
      <c r="U161" s="1">
        <v>1.5977999999999999</v>
      </c>
      <c r="V161" s="1">
        <v>1.9086000000000001</v>
      </c>
    </row>
    <row r="162" spans="12:22" x14ac:dyDescent="0.25">
      <c r="L162" s="1">
        <v>56</v>
      </c>
      <c r="M162" s="1">
        <v>0.89254999999999995</v>
      </c>
      <c r="N162" s="1">
        <v>1.0439000000000001</v>
      </c>
      <c r="O162" s="1">
        <v>0.87480000000000002</v>
      </c>
      <c r="P162" s="1">
        <v>0.91259999999999997</v>
      </c>
      <c r="Q162" s="1">
        <v>0.9103</v>
      </c>
      <c r="R162" s="1">
        <v>1.1766000000000001</v>
      </c>
      <c r="S162" s="1">
        <v>0.89254999999999995</v>
      </c>
      <c r="T162" s="1">
        <v>1.0439000000000001</v>
      </c>
      <c r="U162" s="1">
        <v>1.593</v>
      </c>
      <c r="V162" s="1">
        <v>1.905</v>
      </c>
    </row>
    <row r="163" spans="12:22" x14ac:dyDescent="0.25">
      <c r="L163" s="1">
        <v>56.1</v>
      </c>
      <c r="M163" s="1">
        <v>0.89095000000000002</v>
      </c>
      <c r="N163" s="1">
        <v>1.0424</v>
      </c>
      <c r="O163" s="1">
        <v>0.87309999999999999</v>
      </c>
      <c r="P163" s="1">
        <v>0.91120000000000001</v>
      </c>
      <c r="Q163" s="1">
        <v>0.90880000000000005</v>
      </c>
      <c r="R163" s="1">
        <v>1.175</v>
      </c>
      <c r="S163" s="1">
        <v>0.89095000000000002</v>
      </c>
      <c r="T163" s="1">
        <v>1.0424</v>
      </c>
      <c r="U163" s="1">
        <v>1.5878000000000001</v>
      </c>
      <c r="V163" s="1">
        <v>1.9014</v>
      </c>
    </row>
    <row r="164" spans="12:22" x14ac:dyDescent="0.25">
      <c r="L164" s="1">
        <v>56.2</v>
      </c>
      <c r="M164" s="1">
        <v>0.88929999999999998</v>
      </c>
      <c r="N164" s="1">
        <v>1.0409999999999999</v>
      </c>
      <c r="O164" s="1">
        <v>0.87139999999999995</v>
      </c>
      <c r="P164" s="1">
        <v>0.90990000000000004</v>
      </c>
      <c r="Q164" s="1">
        <v>0.90720000000000001</v>
      </c>
      <c r="R164" s="1">
        <v>1.1733</v>
      </c>
      <c r="S164" s="1">
        <v>0.88929999999999998</v>
      </c>
      <c r="T164" s="1">
        <v>1.0409999999999999</v>
      </c>
      <c r="U164" s="1">
        <v>1.5826</v>
      </c>
      <c r="V164" s="1">
        <v>1.8977999999999999</v>
      </c>
    </row>
    <row r="165" spans="12:22" x14ac:dyDescent="0.25">
      <c r="L165" s="1">
        <v>56.3</v>
      </c>
      <c r="M165" s="1">
        <v>0.88765000000000005</v>
      </c>
      <c r="N165" s="1">
        <v>1.0394000000000001</v>
      </c>
      <c r="O165" s="1">
        <v>0.86970000000000003</v>
      </c>
      <c r="P165" s="1">
        <v>0.90859999999999996</v>
      </c>
      <c r="Q165" s="1">
        <v>0.90559999999999996</v>
      </c>
      <c r="R165" s="1">
        <v>1.1717</v>
      </c>
      <c r="S165" s="1">
        <v>0.88765000000000005</v>
      </c>
      <c r="T165" s="1">
        <v>1.0394000000000001</v>
      </c>
      <c r="U165" s="1">
        <v>1.5776000000000001</v>
      </c>
      <c r="V165" s="1">
        <v>1.8942000000000001</v>
      </c>
    </row>
    <row r="166" spans="12:22" x14ac:dyDescent="0.25">
      <c r="L166" s="1">
        <v>56.4</v>
      </c>
      <c r="M166" s="1">
        <v>0.88605</v>
      </c>
      <c r="N166" s="1">
        <v>1.038</v>
      </c>
      <c r="O166" s="1">
        <v>0.86799999999999999</v>
      </c>
      <c r="P166" s="1">
        <v>0.90720000000000001</v>
      </c>
      <c r="Q166" s="1">
        <v>0.90410000000000001</v>
      </c>
      <c r="R166" s="1">
        <v>1.1700999999999999</v>
      </c>
      <c r="S166" s="1">
        <v>0.88605</v>
      </c>
      <c r="T166" s="1">
        <v>1.038</v>
      </c>
      <c r="U166" s="1">
        <v>1.5728</v>
      </c>
      <c r="V166" s="1">
        <v>1.8906000000000001</v>
      </c>
    </row>
    <row r="167" spans="12:22" x14ac:dyDescent="0.25">
      <c r="L167" s="1">
        <v>56.5</v>
      </c>
      <c r="M167" s="1">
        <v>0.88439999999999996</v>
      </c>
      <c r="N167" s="1">
        <v>1.0365</v>
      </c>
      <c r="O167" s="1">
        <v>0.86629999999999996</v>
      </c>
      <c r="P167" s="1">
        <v>0.90590000000000004</v>
      </c>
      <c r="Q167" s="1">
        <v>0.90249999999999997</v>
      </c>
      <c r="R167" s="1">
        <v>1.1684000000000001</v>
      </c>
      <c r="S167" s="1">
        <v>0.88439999999999996</v>
      </c>
      <c r="T167" s="1">
        <v>1.0365</v>
      </c>
      <c r="U167" s="1">
        <v>1.5680000000000001</v>
      </c>
      <c r="V167" s="1">
        <v>1.887</v>
      </c>
    </row>
    <row r="168" spans="12:22" x14ac:dyDescent="0.25">
      <c r="L168" s="1">
        <v>56.6</v>
      </c>
      <c r="M168" s="1">
        <v>0.88280000000000003</v>
      </c>
      <c r="N168" s="1">
        <v>1.0349999999999999</v>
      </c>
      <c r="O168" s="1">
        <v>0.86460000000000004</v>
      </c>
      <c r="P168" s="1">
        <v>0.90459999999999996</v>
      </c>
      <c r="Q168" s="1">
        <v>0.90100000000000002</v>
      </c>
      <c r="R168" s="1">
        <v>1.1668000000000001</v>
      </c>
      <c r="S168" s="1">
        <v>0.88280000000000003</v>
      </c>
      <c r="T168" s="1">
        <v>1.0349999999999999</v>
      </c>
      <c r="U168" s="1">
        <v>1.5628</v>
      </c>
      <c r="V168" s="1">
        <v>1.8834</v>
      </c>
    </row>
    <row r="169" spans="12:22" x14ac:dyDescent="0.25">
      <c r="L169" s="1">
        <v>56.7</v>
      </c>
      <c r="M169" s="1">
        <v>0.88119999999999998</v>
      </c>
      <c r="N169" s="1">
        <v>1.0335000000000001</v>
      </c>
      <c r="O169" s="1">
        <v>0.86299999999999999</v>
      </c>
      <c r="P169" s="1">
        <v>0.9032</v>
      </c>
      <c r="Q169" s="1">
        <v>0.89939999999999998</v>
      </c>
      <c r="R169" s="1">
        <v>1.1652</v>
      </c>
      <c r="S169" s="1">
        <v>0.88119999999999998</v>
      </c>
      <c r="T169" s="1">
        <v>1.0335000000000001</v>
      </c>
      <c r="U169" s="1">
        <v>1.5575999999999999</v>
      </c>
      <c r="V169" s="1">
        <v>1.8797999999999999</v>
      </c>
    </row>
    <row r="170" spans="12:22" x14ac:dyDescent="0.25">
      <c r="L170" s="1">
        <v>56.8</v>
      </c>
      <c r="M170" s="1">
        <v>0.87959999999999994</v>
      </c>
      <c r="N170" s="1">
        <v>1.0321</v>
      </c>
      <c r="O170" s="1">
        <v>0.86129999999999995</v>
      </c>
      <c r="P170" s="1">
        <v>0.90190000000000003</v>
      </c>
      <c r="Q170" s="1">
        <v>0.89790000000000003</v>
      </c>
      <c r="R170" s="1">
        <v>1.1636</v>
      </c>
      <c r="S170" s="1">
        <v>0.87959999999999994</v>
      </c>
      <c r="T170" s="1">
        <v>1.0321</v>
      </c>
      <c r="U170" s="1">
        <v>1.5526</v>
      </c>
      <c r="V170" s="1">
        <v>1.8762000000000001</v>
      </c>
    </row>
    <row r="171" spans="12:22" x14ac:dyDescent="0.25">
      <c r="L171" s="1">
        <v>56.9</v>
      </c>
      <c r="M171" s="1">
        <v>0.88644999999999996</v>
      </c>
      <c r="N171" s="1">
        <v>1.0306</v>
      </c>
      <c r="O171" s="1">
        <v>0.87649999999999995</v>
      </c>
      <c r="P171" s="1">
        <v>0.90059999999999996</v>
      </c>
      <c r="Q171" s="1">
        <v>0.89639999999999997</v>
      </c>
      <c r="R171" s="1">
        <v>1.1619999999999999</v>
      </c>
      <c r="S171" s="1">
        <v>0.88644999999999996</v>
      </c>
      <c r="T171" s="1">
        <v>1.0306</v>
      </c>
      <c r="U171" s="1">
        <v>1.5477999999999998</v>
      </c>
      <c r="V171" s="1">
        <v>1.8726</v>
      </c>
    </row>
    <row r="172" spans="12:22" x14ac:dyDescent="0.25">
      <c r="L172" s="1">
        <v>57</v>
      </c>
      <c r="M172" s="1">
        <v>0.87644999999999995</v>
      </c>
      <c r="N172" s="1">
        <v>1.0291999999999999</v>
      </c>
      <c r="O172" s="1">
        <v>0.85799999999999998</v>
      </c>
      <c r="P172" s="1">
        <v>0.89929999999999999</v>
      </c>
      <c r="Q172" s="1">
        <v>0.89490000000000003</v>
      </c>
      <c r="R172" s="1">
        <v>1.1604000000000001</v>
      </c>
      <c r="S172" s="1">
        <v>0.87644999999999995</v>
      </c>
      <c r="T172" s="1">
        <v>1.0291999999999999</v>
      </c>
      <c r="U172" s="1">
        <v>1.5429999999999999</v>
      </c>
      <c r="V172" s="1">
        <v>1.869</v>
      </c>
    </row>
    <row r="173" spans="12:22" x14ac:dyDescent="0.25">
      <c r="L173" s="1">
        <v>57.1</v>
      </c>
      <c r="M173" s="1">
        <v>0.87490000000000001</v>
      </c>
      <c r="N173" s="1">
        <v>1.0277000000000001</v>
      </c>
      <c r="O173" s="1">
        <v>0.85640000000000005</v>
      </c>
      <c r="P173" s="1">
        <v>0.89800000000000002</v>
      </c>
      <c r="Q173" s="1">
        <v>0.89339999999999997</v>
      </c>
      <c r="R173" s="1">
        <v>1.1588000000000001</v>
      </c>
      <c r="S173" s="1">
        <v>0.87490000000000001</v>
      </c>
      <c r="T173" s="1">
        <v>1.0277000000000001</v>
      </c>
      <c r="U173" s="1">
        <v>1.5382</v>
      </c>
      <c r="V173" s="1">
        <v>1.8655999999999999</v>
      </c>
    </row>
    <row r="174" spans="12:22" x14ac:dyDescent="0.25">
      <c r="L174" s="1">
        <v>57.2</v>
      </c>
      <c r="M174" s="1">
        <v>0.87335000000000007</v>
      </c>
      <c r="N174" s="1">
        <v>1.0263</v>
      </c>
      <c r="O174" s="1">
        <v>0.8548</v>
      </c>
      <c r="P174" s="1">
        <v>0.89670000000000005</v>
      </c>
      <c r="Q174" s="1">
        <v>0.89190000000000003</v>
      </c>
      <c r="R174" s="1">
        <v>1.1572</v>
      </c>
      <c r="S174" s="1">
        <v>0.87335000000000007</v>
      </c>
      <c r="T174" s="1">
        <v>1.0263</v>
      </c>
      <c r="U174" s="1">
        <v>1.5333999999999999</v>
      </c>
      <c r="V174" s="1">
        <v>1.8622000000000001</v>
      </c>
    </row>
    <row r="175" spans="12:22" x14ac:dyDescent="0.25">
      <c r="L175" s="1">
        <v>57.3</v>
      </c>
      <c r="M175" s="1">
        <v>0.87179999999999991</v>
      </c>
      <c r="N175" s="1">
        <v>1.0247999999999999</v>
      </c>
      <c r="O175" s="1">
        <v>0.85319999999999996</v>
      </c>
      <c r="P175" s="1">
        <v>0.89539999999999997</v>
      </c>
      <c r="Q175" s="1">
        <v>0.89039999999999997</v>
      </c>
      <c r="R175" s="1">
        <v>1.1556</v>
      </c>
      <c r="S175" s="1">
        <v>0.87179999999999991</v>
      </c>
      <c r="T175" s="1">
        <v>1.0247999999999999</v>
      </c>
      <c r="U175" s="1">
        <v>1.5284</v>
      </c>
      <c r="V175" s="1">
        <v>1.8588</v>
      </c>
    </row>
    <row r="176" spans="12:22" x14ac:dyDescent="0.25">
      <c r="L176" s="1">
        <v>57.4</v>
      </c>
      <c r="M176" s="1">
        <v>0.87024999999999997</v>
      </c>
      <c r="N176" s="1">
        <v>1.0234000000000001</v>
      </c>
      <c r="O176" s="1">
        <v>0.85160000000000002</v>
      </c>
      <c r="P176" s="1">
        <v>0.89410000000000001</v>
      </c>
      <c r="Q176" s="1">
        <v>0.88890000000000002</v>
      </c>
      <c r="R176" s="1">
        <v>1.1540999999999999</v>
      </c>
      <c r="S176" s="1">
        <v>0.87024999999999997</v>
      </c>
      <c r="T176" s="1">
        <v>1.0234000000000001</v>
      </c>
      <c r="U176" s="1">
        <v>1.5231999999999999</v>
      </c>
      <c r="V176" s="1">
        <v>1.8554000000000002</v>
      </c>
    </row>
    <row r="177" spans="12:22" x14ac:dyDescent="0.25">
      <c r="L177" s="1">
        <v>57.5</v>
      </c>
      <c r="M177" s="1">
        <v>0.86870000000000003</v>
      </c>
      <c r="N177" s="1">
        <v>1.022</v>
      </c>
      <c r="O177" s="1">
        <v>0.85</v>
      </c>
      <c r="P177" s="1">
        <v>0.89280000000000004</v>
      </c>
      <c r="Q177" s="1">
        <v>0.88739999999999997</v>
      </c>
      <c r="R177" s="1">
        <v>1.1525000000000001</v>
      </c>
      <c r="S177" s="1">
        <v>0.86870000000000003</v>
      </c>
      <c r="T177" s="1">
        <v>1.022</v>
      </c>
      <c r="U177" s="1">
        <v>1.518</v>
      </c>
      <c r="V177" s="1">
        <v>1.8520000000000001</v>
      </c>
    </row>
    <row r="178" spans="12:22" x14ac:dyDescent="0.25">
      <c r="L178" s="1">
        <v>57.6</v>
      </c>
      <c r="M178" s="1">
        <v>0.86715000000000009</v>
      </c>
      <c r="N178" s="1">
        <v>1.0205</v>
      </c>
      <c r="O178" s="1">
        <v>0.84840000000000004</v>
      </c>
      <c r="P178" s="1">
        <v>0.89149999999999996</v>
      </c>
      <c r="Q178" s="1">
        <v>0.88590000000000002</v>
      </c>
      <c r="R178" s="1">
        <v>1.1509</v>
      </c>
      <c r="S178" s="1">
        <v>0.86715000000000009</v>
      </c>
      <c r="T178" s="1">
        <v>1.0205</v>
      </c>
      <c r="U178" s="1">
        <v>1.5132000000000001</v>
      </c>
      <c r="V178" s="1">
        <v>1.8492000000000002</v>
      </c>
    </row>
    <row r="179" spans="12:22" x14ac:dyDescent="0.25">
      <c r="L179" s="1">
        <v>57.7</v>
      </c>
      <c r="M179" s="1">
        <v>0.86565000000000003</v>
      </c>
      <c r="N179" s="1">
        <v>1.0190999999999999</v>
      </c>
      <c r="O179" s="1">
        <v>0.8468</v>
      </c>
      <c r="P179" s="1">
        <v>0.89019999999999999</v>
      </c>
      <c r="Q179" s="1">
        <v>0.88449999999999995</v>
      </c>
      <c r="R179" s="1">
        <v>1.1494</v>
      </c>
      <c r="S179" s="1">
        <v>0.86565000000000003</v>
      </c>
      <c r="T179" s="1">
        <v>1.0190999999999999</v>
      </c>
      <c r="U179" s="1">
        <v>1.5084</v>
      </c>
      <c r="V179" s="1">
        <v>1.8464</v>
      </c>
    </row>
    <row r="180" spans="12:22" x14ac:dyDescent="0.25">
      <c r="L180" s="1">
        <v>57.8</v>
      </c>
      <c r="M180" s="1">
        <v>0.86414999999999997</v>
      </c>
      <c r="N180" s="1">
        <v>1.0177</v>
      </c>
      <c r="O180" s="1">
        <v>0.84530000000000005</v>
      </c>
      <c r="P180" s="1">
        <v>0.88890000000000002</v>
      </c>
      <c r="Q180" s="1">
        <v>0.88300000000000001</v>
      </c>
      <c r="R180" s="1">
        <v>1.1477999999999999</v>
      </c>
      <c r="S180" s="1">
        <v>0.86414999999999997</v>
      </c>
      <c r="T180" s="1">
        <v>1.0177</v>
      </c>
      <c r="U180" s="1">
        <v>1.5042</v>
      </c>
      <c r="V180" s="1">
        <v>1.8436000000000001</v>
      </c>
    </row>
    <row r="181" spans="12:22" x14ac:dyDescent="0.25">
      <c r="L181" s="1">
        <v>57.9</v>
      </c>
      <c r="M181" s="1">
        <v>0.87065000000000003</v>
      </c>
      <c r="N181" s="1">
        <v>1.0163</v>
      </c>
      <c r="O181" s="1">
        <v>0.85970000000000002</v>
      </c>
      <c r="P181" s="1">
        <v>0.88759999999999994</v>
      </c>
      <c r="Q181" s="1">
        <v>0.88160000000000005</v>
      </c>
      <c r="R181" s="1">
        <v>1.1463000000000001</v>
      </c>
      <c r="S181" s="1">
        <v>0.87065000000000003</v>
      </c>
      <c r="T181" s="1">
        <v>1.0163</v>
      </c>
      <c r="U181" s="1">
        <v>1.5006000000000002</v>
      </c>
      <c r="V181" s="1">
        <v>1.8408</v>
      </c>
    </row>
    <row r="182" spans="12:22" x14ac:dyDescent="0.25">
      <c r="L182" s="1">
        <v>58</v>
      </c>
      <c r="M182" s="1">
        <v>0.86119999999999997</v>
      </c>
      <c r="N182" s="1">
        <v>1.0148999999999999</v>
      </c>
      <c r="O182" s="1">
        <v>0.84219999999999995</v>
      </c>
      <c r="P182" s="1">
        <v>0.88629999999999998</v>
      </c>
      <c r="Q182" s="1">
        <v>0.88019999999999998</v>
      </c>
      <c r="R182" s="1">
        <v>1.1447000000000001</v>
      </c>
      <c r="S182" s="1">
        <v>0.86119999999999997</v>
      </c>
      <c r="T182" s="1">
        <v>1.0148999999999999</v>
      </c>
      <c r="U182" s="1">
        <v>1.4970000000000001</v>
      </c>
      <c r="V182" s="1">
        <v>1.8380000000000001</v>
      </c>
    </row>
    <row r="183" spans="12:22" x14ac:dyDescent="0.25">
      <c r="L183" s="1">
        <v>58.1</v>
      </c>
      <c r="M183" s="1">
        <v>0.85965000000000003</v>
      </c>
      <c r="N183" s="1">
        <v>1.0135000000000001</v>
      </c>
      <c r="O183" s="1">
        <v>0.84060000000000001</v>
      </c>
      <c r="P183" s="1">
        <v>0.8851</v>
      </c>
      <c r="Q183" s="1">
        <v>0.87870000000000004</v>
      </c>
      <c r="R183" s="1">
        <v>1.1432</v>
      </c>
      <c r="S183" s="1">
        <v>0.85965000000000003</v>
      </c>
      <c r="T183" s="1">
        <v>1.0135000000000001</v>
      </c>
      <c r="U183" s="1">
        <v>1.4934000000000001</v>
      </c>
      <c r="V183" s="1">
        <v>1.8348</v>
      </c>
    </row>
    <row r="184" spans="12:22" x14ac:dyDescent="0.25">
      <c r="L184" s="1">
        <v>58.2</v>
      </c>
      <c r="M184" s="1">
        <v>0.85819999999999996</v>
      </c>
      <c r="N184" s="1">
        <v>1.012</v>
      </c>
      <c r="O184" s="1">
        <v>0.83909999999999996</v>
      </c>
      <c r="P184" s="1">
        <v>0.88380000000000003</v>
      </c>
      <c r="Q184" s="1">
        <v>0.87729999999999997</v>
      </c>
      <c r="R184" s="1">
        <v>1.1415999999999999</v>
      </c>
      <c r="S184" s="1">
        <v>0.85819999999999996</v>
      </c>
      <c r="T184" s="1">
        <v>1.012</v>
      </c>
      <c r="U184" s="1">
        <v>1.4898</v>
      </c>
      <c r="V184" s="1">
        <v>1.8316000000000001</v>
      </c>
    </row>
    <row r="185" spans="12:22" x14ac:dyDescent="0.25">
      <c r="L185" s="1">
        <v>58.3</v>
      </c>
      <c r="M185" s="1">
        <v>0.85675000000000001</v>
      </c>
      <c r="N185" s="1">
        <v>1.0106999999999999</v>
      </c>
      <c r="O185" s="1">
        <v>0.83760000000000001</v>
      </c>
      <c r="P185" s="1">
        <v>0.88249999999999995</v>
      </c>
      <c r="Q185" s="1">
        <v>0.87590000000000001</v>
      </c>
      <c r="R185" s="1">
        <v>1.1400999999999999</v>
      </c>
      <c r="S185" s="1">
        <v>0.85675000000000001</v>
      </c>
      <c r="T185" s="1">
        <v>1.0106999999999999</v>
      </c>
      <c r="U185" s="1">
        <v>1.486</v>
      </c>
      <c r="V185" s="1">
        <v>1.8284</v>
      </c>
    </row>
    <row r="186" spans="12:22" x14ac:dyDescent="0.25">
      <c r="L186" s="1">
        <v>58.4</v>
      </c>
      <c r="M186" s="1">
        <v>0.85529999999999995</v>
      </c>
      <c r="N186" s="1">
        <v>1.0093000000000001</v>
      </c>
      <c r="O186" s="1">
        <v>0.83609999999999995</v>
      </c>
      <c r="P186" s="1">
        <v>0.88129999999999997</v>
      </c>
      <c r="Q186" s="1">
        <v>0.87450000000000006</v>
      </c>
      <c r="R186" s="1">
        <v>1.1386000000000001</v>
      </c>
      <c r="S186" s="1">
        <v>0.85529999999999995</v>
      </c>
      <c r="T186" s="1">
        <v>1.0093000000000001</v>
      </c>
      <c r="U186" s="1">
        <v>1.482</v>
      </c>
      <c r="V186" s="1">
        <v>1.8252000000000002</v>
      </c>
    </row>
    <row r="187" spans="12:22" x14ac:dyDescent="0.25">
      <c r="L187" s="1">
        <v>58.5</v>
      </c>
      <c r="M187" s="1">
        <v>0.8538</v>
      </c>
      <c r="N187" s="1">
        <v>1.0079</v>
      </c>
      <c r="O187" s="1">
        <v>0.83450000000000002</v>
      </c>
      <c r="P187" s="1">
        <v>0.88</v>
      </c>
      <c r="Q187" s="1">
        <v>0.87309999999999999</v>
      </c>
      <c r="R187" s="1">
        <v>1.1371</v>
      </c>
      <c r="S187" s="1">
        <v>0.8538</v>
      </c>
      <c r="T187" s="1">
        <v>1.0079</v>
      </c>
      <c r="U187" s="1">
        <v>1.478</v>
      </c>
      <c r="V187" s="1">
        <v>1.8220000000000001</v>
      </c>
    </row>
    <row r="188" spans="12:22" x14ac:dyDescent="0.25">
      <c r="L188" s="1">
        <v>58.6</v>
      </c>
      <c r="M188" s="1">
        <v>0.85234999999999994</v>
      </c>
      <c r="N188" s="1">
        <v>1.0065</v>
      </c>
      <c r="O188" s="1">
        <v>0.83299999999999996</v>
      </c>
      <c r="P188" s="1">
        <v>0.87880000000000003</v>
      </c>
      <c r="Q188" s="1">
        <v>0.87170000000000003</v>
      </c>
      <c r="R188" s="1">
        <v>1.1355</v>
      </c>
      <c r="S188" s="1">
        <v>0.85234999999999994</v>
      </c>
      <c r="T188" s="1">
        <v>1.0065</v>
      </c>
      <c r="U188" s="1">
        <v>1.4743999999999999</v>
      </c>
      <c r="V188" s="1">
        <v>1.8192000000000002</v>
      </c>
    </row>
    <row r="189" spans="12:22" x14ac:dyDescent="0.25">
      <c r="L189" s="1">
        <v>58.7</v>
      </c>
      <c r="M189" s="1">
        <v>0.85094999999999998</v>
      </c>
      <c r="N189" s="1">
        <v>1.0051000000000001</v>
      </c>
      <c r="O189" s="1">
        <v>0.83160000000000001</v>
      </c>
      <c r="P189" s="1">
        <v>0.87749999999999995</v>
      </c>
      <c r="Q189" s="1">
        <v>0.87029999999999996</v>
      </c>
      <c r="R189" s="1">
        <v>1.1339999999999999</v>
      </c>
      <c r="S189" s="1">
        <v>0.85094999999999998</v>
      </c>
      <c r="T189" s="1">
        <v>1.0051000000000001</v>
      </c>
      <c r="U189" s="1">
        <v>1.4708000000000001</v>
      </c>
      <c r="V189" s="1">
        <v>1.8164</v>
      </c>
    </row>
    <row r="190" spans="12:22" x14ac:dyDescent="0.25">
      <c r="L190" s="1">
        <v>58.8</v>
      </c>
      <c r="M190" s="1">
        <v>0.84949999999999992</v>
      </c>
      <c r="N190" s="1">
        <v>1.0037</v>
      </c>
      <c r="O190" s="1">
        <v>0.83009999999999995</v>
      </c>
      <c r="P190" s="1">
        <v>0.87629999999999997</v>
      </c>
      <c r="Q190" s="1">
        <v>0.86890000000000001</v>
      </c>
      <c r="R190" s="1">
        <v>1.1325000000000001</v>
      </c>
      <c r="S190" s="1">
        <v>0.84949999999999992</v>
      </c>
      <c r="T190" s="1">
        <v>1.0037</v>
      </c>
      <c r="U190" s="1">
        <v>1.4672000000000001</v>
      </c>
      <c r="V190" s="1">
        <v>1.8136000000000001</v>
      </c>
    </row>
    <row r="191" spans="12:22" x14ac:dyDescent="0.25">
      <c r="L191" s="1">
        <v>58.9</v>
      </c>
      <c r="M191" s="1">
        <v>0.85560000000000003</v>
      </c>
      <c r="N191" s="1">
        <v>1.0024</v>
      </c>
      <c r="O191" s="1">
        <v>0.84370000000000001</v>
      </c>
      <c r="P191" s="1">
        <v>0.875</v>
      </c>
      <c r="Q191" s="1">
        <v>0.86750000000000005</v>
      </c>
      <c r="R191" s="1">
        <v>1.131</v>
      </c>
      <c r="S191" s="1">
        <v>0.85560000000000003</v>
      </c>
      <c r="T191" s="1">
        <v>1.0024</v>
      </c>
      <c r="U191" s="1">
        <v>1.4636</v>
      </c>
      <c r="V191" s="1">
        <v>1.8108</v>
      </c>
    </row>
    <row r="192" spans="12:22" x14ac:dyDescent="0.25">
      <c r="L192" s="1">
        <v>59</v>
      </c>
      <c r="M192" s="1">
        <v>0.8466499999999999</v>
      </c>
      <c r="N192" s="1">
        <v>1.0009999999999999</v>
      </c>
      <c r="O192" s="1">
        <v>0.82709999999999995</v>
      </c>
      <c r="P192" s="1">
        <v>0.87380000000000002</v>
      </c>
      <c r="Q192" s="1">
        <v>0.86619999999999997</v>
      </c>
      <c r="R192" s="1">
        <v>1.1294999999999999</v>
      </c>
      <c r="S192" s="1">
        <v>0.8466499999999999</v>
      </c>
      <c r="T192" s="1">
        <v>1.0009999999999999</v>
      </c>
      <c r="U192" s="1">
        <v>1.46</v>
      </c>
      <c r="V192" s="1">
        <v>1.8080000000000001</v>
      </c>
    </row>
    <row r="193" spans="12:22" x14ac:dyDescent="0.25">
      <c r="L193" s="1">
        <v>59.1</v>
      </c>
      <c r="M193" s="1">
        <v>0.84525000000000006</v>
      </c>
      <c r="N193" s="1">
        <v>0.99970000000000003</v>
      </c>
      <c r="O193" s="1">
        <v>0.82569999999999999</v>
      </c>
      <c r="P193" s="1">
        <v>0.87250000000000005</v>
      </c>
      <c r="Q193" s="1">
        <v>0.86480000000000001</v>
      </c>
      <c r="R193" s="1">
        <v>1.1281000000000001</v>
      </c>
      <c r="S193" s="1">
        <v>0.84525000000000006</v>
      </c>
      <c r="T193" s="1">
        <v>0.99970000000000003</v>
      </c>
      <c r="U193" s="1">
        <v>1.4563999999999999</v>
      </c>
      <c r="V193" s="1">
        <v>1.8054000000000001</v>
      </c>
    </row>
    <row r="194" spans="12:22" x14ac:dyDescent="0.25">
      <c r="L194" s="1">
        <v>59.2</v>
      </c>
      <c r="M194" s="1">
        <v>0.84384999999999999</v>
      </c>
      <c r="N194" s="1">
        <v>0.99834999999999996</v>
      </c>
      <c r="O194" s="1">
        <v>0.82420000000000004</v>
      </c>
      <c r="P194" s="1">
        <v>0.87129999999999996</v>
      </c>
      <c r="Q194" s="1">
        <v>0.86350000000000005</v>
      </c>
      <c r="R194" s="1">
        <v>1.1266</v>
      </c>
      <c r="S194" s="1">
        <v>0.84384999999999999</v>
      </c>
      <c r="T194" s="1">
        <v>0.99834999999999996</v>
      </c>
      <c r="U194" s="1">
        <v>1.4528000000000001</v>
      </c>
      <c r="V194" s="1">
        <v>1.8028</v>
      </c>
    </row>
    <row r="195" spans="12:22" x14ac:dyDescent="0.25">
      <c r="L195" s="1">
        <v>59.3</v>
      </c>
      <c r="M195" s="1">
        <v>0.84244999999999992</v>
      </c>
      <c r="N195" s="1">
        <v>0.99695</v>
      </c>
      <c r="O195" s="1">
        <v>0.82279999999999998</v>
      </c>
      <c r="P195" s="1">
        <v>0.87009999999999998</v>
      </c>
      <c r="Q195" s="1">
        <v>0.86209999999999998</v>
      </c>
      <c r="R195" s="1">
        <v>1.1251</v>
      </c>
      <c r="S195" s="1">
        <v>0.84244999999999992</v>
      </c>
      <c r="T195" s="1">
        <v>0.99695</v>
      </c>
      <c r="U195" s="1">
        <v>1.4492</v>
      </c>
      <c r="V195" s="1">
        <v>1.8002</v>
      </c>
    </row>
    <row r="196" spans="12:22" x14ac:dyDescent="0.25">
      <c r="L196" s="1">
        <v>59.4</v>
      </c>
      <c r="M196" s="1">
        <v>0.84105000000000008</v>
      </c>
      <c r="N196" s="1">
        <v>0.99560000000000004</v>
      </c>
      <c r="O196" s="1">
        <v>0.82130000000000003</v>
      </c>
      <c r="P196" s="1">
        <v>0.86880000000000002</v>
      </c>
      <c r="Q196" s="1">
        <v>0.86080000000000001</v>
      </c>
      <c r="R196" s="1">
        <v>1.1235999999999999</v>
      </c>
      <c r="S196" s="1">
        <v>0.84105000000000008</v>
      </c>
      <c r="T196" s="1">
        <v>0.99560000000000004</v>
      </c>
      <c r="U196" s="1">
        <v>1.4456</v>
      </c>
      <c r="V196" s="1">
        <v>1.7975999999999999</v>
      </c>
    </row>
    <row r="197" spans="12:22" x14ac:dyDescent="0.25">
      <c r="L197" s="1">
        <v>59.5</v>
      </c>
      <c r="M197" s="1">
        <v>0.83965000000000001</v>
      </c>
      <c r="N197" s="1">
        <v>0.99424999999999997</v>
      </c>
      <c r="O197" s="1">
        <v>0.81989999999999996</v>
      </c>
      <c r="P197" s="1">
        <v>0.86760000000000004</v>
      </c>
      <c r="Q197" s="1">
        <v>0.85940000000000005</v>
      </c>
      <c r="R197" s="1">
        <v>1.1221000000000001</v>
      </c>
      <c r="S197" s="1">
        <v>0.83965000000000001</v>
      </c>
      <c r="T197" s="1">
        <v>0.99424999999999997</v>
      </c>
      <c r="U197" s="1">
        <v>1.4419999999999999</v>
      </c>
      <c r="V197" s="1">
        <v>1.7949999999999999</v>
      </c>
    </row>
    <row r="198" spans="12:22" x14ac:dyDescent="0.25">
      <c r="L198" s="1">
        <v>59.6</v>
      </c>
      <c r="M198" s="1">
        <v>0.83830000000000005</v>
      </c>
      <c r="N198" s="1">
        <v>0.99295</v>
      </c>
      <c r="O198" s="1">
        <v>0.81850000000000001</v>
      </c>
      <c r="P198" s="1">
        <v>0.86639999999999995</v>
      </c>
      <c r="Q198" s="1">
        <v>0.85809999999999997</v>
      </c>
      <c r="R198" s="1">
        <v>1.1207</v>
      </c>
      <c r="S198" s="1">
        <v>0.83830000000000005</v>
      </c>
      <c r="T198" s="1">
        <v>0.99295</v>
      </c>
      <c r="U198" s="1">
        <v>1.4379999999999999</v>
      </c>
      <c r="V198" s="1">
        <v>1.7926</v>
      </c>
    </row>
    <row r="199" spans="12:22" x14ac:dyDescent="0.25">
      <c r="L199" s="1">
        <v>59.7</v>
      </c>
      <c r="M199" s="1">
        <v>0.83689999999999998</v>
      </c>
      <c r="N199" s="1">
        <v>0.99160000000000004</v>
      </c>
      <c r="O199" s="1">
        <v>0.81699999999999995</v>
      </c>
      <c r="P199" s="1">
        <v>0.86529999999999996</v>
      </c>
      <c r="Q199" s="1">
        <v>0.85680000000000001</v>
      </c>
      <c r="R199" s="1">
        <v>1.1192</v>
      </c>
      <c r="S199" s="1">
        <v>0.83689999999999998</v>
      </c>
      <c r="T199" s="1">
        <v>0.99160000000000004</v>
      </c>
      <c r="U199" s="1">
        <v>1.4339999999999999</v>
      </c>
      <c r="V199" s="1">
        <v>1.7902</v>
      </c>
    </row>
    <row r="200" spans="12:22" x14ac:dyDescent="0.25">
      <c r="L200" s="1">
        <v>59.8</v>
      </c>
      <c r="M200" s="1">
        <v>0.83555000000000001</v>
      </c>
      <c r="N200" s="1">
        <v>0.99029999999999996</v>
      </c>
      <c r="O200" s="1">
        <v>0.81559999999999999</v>
      </c>
      <c r="P200" s="1">
        <v>0.86399999999999999</v>
      </c>
      <c r="Q200" s="1">
        <v>0.85550000000000004</v>
      </c>
      <c r="R200" s="1">
        <v>1.1177999999999999</v>
      </c>
      <c r="S200" s="1">
        <v>0.83555000000000001</v>
      </c>
      <c r="T200" s="1">
        <v>0.99029999999999996</v>
      </c>
      <c r="U200" s="1">
        <v>1.4301999999999999</v>
      </c>
      <c r="V200" s="1">
        <v>1.7877999999999998</v>
      </c>
    </row>
    <row r="201" spans="12:22" x14ac:dyDescent="0.25">
      <c r="L201" s="1">
        <v>59.9</v>
      </c>
      <c r="M201" s="1">
        <v>0.84139999999999993</v>
      </c>
      <c r="N201" s="1">
        <v>0.9889</v>
      </c>
      <c r="O201" s="1">
        <v>0.8286</v>
      </c>
      <c r="P201" s="1">
        <v>0.86280000000000001</v>
      </c>
      <c r="Q201" s="1">
        <v>0.85419999999999996</v>
      </c>
      <c r="R201" s="1">
        <v>1.1163000000000001</v>
      </c>
      <c r="S201" s="1">
        <v>0.84139999999999993</v>
      </c>
      <c r="T201" s="1">
        <v>0.9889</v>
      </c>
      <c r="U201" s="1">
        <v>1.4266000000000001</v>
      </c>
      <c r="V201" s="1">
        <v>1.7853999999999999</v>
      </c>
    </row>
    <row r="202" spans="12:22" x14ac:dyDescent="0.25">
      <c r="L202" s="1">
        <v>60</v>
      </c>
      <c r="M202" s="1">
        <v>0.83284999999999998</v>
      </c>
      <c r="N202" s="1">
        <v>0.98760000000000003</v>
      </c>
      <c r="O202" s="1">
        <v>0.81279999999999997</v>
      </c>
      <c r="P202" s="1">
        <v>0.86150000000000004</v>
      </c>
      <c r="Q202" s="1">
        <v>0.85289999999999999</v>
      </c>
      <c r="R202" s="1">
        <v>1.1149</v>
      </c>
      <c r="S202" s="1">
        <v>0.83284999999999998</v>
      </c>
      <c r="T202" s="1">
        <v>0.98760000000000003</v>
      </c>
      <c r="U202" s="1">
        <v>1.423</v>
      </c>
      <c r="V202" s="1">
        <v>1.7829999999999999</v>
      </c>
    </row>
    <row r="203" spans="12:22" x14ac:dyDescent="0.25">
      <c r="L203" s="1">
        <v>60.1</v>
      </c>
      <c r="M203" s="1">
        <v>0.83150000000000002</v>
      </c>
      <c r="N203" s="1">
        <v>0.98624999999999996</v>
      </c>
      <c r="O203" s="1">
        <v>0.81140000000000001</v>
      </c>
      <c r="P203" s="1">
        <v>0.86029999999999995</v>
      </c>
      <c r="Q203" s="1">
        <v>0.85160000000000002</v>
      </c>
      <c r="R203" s="1">
        <v>1.1133999999999999</v>
      </c>
      <c r="S203" s="1">
        <v>0.83150000000000002</v>
      </c>
      <c r="T203" s="1">
        <v>0.98624999999999996</v>
      </c>
      <c r="U203" s="1">
        <v>1.4194</v>
      </c>
      <c r="V203" s="1">
        <v>1.7804</v>
      </c>
    </row>
    <row r="204" spans="12:22" x14ac:dyDescent="0.25">
      <c r="L204" s="1">
        <v>60.2</v>
      </c>
      <c r="M204" s="1">
        <v>0.83020000000000005</v>
      </c>
      <c r="N204" s="1">
        <v>0.98494999999999999</v>
      </c>
      <c r="O204" s="1">
        <v>0.81010000000000004</v>
      </c>
      <c r="P204" s="1">
        <v>0.85909999999999997</v>
      </c>
      <c r="Q204" s="1">
        <v>0.85029999999999994</v>
      </c>
      <c r="R204" s="1">
        <v>1.1120000000000001</v>
      </c>
      <c r="S204" s="1">
        <v>0.83020000000000005</v>
      </c>
      <c r="T204" s="1">
        <v>0.98494999999999999</v>
      </c>
      <c r="U204" s="1">
        <v>1.4157999999999999</v>
      </c>
      <c r="V204" s="1">
        <v>1.7778</v>
      </c>
    </row>
    <row r="205" spans="12:22" x14ac:dyDescent="0.25">
      <c r="L205" s="1">
        <v>60.3</v>
      </c>
      <c r="M205" s="1">
        <v>0.82884999999999998</v>
      </c>
      <c r="N205" s="1">
        <v>0.98370000000000002</v>
      </c>
      <c r="O205" s="1">
        <v>0.80869999999999997</v>
      </c>
      <c r="P205" s="1">
        <v>0.8579</v>
      </c>
      <c r="Q205" s="1">
        <v>0.84899999999999998</v>
      </c>
      <c r="R205" s="1">
        <v>1.1106</v>
      </c>
      <c r="S205" s="1">
        <v>0.82884999999999998</v>
      </c>
      <c r="T205" s="1">
        <v>0.98370000000000002</v>
      </c>
      <c r="U205" s="1">
        <v>1.4121999999999999</v>
      </c>
      <c r="V205" s="1">
        <v>1.7751999999999999</v>
      </c>
    </row>
    <row r="206" spans="12:22" x14ac:dyDescent="0.25">
      <c r="L206" s="1">
        <v>60.4</v>
      </c>
      <c r="M206" s="1">
        <v>0.82750000000000001</v>
      </c>
      <c r="N206" s="1">
        <v>0.98240000000000005</v>
      </c>
      <c r="O206" s="1">
        <v>0.80730000000000002</v>
      </c>
      <c r="P206" s="1">
        <v>0.85680000000000001</v>
      </c>
      <c r="Q206" s="1">
        <v>0.84770000000000001</v>
      </c>
      <c r="R206" s="1">
        <v>1.1092</v>
      </c>
      <c r="S206" s="1">
        <v>0.82750000000000001</v>
      </c>
      <c r="T206" s="1">
        <v>0.98240000000000005</v>
      </c>
      <c r="U206" s="1">
        <v>1.4086000000000001</v>
      </c>
      <c r="V206" s="1">
        <v>1.7726</v>
      </c>
    </row>
    <row r="207" spans="12:22" x14ac:dyDescent="0.25">
      <c r="L207" s="1">
        <v>60.5</v>
      </c>
      <c r="M207" s="1">
        <v>0.82625000000000004</v>
      </c>
      <c r="N207" s="1">
        <v>0.98109999999999997</v>
      </c>
      <c r="O207" s="1">
        <v>0.80600000000000005</v>
      </c>
      <c r="P207" s="1">
        <v>0.85560000000000003</v>
      </c>
      <c r="Q207" s="1">
        <v>0.84650000000000003</v>
      </c>
      <c r="R207" s="1">
        <v>1.1077999999999999</v>
      </c>
      <c r="S207" s="1">
        <v>0.82625000000000004</v>
      </c>
      <c r="T207" s="1">
        <v>0.98109999999999997</v>
      </c>
      <c r="U207" s="1">
        <v>1.405</v>
      </c>
      <c r="V207" s="1">
        <v>1.77</v>
      </c>
    </row>
    <row r="208" spans="12:22" x14ac:dyDescent="0.25">
      <c r="L208" s="1">
        <v>60.6</v>
      </c>
      <c r="M208" s="1">
        <v>0.82489999999999997</v>
      </c>
      <c r="N208" s="1">
        <v>0.97975000000000001</v>
      </c>
      <c r="O208" s="1">
        <v>0.80459999999999998</v>
      </c>
      <c r="P208" s="1">
        <v>0.85440000000000005</v>
      </c>
      <c r="Q208" s="1">
        <v>0.84519999999999995</v>
      </c>
      <c r="R208" s="1">
        <v>1.1063000000000001</v>
      </c>
      <c r="S208" s="1">
        <v>0.82489999999999997</v>
      </c>
      <c r="T208" s="1">
        <v>0.97975000000000001</v>
      </c>
      <c r="U208" s="1">
        <v>1.4021999999999999</v>
      </c>
      <c r="V208" s="1">
        <v>1.7674000000000001</v>
      </c>
    </row>
    <row r="209" spans="12:22" x14ac:dyDescent="0.25">
      <c r="L209" s="1">
        <v>60.7</v>
      </c>
      <c r="M209" s="1">
        <v>0.8236</v>
      </c>
      <c r="N209" s="1">
        <v>0.97845000000000004</v>
      </c>
      <c r="O209" s="1">
        <v>0.80330000000000001</v>
      </c>
      <c r="P209" s="1">
        <v>0.85319999999999996</v>
      </c>
      <c r="Q209" s="1">
        <v>0.84389999999999998</v>
      </c>
      <c r="R209" s="1">
        <v>1.1049</v>
      </c>
      <c r="S209" s="1">
        <v>0.8236</v>
      </c>
      <c r="T209" s="1">
        <v>0.97845000000000004</v>
      </c>
      <c r="U209" s="1">
        <v>1.3994</v>
      </c>
      <c r="V209" s="1">
        <v>1.7647999999999999</v>
      </c>
    </row>
    <row r="210" spans="12:22" x14ac:dyDescent="0.25">
      <c r="L210" s="1">
        <v>60.8</v>
      </c>
      <c r="M210" s="1">
        <v>0.82230000000000003</v>
      </c>
      <c r="N210" s="1">
        <v>0.97714999999999996</v>
      </c>
      <c r="O210" s="1">
        <v>0.80189999999999995</v>
      </c>
      <c r="P210" s="1">
        <v>0.85199999999999998</v>
      </c>
      <c r="Q210" s="1">
        <v>0.8427</v>
      </c>
      <c r="R210" s="1">
        <v>1.1034999999999999</v>
      </c>
      <c r="S210" s="1">
        <v>0.82230000000000003</v>
      </c>
      <c r="T210" s="1">
        <v>0.97714999999999996</v>
      </c>
      <c r="U210" s="1">
        <v>1.3965999999999998</v>
      </c>
      <c r="V210" s="1">
        <v>1.7622</v>
      </c>
    </row>
    <row r="211" spans="12:22" x14ac:dyDescent="0.25">
      <c r="L211" s="1">
        <v>60.9</v>
      </c>
      <c r="M211" s="1">
        <v>0.82784999999999997</v>
      </c>
      <c r="N211" s="1">
        <v>0.97589999999999999</v>
      </c>
      <c r="O211" s="1">
        <v>0.81420000000000003</v>
      </c>
      <c r="P211" s="1">
        <v>0.8508</v>
      </c>
      <c r="Q211" s="1">
        <v>0.84150000000000003</v>
      </c>
      <c r="R211" s="1">
        <v>1.1021000000000001</v>
      </c>
      <c r="S211" s="1">
        <v>0.82784999999999997</v>
      </c>
      <c r="T211" s="1">
        <v>0.97589999999999999</v>
      </c>
      <c r="U211" s="1">
        <v>1.3937999999999999</v>
      </c>
      <c r="V211" s="1">
        <v>1.7595999999999998</v>
      </c>
    </row>
    <row r="212" spans="12:22" x14ac:dyDescent="0.25">
      <c r="L212" s="1">
        <v>61</v>
      </c>
      <c r="M212" s="1">
        <v>0.81974999999999998</v>
      </c>
      <c r="N212" s="1">
        <v>0.97460000000000002</v>
      </c>
      <c r="O212" s="1">
        <v>0.79930000000000001</v>
      </c>
      <c r="P212" s="1">
        <v>0.84970000000000001</v>
      </c>
      <c r="Q212" s="1">
        <v>0.84019999999999995</v>
      </c>
      <c r="R212" s="1">
        <v>1.1007</v>
      </c>
      <c r="S212" s="1">
        <v>0.81974999999999998</v>
      </c>
      <c r="T212" s="1">
        <v>0.97460000000000002</v>
      </c>
      <c r="U212" s="1">
        <v>1.391</v>
      </c>
      <c r="V212" s="1">
        <v>1.7569999999999999</v>
      </c>
    </row>
    <row r="213" spans="12:22" x14ac:dyDescent="0.25">
      <c r="L213" s="1">
        <v>61.1</v>
      </c>
      <c r="M213" s="1">
        <v>0.81845000000000001</v>
      </c>
      <c r="N213" s="1">
        <v>0.97335000000000005</v>
      </c>
      <c r="O213" s="1">
        <v>0.79790000000000005</v>
      </c>
      <c r="P213" s="1">
        <v>0.84850000000000003</v>
      </c>
      <c r="Q213" s="1">
        <v>0.83899999999999997</v>
      </c>
      <c r="R213" s="1">
        <v>1.0993999999999999</v>
      </c>
      <c r="S213" s="1">
        <v>0.81845000000000001</v>
      </c>
      <c r="T213" s="1">
        <v>0.97335000000000005</v>
      </c>
      <c r="U213" s="1">
        <v>1.3881999999999999</v>
      </c>
      <c r="V213" s="1">
        <v>1.7545999999999999</v>
      </c>
    </row>
    <row r="214" spans="12:22" x14ac:dyDescent="0.25">
      <c r="L214" s="1">
        <v>61.2</v>
      </c>
      <c r="M214" s="1">
        <v>0.81719999999999993</v>
      </c>
      <c r="N214" s="1">
        <v>0.97209999999999996</v>
      </c>
      <c r="O214" s="1">
        <v>0.79659999999999997</v>
      </c>
      <c r="P214" s="1">
        <v>0.84730000000000005</v>
      </c>
      <c r="Q214" s="1">
        <v>0.83779999999999999</v>
      </c>
      <c r="R214" s="1">
        <v>1.0980000000000001</v>
      </c>
      <c r="S214" s="1">
        <v>0.81719999999999993</v>
      </c>
      <c r="T214" s="1">
        <v>0.97209999999999996</v>
      </c>
      <c r="U214" s="1">
        <v>1.3854</v>
      </c>
      <c r="V214" s="1">
        <v>1.7522</v>
      </c>
    </row>
    <row r="215" spans="12:22" x14ac:dyDescent="0.25">
      <c r="L215" s="1">
        <v>61.3</v>
      </c>
      <c r="M215" s="1">
        <v>0.81590000000000007</v>
      </c>
      <c r="N215" s="1">
        <v>0.9708</v>
      </c>
      <c r="O215" s="1">
        <v>0.79530000000000001</v>
      </c>
      <c r="P215" s="1">
        <v>0.84619999999999995</v>
      </c>
      <c r="Q215" s="1">
        <v>0.83650000000000002</v>
      </c>
      <c r="R215" s="1">
        <v>1.0966</v>
      </c>
      <c r="S215" s="1">
        <v>0.81590000000000007</v>
      </c>
      <c r="T215" s="1">
        <v>0.9708</v>
      </c>
      <c r="U215" s="1">
        <v>1.3825999999999998</v>
      </c>
      <c r="V215" s="1">
        <v>1.7498</v>
      </c>
    </row>
    <row r="216" spans="12:22" x14ac:dyDescent="0.25">
      <c r="L216" s="1">
        <v>61.4</v>
      </c>
      <c r="M216" s="1">
        <v>0.8146500000000001</v>
      </c>
      <c r="N216" s="1">
        <v>0.96950000000000003</v>
      </c>
      <c r="O216" s="1">
        <v>0.79400000000000004</v>
      </c>
      <c r="P216" s="1">
        <v>0.84499999999999997</v>
      </c>
      <c r="Q216" s="1">
        <v>0.83530000000000004</v>
      </c>
      <c r="R216" s="1">
        <v>1.0952</v>
      </c>
      <c r="S216" s="1">
        <v>0.8146500000000001</v>
      </c>
      <c r="T216" s="1">
        <v>0.96950000000000003</v>
      </c>
      <c r="U216" s="1">
        <v>1.3797999999999999</v>
      </c>
      <c r="V216" s="1">
        <v>1.7474000000000001</v>
      </c>
    </row>
    <row r="217" spans="12:22" x14ac:dyDescent="0.25">
      <c r="L217" s="1">
        <v>61.5</v>
      </c>
      <c r="M217" s="1">
        <v>0.8133999999999999</v>
      </c>
      <c r="N217" s="1">
        <v>0.96830000000000005</v>
      </c>
      <c r="O217" s="1">
        <v>0.79269999999999996</v>
      </c>
      <c r="P217" s="1">
        <v>0.84379999999999999</v>
      </c>
      <c r="Q217" s="1">
        <v>0.83409999999999995</v>
      </c>
      <c r="R217" s="1">
        <v>1.0939000000000001</v>
      </c>
      <c r="S217" s="1">
        <v>0.8133999999999999</v>
      </c>
      <c r="T217" s="1">
        <v>0.96830000000000005</v>
      </c>
      <c r="U217" s="1">
        <v>1.377</v>
      </c>
      <c r="V217" s="1">
        <v>1.7450000000000001</v>
      </c>
    </row>
    <row r="218" spans="12:22" x14ac:dyDescent="0.25">
      <c r="L218" s="1">
        <v>61.6</v>
      </c>
      <c r="M218" s="1">
        <v>0.81220000000000003</v>
      </c>
      <c r="N218" s="1">
        <v>0.96699999999999997</v>
      </c>
      <c r="O218" s="1">
        <v>0.79149999999999998</v>
      </c>
      <c r="P218" s="1">
        <v>0.8427</v>
      </c>
      <c r="Q218" s="1">
        <v>0.83289999999999997</v>
      </c>
      <c r="R218" s="1">
        <v>1.0925</v>
      </c>
      <c r="S218" s="1">
        <v>0.81220000000000003</v>
      </c>
      <c r="T218" s="1">
        <v>0.96699999999999997</v>
      </c>
      <c r="U218" s="1">
        <v>1.3746</v>
      </c>
      <c r="V218" s="1">
        <v>1.7430000000000001</v>
      </c>
    </row>
    <row r="219" spans="12:22" x14ac:dyDescent="0.25">
      <c r="L219" s="1">
        <v>61.7</v>
      </c>
      <c r="M219" s="1">
        <v>0.81095000000000006</v>
      </c>
      <c r="N219" s="1">
        <v>0.96575</v>
      </c>
      <c r="O219" s="1">
        <v>0.79020000000000001</v>
      </c>
      <c r="P219" s="1">
        <v>0.84150000000000003</v>
      </c>
      <c r="Q219" s="1">
        <v>0.83169999999999999</v>
      </c>
      <c r="R219" s="1">
        <v>1.0911</v>
      </c>
      <c r="S219" s="1">
        <v>0.81095000000000006</v>
      </c>
      <c r="T219" s="1">
        <v>0.96575</v>
      </c>
      <c r="U219" s="1">
        <v>1.3722000000000001</v>
      </c>
      <c r="V219" s="1">
        <v>1.7410000000000001</v>
      </c>
    </row>
    <row r="220" spans="12:22" x14ac:dyDescent="0.25">
      <c r="L220" s="1">
        <v>61.8</v>
      </c>
      <c r="M220" s="1">
        <v>0.80970000000000009</v>
      </c>
      <c r="N220" s="1">
        <v>0.96450000000000002</v>
      </c>
      <c r="O220" s="1">
        <v>0.78890000000000005</v>
      </c>
      <c r="P220" s="1">
        <v>0.84040000000000004</v>
      </c>
      <c r="Q220" s="1">
        <v>0.83050000000000002</v>
      </c>
      <c r="R220" s="1">
        <v>1.0898000000000001</v>
      </c>
      <c r="S220" s="1">
        <v>0.80970000000000009</v>
      </c>
      <c r="T220" s="1">
        <v>0.96450000000000002</v>
      </c>
      <c r="U220" s="1">
        <v>1.3695999999999999</v>
      </c>
      <c r="V220" s="1">
        <v>1.7390000000000001</v>
      </c>
    </row>
    <row r="221" spans="12:22" x14ac:dyDescent="0.25">
      <c r="L221" s="1">
        <v>61.9</v>
      </c>
      <c r="M221" s="1">
        <v>0.81495000000000006</v>
      </c>
      <c r="N221" s="1">
        <v>0.96325000000000005</v>
      </c>
      <c r="O221" s="1">
        <v>0.80059999999999998</v>
      </c>
      <c r="P221" s="1">
        <v>0.83919999999999995</v>
      </c>
      <c r="Q221" s="1">
        <v>0.82930000000000004</v>
      </c>
      <c r="R221" s="1">
        <v>1.0884</v>
      </c>
      <c r="S221" s="1">
        <v>0.81495000000000006</v>
      </c>
      <c r="T221" s="1">
        <v>0.96325000000000005</v>
      </c>
      <c r="U221" s="1">
        <v>1.3668</v>
      </c>
      <c r="V221" s="1">
        <v>1.7370000000000001</v>
      </c>
    </row>
    <row r="222" spans="12:22" x14ac:dyDescent="0.25">
      <c r="L222" s="1">
        <v>62</v>
      </c>
      <c r="M222" s="1">
        <v>0.80725000000000002</v>
      </c>
      <c r="N222" s="1">
        <v>0.96204999999999996</v>
      </c>
      <c r="O222" s="1">
        <v>0.78639999999999999</v>
      </c>
      <c r="P222" s="1">
        <v>0.83809999999999996</v>
      </c>
      <c r="Q222" s="1">
        <v>0.82809999999999995</v>
      </c>
      <c r="R222" s="1">
        <v>1.0871</v>
      </c>
      <c r="S222" s="1">
        <v>0.80725000000000002</v>
      </c>
      <c r="T222" s="1">
        <v>0.96204999999999996</v>
      </c>
      <c r="U222" s="1">
        <v>1.3640000000000001</v>
      </c>
      <c r="V222" s="1">
        <v>1.7350000000000001</v>
      </c>
    </row>
    <row r="223" spans="12:22" x14ac:dyDescent="0.25">
      <c r="L223" s="1">
        <v>62.1</v>
      </c>
      <c r="M223" s="1">
        <v>0.80604999999999993</v>
      </c>
      <c r="N223" s="1">
        <v>0.96079999999999999</v>
      </c>
      <c r="O223" s="1">
        <v>0.78510000000000002</v>
      </c>
      <c r="P223" s="1">
        <v>0.83699999999999997</v>
      </c>
      <c r="Q223" s="1">
        <v>0.82699999999999996</v>
      </c>
      <c r="R223" s="1">
        <v>1.0858000000000001</v>
      </c>
      <c r="S223" s="1">
        <v>0.80604999999999993</v>
      </c>
      <c r="T223" s="1">
        <v>0.96079999999999999</v>
      </c>
      <c r="U223" s="1">
        <v>1.3612</v>
      </c>
      <c r="V223" s="1">
        <v>1.7330000000000001</v>
      </c>
    </row>
    <row r="224" spans="12:22" x14ac:dyDescent="0.25">
      <c r="L224" s="1">
        <v>62.2</v>
      </c>
      <c r="M224" s="1">
        <v>0.80485000000000007</v>
      </c>
      <c r="N224" s="1">
        <v>0.95955000000000001</v>
      </c>
      <c r="O224" s="1">
        <v>0.78390000000000004</v>
      </c>
      <c r="P224" s="1">
        <v>0.83579999999999999</v>
      </c>
      <c r="Q224" s="1">
        <v>0.82579999999999998</v>
      </c>
      <c r="R224" s="1">
        <v>1.0844</v>
      </c>
      <c r="S224" s="1">
        <v>0.80485000000000007</v>
      </c>
      <c r="T224" s="1">
        <v>0.95955000000000001</v>
      </c>
      <c r="U224" s="1">
        <v>1.3584000000000001</v>
      </c>
      <c r="V224" s="1">
        <v>1.7310000000000001</v>
      </c>
    </row>
    <row r="225" spans="12:22" x14ac:dyDescent="0.25">
      <c r="L225" s="1">
        <v>62.3</v>
      </c>
      <c r="M225" s="1">
        <v>0.80359999999999998</v>
      </c>
      <c r="N225" s="1">
        <v>0.95835000000000004</v>
      </c>
      <c r="O225" s="1">
        <v>0.78259999999999996</v>
      </c>
      <c r="P225" s="1">
        <v>0.8347</v>
      </c>
      <c r="Q225" s="1">
        <v>0.8246</v>
      </c>
      <c r="R225" s="1">
        <v>1.0831</v>
      </c>
      <c r="S225" s="1">
        <v>0.80359999999999998</v>
      </c>
      <c r="T225" s="1">
        <v>0.95835000000000004</v>
      </c>
      <c r="U225" s="1">
        <v>1.3555999999999999</v>
      </c>
      <c r="V225" s="1">
        <v>1.7290000000000001</v>
      </c>
    </row>
    <row r="226" spans="12:22" x14ac:dyDescent="0.25">
      <c r="L226" s="1">
        <v>62.4</v>
      </c>
      <c r="M226" s="1">
        <v>0.80245</v>
      </c>
      <c r="N226" s="1">
        <v>0.95709999999999995</v>
      </c>
      <c r="O226" s="1">
        <v>0.78139999999999998</v>
      </c>
      <c r="P226" s="1">
        <v>0.83360000000000001</v>
      </c>
      <c r="Q226" s="1">
        <v>0.82350000000000001</v>
      </c>
      <c r="R226" s="1">
        <v>1.0818000000000001</v>
      </c>
      <c r="S226" s="1">
        <v>0.80245</v>
      </c>
      <c r="T226" s="1">
        <v>0.95709999999999995</v>
      </c>
      <c r="U226" s="1">
        <v>1.3528</v>
      </c>
      <c r="V226" s="1">
        <v>1.7270000000000001</v>
      </c>
    </row>
    <row r="227" spans="12:22" x14ac:dyDescent="0.25">
      <c r="L227" s="1">
        <v>62.5</v>
      </c>
      <c r="M227" s="1">
        <v>0.80125000000000002</v>
      </c>
      <c r="N227" s="1">
        <v>0.95589999999999997</v>
      </c>
      <c r="O227" s="1">
        <v>0.7802</v>
      </c>
      <c r="P227" s="1">
        <v>0.83240000000000003</v>
      </c>
      <c r="Q227" s="1">
        <v>0.82230000000000003</v>
      </c>
      <c r="R227" s="1">
        <v>1.0805</v>
      </c>
      <c r="S227" s="1">
        <v>0.80125000000000002</v>
      </c>
      <c r="T227" s="1">
        <v>0.95589999999999997</v>
      </c>
      <c r="U227" s="1">
        <v>1.35</v>
      </c>
      <c r="V227" s="1">
        <v>1.7250000000000001</v>
      </c>
    </row>
    <row r="228" spans="12:22" x14ac:dyDescent="0.25">
      <c r="L228" s="1">
        <v>62.6</v>
      </c>
      <c r="M228" s="1">
        <v>0.80005000000000004</v>
      </c>
      <c r="N228" s="1">
        <v>0.95469999999999999</v>
      </c>
      <c r="O228" s="1">
        <v>0.77890000000000004</v>
      </c>
      <c r="P228" s="1">
        <v>0.83130000000000004</v>
      </c>
      <c r="Q228" s="1">
        <v>0.82120000000000004</v>
      </c>
      <c r="R228" s="1">
        <v>1.0791999999999999</v>
      </c>
      <c r="S228" s="1">
        <v>0.80005000000000004</v>
      </c>
      <c r="T228" s="1">
        <v>0.95469999999999999</v>
      </c>
      <c r="U228" s="1">
        <v>1.3472</v>
      </c>
      <c r="V228" s="1">
        <v>1.7230000000000001</v>
      </c>
    </row>
    <row r="229" spans="12:22" x14ac:dyDescent="0.25">
      <c r="L229" s="1">
        <v>62.7</v>
      </c>
      <c r="M229" s="1">
        <v>0.79884999999999995</v>
      </c>
      <c r="N229" s="1">
        <v>0.95350000000000001</v>
      </c>
      <c r="O229" s="1">
        <v>0.77769999999999995</v>
      </c>
      <c r="P229" s="1">
        <v>0.83020000000000005</v>
      </c>
      <c r="Q229" s="1">
        <v>0.82</v>
      </c>
      <c r="R229" s="1">
        <v>1.0779000000000001</v>
      </c>
      <c r="S229" s="1">
        <v>0.79884999999999995</v>
      </c>
      <c r="T229" s="1">
        <v>0.95350000000000001</v>
      </c>
      <c r="U229" s="1">
        <v>1.3444</v>
      </c>
      <c r="V229" s="1">
        <v>1.7210000000000001</v>
      </c>
    </row>
    <row r="230" spans="12:22" x14ac:dyDescent="0.25">
      <c r="L230" s="1">
        <v>62.8</v>
      </c>
      <c r="M230" s="1">
        <v>0.79769999999999996</v>
      </c>
      <c r="N230" s="1">
        <v>0.95225000000000004</v>
      </c>
      <c r="O230" s="1">
        <v>0.77649999999999997</v>
      </c>
      <c r="P230" s="1">
        <v>0.82909999999999995</v>
      </c>
      <c r="Q230" s="1">
        <v>0.81889999999999996</v>
      </c>
      <c r="R230" s="1">
        <v>1.0765</v>
      </c>
      <c r="S230" s="1">
        <v>0.79769999999999996</v>
      </c>
      <c r="T230" s="1">
        <v>0.95225000000000004</v>
      </c>
      <c r="U230" s="1">
        <v>1.3415999999999999</v>
      </c>
      <c r="V230" s="1">
        <v>1.7190000000000001</v>
      </c>
    </row>
    <row r="231" spans="12:22" x14ac:dyDescent="0.25">
      <c r="L231" s="1">
        <v>62.9</v>
      </c>
      <c r="M231" s="1">
        <v>0.80269999999999997</v>
      </c>
      <c r="N231" s="1">
        <v>0.95109999999999995</v>
      </c>
      <c r="O231" s="1">
        <v>0.78759999999999997</v>
      </c>
      <c r="P231" s="1">
        <v>0.82799999999999996</v>
      </c>
      <c r="Q231" s="1">
        <v>0.81779999999999997</v>
      </c>
      <c r="R231" s="1">
        <v>1.0752999999999999</v>
      </c>
      <c r="S231" s="1">
        <v>0.80269999999999997</v>
      </c>
      <c r="T231" s="1">
        <v>0.95109999999999995</v>
      </c>
      <c r="U231" s="1">
        <v>1.3388</v>
      </c>
      <c r="V231" s="1">
        <v>1.7170000000000001</v>
      </c>
    </row>
    <row r="232" spans="12:22" x14ac:dyDescent="0.25">
      <c r="L232" s="1">
        <v>63</v>
      </c>
      <c r="M232" s="1">
        <v>0.79535</v>
      </c>
      <c r="N232" s="1">
        <v>0.94984999999999997</v>
      </c>
      <c r="O232" s="1">
        <v>0.77410000000000001</v>
      </c>
      <c r="P232" s="1">
        <v>0.82689999999999997</v>
      </c>
      <c r="Q232" s="1">
        <v>0.81659999999999999</v>
      </c>
      <c r="R232" s="1">
        <v>1.0740000000000001</v>
      </c>
      <c r="S232" s="1">
        <v>0.79535</v>
      </c>
      <c r="T232" s="1">
        <v>0.94984999999999997</v>
      </c>
      <c r="U232" s="1">
        <v>1.3360000000000001</v>
      </c>
      <c r="V232" s="1">
        <v>1.7150000000000001</v>
      </c>
    </row>
    <row r="233" spans="12:22" x14ac:dyDescent="0.25">
      <c r="L233" s="1">
        <v>63.1</v>
      </c>
      <c r="M233" s="1">
        <v>0.79420000000000002</v>
      </c>
      <c r="N233" s="1">
        <v>0.94864999999999999</v>
      </c>
      <c r="O233" s="1">
        <v>0.77290000000000003</v>
      </c>
      <c r="P233" s="1">
        <v>0.82569999999999999</v>
      </c>
      <c r="Q233" s="1">
        <v>0.8155</v>
      </c>
      <c r="R233" s="1">
        <v>1.0727</v>
      </c>
      <c r="S233" s="1">
        <v>0.79420000000000002</v>
      </c>
      <c r="T233" s="1">
        <v>0.94864999999999999</v>
      </c>
      <c r="U233" s="1">
        <v>1.3331999999999999</v>
      </c>
      <c r="V233" s="1">
        <v>1.7134</v>
      </c>
    </row>
    <row r="234" spans="12:22" x14ac:dyDescent="0.25">
      <c r="L234" s="1">
        <v>63.2</v>
      </c>
      <c r="M234" s="1">
        <v>0.79305000000000003</v>
      </c>
      <c r="N234" s="1">
        <v>0.94745000000000001</v>
      </c>
      <c r="O234" s="1">
        <v>0.77170000000000005</v>
      </c>
      <c r="P234" s="1">
        <v>0.8246</v>
      </c>
      <c r="Q234" s="1">
        <v>0.81440000000000001</v>
      </c>
      <c r="R234" s="1">
        <v>1.0713999999999999</v>
      </c>
      <c r="S234" s="1">
        <v>0.79305000000000003</v>
      </c>
      <c r="T234" s="1">
        <v>0.94745000000000001</v>
      </c>
      <c r="U234" s="1">
        <v>1.3304</v>
      </c>
      <c r="V234" s="1">
        <v>1.7118</v>
      </c>
    </row>
    <row r="235" spans="12:22" x14ac:dyDescent="0.25">
      <c r="L235" s="1">
        <v>63.3</v>
      </c>
      <c r="M235" s="1">
        <v>0.79194999999999993</v>
      </c>
      <c r="N235" s="1">
        <v>0.94625000000000004</v>
      </c>
      <c r="O235" s="1">
        <v>0.77059999999999995</v>
      </c>
      <c r="P235" s="1">
        <v>0.82350000000000001</v>
      </c>
      <c r="Q235" s="1">
        <v>0.81330000000000002</v>
      </c>
      <c r="R235" s="1">
        <v>1.0701000000000001</v>
      </c>
      <c r="S235" s="1">
        <v>0.79194999999999993</v>
      </c>
      <c r="T235" s="1">
        <v>0.94625000000000004</v>
      </c>
      <c r="U235" s="1">
        <v>1.3275999999999999</v>
      </c>
      <c r="V235" s="1">
        <v>1.7102000000000002</v>
      </c>
    </row>
    <row r="236" spans="12:22" x14ac:dyDescent="0.25">
      <c r="L236" s="1">
        <v>63.4</v>
      </c>
      <c r="M236" s="1">
        <v>0.79079999999999995</v>
      </c>
      <c r="N236" s="1">
        <v>0.94504999999999995</v>
      </c>
      <c r="O236" s="1">
        <v>0.76939999999999997</v>
      </c>
      <c r="P236" s="1">
        <v>0.82240000000000002</v>
      </c>
      <c r="Q236" s="1">
        <v>0.81220000000000003</v>
      </c>
      <c r="R236" s="1">
        <v>1.0688</v>
      </c>
      <c r="S236" s="1">
        <v>0.79079999999999995</v>
      </c>
      <c r="T236" s="1">
        <v>0.94504999999999995</v>
      </c>
      <c r="U236" s="1">
        <v>1.3248</v>
      </c>
      <c r="V236" s="1">
        <v>1.7086000000000001</v>
      </c>
    </row>
    <row r="237" spans="12:22" x14ac:dyDescent="0.25">
      <c r="L237" s="1">
        <v>63.5</v>
      </c>
      <c r="M237" s="1">
        <v>0.78964999999999996</v>
      </c>
      <c r="N237" s="1">
        <v>0.94389999999999996</v>
      </c>
      <c r="O237" s="1">
        <v>0.76819999999999999</v>
      </c>
      <c r="P237" s="1">
        <v>0.82130000000000003</v>
      </c>
      <c r="Q237" s="1">
        <v>0.81110000000000004</v>
      </c>
      <c r="R237" s="1">
        <v>1.0676000000000001</v>
      </c>
      <c r="S237" s="1">
        <v>0.78964999999999996</v>
      </c>
      <c r="T237" s="1">
        <v>0.94389999999999996</v>
      </c>
      <c r="U237" s="1">
        <v>1.3220000000000001</v>
      </c>
      <c r="V237" s="1">
        <v>1.7070000000000001</v>
      </c>
    </row>
    <row r="238" spans="12:22" x14ac:dyDescent="0.25">
      <c r="L238" s="1">
        <v>63.6</v>
      </c>
      <c r="M238" s="1">
        <v>0.78855000000000008</v>
      </c>
      <c r="N238" s="1">
        <v>0.94274999999999998</v>
      </c>
      <c r="O238" s="1">
        <v>0.7671</v>
      </c>
      <c r="P238" s="1">
        <v>0.82020000000000004</v>
      </c>
      <c r="Q238" s="1">
        <v>0.81</v>
      </c>
      <c r="R238" s="1">
        <v>1.0663</v>
      </c>
      <c r="S238" s="1">
        <v>0.78855000000000008</v>
      </c>
      <c r="T238" s="1">
        <v>0.94274999999999998</v>
      </c>
      <c r="U238" s="1">
        <v>1.32</v>
      </c>
      <c r="V238" s="1">
        <v>1.7052</v>
      </c>
    </row>
    <row r="239" spans="12:22" x14ac:dyDescent="0.25">
      <c r="L239" s="1">
        <v>63.7</v>
      </c>
      <c r="M239" s="1">
        <v>0.78739999999999999</v>
      </c>
      <c r="N239" s="1">
        <v>0.94155</v>
      </c>
      <c r="O239" s="1">
        <v>0.76590000000000003</v>
      </c>
      <c r="P239" s="1">
        <v>0.81920000000000004</v>
      </c>
      <c r="Q239" s="1">
        <v>0.80889999999999995</v>
      </c>
      <c r="R239" s="1">
        <v>1.0649999999999999</v>
      </c>
      <c r="S239" s="1">
        <v>0.78739999999999999</v>
      </c>
      <c r="T239" s="1">
        <v>0.94155</v>
      </c>
      <c r="U239" s="1">
        <v>1.3180000000000001</v>
      </c>
      <c r="V239" s="1">
        <v>1.7034</v>
      </c>
    </row>
    <row r="240" spans="12:22" x14ac:dyDescent="0.25">
      <c r="L240" s="1">
        <v>63.8</v>
      </c>
      <c r="M240" s="1">
        <v>0.78625</v>
      </c>
      <c r="N240" s="1">
        <v>0.94040000000000001</v>
      </c>
      <c r="O240" s="1">
        <v>0.76470000000000005</v>
      </c>
      <c r="P240" s="1">
        <v>0.81810000000000005</v>
      </c>
      <c r="Q240" s="1">
        <v>0.80779999999999996</v>
      </c>
      <c r="R240" s="1">
        <v>1.0638000000000001</v>
      </c>
      <c r="S240" s="1">
        <v>0.78625</v>
      </c>
      <c r="T240" s="1">
        <v>0.94040000000000001</v>
      </c>
      <c r="U240" s="1">
        <v>1.3157999999999999</v>
      </c>
      <c r="V240" s="1">
        <v>1.7016</v>
      </c>
    </row>
    <row r="241" spans="12:22" x14ac:dyDescent="0.25">
      <c r="L241" s="1">
        <v>63.9</v>
      </c>
      <c r="M241" s="1">
        <v>0.79099999999999993</v>
      </c>
      <c r="N241" s="1">
        <v>0.93920000000000003</v>
      </c>
      <c r="O241" s="1">
        <v>0.77529999999999999</v>
      </c>
      <c r="P241" s="1">
        <v>0.81699999999999995</v>
      </c>
      <c r="Q241" s="1">
        <v>0.80669999999999997</v>
      </c>
      <c r="R241" s="1">
        <v>1.0625</v>
      </c>
      <c r="S241" s="1">
        <v>0.79099999999999993</v>
      </c>
      <c r="T241" s="1">
        <v>0.93920000000000003</v>
      </c>
      <c r="U241" s="1">
        <v>1.3133999999999999</v>
      </c>
      <c r="V241" s="1">
        <v>1.6998</v>
      </c>
    </row>
    <row r="242" spans="12:22" x14ac:dyDescent="0.25">
      <c r="L242" s="1">
        <v>64</v>
      </c>
      <c r="M242" s="1">
        <v>0.78410000000000002</v>
      </c>
      <c r="N242" s="1">
        <v>0.93805000000000005</v>
      </c>
      <c r="O242" s="1">
        <v>0.76249999999999996</v>
      </c>
      <c r="P242" s="1">
        <v>0.81589999999999996</v>
      </c>
      <c r="Q242" s="1">
        <v>0.80569999999999997</v>
      </c>
      <c r="R242" s="1">
        <v>1.0612999999999999</v>
      </c>
      <c r="S242" s="1">
        <v>0.78410000000000002</v>
      </c>
      <c r="T242" s="1">
        <v>0.93805000000000005</v>
      </c>
      <c r="U242" s="1">
        <v>1.3109999999999999</v>
      </c>
      <c r="V242" s="1">
        <v>1.698</v>
      </c>
    </row>
    <row r="243" spans="12:22" x14ac:dyDescent="0.25">
      <c r="L243" s="1">
        <v>64.099999999999994</v>
      </c>
      <c r="M243" s="1">
        <v>0.78295000000000003</v>
      </c>
      <c r="N243" s="1">
        <v>0.93735000000000002</v>
      </c>
      <c r="O243" s="1">
        <v>0.76129999999999998</v>
      </c>
      <c r="P243" s="1">
        <v>0.81479999999999997</v>
      </c>
      <c r="Q243" s="1">
        <v>0.80459999999999998</v>
      </c>
      <c r="R243" s="1">
        <v>1.0601</v>
      </c>
      <c r="S243" s="1">
        <v>0.78295000000000003</v>
      </c>
      <c r="T243" s="1">
        <v>0.93735000000000002</v>
      </c>
      <c r="U243" s="1">
        <v>1.3089999999999999</v>
      </c>
      <c r="V243" s="1">
        <v>1.6963999999999999</v>
      </c>
    </row>
    <row r="244" spans="12:22" x14ac:dyDescent="0.25">
      <c r="L244" s="1">
        <v>64.2</v>
      </c>
      <c r="M244" s="1">
        <v>0.78184999999999993</v>
      </c>
      <c r="N244" s="1">
        <v>0.93574999999999997</v>
      </c>
      <c r="O244" s="1">
        <v>0.76019999999999999</v>
      </c>
      <c r="P244" s="1">
        <v>0.81369999999999998</v>
      </c>
      <c r="Q244" s="1">
        <v>0.80349999999999999</v>
      </c>
      <c r="R244" s="1">
        <v>1.0588</v>
      </c>
      <c r="S244" s="1">
        <v>0.78184999999999993</v>
      </c>
      <c r="T244" s="1">
        <v>0.93574999999999997</v>
      </c>
      <c r="U244" s="1">
        <v>1.3069999999999999</v>
      </c>
      <c r="V244" s="1">
        <v>1.6947999999999999</v>
      </c>
    </row>
    <row r="245" spans="12:22" x14ac:dyDescent="0.25">
      <c r="L245" s="1">
        <v>64.3</v>
      </c>
      <c r="M245" s="1">
        <v>0.78079999999999994</v>
      </c>
      <c r="N245" s="1">
        <v>0.93459999999999999</v>
      </c>
      <c r="O245" s="1">
        <v>0.7591</v>
      </c>
      <c r="P245" s="1">
        <v>0.81269999999999998</v>
      </c>
      <c r="Q245" s="1">
        <v>0.80249999999999999</v>
      </c>
      <c r="R245" s="1">
        <v>1.0576000000000001</v>
      </c>
      <c r="S245" s="1">
        <v>0.78079999999999994</v>
      </c>
      <c r="T245" s="1">
        <v>0.93459999999999999</v>
      </c>
      <c r="U245" s="1">
        <v>1.3048</v>
      </c>
      <c r="V245" s="1">
        <v>1.6932</v>
      </c>
    </row>
    <row r="246" spans="12:22" x14ac:dyDescent="0.25">
      <c r="L246" s="1">
        <v>64.400000000000006</v>
      </c>
      <c r="M246" s="1">
        <v>0.77970000000000006</v>
      </c>
      <c r="N246" s="1">
        <v>0.93345</v>
      </c>
      <c r="O246" s="1">
        <v>0.75800000000000001</v>
      </c>
      <c r="P246" s="1">
        <v>0.81159999999999999</v>
      </c>
      <c r="Q246" s="1">
        <v>0.8014</v>
      </c>
      <c r="R246" s="1">
        <v>1.0564</v>
      </c>
      <c r="S246" s="1">
        <v>0.77970000000000006</v>
      </c>
      <c r="T246" s="1">
        <v>0.93345</v>
      </c>
      <c r="U246" s="1">
        <v>1.3024</v>
      </c>
      <c r="V246" s="1">
        <v>1.6916</v>
      </c>
    </row>
    <row r="247" spans="12:22" x14ac:dyDescent="0.25">
      <c r="L247" s="1">
        <v>64.5</v>
      </c>
      <c r="M247" s="1">
        <v>0.7792</v>
      </c>
      <c r="N247" s="1">
        <v>0.93230000000000002</v>
      </c>
      <c r="O247" s="1">
        <v>0.75800000000000001</v>
      </c>
      <c r="P247" s="1">
        <v>0.8105</v>
      </c>
      <c r="Q247" s="1">
        <v>0.8004</v>
      </c>
      <c r="R247" s="1">
        <v>1.0550999999999999</v>
      </c>
      <c r="S247" s="1">
        <v>0.7792</v>
      </c>
      <c r="T247" s="1">
        <v>0.93230000000000002</v>
      </c>
      <c r="U247" s="1">
        <v>1.3</v>
      </c>
      <c r="V247" s="1">
        <v>1.69</v>
      </c>
    </row>
    <row r="248" spans="12:22" x14ac:dyDescent="0.25">
      <c r="L248" s="1">
        <v>64.599999999999994</v>
      </c>
      <c r="M248" s="1">
        <v>0.77749999999999997</v>
      </c>
      <c r="N248" s="1">
        <v>0.93115000000000003</v>
      </c>
      <c r="O248" s="1">
        <v>0.75570000000000004</v>
      </c>
      <c r="P248" s="1">
        <v>0.8095</v>
      </c>
      <c r="Q248" s="1">
        <v>0.79930000000000001</v>
      </c>
      <c r="R248" s="1">
        <v>1.0539000000000001</v>
      </c>
      <c r="S248" s="1">
        <v>0.77749999999999997</v>
      </c>
      <c r="T248" s="1">
        <v>0.93115000000000003</v>
      </c>
      <c r="U248" s="1">
        <v>1.298</v>
      </c>
      <c r="V248" s="1">
        <v>1.6881999999999999</v>
      </c>
    </row>
    <row r="249" spans="12:22" x14ac:dyDescent="0.25">
      <c r="L249" s="1">
        <v>64.7</v>
      </c>
      <c r="M249" s="1">
        <v>0.77645000000000008</v>
      </c>
      <c r="N249" s="1">
        <v>0.93</v>
      </c>
      <c r="O249" s="1">
        <v>0.75460000000000005</v>
      </c>
      <c r="P249" s="1">
        <v>0.80840000000000001</v>
      </c>
      <c r="Q249" s="1">
        <v>0.79830000000000001</v>
      </c>
      <c r="R249" s="1">
        <v>1.0527</v>
      </c>
      <c r="S249" s="1">
        <v>0.77645000000000008</v>
      </c>
      <c r="T249" s="1">
        <v>0.93</v>
      </c>
      <c r="U249" s="1">
        <v>1.296</v>
      </c>
      <c r="V249" s="1">
        <v>1.6863999999999999</v>
      </c>
    </row>
    <row r="250" spans="12:22" x14ac:dyDescent="0.25">
      <c r="L250" s="1">
        <v>64.8</v>
      </c>
      <c r="M250" s="1">
        <v>0.77539999999999998</v>
      </c>
      <c r="N250" s="1">
        <v>0.92889999999999995</v>
      </c>
      <c r="O250" s="1">
        <v>0.75349999999999995</v>
      </c>
      <c r="P250" s="1">
        <v>0.80730000000000002</v>
      </c>
      <c r="Q250" s="1">
        <v>0.79730000000000001</v>
      </c>
      <c r="R250" s="1">
        <v>1.0515000000000001</v>
      </c>
      <c r="S250" s="1">
        <v>0.77539999999999998</v>
      </c>
      <c r="T250" s="1">
        <v>0.92889999999999995</v>
      </c>
      <c r="U250" s="1">
        <v>1.294</v>
      </c>
      <c r="V250" s="1">
        <v>1.6846000000000001</v>
      </c>
    </row>
    <row r="251" spans="12:22" x14ac:dyDescent="0.25">
      <c r="L251" s="1">
        <v>64.900000000000006</v>
      </c>
      <c r="M251" s="1">
        <v>0.77990000000000004</v>
      </c>
      <c r="N251" s="1">
        <v>0.92774999999999996</v>
      </c>
      <c r="O251" s="1">
        <v>0.76359999999999995</v>
      </c>
      <c r="P251" s="1">
        <v>0.80630000000000002</v>
      </c>
      <c r="Q251" s="1">
        <v>0.79620000000000002</v>
      </c>
      <c r="R251" s="1">
        <v>1.0503</v>
      </c>
      <c r="S251" s="1">
        <v>0.77990000000000004</v>
      </c>
      <c r="T251" s="1">
        <v>0.92774999999999996</v>
      </c>
      <c r="U251" s="1">
        <v>1.292</v>
      </c>
      <c r="V251" s="1">
        <v>1.6828000000000001</v>
      </c>
    </row>
    <row r="252" spans="12:22" x14ac:dyDescent="0.25">
      <c r="L252" s="1">
        <v>65</v>
      </c>
      <c r="M252" s="1">
        <v>0.77329999999999999</v>
      </c>
      <c r="N252" s="1">
        <v>0.92664999999999997</v>
      </c>
      <c r="O252" s="1">
        <v>0.75139999999999996</v>
      </c>
      <c r="P252" s="1">
        <v>0.80520000000000003</v>
      </c>
      <c r="Q252" s="1">
        <v>0.79520000000000002</v>
      </c>
      <c r="R252" s="1">
        <v>1.0490999999999999</v>
      </c>
      <c r="S252" s="1">
        <v>0.77329999999999999</v>
      </c>
      <c r="T252" s="1">
        <v>0.92664999999999997</v>
      </c>
      <c r="U252" s="1">
        <v>1.29</v>
      </c>
      <c r="V252" s="1">
        <v>1.681</v>
      </c>
    </row>
    <row r="253" spans="12:22" x14ac:dyDescent="0.25">
      <c r="L253" s="1">
        <v>65.099999999999994</v>
      </c>
      <c r="M253" s="1">
        <v>0.77224999999999999</v>
      </c>
      <c r="N253" s="1">
        <v>0.92549999999999999</v>
      </c>
      <c r="O253" s="1">
        <v>0.75029999999999997</v>
      </c>
      <c r="P253" s="1">
        <v>0.80420000000000003</v>
      </c>
      <c r="Q253" s="1">
        <v>0.79420000000000002</v>
      </c>
      <c r="R253" s="1">
        <v>1.0479000000000001</v>
      </c>
      <c r="S253" s="1">
        <v>0.77224999999999999</v>
      </c>
      <c r="T253" s="1">
        <v>0.92549999999999999</v>
      </c>
      <c r="U253" s="1">
        <v>1.2876000000000001</v>
      </c>
      <c r="V253" s="1">
        <v>1.6792</v>
      </c>
    </row>
    <row r="254" spans="12:22" x14ac:dyDescent="0.25">
      <c r="L254" s="1">
        <v>65.2</v>
      </c>
      <c r="M254" s="1">
        <v>0.7712</v>
      </c>
      <c r="N254" s="1">
        <v>0.9244</v>
      </c>
      <c r="O254" s="1">
        <v>0.74919999999999998</v>
      </c>
      <c r="P254" s="1">
        <v>0.80310000000000004</v>
      </c>
      <c r="Q254" s="1">
        <v>0.79320000000000002</v>
      </c>
      <c r="R254" s="1">
        <v>1.0467</v>
      </c>
      <c r="S254" s="1">
        <v>0.7712</v>
      </c>
      <c r="T254" s="1">
        <v>0.9244</v>
      </c>
      <c r="U254" s="1">
        <v>1.2852000000000001</v>
      </c>
      <c r="V254" s="1">
        <v>1.6774</v>
      </c>
    </row>
    <row r="255" spans="12:22" x14ac:dyDescent="0.25">
      <c r="L255" s="1">
        <v>65.3</v>
      </c>
      <c r="M255" s="1">
        <v>0.77015</v>
      </c>
      <c r="N255" s="1">
        <v>0.92325000000000002</v>
      </c>
      <c r="O255" s="1">
        <v>0.74809999999999999</v>
      </c>
      <c r="P255" s="1">
        <v>0.80210000000000004</v>
      </c>
      <c r="Q255" s="1">
        <v>0.79220000000000002</v>
      </c>
      <c r="R255" s="1">
        <v>1.0455000000000001</v>
      </c>
      <c r="S255" s="1">
        <v>0.77015</v>
      </c>
      <c r="T255" s="1">
        <v>0.92325000000000002</v>
      </c>
      <c r="U255" s="1">
        <v>1.2829999999999999</v>
      </c>
      <c r="V255" s="1">
        <v>1.6756</v>
      </c>
    </row>
    <row r="256" spans="12:22" x14ac:dyDescent="0.25">
      <c r="L256" s="1">
        <v>65.400000000000006</v>
      </c>
      <c r="M256" s="1">
        <v>0.76910000000000001</v>
      </c>
      <c r="N256" s="1">
        <v>0.92220000000000002</v>
      </c>
      <c r="O256" s="1">
        <v>0.74709999999999999</v>
      </c>
      <c r="P256" s="1">
        <v>0.80100000000000005</v>
      </c>
      <c r="Q256" s="1">
        <v>0.79110000000000003</v>
      </c>
      <c r="R256" s="1">
        <v>1.0444</v>
      </c>
      <c r="S256" s="1">
        <v>0.76910000000000001</v>
      </c>
      <c r="T256" s="1">
        <v>0.92220000000000002</v>
      </c>
      <c r="U256" s="1">
        <v>1.2809999999999999</v>
      </c>
      <c r="V256" s="1">
        <v>1.6738</v>
      </c>
    </row>
    <row r="257" spans="12:22" x14ac:dyDescent="0.25">
      <c r="L257" s="1">
        <v>65.5</v>
      </c>
      <c r="M257" s="1">
        <v>0.76805000000000001</v>
      </c>
      <c r="N257" s="1">
        <v>0.92110000000000003</v>
      </c>
      <c r="O257" s="1">
        <v>0.746</v>
      </c>
      <c r="P257" s="1">
        <v>0.8</v>
      </c>
      <c r="Q257" s="1">
        <v>0.79010000000000002</v>
      </c>
      <c r="R257" s="1">
        <v>1.0431999999999999</v>
      </c>
      <c r="S257" s="1">
        <v>0.76805000000000001</v>
      </c>
      <c r="T257" s="1">
        <v>0.92110000000000003</v>
      </c>
      <c r="U257" s="1">
        <v>1.2789999999999999</v>
      </c>
      <c r="V257" s="1">
        <v>1.6719999999999999</v>
      </c>
    </row>
    <row r="258" spans="12:22" x14ac:dyDescent="0.25">
      <c r="L258" s="1">
        <v>65.599999999999994</v>
      </c>
      <c r="M258" s="1">
        <v>0.76705000000000001</v>
      </c>
      <c r="N258" s="1">
        <v>0.91995000000000005</v>
      </c>
      <c r="O258" s="1">
        <v>0.745</v>
      </c>
      <c r="P258" s="1">
        <v>0.79900000000000004</v>
      </c>
      <c r="Q258" s="1">
        <v>0.78910000000000002</v>
      </c>
      <c r="R258" s="1">
        <v>1.042</v>
      </c>
      <c r="S258" s="1">
        <v>0.76705000000000001</v>
      </c>
      <c r="T258" s="1">
        <v>0.91995000000000005</v>
      </c>
      <c r="U258" s="1">
        <v>1.2766</v>
      </c>
      <c r="V258" s="1">
        <v>1.6703999999999999</v>
      </c>
    </row>
    <row r="259" spans="12:22" x14ac:dyDescent="0.25">
      <c r="L259" s="1">
        <v>65.7</v>
      </c>
      <c r="M259" s="1">
        <v>0.76600000000000001</v>
      </c>
      <c r="N259" s="1">
        <v>0.91884999999999994</v>
      </c>
      <c r="O259" s="1">
        <v>0.74390000000000001</v>
      </c>
      <c r="P259" s="1">
        <v>0.79790000000000005</v>
      </c>
      <c r="Q259" s="1">
        <v>0.78810000000000002</v>
      </c>
      <c r="R259" s="1">
        <v>1.0407999999999999</v>
      </c>
      <c r="S259" s="1">
        <v>0.76600000000000001</v>
      </c>
      <c r="T259" s="1">
        <v>0.91884999999999994</v>
      </c>
      <c r="U259" s="1">
        <v>1.2742</v>
      </c>
      <c r="V259" s="1">
        <v>1.6687999999999998</v>
      </c>
    </row>
    <row r="260" spans="12:22" x14ac:dyDescent="0.25">
      <c r="L260" s="1">
        <v>65.8</v>
      </c>
      <c r="M260" s="1">
        <v>0.76505000000000001</v>
      </c>
      <c r="N260" s="1">
        <v>0.91779999999999995</v>
      </c>
      <c r="O260" s="1">
        <v>0.7429</v>
      </c>
      <c r="P260" s="1">
        <v>0.79690000000000005</v>
      </c>
      <c r="Q260" s="1">
        <v>0.78720000000000001</v>
      </c>
      <c r="R260" s="1">
        <v>1.0397000000000001</v>
      </c>
      <c r="S260" s="1">
        <v>0.76505000000000001</v>
      </c>
      <c r="T260" s="1">
        <v>0.91779999999999995</v>
      </c>
      <c r="U260" s="1">
        <v>1.272</v>
      </c>
      <c r="V260" s="1">
        <v>1.6672</v>
      </c>
    </row>
    <row r="261" spans="12:22" x14ac:dyDescent="0.25">
      <c r="L261" s="1">
        <v>65.900000000000006</v>
      </c>
      <c r="M261" s="1">
        <v>0.76929999999999998</v>
      </c>
      <c r="N261" s="1">
        <v>0.91664999999999996</v>
      </c>
      <c r="O261" s="1">
        <v>0.75239999999999996</v>
      </c>
      <c r="P261" s="1">
        <v>0.79590000000000005</v>
      </c>
      <c r="Q261" s="1">
        <v>0.78620000000000001</v>
      </c>
      <c r="R261" s="1">
        <v>1.0385</v>
      </c>
      <c r="S261" s="1">
        <v>0.76929999999999998</v>
      </c>
      <c r="T261" s="1">
        <v>0.91664999999999996</v>
      </c>
      <c r="U261" s="1">
        <v>1.27</v>
      </c>
      <c r="V261" s="1">
        <v>1.6656</v>
      </c>
    </row>
    <row r="262" spans="12:22" x14ac:dyDescent="0.25">
      <c r="L262" s="1">
        <v>66</v>
      </c>
      <c r="M262" s="1">
        <v>0.76300000000000001</v>
      </c>
      <c r="N262" s="1">
        <v>0.91559999999999997</v>
      </c>
      <c r="O262" s="1">
        <v>0.74080000000000001</v>
      </c>
      <c r="P262" s="1">
        <v>0.79479999999999995</v>
      </c>
      <c r="Q262" s="1">
        <v>0.78520000000000001</v>
      </c>
      <c r="R262" s="1">
        <v>1.0374000000000001</v>
      </c>
      <c r="S262" s="1">
        <v>0.76300000000000001</v>
      </c>
      <c r="T262" s="1">
        <v>0.91559999999999997</v>
      </c>
      <c r="U262" s="1">
        <v>1.268</v>
      </c>
      <c r="V262" s="1">
        <v>1.6639999999999999</v>
      </c>
    </row>
    <row r="263" spans="12:22" x14ac:dyDescent="0.25">
      <c r="L263" s="1">
        <v>66.099999999999994</v>
      </c>
      <c r="M263" s="1">
        <v>0.76200000000000001</v>
      </c>
      <c r="N263" s="1">
        <v>0.91449999999999998</v>
      </c>
      <c r="O263" s="1">
        <v>0.73980000000000001</v>
      </c>
      <c r="P263" s="1">
        <v>0.79379999999999995</v>
      </c>
      <c r="Q263" s="1">
        <v>0.78420000000000001</v>
      </c>
      <c r="R263" s="1">
        <v>1.0362</v>
      </c>
      <c r="S263" s="1">
        <v>0.76200000000000001</v>
      </c>
      <c r="T263" s="1">
        <v>0.91449999999999998</v>
      </c>
      <c r="U263" s="1">
        <v>1.266</v>
      </c>
      <c r="V263" s="1">
        <v>1.6621999999999999</v>
      </c>
    </row>
    <row r="264" spans="12:22" x14ac:dyDescent="0.25">
      <c r="L264" s="1">
        <v>66.2</v>
      </c>
      <c r="M264" s="1">
        <v>0.76095000000000002</v>
      </c>
      <c r="N264" s="1">
        <v>0.91344999999999998</v>
      </c>
      <c r="O264" s="1">
        <v>0.73870000000000002</v>
      </c>
      <c r="P264" s="1">
        <v>0.79279999999999995</v>
      </c>
      <c r="Q264" s="1">
        <v>0.78320000000000001</v>
      </c>
      <c r="R264" s="1">
        <v>1.0350999999999999</v>
      </c>
      <c r="S264" s="1">
        <v>0.76095000000000002</v>
      </c>
      <c r="T264" s="1">
        <v>0.91344999999999998</v>
      </c>
      <c r="U264" s="1">
        <v>1.264</v>
      </c>
      <c r="V264" s="1">
        <v>1.6603999999999999</v>
      </c>
    </row>
    <row r="265" spans="12:22" x14ac:dyDescent="0.25">
      <c r="L265" s="1">
        <v>66.3</v>
      </c>
      <c r="M265" s="1">
        <v>0.76</v>
      </c>
      <c r="N265" s="1">
        <v>0.91234999999999999</v>
      </c>
      <c r="O265" s="1">
        <v>0.73770000000000002</v>
      </c>
      <c r="P265" s="1">
        <v>0.79179999999999995</v>
      </c>
      <c r="Q265" s="1">
        <v>0.7823</v>
      </c>
      <c r="R265" s="1">
        <v>1.0339</v>
      </c>
      <c r="S265" s="1">
        <v>0.76</v>
      </c>
      <c r="T265" s="1">
        <v>0.91234999999999999</v>
      </c>
      <c r="U265" s="1">
        <v>1.2617999999999998</v>
      </c>
      <c r="V265" s="1">
        <v>1.6586000000000001</v>
      </c>
    </row>
    <row r="266" spans="12:22" x14ac:dyDescent="0.25">
      <c r="L266" s="1">
        <v>66.400000000000006</v>
      </c>
      <c r="M266" s="1">
        <v>0.75900000000000001</v>
      </c>
      <c r="N266" s="1">
        <v>0.9113</v>
      </c>
      <c r="O266" s="1">
        <v>0.73670000000000002</v>
      </c>
      <c r="P266" s="1">
        <v>0.79079999999999995</v>
      </c>
      <c r="Q266" s="1">
        <v>0.78129999999999999</v>
      </c>
      <c r="R266" s="1">
        <v>1.0327999999999999</v>
      </c>
      <c r="S266" s="1">
        <v>0.75900000000000001</v>
      </c>
      <c r="T266" s="1">
        <v>0.9113</v>
      </c>
      <c r="U266" s="1">
        <v>1.2593999999999999</v>
      </c>
      <c r="V266" s="1">
        <v>1.6568000000000001</v>
      </c>
    </row>
    <row r="267" spans="12:22" x14ac:dyDescent="0.25">
      <c r="L267" s="1">
        <v>66.5</v>
      </c>
      <c r="M267" s="1">
        <v>0.75805</v>
      </c>
      <c r="N267" s="1">
        <v>0.91020000000000001</v>
      </c>
      <c r="O267" s="1">
        <v>0.73570000000000002</v>
      </c>
      <c r="P267" s="1">
        <v>0.78979999999999995</v>
      </c>
      <c r="Q267" s="1">
        <v>0.78039999999999998</v>
      </c>
      <c r="R267" s="1">
        <v>1.0317000000000001</v>
      </c>
      <c r="S267" s="1">
        <v>0.75805</v>
      </c>
      <c r="T267" s="1">
        <v>0.91020000000000001</v>
      </c>
      <c r="U267" s="1">
        <v>1.2569999999999999</v>
      </c>
      <c r="V267" s="1">
        <v>1.655</v>
      </c>
    </row>
    <row r="268" spans="12:22" x14ac:dyDescent="0.25">
      <c r="L268" s="1">
        <v>66.599999999999994</v>
      </c>
      <c r="M268" s="1">
        <v>0.75705</v>
      </c>
      <c r="N268" s="1">
        <v>0.90915000000000001</v>
      </c>
      <c r="O268" s="1">
        <v>0.73470000000000002</v>
      </c>
      <c r="P268" s="1">
        <v>0.78869999999999996</v>
      </c>
      <c r="Q268" s="1">
        <v>0.77939999999999998</v>
      </c>
      <c r="R268" s="1">
        <v>1.0306</v>
      </c>
      <c r="S268" s="1">
        <v>0.75705</v>
      </c>
      <c r="T268" s="1">
        <v>0.90915000000000001</v>
      </c>
      <c r="U268" s="1">
        <v>1.2549999999999999</v>
      </c>
      <c r="V268" s="1">
        <v>1.6534</v>
      </c>
    </row>
    <row r="269" spans="12:22" x14ac:dyDescent="0.25">
      <c r="L269" s="1">
        <v>66.7</v>
      </c>
      <c r="M269" s="1">
        <v>0.75609999999999999</v>
      </c>
      <c r="N269" s="1">
        <v>0.90805000000000002</v>
      </c>
      <c r="O269" s="1">
        <v>0.73370000000000002</v>
      </c>
      <c r="P269" s="1">
        <v>0.78769999999999996</v>
      </c>
      <c r="Q269" s="1">
        <v>0.77849999999999997</v>
      </c>
      <c r="R269" s="1">
        <v>1.0294000000000001</v>
      </c>
      <c r="S269" s="1">
        <v>0.75609999999999999</v>
      </c>
      <c r="T269" s="1">
        <v>0.90805000000000002</v>
      </c>
      <c r="U269" s="1">
        <v>1.2529999999999999</v>
      </c>
      <c r="V269" s="1">
        <v>1.6517999999999999</v>
      </c>
    </row>
    <row r="270" spans="12:22" x14ac:dyDescent="0.25">
      <c r="L270" s="1">
        <v>66.8</v>
      </c>
      <c r="M270" s="1">
        <v>0.75509999999999999</v>
      </c>
      <c r="N270" s="1">
        <v>0.90700000000000003</v>
      </c>
      <c r="O270" s="1">
        <v>0.73270000000000002</v>
      </c>
      <c r="P270" s="1">
        <v>0.78669999999999995</v>
      </c>
      <c r="Q270" s="1">
        <v>0.77749999999999997</v>
      </c>
      <c r="R270" s="1">
        <v>1.0283</v>
      </c>
      <c r="S270" s="1">
        <v>0.75509999999999999</v>
      </c>
      <c r="T270" s="1">
        <v>0.90700000000000003</v>
      </c>
      <c r="U270" s="1">
        <v>1.2507999999999999</v>
      </c>
      <c r="V270" s="1">
        <v>1.6502000000000001</v>
      </c>
    </row>
    <row r="271" spans="12:22" x14ac:dyDescent="0.25">
      <c r="L271" s="1">
        <v>66.900000000000006</v>
      </c>
      <c r="M271" s="1">
        <v>0.75919999999999999</v>
      </c>
      <c r="N271" s="1">
        <v>0.90595000000000003</v>
      </c>
      <c r="O271" s="1">
        <v>0.74180000000000001</v>
      </c>
      <c r="P271" s="1">
        <v>0.78569999999999995</v>
      </c>
      <c r="Q271" s="1">
        <v>0.77659999999999996</v>
      </c>
      <c r="R271" s="1">
        <v>1.0271999999999999</v>
      </c>
      <c r="S271" s="1">
        <v>0.75919999999999999</v>
      </c>
      <c r="T271" s="1">
        <v>0.90595000000000003</v>
      </c>
      <c r="U271" s="1">
        <v>1.2484</v>
      </c>
      <c r="V271" s="1">
        <v>1.6486000000000001</v>
      </c>
    </row>
    <row r="272" spans="12:22" x14ac:dyDescent="0.25">
      <c r="L272" s="1">
        <v>67</v>
      </c>
      <c r="M272" s="1">
        <v>0.75314999999999999</v>
      </c>
      <c r="N272" s="1">
        <v>0.90490000000000004</v>
      </c>
      <c r="O272" s="1">
        <v>0.73070000000000002</v>
      </c>
      <c r="P272" s="1">
        <v>0.78469999999999995</v>
      </c>
      <c r="Q272" s="1">
        <v>0.77559999999999996</v>
      </c>
      <c r="R272" s="1">
        <v>1.0261</v>
      </c>
      <c r="S272" s="1">
        <v>0.75314999999999999</v>
      </c>
      <c r="T272" s="1">
        <v>0.90490000000000004</v>
      </c>
      <c r="U272" s="1">
        <v>1.246</v>
      </c>
      <c r="V272" s="1">
        <v>1.647</v>
      </c>
    </row>
    <row r="273" spans="12:22" x14ac:dyDescent="0.25">
      <c r="L273" s="1">
        <v>67.099999999999994</v>
      </c>
      <c r="M273" s="1">
        <v>0.75219999999999998</v>
      </c>
      <c r="N273" s="1">
        <v>0.90385000000000004</v>
      </c>
      <c r="O273" s="1">
        <v>0.72970000000000002</v>
      </c>
      <c r="P273" s="1">
        <v>0.78369999999999995</v>
      </c>
      <c r="Q273" s="1">
        <v>0.77470000000000006</v>
      </c>
      <c r="R273" s="1">
        <v>1.0249999999999999</v>
      </c>
      <c r="S273" s="1">
        <v>0.75219999999999998</v>
      </c>
      <c r="T273" s="1">
        <v>0.90385000000000004</v>
      </c>
      <c r="U273" s="1">
        <v>1.2444</v>
      </c>
      <c r="V273" s="1">
        <v>1.6454</v>
      </c>
    </row>
    <row r="274" spans="12:22" x14ac:dyDescent="0.25">
      <c r="L274" s="1">
        <v>67.2</v>
      </c>
      <c r="M274" s="1">
        <v>0.75124999999999997</v>
      </c>
      <c r="N274" s="1">
        <v>0.90280000000000005</v>
      </c>
      <c r="O274" s="1">
        <v>0.72870000000000001</v>
      </c>
      <c r="P274" s="1">
        <v>0.78269999999999995</v>
      </c>
      <c r="Q274" s="1">
        <v>0.77380000000000004</v>
      </c>
      <c r="R274" s="1">
        <v>1.0239</v>
      </c>
      <c r="S274" s="1">
        <v>0.75124999999999997</v>
      </c>
      <c r="T274" s="1">
        <v>0.90280000000000005</v>
      </c>
      <c r="U274" s="1">
        <v>1.2427999999999999</v>
      </c>
      <c r="V274" s="1">
        <v>1.6437999999999999</v>
      </c>
    </row>
    <row r="275" spans="12:22" x14ac:dyDescent="0.25">
      <c r="L275" s="1">
        <v>67.3</v>
      </c>
      <c r="M275" s="1">
        <v>0.75035000000000007</v>
      </c>
      <c r="N275" s="1">
        <v>0.90175000000000005</v>
      </c>
      <c r="O275" s="1">
        <v>0.7278</v>
      </c>
      <c r="P275" s="1">
        <v>0.78169999999999995</v>
      </c>
      <c r="Q275" s="1">
        <v>0.77290000000000003</v>
      </c>
      <c r="R275" s="1">
        <v>1.0227999999999999</v>
      </c>
      <c r="S275" s="1">
        <v>0.75035000000000007</v>
      </c>
      <c r="T275" s="1">
        <v>0.90175000000000005</v>
      </c>
      <c r="U275" s="1">
        <v>1.2410000000000001</v>
      </c>
      <c r="V275" s="1">
        <v>1.6422000000000001</v>
      </c>
    </row>
    <row r="276" spans="12:22" x14ac:dyDescent="0.25">
      <c r="L276" s="1">
        <v>67.400000000000006</v>
      </c>
      <c r="M276" s="1">
        <v>0.74934999999999996</v>
      </c>
      <c r="N276" s="1">
        <v>0.90075000000000005</v>
      </c>
      <c r="O276" s="1">
        <v>0.7268</v>
      </c>
      <c r="P276" s="1">
        <v>0.78069999999999995</v>
      </c>
      <c r="Q276" s="1">
        <v>0.77190000000000003</v>
      </c>
      <c r="R276" s="1">
        <v>1.0217000000000001</v>
      </c>
      <c r="S276" s="1">
        <v>0.74934999999999996</v>
      </c>
      <c r="T276" s="1">
        <v>0.90075000000000005</v>
      </c>
      <c r="U276" s="1">
        <v>1.2390000000000001</v>
      </c>
      <c r="V276" s="1">
        <v>1.6406000000000001</v>
      </c>
    </row>
    <row r="277" spans="12:22" x14ac:dyDescent="0.25">
      <c r="L277" s="1">
        <v>67.5</v>
      </c>
      <c r="M277" s="1">
        <v>0.74839999999999995</v>
      </c>
      <c r="N277" s="1">
        <v>0.89995000000000003</v>
      </c>
      <c r="O277" s="1">
        <v>0.7258</v>
      </c>
      <c r="P277" s="1">
        <v>0.77980000000000005</v>
      </c>
      <c r="Q277" s="1">
        <v>0.77100000000000002</v>
      </c>
      <c r="R277" s="1">
        <v>1.0206</v>
      </c>
      <c r="S277" s="1">
        <v>0.74839999999999995</v>
      </c>
      <c r="T277" s="1">
        <v>0.89995000000000003</v>
      </c>
      <c r="U277" s="1">
        <v>1.2370000000000001</v>
      </c>
      <c r="V277" s="1">
        <v>1.639</v>
      </c>
    </row>
    <row r="278" spans="12:22" x14ac:dyDescent="0.25">
      <c r="L278" s="1">
        <v>67.599999999999994</v>
      </c>
      <c r="M278" s="1">
        <v>0.74750000000000005</v>
      </c>
      <c r="N278" s="1">
        <v>0.8982</v>
      </c>
      <c r="O278" s="1">
        <v>0.72489999999999999</v>
      </c>
      <c r="P278" s="1">
        <v>0.77769999999999995</v>
      </c>
      <c r="Q278" s="1">
        <v>0.77010000000000001</v>
      </c>
      <c r="R278" s="1">
        <v>1.0195000000000001</v>
      </c>
      <c r="S278" s="1">
        <v>0.74750000000000005</v>
      </c>
      <c r="T278" s="1">
        <v>0.8982</v>
      </c>
      <c r="U278" s="1">
        <v>1.2354000000000001</v>
      </c>
      <c r="V278" s="1">
        <v>1.6374</v>
      </c>
    </row>
    <row r="279" spans="12:22" x14ac:dyDescent="0.25">
      <c r="L279" s="1">
        <v>67.7</v>
      </c>
      <c r="M279" s="1">
        <v>0.74655000000000005</v>
      </c>
      <c r="N279" s="1">
        <v>0.89729999999999999</v>
      </c>
      <c r="O279" s="1">
        <v>0.72389999999999999</v>
      </c>
      <c r="P279" s="1">
        <v>0.77690000000000003</v>
      </c>
      <c r="Q279" s="1">
        <v>0.76919999999999999</v>
      </c>
      <c r="R279" s="1">
        <v>1.0185</v>
      </c>
      <c r="S279" s="1">
        <v>0.74655000000000005</v>
      </c>
      <c r="T279" s="1">
        <v>0.89729999999999999</v>
      </c>
      <c r="U279" s="1">
        <v>1.2338</v>
      </c>
      <c r="V279" s="1">
        <v>1.6357999999999999</v>
      </c>
    </row>
    <row r="280" spans="12:22" x14ac:dyDescent="0.25">
      <c r="L280" s="1">
        <v>67.8</v>
      </c>
      <c r="M280" s="1">
        <v>0.74564999999999992</v>
      </c>
      <c r="N280" s="1">
        <v>0.89634999999999998</v>
      </c>
      <c r="O280" s="1">
        <v>0.72299999999999998</v>
      </c>
      <c r="P280" s="1">
        <v>0.77610000000000001</v>
      </c>
      <c r="Q280" s="1">
        <v>0.76829999999999998</v>
      </c>
      <c r="R280" s="1">
        <v>1.0174000000000001</v>
      </c>
      <c r="S280" s="1">
        <v>0.74564999999999992</v>
      </c>
      <c r="T280" s="1">
        <v>0.89634999999999998</v>
      </c>
      <c r="U280" s="1">
        <v>1.232</v>
      </c>
      <c r="V280" s="1">
        <v>1.6342000000000001</v>
      </c>
    </row>
    <row r="281" spans="12:22" x14ac:dyDescent="0.25">
      <c r="L281" s="1">
        <v>67.900000000000006</v>
      </c>
      <c r="M281" s="1">
        <v>0.74954999999999994</v>
      </c>
      <c r="N281" s="1">
        <v>0.89539999999999997</v>
      </c>
      <c r="O281" s="1">
        <v>0.73170000000000002</v>
      </c>
      <c r="P281" s="1">
        <v>0.77529999999999999</v>
      </c>
      <c r="Q281" s="1">
        <v>0.76739999999999997</v>
      </c>
      <c r="R281" s="1">
        <v>1.0163</v>
      </c>
      <c r="S281" s="1">
        <v>0.74954999999999994</v>
      </c>
      <c r="T281" s="1">
        <v>0.89539999999999997</v>
      </c>
      <c r="U281" s="1">
        <v>1.23</v>
      </c>
      <c r="V281" s="1">
        <v>1.6326000000000001</v>
      </c>
    </row>
    <row r="282" spans="12:22" x14ac:dyDescent="0.25">
      <c r="L282" s="1">
        <v>68</v>
      </c>
      <c r="M282" s="1">
        <v>0.74380000000000002</v>
      </c>
      <c r="N282" s="1">
        <v>0.89449999999999996</v>
      </c>
      <c r="O282" s="1">
        <v>0.72109999999999996</v>
      </c>
      <c r="P282" s="1">
        <v>0.77449999999999997</v>
      </c>
      <c r="Q282" s="1">
        <v>0.76649999999999996</v>
      </c>
      <c r="R282" s="1">
        <v>1.0153000000000001</v>
      </c>
      <c r="S282" s="1">
        <v>0.74380000000000002</v>
      </c>
      <c r="T282" s="1">
        <v>0.89449999999999996</v>
      </c>
      <c r="U282" s="1">
        <v>1.228</v>
      </c>
      <c r="V282" s="1">
        <v>1.631</v>
      </c>
    </row>
    <row r="283" spans="12:22" x14ac:dyDescent="0.25">
      <c r="L283" s="1">
        <v>68.099999999999994</v>
      </c>
      <c r="M283" s="1">
        <v>0.74285000000000001</v>
      </c>
      <c r="N283" s="1">
        <v>0.89354999999999996</v>
      </c>
      <c r="O283" s="1">
        <v>0.72009999999999996</v>
      </c>
      <c r="P283" s="1">
        <v>0.77370000000000005</v>
      </c>
      <c r="Q283" s="1">
        <v>0.76559999999999995</v>
      </c>
      <c r="R283" s="1">
        <v>1.0142</v>
      </c>
      <c r="S283" s="1">
        <v>0.74285000000000001</v>
      </c>
      <c r="T283" s="1">
        <v>0.89354999999999996</v>
      </c>
      <c r="U283" s="1">
        <v>1.2263999999999999</v>
      </c>
      <c r="V283" s="1">
        <v>1.6294</v>
      </c>
    </row>
    <row r="284" spans="12:22" x14ac:dyDescent="0.25">
      <c r="L284" s="1">
        <v>68.2</v>
      </c>
      <c r="M284" s="1">
        <v>0.74195</v>
      </c>
      <c r="N284" s="1">
        <v>0.89259999999999995</v>
      </c>
      <c r="O284" s="1">
        <v>0.71919999999999995</v>
      </c>
      <c r="P284" s="1">
        <v>0.77290000000000003</v>
      </c>
      <c r="Q284" s="1">
        <v>0.76470000000000005</v>
      </c>
      <c r="R284" s="1">
        <v>1.0130999999999999</v>
      </c>
      <c r="S284" s="1">
        <v>0.74195</v>
      </c>
      <c r="T284" s="1">
        <v>0.89259999999999995</v>
      </c>
      <c r="U284" s="1">
        <v>1.2247999999999999</v>
      </c>
      <c r="V284" s="1">
        <v>1.6277999999999999</v>
      </c>
    </row>
    <row r="285" spans="12:22" x14ac:dyDescent="0.25">
      <c r="L285" s="1">
        <v>68.3</v>
      </c>
      <c r="M285" s="1">
        <v>0.74104999999999999</v>
      </c>
      <c r="N285" s="1">
        <v>0.89170000000000005</v>
      </c>
      <c r="O285" s="1">
        <v>0.71830000000000005</v>
      </c>
      <c r="P285" s="1">
        <v>0.77210000000000001</v>
      </c>
      <c r="Q285" s="1">
        <v>0.76380000000000003</v>
      </c>
      <c r="R285" s="1">
        <v>1.0121</v>
      </c>
      <c r="S285" s="1">
        <v>0.74104999999999999</v>
      </c>
      <c r="T285" s="1">
        <v>0.89170000000000005</v>
      </c>
      <c r="U285" s="1">
        <v>1.2230000000000001</v>
      </c>
      <c r="V285" s="1">
        <v>1.6262000000000001</v>
      </c>
    </row>
    <row r="286" spans="12:22" x14ac:dyDescent="0.25">
      <c r="L286" s="1">
        <v>68.400000000000006</v>
      </c>
      <c r="M286" s="1">
        <v>0.74019999999999997</v>
      </c>
      <c r="N286" s="1">
        <v>0.89075000000000004</v>
      </c>
      <c r="O286" s="1">
        <v>0.71740000000000004</v>
      </c>
      <c r="P286" s="1">
        <v>0.77129999999999999</v>
      </c>
      <c r="Q286" s="1">
        <v>0.76300000000000001</v>
      </c>
      <c r="R286" s="1">
        <v>1.0109999999999999</v>
      </c>
      <c r="S286" s="1">
        <v>0.74019999999999997</v>
      </c>
      <c r="T286" s="1">
        <v>0.89075000000000004</v>
      </c>
      <c r="U286" s="1">
        <v>1.2210000000000001</v>
      </c>
      <c r="V286" s="1">
        <v>1.6246</v>
      </c>
    </row>
    <row r="287" spans="12:22" x14ac:dyDescent="0.25">
      <c r="L287" s="1">
        <v>68.5</v>
      </c>
      <c r="M287" s="1">
        <v>0.73924999999999996</v>
      </c>
      <c r="N287" s="1">
        <v>0.88985000000000003</v>
      </c>
      <c r="O287" s="1">
        <v>0.71640000000000004</v>
      </c>
      <c r="P287" s="1">
        <v>0.77049999999999996</v>
      </c>
      <c r="Q287" s="1">
        <v>0.7621</v>
      </c>
      <c r="R287" s="1">
        <v>1.01</v>
      </c>
      <c r="S287" s="1">
        <v>0.73924999999999996</v>
      </c>
      <c r="T287" s="1">
        <v>0.88985000000000003</v>
      </c>
      <c r="U287" s="1">
        <v>1.2190000000000001</v>
      </c>
      <c r="V287" s="1">
        <v>1.623</v>
      </c>
    </row>
    <row r="288" spans="12:22" x14ac:dyDescent="0.25">
      <c r="L288" s="1">
        <v>68.599999999999994</v>
      </c>
      <c r="M288" s="1">
        <v>0.73835000000000006</v>
      </c>
      <c r="N288" s="1">
        <v>0.88895000000000002</v>
      </c>
      <c r="O288" s="1">
        <v>0.71550000000000002</v>
      </c>
      <c r="P288" s="1">
        <v>0.76970000000000005</v>
      </c>
      <c r="Q288" s="1">
        <v>0.76119999999999999</v>
      </c>
      <c r="R288" s="1">
        <v>1.0089999999999999</v>
      </c>
      <c r="S288" s="1">
        <v>0.73835000000000006</v>
      </c>
      <c r="T288" s="1">
        <v>0.88895000000000002</v>
      </c>
      <c r="U288" s="1">
        <v>1.2174</v>
      </c>
      <c r="V288" s="1">
        <v>1.6220000000000001</v>
      </c>
    </row>
    <row r="289" spans="12:22" x14ac:dyDescent="0.25">
      <c r="L289" s="1">
        <v>68.7</v>
      </c>
      <c r="M289" s="1">
        <v>0.73744999999999994</v>
      </c>
      <c r="N289" s="1">
        <v>0.88805000000000001</v>
      </c>
      <c r="O289" s="1">
        <v>0.71460000000000001</v>
      </c>
      <c r="P289" s="1">
        <v>0.76890000000000003</v>
      </c>
      <c r="Q289" s="1">
        <v>0.76029999999999998</v>
      </c>
      <c r="R289" s="1">
        <v>1.0079</v>
      </c>
      <c r="S289" s="1">
        <v>0.73744999999999994</v>
      </c>
      <c r="T289" s="1">
        <v>0.88805000000000001</v>
      </c>
      <c r="U289" s="1">
        <v>1.2158</v>
      </c>
      <c r="V289" s="1">
        <v>1.621</v>
      </c>
    </row>
    <row r="290" spans="12:22" x14ac:dyDescent="0.25">
      <c r="L290" s="1">
        <v>68.8</v>
      </c>
      <c r="M290" s="1">
        <v>0.73659999999999992</v>
      </c>
      <c r="N290" s="1">
        <v>0.88714999999999999</v>
      </c>
      <c r="O290" s="1">
        <v>0.7137</v>
      </c>
      <c r="P290" s="1">
        <v>0.76819999999999999</v>
      </c>
      <c r="Q290" s="1">
        <v>0.75949999999999995</v>
      </c>
      <c r="R290" s="1">
        <v>1.0068999999999999</v>
      </c>
      <c r="S290" s="1">
        <v>0.73659999999999992</v>
      </c>
      <c r="T290" s="1">
        <v>0.88714999999999999</v>
      </c>
      <c r="U290" s="1">
        <v>1.214</v>
      </c>
      <c r="V290" s="1">
        <v>1.62</v>
      </c>
    </row>
    <row r="291" spans="12:22" x14ac:dyDescent="0.25">
      <c r="L291" s="1">
        <v>68.900000000000006</v>
      </c>
      <c r="M291" s="1">
        <v>0.74029999999999996</v>
      </c>
      <c r="N291" s="1">
        <v>0.88624999999999998</v>
      </c>
      <c r="O291" s="1">
        <v>0.72199999999999998</v>
      </c>
      <c r="P291" s="1">
        <v>0.76739999999999997</v>
      </c>
      <c r="Q291" s="1">
        <v>0.75860000000000005</v>
      </c>
      <c r="R291" s="1">
        <v>1.0059</v>
      </c>
      <c r="S291" s="1">
        <v>0.74029999999999996</v>
      </c>
      <c r="T291" s="1">
        <v>0.88624999999999998</v>
      </c>
      <c r="U291" s="1">
        <v>1.212</v>
      </c>
      <c r="V291" s="1">
        <v>1.619</v>
      </c>
    </row>
    <row r="292" spans="12:22" x14ac:dyDescent="0.25">
      <c r="L292" s="1">
        <v>69</v>
      </c>
      <c r="M292" s="1">
        <v>0.73485</v>
      </c>
      <c r="N292" s="1">
        <v>0.88529999999999998</v>
      </c>
      <c r="O292" s="1">
        <v>0.71189999999999998</v>
      </c>
      <c r="P292" s="1">
        <v>0.76659999999999995</v>
      </c>
      <c r="Q292" s="1">
        <v>0.75780000000000003</v>
      </c>
      <c r="R292" s="1">
        <v>1.0047999999999999</v>
      </c>
      <c r="S292" s="1">
        <v>0.73485</v>
      </c>
      <c r="T292" s="1">
        <v>0.88529999999999998</v>
      </c>
      <c r="U292" s="1">
        <v>1.21</v>
      </c>
      <c r="V292" s="1">
        <v>1.6180000000000001</v>
      </c>
    </row>
    <row r="293" spans="12:22" x14ac:dyDescent="0.25">
      <c r="L293" s="1">
        <v>69.099999999999994</v>
      </c>
      <c r="M293" s="1">
        <v>0.73394999999999999</v>
      </c>
      <c r="N293" s="1">
        <v>0.88439999999999996</v>
      </c>
      <c r="O293" s="1">
        <v>0.71099999999999997</v>
      </c>
      <c r="P293" s="1">
        <v>0.76580000000000004</v>
      </c>
      <c r="Q293" s="1">
        <v>0.75690000000000002</v>
      </c>
      <c r="R293" s="1">
        <v>1.0038</v>
      </c>
      <c r="S293" s="1">
        <v>0.73394999999999999</v>
      </c>
      <c r="T293" s="1">
        <v>0.88439999999999996</v>
      </c>
      <c r="U293" s="1">
        <v>1.2083999999999999</v>
      </c>
      <c r="V293" s="1">
        <v>1.6168</v>
      </c>
    </row>
    <row r="294" spans="12:22" x14ac:dyDescent="0.25">
      <c r="L294" s="1">
        <v>69.2</v>
      </c>
      <c r="M294" s="1">
        <v>0.73309999999999997</v>
      </c>
      <c r="N294" s="1">
        <v>0.88349999999999995</v>
      </c>
      <c r="O294" s="1">
        <v>0.71009999999999995</v>
      </c>
      <c r="P294" s="1">
        <v>0.76500000000000001</v>
      </c>
      <c r="Q294" s="1">
        <v>0.75609999999999999</v>
      </c>
      <c r="R294" s="1">
        <v>1.0027999999999999</v>
      </c>
      <c r="S294" s="1">
        <v>0.73309999999999997</v>
      </c>
      <c r="T294" s="1">
        <v>0.88349999999999995</v>
      </c>
      <c r="U294" s="1">
        <v>1.2067999999999999</v>
      </c>
      <c r="V294" s="1">
        <v>1.6156000000000001</v>
      </c>
    </row>
    <row r="295" spans="12:22" x14ac:dyDescent="0.25">
      <c r="L295" s="1">
        <v>69.3</v>
      </c>
      <c r="M295" s="1">
        <v>0.73219999999999996</v>
      </c>
      <c r="N295" s="1">
        <v>0.88265000000000005</v>
      </c>
      <c r="O295" s="1">
        <v>0.70920000000000005</v>
      </c>
      <c r="P295" s="1">
        <v>0.76419999999999999</v>
      </c>
      <c r="Q295" s="1">
        <v>0.75519999999999998</v>
      </c>
      <c r="R295" s="1">
        <v>1.0018</v>
      </c>
      <c r="S295" s="1">
        <v>0.73219999999999996</v>
      </c>
      <c r="T295" s="1">
        <v>0.88265000000000005</v>
      </c>
      <c r="U295" s="1">
        <v>1.2052</v>
      </c>
      <c r="V295" s="1">
        <v>1.6144000000000001</v>
      </c>
    </row>
    <row r="296" spans="12:22" x14ac:dyDescent="0.25">
      <c r="L296" s="1">
        <v>69.400000000000006</v>
      </c>
      <c r="M296" s="1">
        <v>0.73134999999999994</v>
      </c>
      <c r="N296" s="1">
        <v>0.88175000000000003</v>
      </c>
      <c r="O296" s="1">
        <v>0.70830000000000004</v>
      </c>
      <c r="P296" s="1">
        <v>0.76349999999999996</v>
      </c>
      <c r="Q296" s="1">
        <v>0.75439999999999996</v>
      </c>
      <c r="R296" s="1">
        <v>1.0007999999999999</v>
      </c>
      <c r="S296" s="1">
        <v>0.73134999999999994</v>
      </c>
      <c r="T296" s="1">
        <v>0.88175000000000003</v>
      </c>
      <c r="U296" s="1">
        <v>1.2036</v>
      </c>
      <c r="V296" s="1">
        <v>1.6132000000000002</v>
      </c>
    </row>
    <row r="297" spans="12:22" x14ac:dyDescent="0.25">
      <c r="L297" s="1">
        <v>69.5</v>
      </c>
      <c r="M297" s="1">
        <v>0.73045000000000004</v>
      </c>
      <c r="N297" s="1">
        <v>0.88085000000000002</v>
      </c>
      <c r="O297" s="1">
        <v>0.70740000000000003</v>
      </c>
      <c r="P297" s="1">
        <v>0.76270000000000004</v>
      </c>
      <c r="Q297" s="1">
        <v>0.75349999999999995</v>
      </c>
      <c r="R297" s="1">
        <v>0.99980000000000002</v>
      </c>
      <c r="S297" s="1">
        <v>0.73045000000000004</v>
      </c>
      <c r="T297" s="1">
        <v>0.88085000000000002</v>
      </c>
      <c r="U297" s="1">
        <v>1.202</v>
      </c>
      <c r="V297" s="1">
        <v>1.6120000000000001</v>
      </c>
    </row>
    <row r="298" spans="12:22" x14ac:dyDescent="0.25">
      <c r="L298" s="1">
        <v>69.599999999999994</v>
      </c>
      <c r="M298" s="1">
        <v>0.72965000000000002</v>
      </c>
      <c r="N298" s="1">
        <v>0.87995000000000001</v>
      </c>
      <c r="O298" s="1">
        <v>0.70660000000000001</v>
      </c>
      <c r="P298" s="1">
        <v>0.76190000000000002</v>
      </c>
      <c r="Q298" s="1">
        <v>0.75270000000000004</v>
      </c>
      <c r="R298" s="1">
        <v>0.99880000000000002</v>
      </c>
      <c r="S298" s="1">
        <v>0.72965000000000002</v>
      </c>
      <c r="T298" s="1">
        <v>0.87995000000000001</v>
      </c>
      <c r="U298" s="1">
        <v>1.2003999999999999</v>
      </c>
      <c r="V298" s="1">
        <v>1.6106</v>
      </c>
    </row>
    <row r="299" spans="12:22" x14ac:dyDescent="0.25">
      <c r="L299" s="1">
        <v>69.7</v>
      </c>
      <c r="M299" s="1">
        <v>0.7288</v>
      </c>
      <c r="N299" s="1">
        <v>0.87909999999999999</v>
      </c>
      <c r="O299" s="1">
        <v>0.70569999999999999</v>
      </c>
      <c r="P299" s="1">
        <v>0.7611</v>
      </c>
      <c r="Q299" s="1">
        <v>0.75190000000000001</v>
      </c>
      <c r="R299" s="1">
        <v>0.99780000000000002</v>
      </c>
      <c r="S299" s="1">
        <v>0.7288</v>
      </c>
      <c r="T299" s="1">
        <v>0.87909999999999999</v>
      </c>
      <c r="U299" s="1">
        <v>1.1987999999999999</v>
      </c>
      <c r="V299" s="1">
        <v>1.6092</v>
      </c>
    </row>
    <row r="300" spans="12:22" x14ac:dyDescent="0.25">
      <c r="L300" s="1">
        <v>69.8</v>
      </c>
      <c r="M300" s="1">
        <v>0.72789999999999999</v>
      </c>
      <c r="N300" s="1">
        <v>0.87819999999999998</v>
      </c>
      <c r="O300" s="1">
        <v>0.70479999999999998</v>
      </c>
      <c r="P300" s="1">
        <v>0.76039999999999996</v>
      </c>
      <c r="Q300" s="1">
        <v>0.751</v>
      </c>
      <c r="R300" s="1">
        <v>0.99680000000000002</v>
      </c>
      <c r="S300" s="1">
        <v>0.72789999999999999</v>
      </c>
      <c r="T300" s="1">
        <v>0.87819999999999998</v>
      </c>
      <c r="U300" s="1">
        <v>1.1972</v>
      </c>
      <c r="V300" s="1">
        <v>1.6078000000000001</v>
      </c>
    </row>
    <row r="301" spans="12:22" x14ac:dyDescent="0.25">
      <c r="L301" s="1">
        <v>69.900000000000006</v>
      </c>
      <c r="M301" s="1">
        <v>0.73150000000000004</v>
      </c>
      <c r="N301" s="1">
        <v>0.87729999999999997</v>
      </c>
      <c r="O301" s="1">
        <v>0.71279999999999999</v>
      </c>
      <c r="P301" s="1">
        <v>0.75960000000000005</v>
      </c>
      <c r="Q301" s="1">
        <v>0.75019999999999998</v>
      </c>
      <c r="R301" s="1">
        <v>0.99580000000000002</v>
      </c>
      <c r="S301" s="1">
        <v>0.73150000000000004</v>
      </c>
      <c r="T301" s="1">
        <v>0.87729999999999997</v>
      </c>
      <c r="U301" s="1">
        <v>1.1956</v>
      </c>
      <c r="V301" s="1">
        <v>1.6064000000000001</v>
      </c>
    </row>
    <row r="302" spans="12:22" x14ac:dyDescent="0.25">
      <c r="L302" s="1">
        <v>70</v>
      </c>
      <c r="M302" s="1">
        <v>0.72624999999999995</v>
      </c>
      <c r="N302" s="1">
        <v>0.87644999999999995</v>
      </c>
      <c r="O302" s="1">
        <v>0.70309999999999995</v>
      </c>
      <c r="P302" s="1">
        <v>0.75880000000000003</v>
      </c>
      <c r="Q302" s="1">
        <v>0.74939999999999996</v>
      </c>
      <c r="R302" s="1">
        <v>0.99480000000000002</v>
      </c>
      <c r="S302" s="1">
        <v>0.72624999999999995</v>
      </c>
      <c r="T302" s="1">
        <v>0.87644999999999995</v>
      </c>
      <c r="U302" s="1">
        <v>1.194</v>
      </c>
      <c r="V302" s="1">
        <v>1.605</v>
      </c>
    </row>
    <row r="303" spans="12:22" x14ac:dyDescent="0.25">
      <c r="L303" s="1">
        <v>70.099999999999994</v>
      </c>
      <c r="M303" s="1">
        <v>0.72540000000000004</v>
      </c>
      <c r="N303" s="1">
        <v>0.87560000000000004</v>
      </c>
      <c r="O303" s="1">
        <v>0.70220000000000005</v>
      </c>
      <c r="P303" s="1">
        <v>0.7581</v>
      </c>
      <c r="Q303" s="1">
        <v>0.74860000000000004</v>
      </c>
      <c r="R303" s="1">
        <v>0.99390000000000001</v>
      </c>
      <c r="S303" s="1">
        <v>0.72540000000000004</v>
      </c>
      <c r="T303" s="1">
        <v>0.87560000000000004</v>
      </c>
      <c r="U303" s="1">
        <v>1.1923999999999999</v>
      </c>
      <c r="V303" s="1">
        <v>1.6035999999999999</v>
      </c>
    </row>
    <row r="304" spans="12:22" x14ac:dyDescent="0.25">
      <c r="L304" s="1">
        <v>70.2</v>
      </c>
      <c r="M304" s="1">
        <v>0.72460000000000002</v>
      </c>
      <c r="N304" s="1">
        <v>0.87470000000000003</v>
      </c>
      <c r="O304" s="1">
        <v>0.70140000000000002</v>
      </c>
      <c r="P304" s="1">
        <v>0.75729999999999997</v>
      </c>
      <c r="Q304" s="1">
        <v>0.74780000000000002</v>
      </c>
      <c r="R304" s="1">
        <v>0.9929</v>
      </c>
      <c r="S304" s="1">
        <v>0.72460000000000002</v>
      </c>
      <c r="T304" s="1">
        <v>0.87470000000000003</v>
      </c>
      <c r="U304" s="1">
        <v>1.1907999999999999</v>
      </c>
      <c r="V304" s="1">
        <v>1.6022000000000001</v>
      </c>
    </row>
    <row r="305" spans="12:22" x14ac:dyDescent="0.25">
      <c r="L305" s="1">
        <v>70.3</v>
      </c>
      <c r="M305" s="1">
        <v>0.72370000000000001</v>
      </c>
      <c r="N305" s="1">
        <v>0.87385000000000002</v>
      </c>
      <c r="O305" s="1">
        <v>0.70050000000000001</v>
      </c>
      <c r="P305" s="1">
        <v>0.75649999999999995</v>
      </c>
      <c r="Q305" s="1">
        <v>0.74690000000000001</v>
      </c>
      <c r="R305" s="1">
        <v>0.9919</v>
      </c>
      <c r="S305" s="1">
        <v>0.72370000000000001</v>
      </c>
      <c r="T305" s="1">
        <v>0.87385000000000002</v>
      </c>
      <c r="U305" s="1">
        <v>1.1892</v>
      </c>
      <c r="V305" s="1">
        <v>1.6008</v>
      </c>
    </row>
    <row r="306" spans="12:22" x14ac:dyDescent="0.25">
      <c r="L306" s="1">
        <v>70.400000000000006</v>
      </c>
      <c r="M306" s="1">
        <v>0.72289999999999999</v>
      </c>
      <c r="N306" s="1">
        <v>0.873</v>
      </c>
      <c r="O306" s="1">
        <v>0.69969999999999999</v>
      </c>
      <c r="P306" s="1">
        <v>0.75580000000000003</v>
      </c>
      <c r="Q306" s="1">
        <v>0.74609999999999999</v>
      </c>
      <c r="R306" s="1">
        <v>0.99099999999999999</v>
      </c>
      <c r="S306" s="1">
        <v>0.72289999999999999</v>
      </c>
      <c r="T306" s="1">
        <v>0.873</v>
      </c>
      <c r="U306" s="1">
        <v>1.1876</v>
      </c>
      <c r="V306" s="1">
        <v>1.5994000000000002</v>
      </c>
    </row>
    <row r="307" spans="12:22" x14ac:dyDescent="0.25">
      <c r="L307" s="1">
        <v>70.5</v>
      </c>
      <c r="M307" s="1">
        <v>0.72209999999999996</v>
      </c>
      <c r="N307" s="1">
        <v>0.87214999999999998</v>
      </c>
      <c r="O307" s="1">
        <v>0.69889999999999997</v>
      </c>
      <c r="P307" s="1">
        <v>0.755</v>
      </c>
      <c r="Q307" s="1">
        <v>0.74529999999999996</v>
      </c>
      <c r="R307" s="1">
        <v>0.99</v>
      </c>
      <c r="S307" s="1">
        <v>0.72209999999999996</v>
      </c>
      <c r="T307" s="1">
        <v>0.87214999999999998</v>
      </c>
      <c r="U307" s="1">
        <v>1.1859999999999999</v>
      </c>
      <c r="V307" s="1">
        <v>1.5980000000000001</v>
      </c>
    </row>
    <row r="308" spans="12:22" x14ac:dyDescent="0.25">
      <c r="L308" s="1">
        <v>70.599999999999994</v>
      </c>
      <c r="M308" s="1">
        <v>0.72124999999999995</v>
      </c>
      <c r="N308" s="1">
        <v>0.87124999999999997</v>
      </c>
      <c r="O308" s="1">
        <v>0.69799999999999995</v>
      </c>
      <c r="P308" s="1">
        <v>0.75429999999999997</v>
      </c>
      <c r="Q308" s="1">
        <v>0.74450000000000005</v>
      </c>
      <c r="R308" s="1">
        <v>0.98899999999999999</v>
      </c>
      <c r="S308" s="1">
        <v>0.72124999999999995</v>
      </c>
      <c r="T308" s="1">
        <v>0.87124999999999997</v>
      </c>
      <c r="U308" s="1">
        <v>1.1843999999999999</v>
      </c>
      <c r="V308" s="1">
        <v>1.5968</v>
      </c>
    </row>
    <row r="309" spans="12:22" x14ac:dyDescent="0.25">
      <c r="L309" s="1">
        <v>70.7</v>
      </c>
      <c r="M309" s="1">
        <v>0.72045000000000003</v>
      </c>
      <c r="N309" s="1">
        <v>0.87039999999999995</v>
      </c>
      <c r="O309" s="1">
        <v>0.69720000000000004</v>
      </c>
      <c r="P309" s="1">
        <v>0.75349999999999995</v>
      </c>
      <c r="Q309" s="1">
        <v>0.74370000000000003</v>
      </c>
      <c r="R309" s="1">
        <v>0.98809999999999998</v>
      </c>
      <c r="S309" s="1">
        <v>0.72045000000000003</v>
      </c>
      <c r="T309" s="1">
        <v>0.87039999999999995</v>
      </c>
      <c r="U309" s="1">
        <v>1.1827999999999999</v>
      </c>
      <c r="V309" s="1">
        <v>1.5956000000000001</v>
      </c>
    </row>
    <row r="310" spans="12:22" x14ac:dyDescent="0.25">
      <c r="L310" s="1">
        <v>70.8</v>
      </c>
      <c r="M310" s="1">
        <v>0.71970000000000001</v>
      </c>
      <c r="N310" s="1">
        <v>0.86955000000000005</v>
      </c>
      <c r="O310" s="1">
        <v>0.69640000000000002</v>
      </c>
      <c r="P310" s="1">
        <v>0.75270000000000004</v>
      </c>
      <c r="Q310" s="1">
        <v>0.74299999999999999</v>
      </c>
      <c r="R310" s="1">
        <v>0.98709999999999998</v>
      </c>
      <c r="S310" s="1">
        <v>0.71970000000000001</v>
      </c>
      <c r="T310" s="1">
        <v>0.86955000000000005</v>
      </c>
      <c r="U310" s="1">
        <v>1.1812</v>
      </c>
      <c r="V310" s="1">
        <v>1.5944</v>
      </c>
    </row>
    <row r="311" spans="12:22" x14ac:dyDescent="0.25">
      <c r="L311" s="1">
        <v>70.900000000000006</v>
      </c>
      <c r="M311" s="1">
        <v>0.72309999999999997</v>
      </c>
      <c r="N311" s="1">
        <v>0.86870000000000003</v>
      </c>
      <c r="O311" s="1">
        <v>0.70399999999999996</v>
      </c>
      <c r="P311" s="1">
        <v>0.752</v>
      </c>
      <c r="Q311" s="1">
        <v>0.74219999999999997</v>
      </c>
      <c r="R311" s="1">
        <v>0.98619999999999997</v>
      </c>
      <c r="S311" s="1">
        <v>0.72309999999999997</v>
      </c>
      <c r="T311" s="1">
        <v>0.86870000000000003</v>
      </c>
      <c r="U311" s="1">
        <v>1.1796</v>
      </c>
      <c r="V311" s="1">
        <v>1.5932000000000002</v>
      </c>
    </row>
    <row r="312" spans="12:22" x14ac:dyDescent="0.25">
      <c r="L312" s="1">
        <v>71</v>
      </c>
      <c r="M312" s="1">
        <v>0.71804999999999997</v>
      </c>
      <c r="N312" s="1">
        <v>0.86785000000000001</v>
      </c>
      <c r="O312" s="1">
        <v>0.69469999999999998</v>
      </c>
      <c r="P312" s="1">
        <v>0.75119999999999998</v>
      </c>
      <c r="Q312" s="1">
        <v>0.74139999999999995</v>
      </c>
      <c r="R312" s="1">
        <v>0.98519999999999996</v>
      </c>
      <c r="S312" s="1">
        <v>0.71804999999999997</v>
      </c>
      <c r="T312" s="1">
        <v>0.86785000000000001</v>
      </c>
      <c r="U312" s="1">
        <v>1.1779999999999999</v>
      </c>
      <c r="V312" s="1">
        <v>1.5920000000000001</v>
      </c>
    </row>
    <row r="313" spans="12:22" x14ac:dyDescent="0.25">
      <c r="L313" s="1">
        <v>71.099999999999994</v>
      </c>
      <c r="M313" s="1">
        <v>0.71724999999999994</v>
      </c>
      <c r="N313" s="1">
        <v>0.86699999999999999</v>
      </c>
      <c r="O313" s="1">
        <v>0.69389999999999996</v>
      </c>
      <c r="P313" s="1">
        <v>0.75049999999999994</v>
      </c>
      <c r="Q313" s="1">
        <v>0.74060000000000004</v>
      </c>
      <c r="R313" s="1">
        <v>0.98429999999999995</v>
      </c>
      <c r="S313" s="1">
        <v>0.71724999999999994</v>
      </c>
      <c r="T313" s="1">
        <v>0.86699999999999999</v>
      </c>
      <c r="U313" s="1">
        <v>1.1763999999999999</v>
      </c>
      <c r="V313" s="1">
        <v>1.5908</v>
      </c>
    </row>
    <row r="314" spans="12:22" x14ac:dyDescent="0.25">
      <c r="L314" s="1">
        <v>71.2</v>
      </c>
      <c r="M314" s="1">
        <v>0.71645000000000003</v>
      </c>
      <c r="N314" s="1">
        <v>0.86619999999999997</v>
      </c>
      <c r="O314" s="1">
        <v>0.69310000000000005</v>
      </c>
      <c r="P314" s="1">
        <v>0.74970000000000003</v>
      </c>
      <c r="Q314" s="1">
        <v>0.73980000000000001</v>
      </c>
      <c r="R314" s="1">
        <v>0.98340000000000005</v>
      </c>
      <c r="S314" s="1">
        <v>0.71645000000000003</v>
      </c>
      <c r="T314" s="1">
        <v>0.86619999999999997</v>
      </c>
      <c r="U314" s="1">
        <v>1.1747999999999998</v>
      </c>
      <c r="V314" s="1">
        <v>1.5896000000000001</v>
      </c>
    </row>
    <row r="315" spans="12:22" x14ac:dyDescent="0.25">
      <c r="L315" s="1">
        <v>71.3</v>
      </c>
      <c r="M315" s="1">
        <v>0.71565000000000001</v>
      </c>
      <c r="N315" s="1">
        <v>0.86529999999999996</v>
      </c>
      <c r="O315" s="1">
        <v>0.69230000000000003</v>
      </c>
      <c r="P315" s="1">
        <v>0.749</v>
      </c>
      <c r="Q315" s="1">
        <v>0.73899999999999999</v>
      </c>
      <c r="R315" s="1">
        <v>0.98240000000000005</v>
      </c>
      <c r="S315" s="1">
        <v>0.71565000000000001</v>
      </c>
      <c r="T315" s="1">
        <v>0.86529999999999996</v>
      </c>
      <c r="U315" s="1">
        <v>1.1732</v>
      </c>
      <c r="V315" s="1">
        <v>1.5884</v>
      </c>
    </row>
    <row r="316" spans="12:22" x14ac:dyDescent="0.25">
      <c r="L316" s="1">
        <v>71.400000000000006</v>
      </c>
      <c r="M316" s="1">
        <v>0.71484999999999999</v>
      </c>
      <c r="N316" s="1">
        <v>0.86450000000000005</v>
      </c>
      <c r="O316" s="1">
        <v>0.69140000000000001</v>
      </c>
      <c r="P316" s="1">
        <v>0.74819999999999998</v>
      </c>
      <c r="Q316" s="1">
        <v>0.73829999999999996</v>
      </c>
      <c r="R316" s="1">
        <v>0.98150000000000004</v>
      </c>
      <c r="S316" s="1">
        <v>0.71484999999999999</v>
      </c>
      <c r="T316" s="1">
        <v>0.86450000000000005</v>
      </c>
      <c r="U316" s="1">
        <v>1.1716</v>
      </c>
      <c r="V316" s="1">
        <v>1.5872000000000002</v>
      </c>
    </row>
    <row r="317" spans="12:22" x14ac:dyDescent="0.25">
      <c r="L317" s="1">
        <v>71.5</v>
      </c>
      <c r="M317" s="1">
        <v>0.71405000000000007</v>
      </c>
      <c r="N317" s="1">
        <v>0.86370000000000002</v>
      </c>
      <c r="O317" s="1">
        <v>0.69059999999999999</v>
      </c>
      <c r="P317" s="1">
        <v>0.74750000000000005</v>
      </c>
      <c r="Q317" s="1">
        <v>0.73750000000000004</v>
      </c>
      <c r="R317" s="1">
        <v>0.98060000000000003</v>
      </c>
      <c r="S317" s="1">
        <v>0.71405000000000007</v>
      </c>
      <c r="T317" s="1">
        <v>0.86370000000000002</v>
      </c>
      <c r="U317" s="1">
        <v>1.17</v>
      </c>
      <c r="V317" s="1">
        <v>1.5860000000000001</v>
      </c>
    </row>
    <row r="318" spans="12:22" x14ac:dyDescent="0.25">
      <c r="L318" s="1">
        <v>71.599999999999994</v>
      </c>
      <c r="M318" s="1">
        <v>0.71324999999999994</v>
      </c>
      <c r="N318" s="1">
        <v>0.86285000000000001</v>
      </c>
      <c r="O318" s="1">
        <v>0.68979999999999997</v>
      </c>
      <c r="P318" s="1">
        <v>0.74680000000000002</v>
      </c>
      <c r="Q318" s="1">
        <v>0.73670000000000002</v>
      </c>
      <c r="R318" s="1">
        <v>0.97970000000000002</v>
      </c>
      <c r="S318" s="1">
        <v>0.71324999999999994</v>
      </c>
      <c r="T318" s="1">
        <v>0.86285000000000001</v>
      </c>
      <c r="U318" s="1">
        <v>1.1683999999999999</v>
      </c>
      <c r="V318" s="1">
        <v>1.5848</v>
      </c>
    </row>
    <row r="319" spans="12:22" x14ac:dyDescent="0.25">
      <c r="L319" s="1">
        <v>71.7</v>
      </c>
      <c r="M319" s="1">
        <v>0.71250000000000002</v>
      </c>
      <c r="N319" s="1">
        <v>0.86204999999999998</v>
      </c>
      <c r="O319" s="1">
        <v>0.68899999999999995</v>
      </c>
      <c r="P319" s="1">
        <v>0.746</v>
      </c>
      <c r="Q319" s="1">
        <v>0.73599999999999999</v>
      </c>
      <c r="R319" s="1">
        <v>0.9788</v>
      </c>
      <c r="S319" s="1">
        <v>0.71250000000000002</v>
      </c>
      <c r="T319" s="1">
        <v>0.86204999999999998</v>
      </c>
      <c r="U319" s="1">
        <v>1.1667999999999998</v>
      </c>
      <c r="V319" s="1">
        <v>1.5836000000000001</v>
      </c>
    </row>
    <row r="320" spans="12:22" x14ac:dyDescent="0.25">
      <c r="L320" s="1">
        <v>71.8</v>
      </c>
      <c r="M320" s="1">
        <v>0.7117</v>
      </c>
      <c r="N320" s="1">
        <v>0.86119999999999997</v>
      </c>
      <c r="O320" s="1">
        <v>0.68820000000000003</v>
      </c>
      <c r="P320" s="1">
        <v>0.74529999999999996</v>
      </c>
      <c r="Q320" s="1">
        <v>0.73519999999999996</v>
      </c>
      <c r="R320" s="1">
        <v>0.97789999999999999</v>
      </c>
      <c r="S320" s="1">
        <v>0.7117</v>
      </c>
      <c r="T320" s="1">
        <v>0.86119999999999997</v>
      </c>
      <c r="U320" s="1">
        <v>1.1652</v>
      </c>
      <c r="V320" s="1">
        <v>1.5824</v>
      </c>
    </row>
    <row r="321" spans="12:22" x14ac:dyDescent="0.25">
      <c r="L321" s="1">
        <v>71.900000000000006</v>
      </c>
      <c r="M321" s="1">
        <v>0.71499999999999997</v>
      </c>
      <c r="N321" s="1">
        <v>0.86034999999999995</v>
      </c>
      <c r="O321" s="1">
        <v>0.69550000000000001</v>
      </c>
      <c r="P321" s="1">
        <v>0.74450000000000005</v>
      </c>
      <c r="Q321" s="1">
        <v>0.73450000000000004</v>
      </c>
      <c r="R321" s="1">
        <v>0.97689999999999999</v>
      </c>
      <c r="S321" s="1">
        <v>0.71499999999999997</v>
      </c>
      <c r="T321" s="1">
        <v>0.86034999999999995</v>
      </c>
      <c r="U321" s="1">
        <v>1.1636</v>
      </c>
      <c r="V321" s="1">
        <v>1.5812000000000002</v>
      </c>
    </row>
    <row r="322" spans="12:22" x14ac:dyDescent="0.25">
      <c r="L322" s="1">
        <v>72</v>
      </c>
      <c r="M322" s="1">
        <v>0.71019999999999994</v>
      </c>
      <c r="N322" s="1">
        <v>0.85955000000000004</v>
      </c>
      <c r="O322" s="1">
        <v>0.68669999999999998</v>
      </c>
      <c r="P322" s="1">
        <v>0.74380000000000002</v>
      </c>
      <c r="Q322" s="1">
        <v>0.73370000000000002</v>
      </c>
      <c r="R322" s="1">
        <v>0.97599999999999998</v>
      </c>
      <c r="S322" s="1">
        <v>0.71019999999999994</v>
      </c>
      <c r="T322" s="1">
        <v>0.85955000000000004</v>
      </c>
      <c r="U322" s="1">
        <v>1.1619999999999999</v>
      </c>
      <c r="V322" s="1">
        <v>1.58</v>
      </c>
    </row>
    <row r="323" spans="12:22" x14ac:dyDescent="0.25">
      <c r="L323" s="1">
        <v>72.099999999999994</v>
      </c>
      <c r="M323" s="1">
        <v>0.70944999999999991</v>
      </c>
      <c r="N323" s="1">
        <v>0.85870000000000002</v>
      </c>
      <c r="O323" s="1">
        <v>0.68589999999999995</v>
      </c>
      <c r="P323" s="1">
        <v>0.74309999999999998</v>
      </c>
      <c r="Q323" s="1">
        <v>0.73299999999999998</v>
      </c>
      <c r="R323" s="1">
        <v>0.97509999999999997</v>
      </c>
      <c r="S323" s="1">
        <v>0.70944999999999991</v>
      </c>
      <c r="T323" s="1">
        <v>0.85870000000000002</v>
      </c>
      <c r="U323" s="1">
        <v>1.1603999999999999</v>
      </c>
      <c r="V323" s="1">
        <v>1.5788</v>
      </c>
    </row>
    <row r="324" spans="12:22" x14ac:dyDescent="0.25">
      <c r="L324" s="1">
        <v>72.2</v>
      </c>
      <c r="M324" s="1">
        <v>0.70865</v>
      </c>
      <c r="N324" s="1">
        <v>0.8579</v>
      </c>
      <c r="O324" s="1">
        <v>0.68510000000000004</v>
      </c>
      <c r="P324" s="1">
        <v>0.74229999999999996</v>
      </c>
      <c r="Q324" s="1">
        <v>0.73219999999999996</v>
      </c>
      <c r="R324" s="1">
        <v>0.97419999999999995</v>
      </c>
      <c r="S324" s="1">
        <v>0.70865</v>
      </c>
      <c r="T324" s="1">
        <v>0.8579</v>
      </c>
      <c r="U324" s="1">
        <v>1.1587999999999998</v>
      </c>
      <c r="V324" s="1">
        <v>1.5776000000000001</v>
      </c>
    </row>
    <row r="325" spans="12:22" x14ac:dyDescent="0.25">
      <c r="L325" s="1">
        <v>72.3</v>
      </c>
      <c r="M325" s="1">
        <v>0.70789999999999997</v>
      </c>
      <c r="N325" s="1">
        <v>0.85714999999999997</v>
      </c>
      <c r="O325" s="1">
        <v>0.68430000000000002</v>
      </c>
      <c r="P325" s="1">
        <v>0.74160000000000004</v>
      </c>
      <c r="Q325" s="1">
        <v>0.73150000000000004</v>
      </c>
      <c r="R325" s="1">
        <v>0.97340000000000004</v>
      </c>
      <c r="S325" s="1">
        <v>0.70789999999999997</v>
      </c>
      <c r="T325" s="1">
        <v>0.85714999999999997</v>
      </c>
      <c r="U325" s="1">
        <v>1.1574</v>
      </c>
      <c r="V325" s="1">
        <v>1.5764</v>
      </c>
    </row>
    <row r="326" spans="12:22" x14ac:dyDescent="0.25">
      <c r="L326" s="1">
        <v>72.400000000000006</v>
      </c>
      <c r="M326" s="1">
        <v>0.70710000000000006</v>
      </c>
      <c r="N326" s="1">
        <v>0.85629999999999995</v>
      </c>
      <c r="O326" s="1">
        <v>0.6835</v>
      </c>
      <c r="P326" s="1">
        <v>0.7409</v>
      </c>
      <c r="Q326" s="1">
        <v>0.73070000000000002</v>
      </c>
      <c r="R326" s="1">
        <v>0.97250000000000003</v>
      </c>
      <c r="S326" s="1">
        <v>0.70710000000000006</v>
      </c>
      <c r="T326" s="1">
        <v>0.85629999999999995</v>
      </c>
      <c r="U326" s="1">
        <v>1.1561999999999999</v>
      </c>
      <c r="V326" s="1">
        <v>1.5752000000000002</v>
      </c>
    </row>
    <row r="327" spans="12:22" x14ac:dyDescent="0.25">
      <c r="L327" s="1">
        <v>72.5</v>
      </c>
      <c r="M327" s="1">
        <v>0.70639999999999992</v>
      </c>
      <c r="N327" s="1">
        <v>0.85550000000000004</v>
      </c>
      <c r="O327" s="1">
        <v>0.68279999999999996</v>
      </c>
      <c r="P327" s="1">
        <v>0.74009999999999998</v>
      </c>
      <c r="Q327" s="1">
        <v>0.73</v>
      </c>
      <c r="R327" s="1">
        <v>0.97160000000000002</v>
      </c>
      <c r="S327" s="1">
        <v>0.70639999999999992</v>
      </c>
      <c r="T327" s="1">
        <v>0.85550000000000004</v>
      </c>
      <c r="U327" s="1">
        <v>1.155</v>
      </c>
      <c r="V327" s="1">
        <v>1.5740000000000001</v>
      </c>
    </row>
    <row r="328" spans="12:22" x14ac:dyDescent="0.25">
      <c r="L328" s="1">
        <v>72.599999999999994</v>
      </c>
      <c r="M328" s="1">
        <v>0.70565</v>
      </c>
      <c r="N328" s="1">
        <v>0.85470000000000002</v>
      </c>
      <c r="O328" s="1">
        <v>0.68200000000000005</v>
      </c>
      <c r="P328" s="1">
        <v>0.73939999999999995</v>
      </c>
      <c r="Q328" s="1">
        <v>0.72929999999999995</v>
      </c>
      <c r="R328" s="1">
        <v>0.97070000000000001</v>
      </c>
      <c r="S328" s="1">
        <v>0.70565</v>
      </c>
      <c r="T328" s="1">
        <v>0.85470000000000002</v>
      </c>
      <c r="U328" s="1">
        <v>1.1534</v>
      </c>
      <c r="V328" s="1">
        <v>1.5726</v>
      </c>
    </row>
    <row r="329" spans="12:22" x14ac:dyDescent="0.25">
      <c r="L329" s="1">
        <v>72.7</v>
      </c>
      <c r="M329" s="1">
        <v>0.70484999999999998</v>
      </c>
      <c r="N329" s="1">
        <v>0.85385</v>
      </c>
      <c r="O329" s="1">
        <v>0.68120000000000003</v>
      </c>
      <c r="P329" s="1">
        <v>0.73870000000000002</v>
      </c>
      <c r="Q329" s="1">
        <v>0.72850000000000004</v>
      </c>
      <c r="R329" s="1">
        <v>0.9698</v>
      </c>
      <c r="S329" s="1">
        <v>0.70484999999999998</v>
      </c>
      <c r="T329" s="1">
        <v>0.85385</v>
      </c>
      <c r="U329" s="1">
        <v>1.1517999999999999</v>
      </c>
      <c r="V329" s="1">
        <v>1.5711999999999999</v>
      </c>
    </row>
    <row r="330" spans="12:22" x14ac:dyDescent="0.25">
      <c r="L330" s="1">
        <v>72.8</v>
      </c>
      <c r="M330" s="1">
        <v>0.70415000000000005</v>
      </c>
      <c r="N330" s="1">
        <v>0.85304999999999997</v>
      </c>
      <c r="O330" s="1">
        <v>0.68049999999999999</v>
      </c>
      <c r="P330" s="1">
        <v>0.7379</v>
      </c>
      <c r="Q330" s="1">
        <v>0.7278</v>
      </c>
      <c r="R330" s="1">
        <v>0.96889999999999998</v>
      </c>
      <c r="S330" s="1">
        <v>0.70415000000000005</v>
      </c>
      <c r="T330" s="1">
        <v>0.85304999999999997</v>
      </c>
      <c r="U330" s="1">
        <v>1.1502000000000001</v>
      </c>
      <c r="V330" s="1">
        <v>1.5698000000000001</v>
      </c>
    </row>
    <row r="331" spans="12:22" x14ac:dyDescent="0.25">
      <c r="L331" s="1">
        <v>72.900000000000006</v>
      </c>
      <c r="M331" s="1">
        <v>0.70724999999999993</v>
      </c>
      <c r="N331" s="1">
        <v>0.85229999999999995</v>
      </c>
      <c r="O331" s="1">
        <v>0.68740000000000001</v>
      </c>
      <c r="P331" s="1">
        <v>0.73719999999999997</v>
      </c>
      <c r="Q331" s="1">
        <v>0.72709999999999997</v>
      </c>
      <c r="R331" s="1">
        <v>0.96809999999999996</v>
      </c>
      <c r="S331" s="1">
        <v>0.70724999999999993</v>
      </c>
      <c r="T331" s="1">
        <v>0.85229999999999995</v>
      </c>
      <c r="U331" s="1">
        <v>1.1486000000000001</v>
      </c>
      <c r="V331" s="1">
        <v>1.5684</v>
      </c>
    </row>
    <row r="332" spans="12:22" x14ac:dyDescent="0.25">
      <c r="L332" s="1">
        <v>73</v>
      </c>
      <c r="M332" s="1">
        <v>0.70265</v>
      </c>
      <c r="N332" s="1">
        <v>0.85150000000000003</v>
      </c>
      <c r="O332" s="1">
        <v>0.67889999999999995</v>
      </c>
      <c r="P332" s="1">
        <v>0.73650000000000004</v>
      </c>
      <c r="Q332" s="1">
        <v>0.72640000000000005</v>
      </c>
      <c r="R332" s="1">
        <v>0.96719999999999995</v>
      </c>
      <c r="S332" s="1">
        <v>0.70265</v>
      </c>
      <c r="T332" s="1">
        <v>0.85150000000000003</v>
      </c>
      <c r="U332" s="1">
        <v>1.147</v>
      </c>
      <c r="V332" s="1">
        <v>1.5669999999999999</v>
      </c>
    </row>
    <row r="333" spans="12:22" x14ac:dyDescent="0.25">
      <c r="L333" s="1">
        <v>73.099999999999994</v>
      </c>
      <c r="M333" s="1">
        <v>0.70189999999999997</v>
      </c>
      <c r="N333" s="1">
        <v>0.85070000000000001</v>
      </c>
      <c r="O333" s="1">
        <v>0.67820000000000003</v>
      </c>
      <c r="P333" s="1">
        <v>0.73580000000000001</v>
      </c>
      <c r="Q333" s="1">
        <v>0.72560000000000002</v>
      </c>
      <c r="R333" s="1">
        <v>0.96630000000000005</v>
      </c>
      <c r="S333" s="1">
        <v>0.70189999999999997</v>
      </c>
      <c r="T333" s="1">
        <v>0.85070000000000001</v>
      </c>
      <c r="U333" s="1">
        <v>1.1454</v>
      </c>
      <c r="V333" s="1">
        <v>1.5657999999999999</v>
      </c>
    </row>
    <row r="334" spans="12:22" x14ac:dyDescent="0.25">
      <c r="L334" s="1">
        <v>73.2</v>
      </c>
      <c r="M334" s="1">
        <v>0.70114999999999994</v>
      </c>
      <c r="N334" s="1">
        <v>0.84989999999999999</v>
      </c>
      <c r="O334" s="1">
        <v>0.6774</v>
      </c>
      <c r="P334" s="1">
        <v>0.73509999999999998</v>
      </c>
      <c r="Q334" s="1">
        <v>0.72489999999999999</v>
      </c>
      <c r="R334" s="1">
        <v>0.96550000000000002</v>
      </c>
      <c r="S334" s="1">
        <v>0.70114999999999994</v>
      </c>
      <c r="T334" s="1">
        <v>0.84989999999999999</v>
      </c>
      <c r="U334" s="1">
        <v>1.1437999999999999</v>
      </c>
      <c r="V334" s="1">
        <v>1.5646</v>
      </c>
    </row>
    <row r="335" spans="12:22" x14ac:dyDescent="0.25">
      <c r="L335" s="1">
        <v>73.3</v>
      </c>
      <c r="M335" s="1">
        <v>0.70045000000000002</v>
      </c>
      <c r="N335" s="1">
        <v>0.84909999999999997</v>
      </c>
      <c r="O335" s="1">
        <v>0.67669999999999997</v>
      </c>
      <c r="P335" s="1">
        <v>0.73429999999999995</v>
      </c>
      <c r="Q335" s="1">
        <v>0.72419999999999995</v>
      </c>
      <c r="R335" s="1">
        <v>0.96460000000000001</v>
      </c>
      <c r="S335" s="1">
        <v>0.70045000000000002</v>
      </c>
      <c r="T335" s="1">
        <v>0.84909999999999997</v>
      </c>
      <c r="U335" s="1">
        <v>1.1422000000000001</v>
      </c>
      <c r="V335" s="1">
        <v>1.5633999999999999</v>
      </c>
    </row>
    <row r="336" spans="12:22" x14ac:dyDescent="0.25">
      <c r="L336" s="1">
        <v>73.400000000000006</v>
      </c>
      <c r="M336" s="1">
        <v>0.69975000000000009</v>
      </c>
      <c r="N336" s="1">
        <v>0.84835000000000005</v>
      </c>
      <c r="O336" s="1">
        <v>0.67600000000000005</v>
      </c>
      <c r="P336" s="1">
        <v>0.73360000000000003</v>
      </c>
      <c r="Q336" s="1">
        <v>0.72350000000000003</v>
      </c>
      <c r="R336" s="1">
        <v>0.96379999999999999</v>
      </c>
      <c r="S336" s="1">
        <v>0.69975000000000009</v>
      </c>
      <c r="T336" s="1">
        <v>0.84835000000000005</v>
      </c>
      <c r="U336" s="1">
        <v>1.1406000000000001</v>
      </c>
      <c r="V336" s="1">
        <v>1.5622</v>
      </c>
    </row>
    <row r="337" spans="12:22" x14ac:dyDescent="0.25">
      <c r="L337" s="1">
        <v>73.5</v>
      </c>
      <c r="M337" s="1">
        <v>0.69900000000000007</v>
      </c>
      <c r="N337" s="1">
        <v>0.84755000000000003</v>
      </c>
      <c r="O337" s="1">
        <v>0.67520000000000002</v>
      </c>
      <c r="P337" s="1">
        <v>0.7329</v>
      </c>
      <c r="Q337" s="1">
        <v>0.7228</v>
      </c>
      <c r="R337" s="1">
        <v>0.96289999999999998</v>
      </c>
      <c r="S337" s="1">
        <v>0.69900000000000007</v>
      </c>
      <c r="T337" s="1">
        <v>0.84755000000000003</v>
      </c>
      <c r="U337" s="1">
        <v>1.139</v>
      </c>
      <c r="V337" s="1">
        <v>1.5609999999999999</v>
      </c>
    </row>
    <row r="338" spans="12:22" x14ac:dyDescent="0.25">
      <c r="L338" s="1">
        <v>73.599999999999994</v>
      </c>
      <c r="M338" s="1">
        <v>0.69829999999999992</v>
      </c>
      <c r="N338" s="1">
        <v>0.8468</v>
      </c>
      <c r="O338" s="1">
        <v>0.67449999999999999</v>
      </c>
      <c r="P338" s="1">
        <v>0.73219999999999996</v>
      </c>
      <c r="Q338" s="1">
        <v>0.72209999999999996</v>
      </c>
      <c r="R338" s="1">
        <v>0.96209999999999996</v>
      </c>
      <c r="S338" s="1">
        <v>0.69829999999999992</v>
      </c>
      <c r="T338" s="1">
        <v>0.8468</v>
      </c>
      <c r="U338" s="1">
        <v>1.1377999999999999</v>
      </c>
      <c r="V338" s="1">
        <v>1.5597999999999999</v>
      </c>
    </row>
    <row r="339" spans="12:22" x14ac:dyDescent="0.25">
      <c r="L339" s="1">
        <v>73.7</v>
      </c>
      <c r="M339" s="1">
        <v>0.69755</v>
      </c>
      <c r="N339" s="1">
        <v>0.84604999999999997</v>
      </c>
      <c r="O339" s="1">
        <v>0.67369999999999997</v>
      </c>
      <c r="P339" s="1">
        <v>0.73150000000000004</v>
      </c>
      <c r="Q339" s="1">
        <v>0.72140000000000004</v>
      </c>
      <c r="R339" s="1">
        <v>0.96130000000000004</v>
      </c>
      <c r="S339" s="1">
        <v>0.69755</v>
      </c>
      <c r="T339" s="1">
        <v>0.84604999999999997</v>
      </c>
      <c r="U339" s="1">
        <v>1.1365999999999998</v>
      </c>
      <c r="V339" s="1">
        <v>1.5586</v>
      </c>
    </row>
    <row r="340" spans="12:22" x14ac:dyDescent="0.25">
      <c r="L340" s="1">
        <v>73.8</v>
      </c>
      <c r="M340" s="1">
        <v>0.69684999999999997</v>
      </c>
      <c r="N340" s="1">
        <v>0.84524999999999995</v>
      </c>
      <c r="O340" s="1">
        <v>0.67300000000000004</v>
      </c>
      <c r="P340" s="1">
        <v>0.73080000000000001</v>
      </c>
      <c r="Q340" s="1">
        <v>0.72070000000000001</v>
      </c>
      <c r="R340" s="1">
        <v>0.96040000000000003</v>
      </c>
      <c r="S340" s="1">
        <v>0.69684999999999997</v>
      </c>
      <c r="T340" s="1">
        <v>0.84524999999999995</v>
      </c>
      <c r="U340" s="1">
        <v>1.1352</v>
      </c>
      <c r="V340" s="1">
        <v>1.5573999999999999</v>
      </c>
    </row>
    <row r="341" spans="12:22" x14ac:dyDescent="0.25">
      <c r="L341" s="1">
        <v>73.900000000000006</v>
      </c>
      <c r="M341" s="1">
        <v>0.69984999999999997</v>
      </c>
      <c r="N341" s="1">
        <v>0.84445000000000003</v>
      </c>
      <c r="O341" s="1">
        <v>0.67969999999999997</v>
      </c>
      <c r="P341" s="1">
        <v>0.73009999999999997</v>
      </c>
      <c r="Q341" s="1">
        <v>0.72</v>
      </c>
      <c r="R341" s="1">
        <v>0.95960000000000001</v>
      </c>
      <c r="S341" s="1">
        <v>0.69984999999999997</v>
      </c>
      <c r="T341" s="1">
        <v>0.84445000000000003</v>
      </c>
      <c r="U341" s="1">
        <v>1.1335999999999999</v>
      </c>
      <c r="V341" s="1">
        <v>1.5562</v>
      </c>
    </row>
    <row r="342" spans="12:22" x14ac:dyDescent="0.25">
      <c r="L342" s="1">
        <v>74</v>
      </c>
      <c r="M342" s="1">
        <v>0.69545000000000001</v>
      </c>
      <c r="N342" s="1">
        <v>0.84365000000000001</v>
      </c>
      <c r="O342" s="1">
        <v>0.67159999999999997</v>
      </c>
      <c r="P342" s="1">
        <v>0.72929999999999995</v>
      </c>
      <c r="Q342" s="1">
        <v>0.71930000000000005</v>
      </c>
      <c r="R342" s="1">
        <v>0.9587</v>
      </c>
      <c r="S342" s="1">
        <v>0.69545000000000001</v>
      </c>
      <c r="T342" s="1">
        <v>0.84365000000000001</v>
      </c>
      <c r="U342" s="1">
        <v>1.1319999999999999</v>
      </c>
      <c r="V342" s="1">
        <v>1.5549999999999999</v>
      </c>
    </row>
    <row r="343" spans="12:22" x14ac:dyDescent="0.25">
      <c r="L343" s="1">
        <v>74.099999999999994</v>
      </c>
      <c r="M343" s="1">
        <v>0.69469999999999998</v>
      </c>
      <c r="N343" s="1">
        <v>0.84289999999999998</v>
      </c>
      <c r="O343" s="1">
        <v>0.67079999999999995</v>
      </c>
      <c r="P343" s="1">
        <v>0.72860000000000003</v>
      </c>
      <c r="Q343" s="1">
        <v>0.71860000000000002</v>
      </c>
      <c r="R343" s="1">
        <v>0.95789999999999997</v>
      </c>
      <c r="S343" s="1">
        <v>0.69469999999999998</v>
      </c>
      <c r="T343" s="1">
        <v>0.84289999999999998</v>
      </c>
      <c r="U343" s="1">
        <v>1.1303999999999998</v>
      </c>
      <c r="V343" s="1">
        <v>1.5537999999999998</v>
      </c>
    </row>
    <row r="344" spans="12:22" x14ac:dyDescent="0.25">
      <c r="L344" s="1">
        <v>74.2</v>
      </c>
      <c r="M344" s="1">
        <v>0.69399999999999995</v>
      </c>
      <c r="N344" s="1">
        <v>0.84214999999999995</v>
      </c>
      <c r="O344" s="1">
        <v>0.67010000000000003</v>
      </c>
      <c r="P344" s="1">
        <v>0.72789999999999999</v>
      </c>
      <c r="Q344" s="1">
        <v>0.71789999999999998</v>
      </c>
      <c r="R344" s="1">
        <v>0.95709999999999995</v>
      </c>
      <c r="S344" s="1">
        <v>0.69399999999999995</v>
      </c>
      <c r="T344" s="1">
        <v>0.84214999999999995</v>
      </c>
      <c r="U344" s="1">
        <v>1.1287999999999998</v>
      </c>
      <c r="V344" s="1">
        <v>1.5526</v>
      </c>
    </row>
    <row r="345" spans="12:22" x14ac:dyDescent="0.25">
      <c r="L345" s="1">
        <v>74.3</v>
      </c>
      <c r="M345" s="1">
        <v>0.69335000000000002</v>
      </c>
      <c r="N345" s="1">
        <v>0.84140000000000004</v>
      </c>
      <c r="O345" s="1">
        <v>0.6694</v>
      </c>
      <c r="P345" s="1">
        <v>0.72650000000000003</v>
      </c>
      <c r="Q345" s="1">
        <v>0.71730000000000005</v>
      </c>
      <c r="R345" s="1">
        <v>0.95630000000000004</v>
      </c>
      <c r="S345" s="1">
        <v>0.69335000000000002</v>
      </c>
      <c r="T345" s="1">
        <v>0.84140000000000004</v>
      </c>
      <c r="U345" s="1">
        <v>1.1272</v>
      </c>
      <c r="V345" s="1">
        <v>1.5513999999999999</v>
      </c>
    </row>
    <row r="346" spans="12:22" x14ac:dyDescent="0.25">
      <c r="L346" s="1">
        <v>74.400000000000006</v>
      </c>
      <c r="M346" s="1">
        <v>0.69264999999999999</v>
      </c>
      <c r="N346" s="1">
        <v>0.84065000000000001</v>
      </c>
      <c r="O346" s="1">
        <v>0.66869999999999996</v>
      </c>
      <c r="P346" s="1">
        <v>0.7258</v>
      </c>
      <c r="Q346" s="1">
        <v>0.71660000000000001</v>
      </c>
      <c r="R346" s="1">
        <v>0.95550000000000002</v>
      </c>
      <c r="S346" s="1">
        <v>0.69264999999999999</v>
      </c>
      <c r="T346" s="1">
        <v>0.84065000000000001</v>
      </c>
      <c r="U346" s="1">
        <v>1.1255999999999999</v>
      </c>
      <c r="V346" s="1">
        <v>1.5502</v>
      </c>
    </row>
    <row r="347" spans="12:22" x14ac:dyDescent="0.25">
      <c r="L347" s="1">
        <v>74.5</v>
      </c>
      <c r="M347" s="1">
        <v>0.69195000000000007</v>
      </c>
      <c r="N347" s="1">
        <v>0.83989999999999998</v>
      </c>
      <c r="O347" s="1">
        <v>0.66800000000000004</v>
      </c>
      <c r="P347" s="1">
        <v>0.72509999999999997</v>
      </c>
      <c r="Q347" s="1">
        <v>0.71589999999999998</v>
      </c>
      <c r="R347" s="1">
        <v>0.95469999999999999</v>
      </c>
      <c r="S347" s="1">
        <v>0.69195000000000007</v>
      </c>
      <c r="T347" s="1">
        <v>0.83989999999999998</v>
      </c>
      <c r="U347" s="1">
        <v>1.1240000000000001</v>
      </c>
      <c r="V347" s="1">
        <v>1.5489999999999999</v>
      </c>
    </row>
    <row r="348" spans="12:22" x14ac:dyDescent="0.25">
      <c r="L348" s="1">
        <v>74.599999999999994</v>
      </c>
      <c r="M348" s="1">
        <v>0.69125000000000003</v>
      </c>
      <c r="N348" s="1">
        <v>0.83909999999999996</v>
      </c>
      <c r="O348" s="1">
        <v>0.6673</v>
      </c>
      <c r="P348" s="1">
        <v>0.72440000000000004</v>
      </c>
      <c r="Q348" s="1">
        <v>0.71519999999999995</v>
      </c>
      <c r="R348" s="1">
        <v>0.95379999999999998</v>
      </c>
      <c r="S348" s="1">
        <v>0.69125000000000003</v>
      </c>
      <c r="T348" s="1">
        <v>0.83909999999999996</v>
      </c>
      <c r="U348" s="1">
        <v>1.1224000000000001</v>
      </c>
      <c r="V348" s="1">
        <v>1.5477999999999998</v>
      </c>
    </row>
    <row r="349" spans="12:22" x14ac:dyDescent="0.25">
      <c r="L349" s="1">
        <v>74.7</v>
      </c>
      <c r="M349" s="1">
        <v>0.69059999999999999</v>
      </c>
      <c r="N349" s="1">
        <v>0.83835000000000004</v>
      </c>
      <c r="O349" s="1">
        <v>0.66659999999999997</v>
      </c>
      <c r="P349" s="1">
        <v>0.72370000000000001</v>
      </c>
      <c r="Q349" s="1">
        <v>0.71460000000000001</v>
      </c>
      <c r="R349" s="1">
        <v>0.95299999999999996</v>
      </c>
      <c r="S349" s="1">
        <v>0.69059999999999999</v>
      </c>
      <c r="T349" s="1">
        <v>0.83835000000000004</v>
      </c>
      <c r="U349" s="1">
        <v>1.1208</v>
      </c>
      <c r="V349" s="1">
        <v>1.5466</v>
      </c>
    </row>
    <row r="350" spans="12:22" x14ac:dyDescent="0.25">
      <c r="L350" s="1">
        <v>74.8</v>
      </c>
      <c r="M350" s="1">
        <v>0.68989999999999996</v>
      </c>
      <c r="N350" s="1">
        <v>0.83760000000000001</v>
      </c>
      <c r="O350" s="1">
        <v>0.66590000000000005</v>
      </c>
      <c r="P350" s="1">
        <v>0.72299999999999998</v>
      </c>
      <c r="Q350" s="1">
        <v>0.71389999999999998</v>
      </c>
      <c r="R350" s="1">
        <v>0.95220000000000005</v>
      </c>
      <c r="S350" s="1">
        <v>0.68989999999999996</v>
      </c>
      <c r="T350" s="1">
        <v>0.83760000000000001</v>
      </c>
      <c r="U350" s="1">
        <v>1.1194000000000002</v>
      </c>
      <c r="V350" s="1">
        <v>1.5453999999999999</v>
      </c>
    </row>
    <row r="351" spans="12:22" x14ac:dyDescent="0.25">
      <c r="L351" s="1">
        <v>74.900000000000006</v>
      </c>
      <c r="M351" s="1">
        <v>0.69274999999999998</v>
      </c>
      <c r="N351" s="1">
        <v>0.83684999999999998</v>
      </c>
      <c r="O351" s="1">
        <v>0.67230000000000001</v>
      </c>
      <c r="P351" s="1">
        <v>0.72230000000000005</v>
      </c>
      <c r="Q351" s="1">
        <v>0.71319999999999995</v>
      </c>
      <c r="R351" s="1">
        <v>0.95140000000000002</v>
      </c>
      <c r="S351" s="1">
        <v>0.69274999999999998</v>
      </c>
      <c r="T351" s="1">
        <v>0.83684999999999998</v>
      </c>
      <c r="U351" s="1">
        <v>1.1182000000000001</v>
      </c>
      <c r="V351" s="1">
        <v>1.5442</v>
      </c>
    </row>
    <row r="352" spans="12:22" x14ac:dyDescent="0.25">
      <c r="L352" s="1">
        <v>75</v>
      </c>
      <c r="M352" s="1">
        <v>0.68855</v>
      </c>
      <c r="N352" s="1">
        <v>0.83609999999999995</v>
      </c>
      <c r="O352" s="1">
        <v>0.66449999999999998</v>
      </c>
      <c r="P352" s="1">
        <v>0.72189999999999999</v>
      </c>
      <c r="Q352" s="1">
        <v>0.71260000000000001</v>
      </c>
      <c r="R352" s="1">
        <v>0.9506</v>
      </c>
      <c r="S352" s="1">
        <v>0.68855</v>
      </c>
      <c r="T352" s="1">
        <v>0.83609999999999995</v>
      </c>
      <c r="U352" s="1">
        <v>1.117</v>
      </c>
      <c r="V352" s="1">
        <v>1.5429999999999999</v>
      </c>
    </row>
    <row r="353" spans="12:22" x14ac:dyDescent="0.25">
      <c r="L353" s="1">
        <v>75.099999999999994</v>
      </c>
      <c r="M353" s="1">
        <v>0.68784999999999996</v>
      </c>
      <c r="N353" s="1">
        <v>0.83535000000000004</v>
      </c>
      <c r="O353" s="1">
        <v>0.66379999999999995</v>
      </c>
      <c r="P353" s="1">
        <v>0.72160000000000002</v>
      </c>
      <c r="Q353" s="1">
        <v>0.71189999999999998</v>
      </c>
      <c r="R353" s="1">
        <v>0.94979999999999998</v>
      </c>
      <c r="S353" s="1">
        <v>0.68784999999999996</v>
      </c>
      <c r="T353" s="1">
        <v>0.83535000000000004</v>
      </c>
      <c r="U353" s="1">
        <v>1.1158000000000001</v>
      </c>
      <c r="V353" s="1">
        <v>1.5422</v>
      </c>
    </row>
    <row r="354" spans="12:22" x14ac:dyDescent="0.25">
      <c r="L354" s="1">
        <v>75.2</v>
      </c>
      <c r="M354" s="1">
        <v>0.68720000000000003</v>
      </c>
      <c r="N354" s="1">
        <v>0.83465</v>
      </c>
      <c r="O354" s="1">
        <v>0.66320000000000001</v>
      </c>
      <c r="P354" s="1">
        <v>0.72089999999999999</v>
      </c>
      <c r="Q354" s="1">
        <v>0.71120000000000005</v>
      </c>
      <c r="R354" s="1">
        <v>0.94910000000000005</v>
      </c>
      <c r="S354" s="1">
        <v>0.68720000000000003</v>
      </c>
      <c r="T354" s="1">
        <v>0.83465</v>
      </c>
      <c r="U354" s="1">
        <v>1.1146</v>
      </c>
      <c r="V354" s="1">
        <v>1.5413999999999999</v>
      </c>
    </row>
    <row r="355" spans="12:22" x14ac:dyDescent="0.25">
      <c r="L355" s="1">
        <v>75.3</v>
      </c>
      <c r="M355" s="1">
        <v>0.6865</v>
      </c>
      <c r="N355" s="1">
        <v>0.83394999999999997</v>
      </c>
      <c r="O355" s="1">
        <v>0.66239999999999999</v>
      </c>
      <c r="P355" s="1">
        <v>0.72019999999999995</v>
      </c>
      <c r="Q355" s="1">
        <v>0.71060000000000001</v>
      </c>
      <c r="R355" s="1">
        <v>0.94830000000000003</v>
      </c>
      <c r="S355" s="1">
        <v>0.6865</v>
      </c>
      <c r="T355" s="1">
        <v>0.83394999999999997</v>
      </c>
      <c r="U355" s="1">
        <v>1.1132000000000002</v>
      </c>
      <c r="V355" s="1">
        <v>1.5406</v>
      </c>
    </row>
    <row r="356" spans="12:22" x14ac:dyDescent="0.25">
      <c r="L356" s="1">
        <v>75.400000000000006</v>
      </c>
      <c r="M356" s="1">
        <v>0.68579999999999997</v>
      </c>
      <c r="N356" s="1">
        <v>0.83320000000000005</v>
      </c>
      <c r="O356" s="1">
        <v>0.66169999999999995</v>
      </c>
      <c r="P356" s="1">
        <v>0.71960000000000002</v>
      </c>
      <c r="Q356" s="1">
        <v>0.70989999999999998</v>
      </c>
      <c r="R356" s="1">
        <v>0.94750000000000001</v>
      </c>
      <c r="S356" s="1">
        <v>0.68579999999999997</v>
      </c>
      <c r="T356" s="1">
        <v>0.83320000000000005</v>
      </c>
      <c r="U356" s="1">
        <v>1.1116000000000001</v>
      </c>
      <c r="V356" s="1">
        <v>1.5397999999999998</v>
      </c>
    </row>
    <row r="357" spans="12:22" x14ac:dyDescent="0.25">
      <c r="L357" s="1">
        <v>75.5</v>
      </c>
      <c r="M357" s="1">
        <v>0.68515000000000004</v>
      </c>
      <c r="N357" s="1">
        <v>0.83245000000000002</v>
      </c>
      <c r="O357" s="1">
        <v>0.66100000000000003</v>
      </c>
      <c r="P357" s="1">
        <v>0.71889999999999998</v>
      </c>
      <c r="Q357" s="1">
        <v>0.70930000000000004</v>
      </c>
      <c r="R357" s="1">
        <v>0.94669999999999999</v>
      </c>
      <c r="S357" s="1">
        <v>0.68515000000000004</v>
      </c>
      <c r="T357" s="1">
        <v>0.83245000000000002</v>
      </c>
      <c r="U357" s="1">
        <v>1.1100000000000001</v>
      </c>
      <c r="V357" s="1">
        <v>1.5389999999999999</v>
      </c>
    </row>
    <row r="358" spans="12:22" x14ac:dyDescent="0.25">
      <c r="L358" s="1">
        <v>75.599999999999994</v>
      </c>
      <c r="M358" s="1">
        <v>0.68445</v>
      </c>
      <c r="N358" s="1">
        <v>0.83169999999999999</v>
      </c>
      <c r="O358" s="1">
        <v>0.6603</v>
      </c>
      <c r="P358" s="1">
        <v>0.71819999999999995</v>
      </c>
      <c r="Q358" s="1">
        <v>0.70860000000000001</v>
      </c>
      <c r="R358" s="1">
        <v>0.94589999999999996</v>
      </c>
      <c r="S358" s="1">
        <v>0.68445</v>
      </c>
      <c r="T358" s="1">
        <v>0.83169999999999999</v>
      </c>
      <c r="U358" s="1">
        <v>1.1088</v>
      </c>
      <c r="V358" s="1">
        <v>1.538</v>
      </c>
    </row>
    <row r="359" spans="12:22" x14ac:dyDescent="0.25">
      <c r="L359" s="1">
        <v>75.7</v>
      </c>
      <c r="M359" s="1">
        <v>0.68384999999999996</v>
      </c>
      <c r="N359" s="1">
        <v>0.83099999999999996</v>
      </c>
      <c r="O359" s="1">
        <v>0.65969999999999995</v>
      </c>
      <c r="P359" s="1">
        <v>0.71750000000000003</v>
      </c>
      <c r="Q359" s="1">
        <v>0.70799999999999996</v>
      </c>
      <c r="R359" s="1">
        <v>0.94520000000000004</v>
      </c>
      <c r="S359" s="1">
        <v>0.68384999999999996</v>
      </c>
      <c r="T359" s="1">
        <v>0.83099999999999996</v>
      </c>
      <c r="U359" s="1">
        <v>1.1075999999999999</v>
      </c>
      <c r="V359" s="1">
        <v>1.5369999999999999</v>
      </c>
    </row>
    <row r="360" spans="12:22" x14ac:dyDescent="0.25">
      <c r="L360" s="1">
        <v>75.8</v>
      </c>
      <c r="M360" s="1">
        <v>0.68320000000000003</v>
      </c>
      <c r="N360" s="1">
        <v>0.83025000000000004</v>
      </c>
      <c r="O360" s="1">
        <v>0.65900000000000003</v>
      </c>
      <c r="P360" s="1">
        <v>0.71679999999999999</v>
      </c>
      <c r="Q360" s="1">
        <v>0.70740000000000003</v>
      </c>
      <c r="R360" s="1">
        <v>0.94440000000000002</v>
      </c>
      <c r="S360" s="1">
        <v>0.68320000000000003</v>
      </c>
      <c r="T360" s="1">
        <v>0.83025000000000004</v>
      </c>
      <c r="U360" s="1">
        <v>1.1062000000000001</v>
      </c>
      <c r="V360" s="1">
        <v>1.536</v>
      </c>
    </row>
    <row r="361" spans="12:22" x14ac:dyDescent="0.25">
      <c r="L361" s="1">
        <v>75.900000000000006</v>
      </c>
      <c r="M361" s="1">
        <v>0.68595000000000006</v>
      </c>
      <c r="N361" s="1">
        <v>0.82950000000000002</v>
      </c>
      <c r="O361" s="1">
        <v>0.66520000000000001</v>
      </c>
      <c r="P361" s="1">
        <v>0.71609999999999996</v>
      </c>
      <c r="Q361" s="1">
        <v>0.70669999999999999</v>
      </c>
      <c r="R361" s="1">
        <v>0.94359999999999999</v>
      </c>
      <c r="S361" s="1">
        <v>0.68595000000000006</v>
      </c>
      <c r="T361" s="1">
        <v>0.82950000000000002</v>
      </c>
      <c r="U361" s="1">
        <v>1.1046</v>
      </c>
      <c r="V361" s="1">
        <v>1.5349999999999999</v>
      </c>
    </row>
    <row r="362" spans="12:22" x14ac:dyDescent="0.25">
      <c r="L362" s="1">
        <v>76</v>
      </c>
      <c r="M362" s="1">
        <v>0.68189999999999995</v>
      </c>
      <c r="N362" s="1">
        <v>0.82884999999999998</v>
      </c>
      <c r="O362" s="1">
        <v>0.65769999999999995</v>
      </c>
      <c r="P362" s="1">
        <v>0.71540000000000004</v>
      </c>
      <c r="Q362" s="1">
        <v>0.70609999999999995</v>
      </c>
      <c r="R362" s="1">
        <v>0.94289999999999996</v>
      </c>
      <c r="S362" s="1">
        <v>0.68189999999999995</v>
      </c>
      <c r="T362" s="1">
        <v>0.82884999999999998</v>
      </c>
      <c r="U362" s="1">
        <v>1.103</v>
      </c>
      <c r="V362" s="1">
        <v>1.534</v>
      </c>
    </row>
    <row r="363" spans="12:22" x14ac:dyDescent="0.25">
      <c r="L363" s="1">
        <v>76.099999999999994</v>
      </c>
      <c r="M363" s="1">
        <v>0.68125000000000002</v>
      </c>
      <c r="N363" s="1">
        <v>0.82809999999999995</v>
      </c>
      <c r="O363" s="1">
        <v>0.65700000000000003</v>
      </c>
      <c r="P363" s="1">
        <v>0.71479999999999999</v>
      </c>
      <c r="Q363" s="1">
        <v>0.70550000000000002</v>
      </c>
      <c r="R363" s="1">
        <v>0.94210000000000005</v>
      </c>
      <c r="S363" s="1">
        <v>0.68125000000000002</v>
      </c>
      <c r="T363" s="1">
        <v>0.82809999999999995</v>
      </c>
      <c r="U363" s="1">
        <v>1.1018000000000001</v>
      </c>
      <c r="V363" s="1">
        <v>1.5329999999999999</v>
      </c>
    </row>
    <row r="364" spans="12:22" x14ac:dyDescent="0.25">
      <c r="L364" s="1">
        <v>76.2</v>
      </c>
      <c r="M364" s="1">
        <v>0.68054999999999999</v>
      </c>
      <c r="N364" s="1">
        <v>0.82740000000000002</v>
      </c>
      <c r="O364" s="1">
        <v>0.65629999999999999</v>
      </c>
      <c r="P364" s="1">
        <v>0.71409999999999996</v>
      </c>
      <c r="Q364" s="1">
        <v>0.70479999999999998</v>
      </c>
      <c r="R364" s="1">
        <v>0.94140000000000001</v>
      </c>
      <c r="S364" s="1">
        <v>0.68054999999999999</v>
      </c>
      <c r="T364" s="1">
        <v>0.82740000000000002</v>
      </c>
      <c r="U364" s="1">
        <v>1.1006</v>
      </c>
      <c r="V364" s="1">
        <v>1.532</v>
      </c>
    </row>
    <row r="365" spans="12:22" x14ac:dyDescent="0.25">
      <c r="L365" s="1">
        <v>76.3</v>
      </c>
      <c r="M365" s="1">
        <v>0.67995000000000005</v>
      </c>
      <c r="N365" s="1">
        <v>0.82665</v>
      </c>
      <c r="O365" s="1">
        <v>0.65569999999999995</v>
      </c>
      <c r="P365" s="1">
        <v>0.71340000000000003</v>
      </c>
      <c r="Q365" s="1">
        <v>0.70420000000000005</v>
      </c>
      <c r="R365" s="1">
        <v>0.94059999999999999</v>
      </c>
      <c r="S365" s="1">
        <v>0.67995000000000005</v>
      </c>
      <c r="T365" s="1">
        <v>0.82665</v>
      </c>
      <c r="U365" s="1">
        <v>1.0992000000000002</v>
      </c>
      <c r="V365" s="1">
        <v>1.5309999999999999</v>
      </c>
    </row>
    <row r="366" spans="12:22" x14ac:dyDescent="0.25">
      <c r="L366" s="1">
        <v>76.400000000000006</v>
      </c>
      <c r="M366" s="1">
        <v>0.67930000000000001</v>
      </c>
      <c r="N366" s="1">
        <v>0.82594999999999996</v>
      </c>
      <c r="O366" s="1">
        <v>0.65500000000000003</v>
      </c>
      <c r="P366" s="1">
        <v>0.7127</v>
      </c>
      <c r="Q366" s="1">
        <v>0.7036</v>
      </c>
      <c r="R366" s="1">
        <v>0.93989999999999996</v>
      </c>
      <c r="S366" s="1">
        <v>0.67930000000000001</v>
      </c>
      <c r="T366" s="1">
        <v>0.82594999999999996</v>
      </c>
      <c r="U366" s="1">
        <v>1.0976000000000001</v>
      </c>
      <c r="V366" s="1">
        <v>1.53</v>
      </c>
    </row>
    <row r="367" spans="12:22" x14ac:dyDescent="0.25">
      <c r="L367" s="1">
        <v>76.5</v>
      </c>
      <c r="M367" s="1">
        <v>0.67859999999999998</v>
      </c>
      <c r="N367" s="1">
        <v>0.82525000000000004</v>
      </c>
      <c r="O367" s="1">
        <v>0.65429999999999999</v>
      </c>
      <c r="P367" s="1">
        <v>0.71199999999999997</v>
      </c>
      <c r="Q367" s="1">
        <v>0.70289999999999997</v>
      </c>
      <c r="R367" s="1">
        <v>0.93910000000000005</v>
      </c>
      <c r="S367" s="1">
        <v>0.67859999999999998</v>
      </c>
      <c r="T367" s="1">
        <v>0.82525000000000004</v>
      </c>
      <c r="U367" s="1">
        <v>1.0960000000000001</v>
      </c>
      <c r="V367" s="1">
        <v>1.5289999999999999</v>
      </c>
    </row>
    <row r="368" spans="12:22" x14ac:dyDescent="0.25">
      <c r="L368" s="1">
        <v>76.599999999999994</v>
      </c>
      <c r="M368" s="1">
        <v>0.67799999999999994</v>
      </c>
      <c r="N368" s="1">
        <v>0.82455000000000001</v>
      </c>
      <c r="O368" s="1">
        <v>0.65369999999999995</v>
      </c>
      <c r="P368" s="1">
        <v>0.71140000000000003</v>
      </c>
      <c r="Q368" s="1">
        <v>0.70230000000000004</v>
      </c>
      <c r="R368" s="1">
        <v>0.93840000000000001</v>
      </c>
      <c r="S368" s="1">
        <v>0.67799999999999994</v>
      </c>
      <c r="T368" s="1">
        <v>0.82455000000000001</v>
      </c>
      <c r="U368" s="1">
        <v>1.0948</v>
      </c>
      <c r="V368" s="1">
        <v>1.528</v>
      </c>
    </row>
    <row r="369" spans="12:22" x14ac:dyDescent="0.25">
      <c r="L369" s="1">
        <v>76.7</v>
      </c>
      <c r="M369" s="1">
        <v>0.67735000000000001</v>
      </c>
      <c r="N369" s="1">
        <v>0.82379999999999998</v>
      </c>
      <c r="O369" s="1">
        <v>0.65300000000000002</v>
      </c>
      <c r="P369" s="1">
        <v>0.7107</v>
      </c>
      <c r="Q369" s="1">
        <v>0.70169999999999999</v>
      </c>
      <c r="R369" s="1">
        <v>0.93759999999999999</v>
      </c>
      <c r="S369" s="1">
        <v>0.67735000000000001</v>
      </c>
      <c r="T369" s="1">
        <v>0.82379999999999998</v>
      </c>
      <c r="U369" s="1">
        <v>1.0935999999999999</v>
      </c>
      <c r="V369" s="1">
        <v>1.5269999999999999</v>
      </c>
    </row>
    <row r="370" spans="12:22" x14ac:dyDescent="0.25">
      <c r="L370" s="1">
        <v>76.8</v>
      </c>
      <c r="M370" s="1">
        <v>0.67674999999999996</v>
      </c>
      <c r="N370" s="1">
        <v>0.82315000000000005</v>
      </c>
      <c r="O370" s="1">
        <v>0.65239999999999998</v>
      </c>
      <c r="P370" s="1">
        <v>0.71</v>
      </c>
      <c r="Q370" s="1">
        <v>0.70109999999999995</v>
      </c>
      <c r="R370" s="1">
        <v>0.93689999999999996</v>
      </c>
      <c r="S370" s="1">
        <v>0.67674999999999996</v>
      </c>
      <c r="T370" s="1">
        <v>0.82315000000000005</v>
      </c>
      <c r="U370" s="1">
        <v>1.0924</v>
      </c>
      <c r="V370" s="1">
        <v>1.526</v>
      </c>
    </row>
    <row r="371" spans="12:22" x14ac:dyDescent="0.25">
      <c r="L371" s="1">
        <v>76.900000000000006</v>
      </c>
      <c r="M371" s="1">
        <v>0.6794</v>
      </c>
      <c r="N371" s="1">
        <v>0.82245000000000001</v>
      </c>
      <c r="O371" s="1">
        <v>0.6583</v>
      </c>
      <c r="P371" s="1">
        <v>0.70940000000000003</v>
      </c>
      <c r="Q371" s="1">
        <v>0.70050000000000001</v>
      </c>
      <c r="R371" s="1">
        <v>0.93620000000000003</v>
      </c>
      <c r="S371" s="1">
        <v>0.6794</v>
      </c>
      <c r="T371" s="1">
        <v>0.82245000000000001</v>
      </c>
      <c r="U371" s="1">
        <v>1.0911999999999999</v>
      </c>
      <c r="V371" s="1">
        <v>1.5249999999999999</v>
      </c>
    </row>
    <row r="372" spans="12:22" x14ac:dyDescent="0.25">
      <c r="L372" s="1">
        <v>77</v>
      </c>
      <c r="M372" s="1">
        <v>0.67549999999999999</v>
      </c>
      <c r="N372" s="1">
        <v>0.82169999999999999</v>
      </c>
      <c r="O372" s="1">
        <v>0.65110000000000001</v>
      </c>
      <c r="P372" s="1">
        <v>0.7087</v>
      </c>
      <c r="Q372" s="1">
        <v>0.69989999999999997</v>
      </c>
      <c r="R372" s="1">
        <v>0.93540000000000001</v>
      </c>
      <c r="S372" s="1">
        <v>0.67549999999999999</v>
      </c>
      <c r="T372" s="1">
        <v>0.82169999999999999</v>
      </c>
      <c r="U372" s="1">
        <v>1.0900000000000001</v>
      </c>
      <c r="V372" s="1">
        <v>1.524</v>
      </c>
    </row>
    <row r="373" spans="12:22" x14ac:dyDescent="0.25">
      <c r="L373" s="1">
        <v>77.099999999999994</v>
      </c>
      <c r="M373" s="1">
        <v>0.67490000000000006</v>
      </c>
      <c r="N373" s="1">
        <v>0.82104999999999995</v>
      </c>
      <c r="O373" s="1">
        <v>0.65049999999999997</v>
      </c>
      <c r="P373" s="1">
        <v>0.70799999999999996</v>
      </c>
      <c r="Q373" s="1">
        <v>0.69930000000000003</v>
      </c>
      <c r="R373" s="1">
        <v>0.93469999999999998</v>
      </c>
      <c r="S373" s="1">
        <v>0.67490000000000006</v>
      </c>
      <c r="T373" s="1">
        <v>0.82104999999999995</v>
      </c>
      <c r="U373" s="1">
        <v>1.0888</v>
      </c>
      <c r="V373" s="1">
        <v>1.5229999999999999</v>
      </c>
    </row>
    <row r="374" spans="12:22" x14ac:dyDescent="0.25">
      <c r="L374" s="1">
        <v>77.2</v>
      </c>
      <c r="M374" s="1">
        <v>0.67425000000000002</v>
      </c>
      <c r="N374" s="1">
        <v>0.82035000000000002</v>
      </c>
      <c r="O374" s="1">
        <v>0.64980000000000004</v>
      </c>
      <c r="P374" s="1">
        <v>0.70740000000000003</v>
      </c>
      <c r="Q374" s="1">
        <v>0.69869999999999999</v>
      </c>
      <c r="R374" s="1">
        <v>0.93400000000000005</v>
      </c>
      <c r="S374" s="1">
        <v>0.67425000000000002</v>
      </c>
      <c r="T374" s="1">
        <v>0.82035000000000002</v>
      </c>
      <c r="U374" s="1">
        <v>1.0875999999999999</v>
      </c>
      <c r="V374" s="1">
        <v>1.522</v>
      </c>
    </row>
    <row r="375" spans="12:22" x14ac:dyDescent="0.25">
      <c r="L375" s="1">
        <v>77.3</v>
      </c>
      <c r="M375" s="1">
        <v>0.67365000000000008</v>
      </c>
      <c r="N375" s="1">
        <v>0.81964999999999999</v>
      </c>
      <c r="O375" s="1">
        <v>0.6492</v>
      </c>
      <c r="P375" s="1">
        <v>0.70669999999999999</v>
      </c>
      <c r="Q375" s="1">
        <v>0.69810000000000005</v>
      </c>
      <c r="R375" s="1">
        <v>0.93330000000000002</v>
      </c>
      <c r="S375" s="1">
        <v>0.67365000000000008</v>
      </c>
      <c r="T375" s="1">
        <v>0.81964999999999999</v>
      </c>
      <c r="U375" s="1">
        <v>1.0864</v>
      </c>
      <c r="V375" s="1">
        <v>1.5209999999999999</v>
      </c>
    </row>
    <row r="376" spans="12:22" x14ac:dyDescent="0.25">
      <c r="L376" s="1">
        <v>77.400000000000006</v>
      </c>
      <c r="M376" s="1">
        <v>0.67304999999999993</v>
      </c>
      <c r="N376" s="1">
        <v>0.81899999999999995</v>
      </c>
      <c r="O376" s="1">
        <v>0.64859999999999995</v>
      </c>
      <c r="P376" s="1">
        <v>0.70599999999999996</v>
      </c>
      <c r="Q376" s="1">
        <v>0.69750000000000001</v>
      </c>
      <c r="R376" s="1">
        <v>0.93259999999999998</v>
      </c>
      <c r="S376" s="1">
        <v>0.67304999999999993</v>
      </c>
      <c r="T376" s="1">
        <v>0.81899999999999995</v>
      </c>
      <c r="U376" s="1">
        <v>1.0851999999999999</v>
      </c>
      <c r="V376" s="1">
        <v>1.52</v>
      </c>
    </row>
    <row r="377" spans="12:22" x14ac:dyDescent="0.25">
      <c r="L377" s="1">
        <v>77.5</v>
      </c>
      <c r="M377" s="1">
        <v>0.6724</v>
      </c>
      <c r="N377" s="1">
        <v>0.81825000000000003</v>
      </c>
      <c r="O377" s="1">
        <v>0.64790000000000003</v>
      </c>
      <c r="P377" s="1">
        <v>0.70540000000000003</v>
      </c>
      <c r="Q377" s="1">
        <v>0.69689999999999996</v>
      </c>
      <c r="R377" s="1">
        <v>0.93179999999999996</v>
      </c>
      <c r="S377" s="1">
        <v>0.6724</v>
      </c>
      <c r="T377" s="1">
        <v>0.81825000000000003</v>
      </c>
      <c r="U377" s="1">
        <v>1.0840000000000001</v>
      </c>
      <c r="V377" s="1">
        <v>1.5189999999999999</v>
      </c>
    </row>
    <row r="378" spans="12:22" x14ac:dyDescent="0.25">
      <c r="L378" s="1">
        <v>77.599999999999994</v>
      </c>
      <c r="M378" s="1">
        <v>0.67179999999999995</v>
      </c>
      <c r="N378" s="1">
        <v>0.81755</v>
      </c>
      <c r="O378" s="1">
        <v>0.64729999999999999</v>
      </c>
      <c r="P378" s="1">
        <v>0.70469999999999999</v>
      </c>
      <c r="Q378" s="1">
        <v>0.69630000000000003</v>
      </c>
      <c r="R378" s="1">
        <v>0.93110000000000004</v>
      </c>
      <c r="S378" s="1">
        <v>0.67179999999999995</v>
      </c>
      <c r="T378" s="1">
        <v>0.81755</v>
      </c>
      <c r="U378" s="1">
        <v>1.0828</v>
      </c>
      <c r="V378" s="1">
        <v>1.5182</v>
      </c>
    </row>
    <row r="379" spans="12:22" x14ac:dyDescent="0.25">
      <c r="L379" s="1">
        <v>77.7</v>
      </c>
      <c r="M379" s="1">
        <v>0.67120000000000002</v>
      </c>
      <c r="N379" s="1">
        <v>0.81689999999999996</v>
      </c>
      <c r="O379" s="1">
        <v>0.64670000000000005</v>
      </c>
      <c r="P379" s="1">
        <v>0.70399999999999996</v>
      </c>
      <c r="Q379" s="1">
        <v>0.69569999999999999</v>
      </c>
      <c r="R379" s="1">
        <v>0.9304</v>
      </c>
      <c r="S379" s="1">
        <v>0.67120000000000002</v>
      </c>
      <c r="T379" s="1">
        <v>0.81689999999999996</v>
      </c>
      <c r="U379" s="1">
        <v>1.0815999999999999</v>
      </c>
      <c r="V379" s="1">
        <v>1.5173999999999999</v>
      </c>
    </row>
    <row r="380" spans="12:22" x14ac:dyDescent="0.25">
      <c r="L380" s="1">
        <v>77.8</v>
      </c>
      <c r="M380" s="1">
        <v>0.67060000000000008</v>
      </c>
      <c r="N380" s="1">
        <v>0.81620000000000004</v>
      </c>
      <c r="O380" s="1">
        <v>0.64610000000000001</v>
      </c>
      <c r="P380" s="1">
        <v>0.70340000000000003</v>
      </c>
      <c r="Q380" s="1">
        <v>0.69510000000000005</v>
      </c>
      <c r="R380" s="1">
        <v>0.92969999999999997</v>
      </c>
      <c r="S380" s="1">
        <v>0.67060000000000008</v>
      </c>
      <c r="T380" s="1">
        <v>0.81620000000000004</v>
      </c>
      <c r="U380" s="1">
        <v>1.0804</v>
      </c>
      <c r="V380" s="1">
        <v>1.5165999999999999</v>
      </c>
    </row>
    <row r="381" spans="12:22" x14ac:dyDescent="0.25">
      <c r="L381" s="1">
        <v>77.900000000000006</v>
      </c>
      <c r="M381" s="1">
        <v>0.67310000000000003</v>
      </c>
      <c r="N381" s="1">
        <v>0.81555</v>
      </c>
      <c r="O381" s="1">
        <v>0.65169999999999995</v>
      </c>
      <c r="P381" s="1">
        <v>0.70269999999999999</v>
      </c>
      <c r="Q381" s="1">
        <v>0.69450000000000001</v>
      </c>
      <c r="R381" s="1">
        <v>0.92900000000000005</v>
      </c>
      <c r="S381" s="1">
        <v>0.67310000000000003</v>
      </c>
      <c r="T381" s="1">
        <v>0.81555</v>
      </c>
      <c r="U381" s="1">
        <v>1.0791999999999999</v>
      </c>
      <c r="V381" s="1">
        <v>1.5157999999999998</v>
      </c>
    </row>
    <row r="382" spans="12:22" x14ac:dyDescent="0.25">
      <c r="L382" s="1">
        <v>78</v>
      </c>
      <c r="M382" s="1">
        <v>0.66935</v>
      </c>
      <c r="N382" s="1">
        <v>0.81484999999999996</v>
      </c>
      <c r="O382" s="1">
        <v>0.64480000000000004</v>
      </c>
      <c r="P382" s="1">
        <v>0.70209999999999995</v>
      </c>
      <c r="Q382" s="1">
        <v>0.69389999999999996</v>
      </c>
      <c r="R382" s="1">
        <v>0.92830000000000001</v>
      </c>
      <c r="S382" s="1">
        <v>0.66935</v>
      </c>
      <c r="T382" s="1">
        <v>0.81484999999999996</v>
      </c>
      <c r="U382" s="1">
        <v>1.0780000000000001</v>
      </c>
      <c r="V382" s="1">
        <v>1.5149999999999999</v>
      </c>
    </row>
    <row r="383" spans="12:22" x14ac:dyDescent="0.25">
      <c r="L383" s="1">
        <v>78.099999999999994</v>
      </c>
      <c r="M383" s="1">
        <v>0.66874999999999996</v>
      </c>
      <c r="N383" s="1">
        <v>0.81415000000000004</v>
      </c>
      <c r="O383" s="1">
        <v>0.64419999999999999</v>
      </c>
      <c r="P383" s="1">
        <v>0.70140000000000002</v>
      </c>
      <c r="Q383" s="1">
        <v>0.69330000000000003</v>
      </c>
      <c r="R383" s="1">
        <v>0.92759999999999998</v>
      </c>
      <c r="S383" s="1">
        <v>0.66874999999999996</v>
      </c>
      <c r="T383" s="1">
        <v>0.81415000000000004</v>
      </c>
      <c r="U383" s="1">
        <v>1.0768</v>
      </c>
      <c r="V383" s="1">
        <v>1.514</v>
      </c>
    </row>
    <row r="384" spans="12:22" x14ac:dyDescent="0.25">
      <c r="L384" s="1">
        <v>78.2</v>
      </c>
      <c r="M384" s="1">
        <v>0.66815000000000002</v>
      </c>
      <c r="N384" s="1">
        <v>0.8135</v>
      </c>
      <c r="O384" s="1">
        <v>0.64359999999999995</v>
      </c>
      <c r="P384" s="1">
        <v>0.70069999999999999</v>
      </c>
      <c r="Q384" s="1">
        <v>0.69269999999999998</v>
      </c>
      <c r="R384" s="1">
        <v>0.92689999999999995</v>
      </c>
      <c r="S384" s="1">
        <v>0.66815000000000002</v>
      </c>
      <c r="T384" s="1">
        <v>0.8135</v>
      </c>
      <c r="U384" s="1">
        <v>1.0755999999999999</v>
      </c>
      <c r="V384" s="1">
        <v>1.5129999999999999</v>
      </c>
    </row>
    <row r="385" spans="12:22" x14ac:dyDescent="0.25">
      <c r="L385" s="1">
        <v>78.3</v>
      </c>
      <c r="M385" s="1">
        <v>0.66759999999999997</v>
      </c>
      <c r="N385" s="1">
        <v>0.81284999999999996</v>
      </c>
      <c r="O385" s="1">
        <v>0.64300000000000002</v>
      </c>
      <c r="P385" s="1">
        <v>0.70009999999999994</v>
      </c>
      <c r="Q385" s="1">
        <v>0.69220000000000004</v>
      </c>
      <c r="R385" s="1">
        <v>0.92630000000000001</v>
      </c>
      <c r="S385" s="1">
        <v>0.66759999999999997</v>
      </c>
      <c r="T385" s="1">
        <v>0.81284999999999996</v>
      </c>
      <c r="U385" s="1">
        <v>1.0744</v>
      </c>
      <c r="V385" s="1">
        <v>1.512</v>
      </c>
    </row>
    <row r="386" spans="12:22" x14ac:dyDescent="0.25">
      <c r="L386" s="1">
        <v>78.400000000000006</v>
      </c>
      <c r="M386" s="1">
        <v>0.66700000000000004</v>
      </c>
      <c r="N386" s="1">
        <v>0.81220000000000003</v>
      </c>
      <c r="O386" s="1">
        <v>0.64239999999999997</v>
      </c>
      <c r="P386" s="1">
        <v>0.69940000000000002</v>
      </c>
      <c r="Q386" s="1">
        <v>0.69159999999999999</v>
      </c>
      <c r="R386" s="1">
        <v>0.92559999999999998</v>
      </c>
      <c r="S386" s="1">
        <v>0.66700000000000004</v>
      </c>
      <c r="T386" s="1">
        <v>0.81220000000000003</v>
      </c>
      <c r="U386" s="1">
        <v>1.0731999999999999</v>
      </c>
      <c r="V386" s="1">
        <v>1.5109999999999999</v>
      </c>
    </row>
    <row r="387" spans="12:22" x14ac:dyDescent="0.25">
      <c r="L387" s="1">
        <v>78.5</v>
      </c>
      <c r="M387" s="1">
        <v>0.66639999999999999</v>
      </c>
      <c r="N387" s="1">
        <v>0.8115</v>
      </c>
      <c r="O387" s="1">
        <v>0.64180000000000004</v>
      </c>
      <c r="P387" s="1">
        <v>0.69879999999999998</v>
      </c>
      <c r="Q387" s="1">
        <v>0.69099999999999995</v>
      </c>
      <c r="R387" s="1">
        <v>0.92490000000000006</v>
      </c>
      <c r="S387" s="1">
        <v>0.66639999999999999</v>
      </c>
      <c r="T387" s="1">
        <v>0.8115</v>
      </c>
      <c r="U387" s="1">
        <v>1.0720000000000001</v>
      </c>
      <c r="V387" s="1">
        <v>1.51</v>
      </c>
    </row>
    <row r="388" spans="12:22" x14ac:dyDescent="0.25">
      <c r="L388" s="1">
        <v>78.599999999999994</v>
      </c>
      <c r="M388" s="1">
        <v>0.66585000000000005</v>
      </c>
      <c r="N388" s="1">
        <v>0.81084999999999996</v>
      </c>
      <c r="O388" s="1">
        <v>0.64119999999999999</v>
      </c>
      <c r="P388" s="1">
        <v>0.69810000000000005</v>
      </c>
      <c r="Q388" s="1">
        <v>0.6905</v>
      </c>
      <c r="R388" s="1">
        <v>0.92420000000000002</v>
      </c>
      <c r="S388" s="1">
        <v>0.66585000000000005</v>
      </c>
      <c r="T388" s="1">
        <v>0.81084999999999996</v>
      </c>
      <c r="U388" s="1">
        <v>1.0708</v>
      </c>
      <c r="V388" s="1">
        <v>1.5092000000000001</v>
      </c>
    </row>
    <row r="389" spans="12:22" x14ac:dyDescent="0.25">
      <c r="L389" s="1">
        <v>78.7</v>
      </c>
      <c r="M389" s="1">
        <v>0.66520000000000001</v>
      </c>
      <c r="N389" s="1">
        <v>0.81015000000000004</v>
      </c>
      <c r="O389" s="1">
        <v>0.64049999999999996</v>
      </c>
      <c r="P389" s="1">
        <v>0.69750000000000001</v>
      </c>
      <c r="Q389" s="1">
        <v>0.68989999999999996</v>
      </c>
      <c r="R389" s="1">
        <v>0.92349999999999999</v>
      </c>
      <c r="S389" s="1">
        <v>0.66520000000000001</v>
      </c>
      <c r="T389" s="1">
        <v>0.81015000000000004</v>
      </c>
      <c r="U389" s="1">
        <v>1.0695999999999999</v>
      </c>
      <c r="V389" s="1">
        <v>1.5084</v>
      </c>
    </row>
    <row r="390" spans="12:22" x14ac:dyDescent="0.25">
      <c r="L390" s="1">
        <v>78.8</v>
      </c>
      <c r="M390" s="1">
        <v>0.66460000000000008</v>
      </c>
      <c r="N390" s="1">
        <v>0.80954999999999999</v>
      </c>
      <c r="O390" s="1">
        <v>0.63990000000000002</v>
      </c>
      <c r="P390" s="1">
        <v>0.69679999999999997</v>
      </c>
      <c r="Q390" s="1">
        <v>0.68930000000000002</v>
      </c>
      <c r="R390" s="1">
        <v>0.92290000000000005</v>
      </c>
      <c r="S390" s="1">
        <v>0.66460000000000008</v>
      </c>
      <c r="T390" s="1">
        <v>0.80954999999999999</v>
      </c>
      <c r="U390" s="1">
        <v>1.0684</v>
      </c>
      <c r="V390" s="1">
        <v>1.5076000000000001</v>
      </c>
    </row>
    <row r="391" spans="12:22" x14ac:dyDescent="0.25">
      <c r="L391" s="1">
        <v>78.900000000000006</v>
      </c>
      <c r="M391" s="1">
        <v>0.66710000000000003</v>
      </c>
      <c r="N391" s="1">
        <v>0.80889999999999995</v>
      </c>
      <c r="O391" s="1">
        <v>0.64539999999999997</v>
      </c>
      <c r="P391" s="1">
        <v>0.69620000000000004</v>
      </c>
      <c r="Q391" s="1">
        <v>0.68879999999999997</v>
      </c>
      <c r="R391" s="1">
        <v>0.92220000000000002</v>
      </c>
      <c r="S391" s="1">
        <v>0.66710000000000003</v>
      </c>
      <c r="T391" s="1">
        <v>0.80889999999999995</v>
      </c>
      <c r="U391" s="1">
        <v>1.0671999999999999</v>
      </c>
      <c r="V391" s="1">
        <v>1.5067999999999999</v>
      </c>
    </row>
    <row r="392" spans="12:22" x14ac:dyDescent="0.25">
      <c r="L392" s="1">
        <v>79</v>
      </c>
      <c r="M392" s="1">
        <v>0.66349999999999998</v>
      </c>
      <c r="N392" s="1">
        <v>0.80820000000000003</v>
      </c>
      <c r="O392" s="1">
        <v>0.63880000000000003</v>
      </c>
      <c r="P392" s="1">
        <v>0.60560000000000003</v>
      </c>
      <c r="Q392" s="1">
        <v>0.68820000000000003</v>
      </c>
      <c r="R392" s="1">
        <v>0.92149999999999999</v>
      </c>
      <c r="S392" s="1">
        <v>0.66349999999999998</v>
      </c>
      <c r="T392" s="1">
        <v>0.80820000000000003</v>
      </c>
      <c r="U392" s="1">
        <v>1.0660000000000001</v>
      </c>
      <c r="V392" s="1">
        <v>1.506</v>
      </c>
    </row>
    <row r="393" spans="12:22" x14ac:dyDescent="0.25">
      <c r="L393" s="1">
        <v>79.099999999999994</v>
      </c>
      <c r="M393" s="1">
        <v>0.66290000000000004</v>
      </c>
      <c r="N393" s="1">
        <v>0.80759999999999998</v>
      </c>
      <c r="O393" s="1">
        <v>0.63819999999999999</v>
      </c>
      <c r="P393" s="1">
        <v>0.69489999999999996</v>
      </c>
      <c r="Q393" s="1">
        <v>0.68759999999999999</v>
      </c>
      <c r="R393" s="1">
        <v>0.92090000000000005</v>
      </c>
      <c r="S393" s="1">
        <v>0.66290000000000004</v>
      </c>
      <c r="T393" s="1">
        <v>0.80759999999999998</v>
      </c>
      <c r="U393" s="1">
        <v>1.0648</v>
      </c>
      <c r="V393" s="1">
        <v>1.5049999999999999</v>
      </c>
    </row>
    <row r="394" spans="12:22" x14ac:dyDescent="0.25">
      <c r="L394" s="1">
        <v>79.2</v>
      </c>
      <c r="M394" s="1">
        <v>0.66234999999999999</v>
      </c>
      <c r="N394" s="1">
        <v>0.80689999999999995</v>
      </c>
      <c r="O394" s="1">
        <v>0.63759999999999994</v>
      </c>
      <c r="P394" s="1">
        <v>0.69430000000000003</v>
      </c>
      <c r="Q394" s="1">
        <v>0.68710000000000004</v>
      </c>
      <c r="R394" s="1">
        <v>0.92020000000000002</v>
      </c>
      <c r="S394" s="1">
        <v>0.66234999999999999</v>
      </c>
      <c r="T394" s="1">
        <v>0.80689999999999995</v>
      </c>
      <c r="U394" s="1">
        <v>1.0635999999999999</v>
      </c>
      <c r="V394" s="1">
        <v>1.504</v>
      </c>
    </row>
    <row r="395" spans="12:22" x14ac:dyDescent="0.25">
      <c r="L395" s="1">
        <v>79.3</v>
      </c>
      <c r="M395" s="1">
        <v>0.66175000000000006</v>
      </c>
      <c r="N395" s="1">
        <v>0.80625000000000002</v>
      </c>
      <c r="O395" s="1">
        <v>0.63700000000000001</v>
      </c>
      <c r="P395" s="1">
        <v>0.69359999999999999</v>
      </c>
      <c r="Q395" s="1">
        <v>0.6865</v>
      </c>
      <c r="R395" s="1">
        <v>0.91949999999999998</v>
      </c>
      <c r="S395" s="1">
        <v>0.66175000000000006</v>
      </c>
      <c r="T395" s="1">
        <v>0.80625000000000002</v>
      </c>
      <c r="U395" s="1">
        <v>1.0624</v>
      </c>
      <c r="V395" s="1">
        <v>1.5029999999999999</v>
      </c>
    </row>
    <row r="396" spans="12:22" x14ac:dyDescent="0.25">
      <c r="L396" s="1">
        <v>79.400000000000006</v>
      </c>
      <c r="M396" s="1">
        <v>0.66120000000000001</v>
      </c>
      <c r="N396" s="1">
        <v>0.80559999999999998</v>
      </c>
      <c r="O396" s="1">
        <v>0.63639999999999997</v>
      </c>
      <c r="P396" s="1">
        <v>0.69299999999999995</v>
      </c>
      <c r="Q396" s="1">
        <v>0.68600000000000005</v>
      </c>
      <c r="R396" s="1">
        <v>0.91890000000000005</v>
      </c>
      <c r="S396" s="1">
        <v>0.66120000000000001</v>
      </c>
      <c r="T396" s="1">
        <v>0.80559999999999998</v>
      </c>
      <c r="U396" s="1">
        <v>1.0611999999999999</v>
      </c>
      <c r="V396" s="1">
        <v>1.502</v>
      </c>
    </row>
    <row r="397" spans="12:22" x14ac:dyDescent="0.25">
      <c r="L397" s="1">
        <v>79.5</v>
      </c>
      <c r="M397" s="1">
        <v>0.66060000000000008</v>
      </c>
      <c r="N397" s="1">
        <v>0.80495000000000005</v>
      </c>
      <c r="O397" s="1">
        <v>0.63580000000000003</v>
      </c>
      <c r="P397" s="1">
        <v>0.69230000000000003</v>
      </c>
      <c r="Q397" s="1">
        <v>0.68540000000000001</v>
      </c>
      <c r="R397" s="1">
        <v>0.91820000000000002</v>
      </c>
      <c r="S397" s="1">
        <v>0.66060000000000008</v>
      </c>
      <c r="T397" s="1">
        <v>0.80495000000000005</v>
      </c>
      <c r="U397" s="1">
        <v>1.06</v>
      </c>
      <c r="V397" s="1">
        <v>1.5009999999999999</v>
      </c>
    </row>
    <row r="398" spans="12:22" x14ac:dyDescent="0.25">
      <c r="L398" s="1">
        <v>79.599999999999994</v>
      </c>
      <c r="M398" s="1">
        <v>0.66005000000000003</v>
      </c>
      <c r="N398" s="1">
        <v>0.80435000000000001</v>
      </c>
      <c r="O398" s="1">
        <v>0.63519999999999999</v>
      </c>
      <c r="P398" s="1">
        <v>0.69169999999999998</v>
      </c>
      <c r="Q398" s="1">
        <v>0.68489999999999995</v>
      </c>
      <c r="R398" s="1">
        <v>0.91759999999999997</v>
      </c>
      <c r="S398" s="1">
        <v>0.66005000000000003</v>
      </c>
      <c r="T398" s="1">
        <v>0.80435000000000001</v>
      </c>
      <c r="U398" s="1">
        <v>1.0588</v>
      </c>
      <c r="V398" s="1">
        <v>1.5002</v>
      </c>
    </row>
    <row r="399" spans="12:22" x14ac:dyDescent="0.25">
      <c r="L399" s="1">
        <v>79.7</v>
      </c>
      <c r="M399" s="1">
        <v>0.65949999999999998</v>
      </c>
      <c r="N399" s="1">
        <v>0.80364999999999998</v>
      </c>
      <c r="O399" s="1">
        <v>0.63470000000000004</v>
      </c>
      <c r="P399" s="1">
        <v>0.69110000000000005</v>
      </c>
      <c r="Q399" s="1">
        <v>0.68430000000000002</v>
      </c>
      <c r="R399" s="1">
        <v>0.91690000000000005</v>
      </c>
      <c r="S399" s="1">
        <v>0.65949999999999998</v>
      </c>
      <c r="T399" s="1">
        <v>0.80364999999999998</v>
      </c>
      <c r="U399" s="1">
        <v>1.0575999999999999</v>
      </c>
      <c r="V399" s="1">
        <v>1.4994000000000001</v>
      </c>
    </row>
    <row r="400" spans="12:22" x14ac:dyDescent="0.25">
      <c r="L400" s="1">
        <v>79.8</v>
      </c>
      <c r="M400" s="1">
        <v>0.65894999999999992</v>
      </c>
      <c r="N400" s="1">
        <v>0.80305000000000004</v>
      </c>
      <c r="O400" s="1">
        <v>0.6341</v>
      </c>
      <c r="P400" s="1">
        <v>0.69040000000000001</v>
      </c>
      <c r="Q400" s="1">
        <v>0.68379999999999996</v>
      </c>
      <c r="R400" s="1">
        <v>0.9163</v>
      </c>
      <c r="S400" s="1">
        <v>0.65894999999999992</v>
      </c>
      <c r="T400" s="1">
        <v>0.80305000000000004</v>
      </c>
      <c r="U400" s="1">
        <v>1.0564</v>
      </c>
      <c r="V400" s="1">
        <v>1.4985999999999999</v>
      </c>
    </row>
    <row r="401" spans="12:22" x14ac:dyDescent="0.25">
      <c r="L401" s="1">
        <v>79.900000000000006</v>
      </c>
      <c r="M401" s="1">
        <v>0.6613</v>
      </c>
      <c r="N401" s="1">
        <v>0.8024</v>
      </c>
      <c r="O401" s="1">
        <v>0.63939999999999997</v>
      </c>
      <c r="P401" s="1">
        <v>0.68979999999999997</v>
      </c>
      <c r="Q401" s="1">
        <v>0.68320000000000003</v>
      </c>
      <c r="R401" s="1">
        <v>0.91559999999999997</v>
      </c>
      <c r="S401" s="1">
        <v>0.6613</v>
      </c>
      <c r="T401" s="1">
        <v>0.8024</v>
      </c>
      <c r="U401" s="1">
        <v>1.0551999999999999</v>
      </c>
      <c r="V401" s="1">
        <v>1.4978</v>
      </c>
    </row>
    <row r="402" spans="12:22" x14ac:dyDescent="0.25">
      <c r="L402" s="1">
        <v>80</v>
      </c>
      <c r="M402" s="1">
        <v>0.65779999999999994</v>
      </c>
      <c r="N402" s="1">
        <v>0.80174999999999996</v>
      </c>
      <c r="O402" s="1">
        <v>0.63290000000000002</v>
      </c>
      <c r="P402" s="1">
        <v>0.68920000000000003</v>
      </c>
      <c r="Q402" s="1">
        <v>0.68269999999999997</v>
      </c>
      <c r="R402" s="1">
        <v>0.91500000000000004</v>
      </c>
      <c r="S402" s="1">
        <v>0.65779999999999994</v>
      </c>
      <c r="T402" s="1">
        <v>0.80174999999999996</v>
      </c>
      <c r="U402" s="1">
        <v>1.054</v>
      </c>
      <c r="V402" s="1">
        <v>1.4970000000000001</v>
      </c>
    </row>
    <row r="403" spans="12:22" x14ac:dyDescent="0.25">
      <c r="L403" s="1">
        <v>80.099999999999994</v>
      </c>
      <c r="M403" s="1">
        <v>0.6573</v>
      </c>
      <c r="N403" s="1">
        <v>0.80115000000000003</v>
      </c>
      <c r="O403" s="1">
        <v>0.63239999999999996</v>
      </c>
      <c r="P403" s="1">
        <v>0.6885</v>
      </c>
      <c r="Q403" s="1">
        <v>0.68220000000000003</v>
      </c>
      <c r="R403" s="1">
        <v>0.91439999999999999</v>
      </c>
      <c r="S403" s="1">
        <v>0.6573</v>
      </c>
      <c r="T403" s="1">
        <v>0.80115000000000003</v>
      </c>
      <c r="U403" s="1">
        <v>1.0528</v>
      </c>
      <c r="V403" s="1">
        <v>1.496</v>
      </c>
    </row>
    <row r="404" spans="12:22" x14ac:dyDescent="0.25">
      <c r="L404" s="1">
        <v>80.2</v>
      </c>
      <c r="M404" s="1">
        <v>0.65670000000000006</v>
      </c>
      <c r="N404" s="1">
        <v>0.80049999999999999</v>
      </c>
      <c r="O404" s="1">
        <v>0.63180000000000003</v>
      </c>
      <c r="P404" s="1">
        <v>0.68789999999999996</v>
      </c>
      <c r="Q404" s="1">
        <v>0.68159999999999998</v>
      </c>
      <c r="R404" s="1">
        <v>0.91369999999999996</v>
      </c>
      <c r="S404" s="1">
        <v>0.65670000000000006</v>
      </c>
      <c r="T404" s="1">
        <v>0.80049999999999999</v>
      </c>
      <c r="U404" s="1">
        <v>1.0515999999999999</v>
      </c>
      <c r="V404" s="1">
        <v>1.4950000000000001</v>
      </c>
    </row>
    <row r="405" spans="12:22" x14ac:dyDescent="0.25">
      <c r="L405" s="1">
        <v>80.3</v>
      </c>
      <c r="M405" s="1">
        <v>0.65615000000000001</v>
      </c>
      <c r="N405" s="1">
        <v>0.79984999999999995</v>
      </c>
      <c r="O405" s="1">
        <v>0.63119999999999998</v>
      </c>
      <c r="P405" s="1">
        <v>0.68730000000000002</v>
      </c>
      <c r="Q405" s="1">
        <v>0.68110000000000004</v>
      </c>
      <c r="R405" s="1">
        <v>0.91310000000000002</v>
      </c>
      <c r="S405" s="1">
        <v>0.65615000000000001</v>
      </c>
      <c r="T405" s="1">
        <v>0.79984999999999995</v>
      </c>
      <c r="U405" s="1">
        <v>1.0504</v>
      </c>
      <c r="V405" s="1">
        <v>1.494</v>
      </c>
    </row>
    <row r="406" spans="12:22" x14ac:dyDescent="0.25">
      <c r="L406" s="1">
        <v>80.400000000000006</v>
      </c>
      <c r="M406" s="1">
        <v>0.65565000000000007</v>
      </c>
      <c r="N406" s="1">
        <v>0.79925000000000002</v>
      </c>
      <c r="O406" s="1">
        <v>0.63070000000000004</v>
      </c>
      <c r="P406" s="1">
        <v>0.68659999999999999</v>
      </c>
      <c r="Q406" s="1">
        <v>0.68059999999999998</v>
      </c>
      <c r="R406" s="1">
        <v>0.91249999999999998</v>
      </c>
      <c r="S406" s="1">
        <v>0.65565000000000007</v>
      </c>
      <c r="T406" s="1">
        <v>0.79925000000000002</v>
      </c>
      <c r="U406" s="1">
        <v>1.0491999999999999</v>
      </c>
      <c r="V406" s="1">
        <v>1.4930000000000001</v>
      </c>
    </row>
    <row r="407" spans="12:22" x14ac:dyDescent="0.25">
      <c r="L407" s="1">
        <v>80.5</v>
      </c>
      <c r="M407" s="1">
        <v>0.65505000000000002</v>
      </c>
      <c r="N407" s="1">
        <v>0.79864999999999997</v>
      </c>
      <c r="O407" s="1">
        <v>0.63009999999999999</v>
      </c>
      <c r="P407" s="1">
        <v>0.68600000000000005</v>
      </c>
      <c r="Q407" s="1">
        <v>0.68</v>
      </c>
      <c r="R407" s="1">
        <v>0.91190000000000004</v>
      </c>
      <c r="S407" s="1">
        <v>0.65505000000000002</v>
      </c>
      <c r="T407" s="1">
        <v>0.79864999999999997</v>
      </c>
      <c r="U407" s="1">
        <v>1.048</v>
      </c>
      <c r="V407" s="1">
        <v>1.492</v>
      </c>
    </row>
    <row r="408" spans="12:22" x14ac:dyDescent="0.25">
      <c r="L408" s="1">
        <v>80.599999999999994</v>
      </c>
      <c r="M408" s="1">
        <v>0.65449999999999997</v>
      </c>
      <c r="N408" s="1">
        <v>0.79800000000000004</v>
      </c>
      <c r="O408" s="1">
        <v>0.62949999999999995</v>
      </c>
      <c r="P408" s="1">
        <v>0.68540000000000001</v>
      </c>
      <c r="Q408" s="1">
        <v>0.67949999999999999</v>
      </c>
      <c r="R408" s="1">
        <v>0.91120000000000001</v>
      </c>
      <c r="S408" s="1">
        <v>0.65449999999999997</v>
      </c>
      <c r="T408" s="1">
        <v>0.79800000000000004</v>
      </c>
      <c r="U408" s="1">
        <v>1.0472000000000001</v>
      </c>
      <c r="V408" s="1">
        <v>1.4912000000000001</v>
      </c>
    </row>
    <row r="409" spans="12:22" x14ac:dyDescent="0.25">
      <c r="L409" s="1">
        <v>80.7</v>
      </c>
      <c r="M409" s="1">
        <v>0.65400000000000003</v>
      </c>
      <c r="N409" s="1">
        <v>0.79735</v>
      </c>
      <c r="O409" s="1">
        <v>0.629</v>
      </c>
      <c r="P409" s="1">
        <v>0.68479999999999996</v>
      </c>
      <c r="Q409" s="1">
        <v>0.67900000000000005</v>
      </c>
      <c r="R409" s="1">
        <v>0.91059999999999997</v>
      </c>
      <c r="S409" s="1">
        <v>0.65400000000000003</v>
      </c>
      <c r="T409" s="1">
        <v>0.79735</v>
      </c>
      <c r="U409" s="1">
        <v>1.0464</v>
      </c>
      <c r="V409" s="1">
        <v>1.4903999999999999</v>
      </c>
    </row>
    <row r="410" spans="12:22" x14ac:dyDescent="0.25">
      <c r="L410" s="1">
        <v>80.8</v>
      </c>
      <c r="M410" s="1">
        <v>0.65344999999999998</v>
      </c>
      <c r="N410" s="1">
        <v>0.79674999999999996</v>
      </c>
      <c r="O410" s="1">
        <v>0.62839999999999996</v>
      </c>
      <c r="P410" s="1">
        <v>0.68410000000000004</v>
      </c>
      <c r="Q410" s="1">
        <v>0.67849999999999999</v>
      </c>
      <c r="R410" s="1">
        <v>0.91</v>
      </c>
      <c r="S410" s="1">
        <v>0.65344999999999998</v>
      </c>
      <c r="T410" s="1">
        <v>0.79674999999999996</v>
      </c>
      <c r="U410" s="1">
        <v>1.0456000000000001</v>
      </c>
      <c r="V410" s="1">
        <v>1.4896</v>
      </c>
    </row>
    <row r="411" spans="12:22" x14ac:dyDescent="0.25">
      <c r="L411" s="1">
        <v>80.900000000000006</v>
      </c>
      <c r="M411" s="1">
        <v>0.65569999999999995</v>
      </c>
      <c r="N411" s="1">
        <v>0.79615000000000002</v>
      </c>
      <c r="O411" s="1">
        <v>0.63349999999999995</v>
      </c>
      <c r="P411" s="1">
        <v>0.6835</v>
      </c>
      <c r="Q411" s="1">
        <v>0.67789999999999995</v>
      </c>
      <c r="R411" s="1">
        <v>0.90939999999999999</v>
      </c>
      <c r="S411" s="1">
        <v>0.65569999999999995</v>
      </c>
      <c r="T411" s="1">
        <v>0.79615000000000002</v>
      </c>
      <c r="U411" s="1">
        <v>1.0448</v>
      </c>
      <c r="V411" s="1">
        <v>1.4887999999999999</v>
      </c>
    </row>
    <row r="412" spans="12:22" x14ac:dyDescent="0.25">
      <c r="L412" s="1">
        <v>81</v>
      </c>
      <c r="M412" s="1">
        <v>0.65234999999999999</v>
      </c>
      <c r="N412" s="1">
        <v>0.79554999999999998</v>
      </c>
      <c r="O412" s="1">
        <v>0.62729999999999997</v>
      </c>
      <c r="P412" s="1">
        <v>0.68289999999999995</v>
      </c>
      <c r="Q412" s="1">
        <v>0.6774</v>
      </c>
      <c r="R412" s="1">
        <v>0.90880000000000005</v>
      </c>
      <c r="S412" s="1">
        <v>0.65234999999999999</v>
      </c>
      <c r="T412" s="1">
        <v>0.79554999999999998</v>
      </c>
      <c r="U412" s="1">
        <v>1.044</v>
      </c>
      <c r="V412" s="1">
        <v>1.488</v>
      </c>
    </row>
    <row r="413" spans="12:22" x14ac:dyDescent="0.25">
      <c r="L413" s="1">
        <v>81.099999999999994</v>
      </c>
      <c r="M413" s="1">
        <v>0.65185000000000004</v>
      </c>
      <c r="N413" s="1">
        <v>0.79495000000000005</v>
      </c>
      <c r="O413" s="1">
        <v>0.62680000000000002</v>
      </c>
      <c r="P413" s="1">
        <v>0.68230000000000002</v>
      </c>
      <c r="Q413" s="1">
        <v>0.67689999999999995</v>
      </c>
      <c r="R413" s="1">
        <v>0.90820000000000001</v>
      </c>
      <c r="S413" s="1">
        <v>0.65185000000000004</v>
      </c>
      <c r="T413" s="1">
        <v>0.79495000000000005</v>
      </c>
      <c r="U413" s="1">
        <v>1.0427999999999999</v>
      </c>
      <c r="V413" s="1">
        <v>1.4870000000000001</v>
      </c>
    </row>
    <row r="414" spans="12:22" x14ac:dyDescent="0.25">
      <c r="L414" s="1">
        <v>81.2</v>
      </c>
      <c r="M414" s="1">
        <v>0.65129999999999999</v>
      </c>
      <c r="N414" s="1">
        <v>0.79430000000000001</v>
      </c>
      <c r="O414" s="1">
        <v>0.62619999999999998</v>
      </c>
      <c r="P414" s="1">
        <v>0.68169999999999997</v>
      </c>
      <c r="Q414" s="1">
        <v>0.6764</v>
      </c>
      <c r="R414" s="1">
        <v>0.90759999999999996</v>
      </c>
      <c r="S414" s="1">
        <v>0.65129999999999999</v>
      </c>
      <c r="T414" s="1">
        <v>0.79430000000000001</v>
      </c>
      <c r="U414" s="1">
        <v>1.0415999999999999</v>
      </c>
      <c r="V414" s="1">
        <v>1.486</v>
      </c>
    </row>
    <row r="415" spans="12:22" x14ac:dyDescent="0.25">
      <c r="L415" s="1">
        <v>81.3</v>
      </c>
      <c r="M415" s="1">
        <v>0.65080000000000005</v>
      </c>
      <c r="N415" s="1">
        <v>0.79369999999999996</v>
      </c>
      <c r="O415" s="1">
        <v>0.62570000000000003</v>
      </c>
      <c r="P415" s="1">
        <v>0.68100000000000005</v>
      </c>
      <c r="Q415" s="1">
        <v>0.67589999999999995</v>
      </c>
      <c r="R415" s="1">
        <v>0.90700000000000003</v>
      </c>
      <c r="S415" s="1">
        <v>0.65080000000000005</v>
      </c>
      <c r="T415" s="1">
        <v>0.79369999999999996</v>
      </c>
      <c r="U415" s="1">
        <v>1.0406</v>
      </c>
      <c r="V415" s="1">
        <v>1.4850000000000001</v>
      </c>
    </row>
    <row r="416" spans="12:22" x14ac:dyDescent="0.25">
      <c r="L416" s="1">
        <v>81.400000000000006</v>
      </c>
      <c r="M416" s="1">
        <v>0.65024999999999999</v>
      </c>
      <c r="N416" s="1">
        <v>0.79310000000000003</v>
      </c>
      <c r="O416" s="1">
        <v>0.62509999999999999</v>
      </c>
      <c r="P416" s="1">
        <v>0.6804</v>
      </c>
      <c r="Q416" s="1">
        <v>0.6754</v>
      </c>
      <c r="R416" s="1">
        <v>0.90639999999999998</v>
      </c>
      <c r="S416" s="1">
        <v>0.65024999999999999</v>
      </c>
      <c r="T416" s="1">
        <v>0.79310000000000003</v>
      </c>
      <c r="U416" s="1">
        <v>1.0397999999999998</v>
      </c>
      <c r="V416" s="1">
        <v>1.484</v>
      </c>
    </row>
    <row r="417" spans="12:22" x14ac:dyDescent="0.25">
      <c r="L417" s="1">
        <v>81.5</v>
      </c>
      <c r="M417" s="1">
        <v>0.64975000000000005</v>
      </c>
      <c r="N417" s="1">
        <v>0.79249999999999998</v>
      </c>
      <c r="O417" s="1">
        <v>0.62460000000000004</v>
      </c>
      <c r="P417" s="1">
        <v>0.67979999999999996</v>
      </c>
      <c r="Q417" s="1">
        <v>0.67490000000000006</v>
      </c>
      <c r="R417" s="1">
        <v>0.90580000000000005</v>
      </c>
      <c r="S417" s="1">
        <v>0.64975000000000005</v>
      </c>
      <c r="T417" s="1">
        <v>0.79249999999999998</v>
      </c>
      <c r="U417" s="1">
        <v>1.0389999999999999</v>
      </c>
      <c r="V417" s="1">
        <v>1.4830000000000001</v>
      </c>
    </row>
    <row r="418" spans="12:22" x14ac:dyDescent="0.25">
      <c r="L418" s="1">
        <v>81.599999999999994</v>
      </c>
      <c r="M418" s="1">
        <v>0.64924999999999999</v>
      </c>
      <c r="N418" s="1">
        <v>0.79190000000000005</v>
      </c>
      <c r="O418" s="1">
        <v>0.62409999999999999</v>
      </c>
      <c r="P418" s="1">
        <v>0.67920000000000003</v>
      </c>
      <c r="Q418" s="1">
        <v>0.6744</v>
      </c>
      <c r="R418" s="1">
        <v>0.9052</v>
      </c>
      <c r="S418" s="1">
        <v>0.64924999999999999</v>
      </c>
      <c r="T418" s="1">
        <v>0.79190000000000005</v>
      </c>
      <c r="U418" s="1">
        <v>1.0378000000000001</v>
      </c>
      <c r="V418" s="1">
        <v>1.4822000000000002</v>
      </c>
    </row>
    <row r="419" spans="12:22" x14ac:dyDescent="0.25">
      <c r="L419" s="1">
        <v>81.7</v>
      </c>
      <c r="M419" s="1">
        <v>0.64870000000000005</v>
      </c>
      <c r="N419" s="1">
        <v>0.7913</v>
      </c>
      <c r="O419" s="1">
        <v>0.62350000000000005</v>
      </c>
      <c r="P419" s="1">
        <v>0.67859999999999998</v>
      </c>
      <c r="Q419" s="1">
        <v>0.67390000000000005</v>
      </c>
      <c r="R419" s="1">
        <v>0.90459999999999996</v>
      </c>
      <c r="S419" s="1">
        <v>0.64870000000000005</v>
      </c>
      <c r="T419" s="1">
        <v>0.7913</v>
      </c>
      <c r="U419" s="1">
        <v>1.0366</v>
      </c>
      <c r="V419" s="1">
        <v>1.4814000000000001</v>
      </c>
    </row>
    <row r="420" spans="12:22" x14ac:dyDescent="0.25">
      <c r="L420" s="1">
        <v>81.8</v>
      </c>
      <c r="M420" s="1">
        <v>0.6482</v>
      </c>
      <c r="N420" s="1">
        <v>0.79069999999999996</v>
      </c>
      <c r="O420" s="1">
        <v>0.623</v>
      </c>
      <c r="P420" s="1">
        <v>0.67800000000000005</v>
      </c>
      <c r="Q420" s="1">
        <v>0.6734</v>
      </c>
      <c r="R420" s="1">
        <v>0.90400000000000003</v>
      </c>
      <c r="S420" s="1">
        <v>0.6482</v>
      </c>
      <c r="T420" s="1">
        <v>0.79069999999999996</v>
      </c>
      <c r="U420" s="1">
        <v>1.0356000000000001</v>
      </c>
      <c r="V420" s="1">
        <v>1.4806000000000001</v>
      </c>
    </row>
    <row r="421" spans="12:22" x14ac:dyDescent="0.25">
      <c r="L421" s="1">
        <v>81.900000000000006</v>
      </c>
      <c r="M421" s="1">
        <v>0.65040000000000009</v>
      </c>
      <c r="N421" s="1">
        <v>0.79005000000000003</v>
      </c>
      <c r="O421" s="1">
        <v>0.62790000000000001</v>
      </c>
      <c r="P421" s="1">
        <v>0.6774</v>
      </c>
      <c r="Q421" s="1">
        <v>0.67290000000000005</v>
      </c>
      <c r="R421" s="1">
        <v>0.90339999999999998</v>
      </c>
      <c r="S421" s="1">
        <v>0.65040000000000009</v>
      </c>
      <c r="T421" s="1">
        <v>0.79005000000000003</v>
      </c>
      <c r="U421" s="1">
        <v>1.0347999999999999</v>
      </c>
      <c r="V421" s="1">
        <v>1.4798</v>
      </c>
    </row>
    <row r="422" spans="12:22" x14ac:dyDescent="0.25">
      <c r="L422" s="1">
        <v>82</v>
      </c>
      <c r="M422" s="1">
        <v>0.64715</v>
      </c>
      <c r="N422" s="1">
        <v>0.78944999999999999</v>
      </c>
      <c r="O422" s="1">
        <v>0.62190000000000001</v>
      </c>
      <c r="P422" s="1">
        <v>16767</v>
      </c>
      <c r="Q422" s="1">
        <v>0.6724</v>
      </c>
      <c r="R422" s="1">
        <v>0.90280000000000005</v>
      </c>
      <c r="S422" s="1">
        <v>0.64715</v>
      </c>
      <c r="T422" s="1">
        <v>0.78944999999999999</v>
      </c>
      <c r="U422" s="1">
        <v>1.034</v>
      </c>
      <c r="V422" s="1">
        <v>1.4790000000000001</v>
      </c>
    </row>
    <row r="423" spans="12:22" x14ac:dyDescent="0.25">
      <c r="L423" s="1">
        <v>82.1</v>
      </c>
      <c r="M423" s="1">
        <v>0.64664999999999995</v>
      </c>
      <c r="N423" s="1">
        <v>0.78890000000000005</v>
      </c>
      <c r="O423" s="1">
        <v>0.62139999999999995</v>
      </c>
      <c r="P423" s="1">
        <v>0.67610000000000003</v>
      </c>
      <c r="Q423" s="1">
        <v>0.67190000000000005</v>
      </c>
      <c r="R423" s="1">
        <v>0.90229999999999999</v>
      </c>
      <c r="S423" s="1">
        <v>0.64664999999999995</v>
      </c>
      <c r="T423" s="1">
        <v>0.78890000000000005</v>
      </c>
      <c r="U423" s="1">
        <v>1.0327999999999999</v>
      </c>
      <c r="V423" s="1">
        <v>1.4782000000000002</v>
      </c>
    </row>
    <row r="424" spans="12:22" x14ac:dyDescent="0.25">
      <c r="L424" s="1">
        <v>82.2</v>
      </c>
      <c r="M424" s="1">
        <v>0.64615</v>
      </c>
      <c r="N424" s="1">
        <v>0.7883</v>
      </c>
      <c r="O424" s="1">
        <v>0.62090000000000001</v>
      </c>
      <c r="P424" s="1">
        <v>0.67549999999999999</v>
      </c>
      <c r="Q424" s="1">
        <v>0.6714</v>
      </c>
      <c r="R424" s="1">
        <v>0.90169999999999995</v>
      </c>
      <c r="S424" s="1">
        <v>0.64615</v>
      </c>
      <c r="T424" s="1">
        <v>0.7883</v>
      </c>
      <c r="U424" s="1">
        <v>1.0315999999999999</v>
      </c>
      <c r="V424" s="1">
        <v>1.4774</v>
      </c>
    </row>
    <row r="425" spans="12:22" x14ac:dyDescent="0.25">
      <c r="L425" s="1">
        <v>82.3</v>
      </c>
      <c r="M425" s="1">
        <v>0.64559999999999995</v>
      </c>
      <c r="N425" s="1">
        <v>0.78769999999999996</v>
      </c>
      <c r="O425" s="1">
        <v>0.62029999999999996</v>
      </c>
      <c r="P425" s="1">
        <v>0.67490000000000006</v>
      </c>
      <c r="Q425" s="1">
        <v>0.67090000000000005</v>
      </c>
      <c r="R425" s="1">
        <v>0.90110000000000001</v>
      </c>
      <c r="S425" s="1">
        <v>0.64559999999999995</v>
      </c>
      <c r="T425" s="1">
        <v>0.78769999999999996</v>
      </c>
      <c r="U425" s="1">
        <v>1.0306</v>
      </c>
      <c r="V425" s="1">
        <v>1.4766000000000001</v>
      </c>
    </row>
    <row r="426" spans="12:22" x14ac:dyDescent="0.25">
      <c r="L426" s="1">
        <v>82.4</v>
      </c>
      <c r="M426" s="1">
        <v>0.64510000000000001</v>
      </c>
      <c r="N426" s="1">
        <v>0.78710000000000002</v>
      </c>
      <c r="O426" s="1">
        <v>0.61980000000000002</v>
      </c>
      <c r="P426" s="1">
        <v>0.67430000000000001</v>
      </c>
      <c r="Q426" s="1">
        <v>0.6704</v>
      </c>
      <c r="R426" s="1">
        <v>0.90049999999999997</v>
      </c>
      <c r="S426" s="1">
        <v>0.64510000000000001</v>
      </c>
      <c r="T426" s="1">
        <v>0.78710000000000002</v>
      </c>
      <c r="U426" s="1">
        <v>1.0297999999999998</v>
      </c>
      <c r="V426" s="1">
        <v>1.4758</v>
      </c>
    </row>
    <row r="427" spans="12:22" x14ac:dyDescent="0.25">
      <c r="L427" s="1">
        <v>82.5</v>
      </c>
      <c r="M427" s="1">
        <v>0.64460000000000006</v>
      </c>
      <c r="N427" s="1">
        <v>0.78654999999999997</v>
      </c>
      <c r="O427" s="1">
        <v>0.61929999999999996</v>
      </c>
      <c r="P427" s="1">
        <v>0.67369999999999997</v>
      </c>
      <c r="Q427" s="1">
        <v>0.66990000000000005</v>
      </c>
      <c r="R427" s="1">
        <v>0.9</v>
      </c>
      <c r="S427" s="1">
        <v>0.64460000000000006</v>
      </c>
      <c r="T427" s="1">
        <v>0.78654999999999997</v>
      </c>
      <c r="U427" s="1">
        <v>1.0289999999999999</v>
      </c>
      <c r="V427" s="1">
        <v>1.4750000000000001</v>
      </c>
    </row>
    <row r="428" spans="12:22" x14ac:dyDescent="0.25">
      <c r="L428" s="1">
        <v>82.6</v>
      </c>
      <c r="M428" s="1">
        <v>0.64410000000000001</v>
      </c>
      <c r="N428" s="1">
        <v>0.78595000000000004</v>
      </c>
      <c r="O428" s="1">
        <v>0.61880000000000002</v>
      </c>
      <c r="P428" s="1">
        <v>0.67310000000000003</v>
      </c>
      <c r="Q428" s="1">
        <v>0.6694</v>
      </c>
      <c r="R428" s="1">
        <v>0.89939999999999998</v>
      </c>
      <c r="S428" s="1">
        <v>0.64410000000000001</v>
      </c>
      <c r="T428" s="1">
        <v>0.78595000000000004</v>
      </c>
      <c r="U428" s="1">
        <v>1.0278</v>
      </c>
      <c r="V428" s="1">
        <v>1.4742000000000002</v>
      </c>
    </row>
    <row r="429" spans="12:22" x14ac:dyDescent="0.25">
      <c r="L429" s="1">
        <v>82.7</v>
      </c>
      <c r="M429" s="1">
        <v>0.64359999999999995</v>
      </c>
      <c r="N429" s="1">
        <v>0.78534999999999999</v>
      </c>
      <c r="O429" s="1">
        <v>0.61829999999999996</v>
      </c>
      <c r="P429" s="1">
        <v>0.67249999999999999</v>
      </c>
      <c r="Q429" s="1">
        <v>0.66890000000000005</v>
      </c>
      <c r="R429" s="1">
        <v>0.89880000000000004</v>
      </c>
      <c r="S429" s="1">
        <v>0.64359999999999995</v>
      </c>
      <c r="T429" s="1">
        <v>0.78534999999999999</v>
      </c>
      <c r="U429" s="1">
        <v>1.0266</v>
      </c>
      <c r="V429" s="1">
        <v>1.4734</v>
      </c>
    </row>
    <row r="430" spans="12:22" x14ac:dyDescent="0.25">
      <c r="L430" s="1">
        <v>82.8</v>
      </c>
      <c r="M430" s="1">
        <v>0.6431</v>
      </c>
      <c r="N430" s="1">
        <v>0.78480000000000005</v>
      </c>
      <c r="O430" s="1">
        <v>0.61770000000000003</v>
      </c>
      <c r="P430" s="1">
        <v>0.67190000000000005</v>
      </c>
      <c r="Q430" s="1">
        <v>0.66849999999999998</v>
      </c>
      <c r="R430" s="1">
        <v>0.89829999999999999</v>
      </c>
      <c r="S430" s="1">
        <v>0.6431</v>
      </c>
      <c r="T430" s="1">
        <v>0.78480000000000005</v>
      </c>
      <c r="U430" s="1">
        <v>1.0256000000000001</v>
      </c>
      <c r="V430" s="1">
        <v>1.4726000000000001</v>
      </c>
    </row>
    <row r="431" spans="12:22" x14ac:dyDescent="0.25">
      <c r="L431" s="1">
        <v>82.9</v>
      </c>
      <c r="M431" s="1">
        <v>0.6452</v>
      </c>
      <c r="N431" s="1">
        <v>0.78420000000000001</v>
      </c>
      <c r="O431" s="1">
        <v>0.62239999999999995</v>
      </c>
      <c r="P431" s="1">
        <v>0.67130000000000001</v>
      </c>
      <c r="Q431" s="1">
        <v>0.66800000000000004</v>
      </c>
      <c r="R431" s="1">
        <v>0.89770000000000005</v>
      </c>
      <c r="S431" s="1">
        <v>0.6452</v>
      </c>
      <c r="T431" s="1">
        <v>0.78420000000000001</v>
      </c>
      <c r="U431" s="1">
        <v>1.0247999999999999</v>
      </c>
      <c r="V431" s="1">
        <v>1.4718</v>
      </c>
    </row>
    <row r="432" spans="12:22" x14ac:dyDescent="0.25">
      <c r="L432" s="1">
        <v>83</v>
      </c>
      <c r="M432" s="1">
        <v>0.6421</v>
      </c>
      <c r="N432" s="1">
        <v>0.78364999999999996</v>
      </c>
      <c r="O432" s="1">
        <v>0.61670000000000003</v>
      </c>
      <c r="P432" s="1">
        <v>0.67069999999999996</v>
      </c>
      <c r="Q432" s="1">
        <v>0.66749999999999998</v>
      </c>
      <c r="R432" s="1">
        <v>0.8972</v>
      </c>
      <c r="S432" s="1">
        <v>0.6421</v>
      </c>
      <c r="T432" s="1">
        <v>0.78364999999999996</v>
      </c>
      <c r="U432" s="1">
        <v>1.024</v>
      </c>
      <c r="V432" s="1">
        <v>1.4710000000000001</v>
      </c>
    </row>
    <row r="433" spans="12:22" x14ac:dyDescent="0.25">
      <c r="L433" s="1">
        <v>83.1</v>
      </c>
      <c r="M433" s="1">
        <v>0.64159999999999995</v>
      </c>
      <c r="N433" s="1">
        <v>0.78305000000000002</v>
      </c>
      <c r="O433" s="1">
        <v>0.61619999999999997</v>
      </c>
      <c r="P433" s="1">
        <v>0.67010000000000003</v>
      </c>
      <c r="Q433" s="1">
        <v>0.66700000000000004</v>
      </c>
      <c r="R433" s="1">
        <v>0.89659999999999995</v>
      </c>
      <c r="S433" s="1">
        <v>0.64159999999999995</v>
      </c>
      <c r="T433" s="1">
        <v>0.78305000000000002</v>
      </c>
      <c r="U433" s="1">
        <v>1.0232000000000001</v>
      </c>
      <c r="V433" s="1">
        <v>1.47</v>
      </c>
    </row>
    <row r="434" spans="12:22" x14ac:dyDescent="0.25">
      <c r="L434" s="1">
        <v>83.2</v>
      </c>
      <c r="M434" s="1">
        <v>0.64115</v>
      </c>
      <c r="N434" s="1">
        <v>0.78249999999999997</v>
      </c>
      <c r="O434" s="1">
        <v>0.61570000000000003</v>
      </c>
      <c r="P434" s="1">
        <v>0.66949999999999998</v>
      </c>
      <c r="Q434" s="1">
        <v>0.66659999999999997</v>
      </c>
      <c r="R434" s="1">
        <v>0.89610000000000001</v>
      </c>
      <c r="S434" s="1">
        <v>0.64115</v>
      </c>
      <c r="T434" s="1">
        <v>0.78249999999999997</v>
      </c>
      <c r="U434" s="1">
        <v>1.0224</v>
      </c>
      <c r="V434" s="1">
        <v>1.4690000000000001</v>
      </c>
    </row>
    <row r="435" spans="12:22" x14ac:dyDescent="0.25">
      <c r="L435" s="1">
        <v>83.3</v>
      </c>
      <c r="M435" s="1">
        <v>0.64064999999999994</v>
      </c>
      <c r="N435" s="1">
        <v>0.78190000000000004</v>
      </c>
      <c r="O435" s="1">
        <v>0.61519999999999997</v>
      </c>
      <c r="P435" s="1">
        <v>0.66890000000000005</v>
      </c>
      <c r="Q435" s="1">
        <v>0.66610000000000003</v>
      </c>
      <c r="R435" s="1">
        <v>0.89549999999999996</v>
      </c>
      <c r="S435" s="1">
        <v>0.64064999999999994</v>
      </c>
      <c r="T435" s="1">
        <v>0.78190000000000004</v>
      </c>
      <c r="U435" s="1">
        <v>1.0214000000000001</v>
      </c>
      <c r="V435" s="1">
        <v>1.468</v>
      </c>
    </row>
    <row r="436" spans="12:22" x14ac:dyDescent="0.25">
      <c r="L436" s="1">
        <v>83.4</v>
      </c>
      <c r="M436" s="1">
        <v>0.64015</v>
      </c>
      <c r="N436" s="1">
        <v>0.78134999999999999</v>
      </c>
      <c r="O436" s="1">
        <v>0.61470000000000002</v>
      </c>
      <c r="P436" s="1">
        <v>0.66830000000000001</v>
      </c>
      <c r="Q436" s="1">
        <v>0.66559999999999997</v>
      </c>
      <c r="R436" s="1">
        <v>0.89500000000000002</v>
      </c>
      <c r="S436" s="1">
        <v>0.64015</v>
      </c>
      <c r="T436" s="1">
        <v>0.78134999999999999</v>
      </c>
      <c r="U436" s="1">
        <v>1.0202</v>
      </c>
      <c r="V436" s="1">
        <v>1.4670000000000001</v>
      </c>
    </row>
    <row r="437" spans="12:22" x14ac:dyDescent="0.25">
      <c r="L437" s="1">
        <v>83.5</v>
      </c>
      <c r="M437" s="1">
        <v>0.63965000000000005</v>
      </c>
      <c r="N437" s="1">
        <v>0.78075000000000006</v>
      </c>
      <c r="O437" s="1">
        <v>0.61419999999999997</v>
      </c>
      <c r="P437" s="1">
        <v>0.66769999999999996</v>
      </c>
      <c r="Q437" s="1">
        <v>0.66510000000000002</v>
      </c>
      <c r="R437" s="1">
        <v>0.89439999999999997</v>
      </c>
      <c r="S437" s="1">
        <v>0.63965000000000005</v>
      </c>
      <c r="T437" s="1">
        <v>0.78075000000000006</v>
      </c>
      <c r="U437" s="1">
        <v>1.0189999999999999</v>
      </c>
      <c r="V437" s="1">
        <v>1.466</v>
      </c>
    </row>
    <row r="438" spans="12:22" x14ac:dyDescent="0.25">
      <c r="L438" s="1">
        <v>83.6</v>
      </c>
      <c r="M438" s="1">
        <v>0.63919999999999999</v>
      </c>
      <c r="N438" s="1">
        <v>0.7802</v>
      </c>
      <c r="O438" s="1">
        <v>0.61370000000000002</v>
      </c>
      <c r="P438" s="1">
        <v>0.66710000000000003</v>
      </c>
      <c r="Q438" s="1">
        <v>0.66469999999999996</v>
      </c>
      <c r="R438" s="1">
        <v>0.89390000000000003</v>
      </c>
      <c r="S438" s="1">
        <v>0.63919999999999999</v>
      </c>
      <c r="T438" s="1">
        <v>0.7802</v>
      </c>
      <c r="U438" s="1">
        <v>1.0182</v>
      </c>
      <c r="V438" s="1">
        <v>1.4652000000000001</v>
      </c>
    </row>
    <row r="439" spans="12:22" x14ac:dyDescent="0.25">
      <c r="L439" s="1">
        <v>83.7</v>
      </c>
      <c r="M439" s="1">
        <v>0.63870000000000005</v>
      </c>
      <c r="N439" s="1">
        <v>0.77959999999999996</v>
      </c>
      <c r="O439" s="1">
        <v>0.61319999999999997</v>
      </c>
      <c r="P439" s="1">
        <v>0.66649999999999998</v>
      </c>
      <c r="Q439" s="1">
        <v>0.66420000000000001</v>
      </c>
      <c r="R439" s="1">
        <v>0.89329999999999998</v>
      </c>
      <c r="S439" s="1">
        <v>0.63870000000000005</v>
      </c>
      <c r="T439" s="1">
        <v>0.77959999999999996</v>
      </c>
      <c r="U439" s="1">
        <v>1.0173999999999999</v>
      </c>
      <c r="V439" s="1">
        <v>1.4643999999999999</v>
      </c>
    </row>
    <row r="440" spans="12:22" x14ac:dyDescent="0.25">
      <c r="L440" s="1">
        <v>83.8</v>
      </c>
      <c r="M440" s="1">
        <v>0.63819999999999999</v>
      </c>
      <c r="N440" s="1">
        <v>0.77905000000000002</v>
      </c>
      <c r="O440" s="1">
        <v>0.61270000000000002</v>
      </c>
      <c r="P440" s="1">
        <v>0.66590000000000005</v>
      </c>
      <c r="Q440" s="1">
        <v>0.66369999999999996</v>
      </c>
      <c r="R440" s="1">
        <v>0.89280000000000004</v>
      </c>
      <c r="S440" s="1">
        <v>0.63819999999999999</v>
      </c>
      <c r="T440" s="1">
        <v>0.77905000000000002</v>
      </c>
      <c r="U440" s="1">
        <v>1.0165999999999999</v>
      </c>
      <c r="V440" s="1">
        <v>1.4636</v>
      </c>
    </row>
    <row r="441" spans="12:22" x14ac:dyDescent="0.25">
      <c r="L441" s="1">
        <v>83.9</v>
      </c>
      <c r="M441" s="1">
        <v>0.64024999999999999</v>
      </c>
      <c r="N441" s="1">
        <v>0.77854999999999996</v>
      </c>
      <c r="O441" s="1">
        <v>0.61719999999999997</v>
      </c>
      <c r="P441" s="1">
        <v>0.6653</v>
      </c>
      <c r="Q441" s="1">
        <v>0.6633</v>
      </c>
      <c r="R441" s="1">
        <v>0.89229999999999998</v>
      </c>
      <c r="S441" s="1">
        <v>0.64024999999999999</v>
      </c>
      <c r="T441" s="1">
        <v>0.77854999999999996</v>
      </c>
      <c r="U441" s="1">
        <v>1.0157999999999998</v>
      </c>
      <c r="V441" s="1">
        <v>1.4627999999999999</v>
      </c>
    </row>
    <row r="442" spans="12:22" x14ac:dyDescent="0.25">
      <c r="L442" s="1">
        <v>84</v>
      </c>
      <c r="M442" s="1">
        <v>0.63724999999999998</v>
      </c>
      <c r="N442" s="1">
        <v>0.77795000000000003</v>
      </c>
      <c r="O442" s="1">
        <v>0.61170000000000002</v>
      </c>
      <c r="P442" s="1">
        <v>0.66479999999999995</v>
      </c>
      <c r="Q442" s="1">
        <v>0.66279999999999994</v>
      </c>
      <c r="R442" s="1">
        <v>0.89170000000000005</v>
      </c>
      <c r="S442" s="1">
        <v>0.63724999999999998</v>
      </c>
      <c r="T442" s="1">
        <v>0.77795000000000003</v>
      </c>
      <c r="U442" s="1">
        <v>1.0149999999999999</v>
      </c>
      <c r="V442" s="1">
        <v>1.462</v>
      </c>
    </row>
    <row r="443" spans="12:22" x14ac:dyDescent="0.25">
      <c r="L443" s="1">
        <v>84.1</v>
      </c>
      <c r="M443" s="1">
        <v>0.63680000000000003</v>
      </c>
      <c r="N443" s="1">
        <v>0.77739999999999998</v>
      </c>
      <c r="O443" s="1">
        <v>0.61119999999999997</v>
      </c>
      <c r="P443" s="1">
        <v>0.66420000000000001</v>
      </c>
      <c r="Q443" s="1">
        <v>0.66239999999999999</v>
      </c>
      <c r="R443" s="1">
        <v>0.89119999999999999</v>
      </c>
      <c r="S443" s="1">
        <v>0.63680000000000003</v>
      </c>
      <c r="T443" s="1">
        <v>0.77739999999999998</v>
      </c>
      <c r="U443" s="1">
        <v>1.0142</v>
      </c>
      <c r="V443" s="1">
        <v>1.4610000000000001</v>
      </c>
    </row>
    <row r="444" spans="12:22" x14ac:dyDescent="0.25">
      <c r="L444" s="1">
        <v>84.2</v>
      </c>
      <c r="M444" s="1">
        <v>0.63630000000000009</v>
      </c>
      <c r="N444" s="1">
        <v>0.77685000000000004</v>
      </c>
      <c r="O444" s="1">
        <v>0.61070000000000002</v>
      </c>
      <c r="P444" s="1">
        <v>0.66359999999999997</v>
      </c>
      <c r="Q444" s="1">
        <v>0.66190000000000004</v>
      </c>
      <c r="R444" s="1">
        <v>0.89070000000000005</v>
      </c>
      <c r="S444" s="1">
        <v>0.63630000000000009</v>
      </c>
      <c r="T444" s="1">
        <v>0.77685000000000004</v>
      </c>
      <c r="U444" s="1">
        <v>1.0133999999999999</v>
      </c>
      <c r="V444" s="1">
        <v>1.46</v>
      </c>
    </row>
    <row r="445" spans="12:22" x14ac:dyDescent="0.25">
      <c r="L445" s="1">
        <v>84.3</v>
      </c>
      <c r="M445" s="1">
        <v>0.63585000000000003</v>
      </c>
      <c r="N445" s="1">
        <v>0.77629999999999999</v>
      </c>
      <c r="O445" s="1">
        <v>0.61019999999999996</v>
      </c>
      <c r="P445" s="1">
        <v>0.66300000000000003</v>
      </c>
      <c r="Q445" s="1">
        <v>0.66149999999999998</v>
      </c>
      <c r="R445" s="1">
        <v>0.89019999999999999</v>
      </c>
      <c r="S445" s="1">
        <v>0.63585000000000003</v>
      </c>
      <c r="T445" s="1">
        <v>0.77629999999999999</v>
      </c>
      <c r="U445" s="1">
        <v>1.0125999999999999</v>
      </c>
      <c r="V445" s="1">
        <v>1.4590000000000001</v>
      </c>
    </row>
    <row r="446" spans="12:22" x14ac:dyDescent="0.25">
      <c r="L446" s="1">
        <v>84.4</v>
      </c>
      <c r="M446" s="1">
        <v>0.63539999999999996</v>
      </c>
      <c r="N446" s="1">
        <v>0.77569999999999995</v>
      </c>
      <c r="O446" s="1">
        <v>0.60980000000000001</v>
      </c>
      <c r="P446" s="1">
        <v>0.66239999999999999</v>
      </c>
      <c r="Q446" s="1">
        <v>0.66100000000000003</v>
      </c>
      <c r="R446" s="1">
        <v>0.88959999999999995</v>
      </c>
      <c r="S446" s="1">
        <v>0.63539999999999996</v>
      </c>
      <c r="T446" s="1">
        <v>0.77569999999999995</v>
      </c>
      <c r="U446" s="1">
        <v>1.0117999999999998</v>
      </c>
      <c r="V446" s="1">
        <v>1.458</v>
      </c>
    </row>
    <row r="447" spans="12:22" x14ac:dyDescent="0.25">
      <c r="L447" s="1">
        <v>84.5</v>
      </c>
      <c r="M447" s="1">
        <v>0.6349499999999999</v>
      </c>
      <c r="N447" s="1">
        <v>0.77515000000000001</v>
      </c>
      <c r="O447" s="1">
        <v>0.60929999999999995</v>
      </c>
      <c r="P447" s="1">
        <v>0.66180000000000005</v>
      </c>
      <c r="Q447" s="1">
        <v>0.66059999999999997</v>
      </c>
      <c r="R447" s="1">
        <v>0.8891</v>
      </c>
      <c r="S447" s="1">
        <v>0.6349499999999999</v>
      </c>
      <c r="T447" s="1">
        <v>0.77515000000000001</v>
      </c>
      <c r="U447" s="1">
        <v>1.0109999999999999</v>
      </c>
      <c r="V447" s="1">
        <v>1.4570000000000001</v>
      </c>
    </row>
    <row r="448" spans="12:22" x14ac:dyDescent="0.25">
      <c r="L448" s="1">
        <v>84.6</v>
      </c>
      <c r="M448" s="1">
        <v>0.63444999999999996</v>
      </c>
      <c r="N448" s="1">
        <v>0.77464999999999995</v>
      </c>
      <c r="O448" s="1">
        <v>0.60880000000000001</v>
      </c>
      <c r="P448" s="1">
        <v>0.66120000000000001</v>
      </c>
      <c r="Q448" s="1">
        <v>0.66010000000000002</v>
      </c>
      <c r="R448" s="1">
        <v>0.88859999999999995</v>
      </c>
      <c r="S448" s="1">
        <v>0.63444999999999996</v>
      </c>
      <c r="T448" s="1">
        <v>0.77464999999999995</v>
      </c>
      <c r="U448" s="1">
        <v>1.0098</v>
      </c>
      <c r="V448" s="1">
        <v>1.4562000000000002</v>
      </c>
    </row>
    <row r="449" spans="12:22" x14ac:dyDescent="0.25">
      <c r="L449" s="1">
        <v>84.7</v>
      </c>
      <c r="M449" s="1">
        <v>0.6339999999999999</v>
      </c>
      <c r="N449" s="1">
        <v>0.77410000000000001</v>
      </c>
      <c r="O449" s="1">
        <v>0.60829999999999995</v>
      </c>
      <c r="P449" s="1">
        <v>0.66069999999999995</v>
      </c>
      <c r="Q449" s="1">
        <v>0.65969999999999995</v>
      </c>
      <c r="R449" s="1">
        <v>0.8881</v>
      </c>
      <c r="S449" s="1">
        <v>0.6339999999999999</v>
      </c>
      <c r="T449" s="1">
        <v>0.77410000000000001</v>
      </c>
      <c r="U449" s="1">
        <v>1.0085999999999999</v>
      </c>
      <c r="V449" s="1">
        <v>1.4554</v>
      </c>
    </row>
    <row r="450" spans="12:22" x14ac:dyDescent="0.25">
      <c r="L450" s="1">
        <v>84.8</v>
      </c>
      <c r="M450" s="1">
        <v>0.63349999999999995</v>
      </c>
      <c r="N450" s="1">
        <v>0.77354999999999996</v>
      </c>
      <c r="O450" s="1">
        <v>0.60780000000000001</v>
      </c>
      <c r="P450" s="1">
        <v>0.66010000000000002</v>
      </c>
      <c r="Q450" s="1">
        <v>0.65920000000000001</v>
      </c>
      <c r="R450" s="1">
        <v>0.88759999999999994</v>
      </c>
      <c r="S450" s="1">
        <v>0.63349999999999995</v>
      </c>
      <c r="T450" s="1">
        <v>0.77354999999999996</v>
      </c>
      <c r="U450" s="1">
        <v>1.0076000000000001</v>
      </c>
      <c r="V450" s="1">
        <v>1.4546000000000001</v>
      </c>
    </row>
    <row r="451" spans="12:22" x14ac:dyDescent="0.25">
      <c r="L451" s="1">
        <v>84.9</v>
      </c>
      <c r="M451" s="1">
        <v>0.63549999999999995</v>
      </c>
      <c r="N451" s="1">
        <v>0.77300000000000002</v>
      </c>
      <c r="O451" s="1">
        <v>0.61219999999999997</v>
      </c>
      <c r="P451" s="1">
        <v>0.65949999999999998</v>
      </c>
      <c r="Q451" s="1">
        <v>0.65880000000000005</v>
      </c>
      <c r="R451" s="1">
        <v>0.8871</v>
      </c>
      <c r="S451" s="1">
        <v>0.63549999999999995</v>
      </c>
      <c r="T451" s="1">
        <v>0.77300000000000002</v>
      </c>
      <c r="U451" s="1">
        <v>1.0067999999999999</v>
      </c>
      <c r="V451" s="1">
        <v>1.4538</v>
      </c>
    </row>
    <row r="452" spans="12:22" x14ac:dyDescent="0.25">
      <c r="L452" s="1">
        <v>85</v>
      </c>
      <c r="M452" s="1">
        <v>0.63260000000000005</v>
      </c>
      <c r="N452" s="1">
        <v>0.77244999999999997</v>
      </c>
      <c r="O452" s="1">
        <v>0.6069</v>
      </c>
      <c r="P452" s="1">
        <v>0.65890000000000004</v>
      </c>
      <c r="Q452" s="1">
        <v>0.6583</v>
      </c>
      <c r="R452" s="1">
        <v>0.88660000000000005</v>
      </c>
      <c r="S452" s="1">
        <v>0.63260000000000005</v>
      </c>
      <c r="T452" s="1">
        <v>0.77244999999999997</v>
      </c>
      <c r="U452" s="1">
        <v>1.006</v>
      </c>
      <c r="V452" s="1">
        <v>1.4530000000000001</v>
      </c>
    </row>
    <row r="453" spans="12:22" x14ac:dyDescent="0.25">
      <c r="L453" s="1">
        <v>85.1</v>
      </c>
      <c r="M453" s="1">
        <v>0.63214999999999999</v>
      </c>
      <c r="N453" s="1">
        <v>0.77195000000000003</v>
      </c>
      <c r="O453" s="1">
        <v>0.60640000000000005</v>
      </c>
      <c r="P453" s="1">
        <v>0.6583</v>
      </c>
      <c r="Q453" s="1">
        <v>0.65790000000000004</v>
      </c>
      <c r="R453" s="1">
        <v>0.8861</v>
      </c>
      <c r="S453" s="1">
        <v>0.63214999999999999</v>
      </c>
      <c r="T453" s="1">
        <v>0.77195000000000003</v>
      </c>
      <c r="U453" s="1">
        <v>1.0052000000000001</v>
      </c>
      <c r="V453" s="1">
        <v>1.4522000000000002</v>
      </c>
    </row>
    <row r="454" spans="12:22" x14ac:dyDescent="0.25">
      <c r="L454" s="1">
        <v>85.2</v>
      </c>
      <c r="M454" s="1">
        <v>0.63169999999999993</v>
      </c>
      <c r="N454" s="1">
        <v>0.77139999999999997</v>
      </c>
      <c r="O454" s="1">
        <v>0.60589999999999999</v>
      </c>
      <c r="P454" s="1">
        <v>0.65780000000000005</v>
      </c>
      <c r="Q454" s="1">
        <v>0.65749999999999997</v>
      </c>
      <c r="R454" s="1">
        <v>0.88560000000000005</v>
      </c>
      <c r="S454" s="1">
        <v>0.63169999999999993</v>
      </c>
      <c r="T454" s="1">
        <v>0.77139999999999997</v>
      </c>
      <c r="U454" s="1">
        <v>1.0044</v>
      </c>
      <c r="V454" s="1">
        <v>1.4514</v>
      </c>
    </row>
    <row r="455" spans="12:22" x14ac:dyDescent="0.25">
      <c r="L455" s="1">
        <v>85.3</v>
      </c>
      <c r="M455" s="1">
        <v>0.63124999999999998</v>
      </c>
      <c r="N455" s="1">
        <v>0.77085000000000004</v>
      </c>
      <c r="O455" s="1">
        <v>0.60550000000000004</v>
      </c>
      <c r="P455" s="1">
        <v>0.65720000000000001</v>
      </c>
      <c r="Q455" s="1">
        <v>0.65700000000000003</v>
      </c>
      <c r="R455" s="1">
        <v>0.8851</v>
      </c>
      <c r="S455" s="1">
        <v>0.63124999999999998</v>
      </c>
      <c r="T455" s="1">
        <v>0.77085000000000004</v>
      </c>
      <c r="U455" s="1">
        <v>1.0036</v>
      </c>
      <c r="V455" s="1">
        <v>1.4506000000000001</v>
      </c>
    </row>
    <row r="456" spans="12:22" x14ac:dyDescent="0.25">
      <c r="L456" s="1">
        <v>85.4</v>
      </c>
      <c r="M456" s="1">
        <v>0.63080000000000003</v>
      </c>
      <c r="N456" s="1">
        <v>0.77029999999999998</v>
      </c>
      <c r="O456" s="1">
        <v>0.60499999999999998</v>
      </c>
      <c r="P456" s="1">
        <v>0.65659999999999996</v>
      </c>
      <c r="Q456" s="1">
        <v>0.65659999999999996</v>
      </c>
      <c r="R456" s="1">
        <v>0.88460000000000005</v>
      </c>
      <c r="S456" s="1">
        <v>0.63080000000000003</v>
      </c>
      <c r="T456" s="1">
        <v>0.77029999999999998</v>
      </c>
      <c r="U456" s="1">
        <v>1.0027999999999999</v>
      </c>
      <c r="V456" s="1">
        <v>1.4498</v>
      </c>
    </row>
    <row r="457" spans="12:22" x14ac:dyDescent="0.25">
      <c r="L457" s="1">
        <v>85.5</v>
      </c>
      <c r="M457" s="1">
        <v>0.63034999999999997</v>
      </c>
      <c r="N457" s="1">
        <v>0.76980000000000004</v>
      </c>
      <c r="O457" s="1">
        <v>0.60450000000000004</v>
      </c>
      <c r="P457" s="1">
        <v>0.65600000000000003</v>
      </c>
      <c r="Q457" s="1">
        <v>0.65620000000000001</v>
      </c>
      <c r="R457" s="1">
        <v>0.8841</v>
      </c>
      <c r="S457" s="1">
        <v>0.63034999999999997</v>
      </c>
      <c r="T457" s="1">
        <v>0.76980000000000004</v>
      </c>
      <c r="U457" s="1">
        <v>1.002</v>
      </c>
      <c r="V457" s="1">
        <v>1.4490000000000001</v>
      </c>
    </row>
    <row r="458" spans="12:22" x14ac:dyDescent="0.25">
      <c r="L458" s="1">
        <v>85.6</v>
      </c>
      <c r="M458" s="1">
        <v>0.6298999999999999</v>
      </c>
      <c r="N458" s="1">
        <v>0.76924999999999999</v>
      </c>
      <c r="O458" s="1">
        <v>0.60409999999999997</v>
      </c>
      <c r="P458" s="1">
        <v>0.65549999999999997</v>
      </c>
      <c r="Q458" s="1">
        <v>0.65569999999999995</v>
      </c>
      <c r="R458" s="1">
        <v>0.88360000000000005</v>
      </c>
      <c r="S458" s="1">
        <v>0.6298999999999999</v>
      </c>
      <c r="T458" s="1">
        <v>0.76924999999999999</v>
      </c>
      <c r="U458" s="1">
        <v>1.0012000000000001</v>
      </c>
      <c r="V458" s="1">
        <v>1.4482000000000002</v>
      </c>
    </row>
    <row r="459" spans="12:22" x14ac:dyDescent="0.25">
      <c r="L459" s="1">
        <v>85.7</v>
      </c>
      <c r="M459" s="1">
        <v>0.62945000000000007</v>
      </c>
      <c r="N459" s="1">
        <v>0.76870000000000005</v>
      </c>
      <c r="O459" s="1">
        <v>0.60360000000000003</v>
      </c>
      <c r="P459" s="1">
        <v>0.65490000000000004</v>
      </c>
      <c r="Q459" s="1">
        <v>0.65529999999999999</v>
      </c>
      <c r="R459" s="1">
        <v>0.8831</v>
      </c>
      <c r="S459" s="1">
        <v>0.62945000000000007</v>
      </c>
      <c r="T459" s="1">
        <v>0.76870000000000005</v>
      </c>
      <c r="U459" s="1">
        <v>1.0004</v>
      </c>
      <c r="V459" s="1">
        <v>1.4474</v>
      </c>
    </row>
    <row r="460" spans="12:22" x14ac:dyDescent="0.25">
      <c r="L460" s="1">
        <v>85.8</v>
      </c>
      <c r="M460" s="1">
        <v>0.629</v>
      </c>
      <c r="N460" s="1">
        <v>0.76819999999999999</v>
      </c>
      <c r="O460" s="1">
        <v>0.60309999999999997</v>
      </c>
      <c r="P460" s="1">
        <v>0.65429999999999999</v>
      </c>
      <c r="Q460" s="1">
        <v>0.65490000000000004</v>
      </c>
      <c r="R460" s="1">
        <v>0.88260000000000005</v>
      </c>
      <c r="S460" s="1">
        <v>0.629</v>
      </c>
      <c r="T460" s="1">
        <v>0.76819999999999999</v>
      </c>
      <c r="U460" s="1">
        <v>0.99960000000000004</v>
      </c>
      <c r="V460" s="1">
        <v>1.4466000000000001</v>
      </c>
    </row>
    <row r="461" spans="12:22" x14ac:dyDescent="0.25">
      <c r="L461" s="1">
        <v>85.9</v>
      </c>
      <c r="M461" s="1">
        <v>0.63095000000000001</v>
      </c>
      <c r="N461" s="1">
        <v>0.76765000000000005</v>
      </c>
      <c r="O461" s="1">
        <v>0.60740000000000005</v>
      </c>
      <c r="P461" s="1">
        <v>0.65380000000000005</v>
      </c>
      <c r="Q461" s="1">
        <v>0.65449999999999997</v>
      </c>
      <c r="R461" s="1">
        <v>0.8821</v>
      </c>
      <c r="S461" s="1">
        <v>0.63095000000000001</v>
      </c>
      <c r="T461" s="1">
        <v>0.76765000000000005</v>
      </c>
      <c r="U461" s="1">
        <v>0.99880000000000002</v>
      </c>
      <c r="V461" s="1">
        <v>1.4458</v>
      </c>
    </row>
    <row r="462" spans="12:22" x14ac:dyDescent="0.25">
      <c r="L462" s="1">
        <v>86</v>
      </c>
      <c r="M462" s="1">
        <v>0.62809999999999999</v>
      </c>
      <c r="N462" s="1">
        <v>0.7671</v>
      </c>
      <c r="O462" s="1">
        <v>0.60219999999999996</v>
      </c>
      <c r="P462" s="1">
        <v>0.6532</v>
      </c>
      <c r="Q462" s="1">
        <v>0.65400000000000003</v>
      </c>
      <c r="R462" s="1">
        <v>0.88160000000000005</v>
      </c>
      <c r="S462" s="1">
        <v>0.62809999999999999</v>
      </c>
      <c r="T462" s="1">
        <v>0.7671</v>
      </c>
      <c r="U462" s="1">
        <v>0.998</v>
      </c>
      <c r="V462" s="1">
        <v>1.4450000000000001</v>
      </c>
    </row>
    <row r="463" spans="12:22" x14ac:dyDescent="0.25">
      <c r="L463" s="1">
        <v>86.1</v>
      </c>
      <c r="M463" s="1">
        <v>0.62769999999999992</v>
      </c>
      <c r="N463" s="1">
        <v>0.76659999999999995</v>
      </c>
      <c r="O463" s="1">
        <v>0.6018</v>
      </c>
      <c r="P463" s="1">
        <v>0.65259999999999996</v>
      </c>
      <c r="Q463" s="1">
        <v>0.65359999999999996</v>
      </c>
      <c r="R463" s="1">
        <v>0.88109999999999999</v>
      </c>
      <c r="S463" s="1">
        <v>0.62769999999999992</v>
      </c>
      <c r="T463" s="1">
        <v>0.76659999999999995</v>
      </c>
      <c r="U463" s="1">
        <v>0.99719999999999998</v>
      </c>
      <c r="V463" s="1">
        <v>1.4444000000000001</v>
      </c>
    </row>
    <row r="464" spans="12:22" x14ac:dyDescent="0.25">
      <c r="L464" s="1">
        <v>86.2</v>
      </c>
      <c r="M464" s="1">
        <v>0.62724999999999997</v>
      </c>
      <c r="N464" s="1">
        <v>0.7661</v>
      </c>
      <c r="O464" s="1">
        <v>0.60129999999999995</v>
      </c>
      <c r="P464" s="1">
        <v>0.65210000000000001</v>
      </c>
      <c r="Q464" s="1">
        <v>0.6532</v>
      </c>
      <c r="R464" s="1">
        <v>0.88070000000000004</v>
      </c>
      <c r="S464" s="1">
        <v>0.62724999999999997</v>
      </c>
      <c r="T464" s="1">
        <v>0.7661</v>
      </c>
      <c r="U464" s="1">
        <v>0.99639999999999995</v>
      </c>
      <c r="V464" s="1">
        <v>1.4438</v>
      </c>
    </row>
    <row r="465" spans="12:22" x14ac:dyDescent="0.25">
      <c r="L465" s="1">
        <v>86.3</v>
      </c>
      <c r="M465" s="1">
        <v>0.62685000000000002</v>
      </c>
      <c r="N465" s="1">
        <v>0.76554999999999995</v>
      </c>
      <c r="O465" s="1">
        <v>0.60089999999999999</v>
      </c>
      <c r="P465" s="1">
        <v>0.65149999999999997</v>
      </c>
      <c r="Q465" s="1">
        <v>0.65280000000000005</v>
      </c>
      <c r="R465" s="1">
        <v>0.88019999999999998</v>
      </c>
      <c r="S465" s="1">
        <v>0.62685000000000002</v>
      </c>
      <c r="T465" s="1">
        <v>0.76554999999999995</v>
      </c>
      <c r="U465" s="1">
        <v>0.99560000000000004</v>
      </c>
      <c r="V465" s="1">
        <v>1.4432</v>
      </c>
    </row>
    <row r="466" spans="12:22" x14ac:dyDescent="0.25">
      <c r="L466" s="1">
        <v>86.4</v>
      </c>
      <c r="M466" s="1">
        <v>0.62634999999999996</v>
      </c>
      <c r="N466" s="1">
        <v>0.76505000000000001</v>
      </c>
      <c r="O466" s="1">
        <v>0.60040000000000004</v>
      </c>
      <c r="P466" s="1">
        <v>0.65090000000000003</v>
      </c>
      <c r="Q466" s="1">
        <v>0.65229999999999999</v>
      </c>
      <c r="R466" s="1">
        <v>0.87970000000000004</v>
      </c>
      <c r="S466" s="1">
        <v>0.62634999999999996</v>
      </c>
      <c r="T466" s="1">
        <v>0.76505000000000001</v>
      </c>
      <c r="U466" s="1">
        <v>0.99480000000000002</v>
      </c>
      <c r="V466" s="1">
        <v>1.4425999999999999</v>
      </c>
    </row>
    <row r="467" spans="12:22" x14ac:dyDescent="0.25">
      <c r="L467" s="1">
        <v>86.5</v>
      </c>
      <c r="M467" s="1">
        <v>0.62595000000000001</v>
      </c>
      <c r="N467" s="1">
        <v>0.76449999999999996</v>
      </c>
      <c r="O467" s="1">
        <v>0.6</v>
      </c>
      <c r="P467" s="1">
        <v>0.65039999999999998</v>
      </c>
      <c r="Q467" s="1">
        <v>0.65190000000000003</v>
      </c>
      <c r="R467" s="1">
        <v>0.87919999999999998</v>
      </c>
      <c r="S467" s="1">
        <v>0.62595000000000001</v>
      </c>
      <c r="T467" s="1">
        <v>0.76449999999999996</v>
      </c>
      <c r="U467" s="1">
        <v>0.99399999999999999</v>
      </c>
      <c r="V467" s="1">
        <v>1.4419999999999999</v>
      </c>
    </row>
    <row r="468" spans="12:22" x14ac:dyDescent="0.25">
      <c r="L468" s="1">
        <v>86.6</v>
      </c>
      <c r="M468" s="1">
        <v>0.62549999999999994</v>
      </c>
      <c r="N468" s="1">
        <v>0.76400000000000001</v>
      </c>
      <c r="O468" s="1">
        <v>0.59950000000000003</v>
      </c>
      <c r="P468" s="1">
        <v>0.64980000000000004</v>
      </c>
      <c r="Q468" s="1">
        <v>0.65149999999999997</v>
      </c>
      <c r="R468" s="1">
        <v>0.87880000000000003</v>
      </c>
      <c r="S468" s="1">
        <v>0.62549999999999994</v>
      </c>
      <c r="T468" s="1">
        <v>0.76400000000000001</v>
      </c>
      <c r="U468" s="1">
        <v>0.99319999999999997</v>
      </c>
      <c r="V468" s="1">
        <v>1.4414</v>
      </c>
    </row>
    <row r="469" spans="12:22" x14ac:dyDescent="0.25">
      <c r="L469" s="1">
        <v>86.7</v>
      </c>
      <c r="M469" s="1">
        <v>0.62509999999999999</v>
      </c>
      <c r="N469" s="1">
        <v>0.76349999999999996</v>
      </c>
      <c r="O469" s="1">
        <v>0.59909999999999997</v>
      </c>
      <c r="P469" s="1">
        <v>0.6492</v>
      </c>
      <c r="Q469" s="1">
        <v>0.65110000000000001</v>
      </c>
      <c r="R469" s="1">
        <v>0.87829999999999997</v>
      </c>
      <c r="S469" s="1">
        <v>0.62509999999999999</v>
      </c>
      <c r="T469" s="1">
        <v>0.76349999999999996</v>
      </c>
      <c r="U469" s="1">
        <v>0.99239999999999995</v>
      </c>
      <c r="V469" s="1">
        <v>1.4408000000000001</v>
      </c>
    </row>
    <row r="470" spans="12:22" x14ac:dyDescent="0.25">
      <c r="L470" s="1">
        <v>86.8</v>
      </c>
      <c r="M470" s="1">
        <v>0.62464999999999993</v>
      </c>
      <c r="N470" s="1">
        <v>0.76295000000000002</v>
      </c>
      <c r="O470" s="1">
        <v>0.59860000000000002</v>
      </c>
      <c r="P470" s="1">
        <v>0.64870000000000005</v>
      </c>
      <c r="Q470" s="1">
        <v>0.65069999999999995</v>
      </c>
      <c r="R470" s="1">
        <v>0.87780000000000002</v>
      </c>
      <c r="S470" s="1">
        <v>0.62464999999999993</v>
      </c>
      <c r="T470" s="1">
        <v>0.76295000000000002</v>
      </c>
      <c r="U470" s="1">
        <v>0.99160000000000004</v>
      </c>
      <c r="V470" s="1">
        <v>1.4401999999999999</v>
      </c>
    </row>
    <row r="471" spans="12:22" x14ac:dyDescent="0.25">
      <c r="L471" s="1">
        <v>86.9</v>
      </c>
      <c r="M471" s="1">
        <v>0.62650000000000006</v>
      </c>
      <c r="N471" s="1">
        <v>0.76249999999999996</v>
      </c>
      <c r="O471" s="1">
        <v>0.60270000000000001</v>
      </c>
      <c r="P471" s="1">
        <v>0.64810000000000001</v>
      </c>
      <c r="Q471" s="1">
        <v>0.65029999999999999</v>
      </c>
      <c r="R471" s="1">
        <v>0.87739999999999996</v>
      </c>
      <c r="S471" s="1">
        <v>0.62650000000000006</v>
      </c>
      <c r="T471" s="1">
        <v>0.76249999999999996</v>
      </c>
      <c r="U471" s="1">
        <v>0.99080000000000001</v>
      </c>
      <c r="V471" s="1">
        <v>1.4396</v>
      </c>
    </row>
    <row r="472" spans="12:22" x14ac:dyDescent="0.25">
      <c r="L472" s="1">
        <v>87</v>
      </c>
      <c r="M472" s="1">
        <v>0.62385000000000002</v>
      </c>
      <c r="N472" s="1">
        <v>0.76195000000000002</v>
      </c>
      <c r="O472" s="1">
        <v>0.5978</v>
      </c>
      <c r="P472" s="1">
        <v>0.64759999999999995</v>
      </c>
      <c r="Q472" s="1">
        <v>0.64990000000000003</v>
      </c>
      <c r="R472" s="1">
        <v>0.87690000000000001</v>
      </c>
      <c r="S472" s="1">
        <v>0.62385000000000002</v>
      </c>
      <c r="T472" s="1">
        <v>0.76195000000000002</v>
      </c>
      <c r="U472" s="1">
        <v>0.99</v>
      </c>
      <c r="V472" s="1">
        <v>1.4390000000000001</v>
      </c>
    </row>
    <row r="473" spans="12:22" x14ac:dyDescent="0.25">
      <c r="L473" s="1">
        <v>87.1</v>
      </c>
      <c r="M473" s="1">
        <v>0.62339999999999995</v>
      </c>
      <c r="N473" s="1">
        <v>0.76144999999999996</v>
      </c>
      <c r="O473" s="1">
        <v>0.59730000000000005</v>
      </c>
      <c r="P473" s="1">
        <v>0.64700000000000002</v>
      </c>
      <c r="Q473" s="1">
        <v>0.64949999999999997</v>
      </c>
      <c r="R473" s="1">
        <v>0.87649999999999995</v>
      </c>
      <c r="S473" s="1">
        <v>0.62339999999999995</v>
      </c>
      <c r="T473" s="1">
        <v>0.76144999999999996</v>
      </c>
      <c r="U473" s="1">
        <v>0.98919999999999997</v>
      </c>
      <c r="V473" s="1">
        <v>1.4384000000000001</v>
      </c>
    </row>
    <row r="474" spans="12:22" x14ac:dyDescent="0.25">
      <c r="L474" s="1">
        <v>87.2</v>
      </c>
      <c r="M474" s="1">
        <v>0.623</v>
      </c>
      <c r="N474" s="1">
        <v>0.76095000000000002</v>
      </c>
      <c r="O474" s="1">
        <v>0.59689999999999999</v>
      </c>
      <c r="P474" s="1">
        <v>0.64639999999999997</v>
      </c>
      <c r="Q474" s="1">
        <v>0.64910000000000001</v>
      </c>
      <c r="R474" s="1">
        <v>0.876</v>
      </c>
      <c r="S474" s="1">
        <v>0.623</v>
      </c>
      <c r="T474" s="1">
        <v>0.76095000000000002</v>
      </c>
      <c r="U474" s="1">
        <v>0.98839999999999995</v>
      </c>
      <c r="V474" s="1">
        <v>1.4378</v>
      </c>
    </row>
    <row r="475" spans="12:22" x14ac:dyDescent="0.25">
      <c r="L475" s="1">
        <v>87.3</v>
      </c>
      <c r="M475" s="1">
        <v>0.62260000000000004</v>
      </c>
      <c r="N475" s="1">
        <v>0.76039999999999996</v>
      </c>
      <c r="O475" s="1">
        <v>0.59650000000000003</v>
      </c>
      <c r="P475" s="1">
        <v>0.64590000000000003</v>
      </c>
      <c r="Q475" s="1">
        <v>0.64870000000000005</v>
      </c>
      <c r="R475" s="1">
        <v>0.87549999999999994</v>
      </c>
      <c r="S475" s="1">
        <v>0.62260000000000004</v>
      </c>
      <c r="T475" s="1">
        <v>0.76039999999999996</v>
      </c>
      <c r="U475" s="1">
        <v>0.98780000000000001</v>
      </c>
      <c r="V475" s="1">
        <v>1.4372</v>
      </c>
    </row>
    <row r="476" spans="12:22" x14ac:dyDescent="0.25">
      <c r="L476" s="1">
        <v>87.4</v>
      </c>
      <c r="M476" s="1">
        <v>0.62214999999999998</v>
      </c>
      <c r="N476" s="1">
        <v>0.75995000000000001</v>
      </c>
      <c r="O476" s="1">
        <v>0.59599999999999997</v>
      </c>
      <c r="P476" s="1">
        <v>0.64529999999999998</v>
      </c>
      <c r="Q476" s="1">
        <v>0.64829999999999999</v>
      </c>
      <c r="R476" s="1">
        <v>0.87509999999999999</v>
      </c>
      <c r="S476" s="1">
        <v>0.62214999999999998</v>
      </c>
      <c r="T476" s="1">
        <v>0.75995000000000001</v>
      </c>
      <c r="U476" s="1">
        <v>0.98739999999999994</v>
      </c>
      <c r="V476" s="1">
        <v>1.4365999999999999</v>
      </c>
    </row>
    <row r="477" spans="12:22" x14ac:dyDescent="0.25">
      <c r="L477" s="1">
        <v>87.5</v>
      </c>
      <c r="M477" s="1">
        <v>0.62175000000000002</v>
      </c>
      <c r="N477" s="1">
        <v>0.75939999999999996</v>
      </c>
      <c r="O477" s="1">
        <v>0.59560000000000002</v>
      </c>
      <c r="P477" s="1">
        <v>0.64480000000000004</v>
      </c>
      <c r="Q477" s="1">
        <v>0.64790000000000003</v>
      </c>
      <c r="R477" s="1">
        <v>0.87460000000000004</v>
      </c>
      <c r="S477" s="1">
        <v>0.62175000000000002</v>
      </c>
      <c r="T477" s="1">
        <v>0.75939999999999996</v>
      </c>
      <c r="U477" s="1">
        <v>0.98699999999999999</v>
      </c>
      <c r="V477" s="1">
        <v>1.4359999999999999</v>
      </c>
    </row>
    <row r="478" spans="12:22" x14ac:dyDescent="0.25">
      <c r="L478" s="1">
        <v>87.6</v>
      </c>
      <c r="M478" s="1">
        <v>0.62134999999999996</v>
      </c>
      <c r="N478" s="1">
        <v>0.75895000000000001</v>
      </c>
      <c r="O478" s="1">
        <v>0.59519999999999995</v>
      </c>
      <c r="P478" s="1">
        <v>0.64419999999999999</v>
      </c>
      <c r="Q478" s="1">
        <v>0.64749999999999996</v>
      </c>
      <c r="R478" s="1">
        <v>0.87419999999999998</v>
      </c>
      <c r="S478" s="1">
        <v>0.62134999999999996</v>
      </c>
      <c r="T478" s="1">
        <v>0.75895000000000001</v>
      </c>
      <c r="U478" s="1">
        <v>0.98619999999999997</v>
      </c>
      <c r="V478" s="1">
        <v>1.4354</v>
      </c>
    </row>
    <row r="479" spans="12:22" x14ac:dyDescent="0.25">
      <c r="L479" s="1">
        <v>87.7</v>
      </c>
      <c r="M479" s="1">
        <v>0.62090000000000001</v>
      </c>
      <c r="N479" s="1">
        <v>0.75839999999999996</v>
      </c>
      <c r="O479" s="1">
        <v>0.59470000000000001</v>
      </c>
      <c r="P479" s="1">
        <v>0.64370000000000005</v>
      </c>
      <c r="Q479" s="1">
        <v>0.64710000000000001</v>
      </c>
      <c r="R479" s="1">
        <v>0.87370000000000003</v>
      </c>
      <c r="S479" s="1">
        <v>0.62090000000000001</v>
      </c>
      <c r="T479" s="1">
        <v>0.75839999999999996</v>
      </c>
      <c r="U479" s="1">
        <v>0.98539999999999994</v>
      </c>
      <c r="V479" s="1">
        <v>1.4348000000000001</v>
      </c>
    </row>
    <row r="480" spans="12:22" x14ac:dyDescent="0.25">
      <c r="L480" s="1">
        <v>87.8</v>
      </c>
      <c r="M480" s="1">
        <v>0.62050000000000005</v>
      </c>
      <c r="N480" s="1">
        <v>0.75795000000000001</v>
      </c>
      <c r="O480" s="1">
        <v>0.59430000000000005</v>
      </c>
      <c r="P480" s="1">
        <v>0.6431</v>
      </c>
      <c r="Q480" s="1">
        <v>0.64670000000000005</v>
      </c>
      <c r="R480" s="1">
        <v>0.87329999999999997</v>
      </c>
      <c r="S480" s="1">
        <v>0.62050000000000005</v>
      </c>
      <c r="T480" s="1">
        <v>0.75795000000000001</v>
      </c>
      <c r="U480" s="1">
        <v>0.98460000000000003</v>
      </c>
      <c r="V480" s="1">
        <v>1.4341999999999999</v>
      </c>
    </row>
    <row r="481" spans="12:22" x14ac:dyDescent="0.25">
      <c r="L481" s="1">
        <v>87.9</v>
      </c>
      <c r="M481" s="1">
        <v>0.62224999999999997</v>
      </c>
      <c r="N481" s="1">
        <v>0.75744999999999996</v>
      </c>
      <c r="O481" s="1">
        <v>0.59819999999999995</v>
      </c>
      <c r="P481" s="1">
        <v>0.64259999999999995</v>
      </c>
      <c r="Q481" s="1">
        <v>0.64629999999999999</v>
      </c>
      <c r="R481" s="1">
        <v>0.87290000000000001</v>
      </c>
      <c r="S481" s="1">
        <v>0.62224999999999997</v>
      </c>
      <c r="T481" s="1">
        <v>0.75744999999999996</v>
      </c>
      <c r="U481" s="1">
        <v>0.98380000000000001</v>
      </c>
      <c r="V481" s="1">
        <v>1.4336</v>
      </c>
    </row>
    <row r="482" spans="12:22" x14ac:dyDescent="0.25">
      <c r="L482" s="1">
        <v>88</v>
      </c>
      <c r="M482" s="1">
        <v>0.61970000000000003</v>
      </c>
      <c r="N482" s="1">
        <v>0.75695000000000001</v>
      </c>
      <c r="O482" s="1">
        <v>0.59350000000000003</v>
      </c>
      <c r="P482" s="1">
        <v>0.64200000000000002</v>
      </c>
      <c r="Q482" s="1">
        <v>0.64590000000000003</v>
      </c>
      <c r="R482" s="1">
        <v>0.87239999999999995</v>
      </c>
      <c r="S482" s="1">
        <v>0.61970000000000003</v>
      </c>
      <c r="T482" s="1">
        <v>0.75695000000000001</v>
      </c>
      <c r="U482" s="1">
        <v>0.98299999999999998</v>
      </c>
      <c r="V482" s="1">
        <v>1.4330000000000001</v>
      </c>
    </row>
    <row r="483" spans="12:22" x14ac:dyDescent="0.25">
      <c r="L483" s="1">
        <v>88.1</v>
      </c>
      <c r="M483" s="1">
        <v>0.61924999999999997</v>
      </c>
      <c r="N483" s="1">
        <v>0.75644999999999996</v>
      </c>
      <c r="O483" s="1">
        <v>0.59299999999999997</v>
      </c>
      <c r="P483" s="1">
        <v>0.64149999999999996</v>
      </c>
      <c r="Q483" s="1">
        <v>0.64549999999999996</v>
      </c>
      <c r="R483" s="1">
        <v>0.872</v>
      </c>
      <c r="S483" s="1">
        <v>0.61924999999999997</v>
      </c>
      <c r="T483" s="1">
        <v>0.75644999999999996</v>
      </c>
      <c r="U483" s="1">
        <v>0.98219999999999996</v>
      </c>
      <c r="V483" s="1">
        <v>1.4322000000000001</v>
      </c>
    </row>
    <row r="484" spans="12:22" x14ac:dyDescent="0.25">
      <c r="L484" s="1">
        <v>88.2</v>
      </c>
      <c r="M484" s="1">
        <v>0.61885000000000001</v>
      </c>
      <c r="N484" s="1">
        <v>0.75600000000000001</v>
      </c>
      <c r="O484" s="1">
        <v>0.59260000000000002</v>
      </c>
      <c r="P484" s="1">
        <v>0.64090000000000003</v>
      </c>
      <c r="Q484" s="1">
        <v>0.64510000000000001</v>
      </c>
      <c r="R484" s="1">
        <v>0.87160000000000004</v>
      </c>
      <c r="S484" s="1">
        <v>0.61885000000000001</v>
      </c>
      <c r="T484" s="1">
        <v>0.75600000000000001</v>
      </c>
      <c r="U484" s="1">
        <v>0.98139999999999994</v>
      </c>
      <c r="V484" s="1">
        <v>1.4314</v>
      </c>
    </row>
    <row r="485" spans="12:22" x14ac:dyDescent="0.25">
      <c r="L485" s="1">
        <v>88.3</v>
      </c>
      <c r="M485" s="1">
        <v>0.61844999999999994</v>
      </c>
      <c r="N485" s="1">
        <v>0.75544999999999995</v>
      </c>
      <c r="O485" s="1">
        <v>0.59219999999999995</v>
      </c>
      <c r="P485" s="1">
        <v>0.64039999999999997</v>
      </c>
      <c r="Q485" s="1">
        <v>0.64470000000000005</v>
      </c>
      <c r="R485" s="1">
        <v>0.87109999999999999</v>
      </c>
      <c r="S485" s="1">
        <v>0.61844999999999994</v>
      </c>
      <c r="T485" s="1">
        <v>0.75544999999999995</v>
      </c>
      <c r="U485" s="1">
        <v>0.98060000000000003</v>
      </c>
      <c r="V485" s="1">
        <v>1.4306000000000001</v>
      </c>
    </row>
    <row r="486" spans="12:22" x14ac:dyDescent="0.25">
      <c r="L486" s="1">
        <v>88.4</v>
      </c>
      <c r="M486" s="1">
        <v>0.61809999999999998</v>
      </c>
      <c r="N486" s="1">
        <v>0.755</v>
      </c>
      <c r="O486" s="1">
        <v>0.59179999999999999</v>
      </c>
      <c r="P486" s="1">
        <v>0.63980000000000004</v>
      </c>
      <c r="Q486" s="1">
        <v>0.64439999999999997</v>
      </c>
      <c r="R486" s="1">
        <v>0.87070000000000003</v>
      </c>
      <c r="S486" s="1">
        <v>0.61809999999999998</v>
      </c>
      <c r="T486" s="1">
        <v>0.755</v>
      </c>
      <c r="U486" s="1">
        <v>0.9798</v>
      </c>
      <c r="V486" s="1">
        <v>1.4298</v>
      </c>
    </row>
    <row r="487" spans="12:22" x14ac:dyDescent="0.25">
      <c r="L487" s="1">
        <v>88.5</v>
      </c>
      <c r="M487" s="1">
        <v>0.61770000000000003</v>
      </c>
      <c r="N487" s="1">
        <v>0.75449999999999995</v>
      </c>
      <c r="O487" s="1">
        <v>0.59140000000000004</v>
      </c>
      <c r="P487" s="1">
        <v>0.63929999999999998</v>
      </c>
      <c r="Q487" s="1">
        <v>0.64400000000000002</v>
      </c>
      <c r="R487" s="1">
        <v>0.87029999999999996</v>
      </c>
      <c r="S487" s="1">
        <v>0.61770000000000003</v>
      </c>
      <c r="T487" s="1">
        <v>0.75449999999999995</v>
      </c>
      <c r="U487" s="1">
        <v>0.97899999999999998</v>
      </c>
      <c r="V487" s="1">
        <v>1.429</v>
      </c>
    </row>
    <row r="488" spans="12:22" x14ac:dyDescent="0.25">
      <c r="L488" s="1">
        <v>88.6</v>
      </c>
      <c r="M488" s="1">
        <v>0.61729999999999996</v>
      </c>
      <c r="N488" s="1">
        <v>0.754</v>
      </c>
      <c r="O488" s="1">
        <v>0.59099999999999997</v>
      </c>
      <c r="P488" s="1">
        <v>0.63870000000000005</v>
      </c>
      <c r="Q488" s="1">
        <v>0.64359999999999995</v>
      </c>
      <c r="R488" s="1">
        <v>0.86980000000000002</v>
      </c>
      <c r="S488" s="1">
        <v>0.61729999999999996</v>
      </c>
      <c r="T488" s="1">
        <v>0.754</v>
      </c>
      <c r="U488" s="1">
        <v>0.97860000000000003</v>
      </c>
      <c r="V488" s="1">
        <v>1.4286000000000001</v>
      </c>
    </row>
    <row r="489" spans="12:22" x14ac:dyDescent="0.25">
      <c r="L489" s="1">
        <v>88.7</v>
      </c>
      <c r="M489" s="1">
        <v>0.61685000000000001</v>
      </c>
      <c r="N489" s="1">
        <v>0.75349999999999995</v>
      </c>
      <c r="O489" s="1">
        <v>0.59050000000000002</v>
      </c>
      <c r="P489" s="1">
        <v>0.63819999999999999</v>
      </c>
      <c r="Q489" s="1">
        <v>0.64319999999999999</v>
      </c>
      <c r="R489" s="1">
        <v>0.86939999999999995</v>
      </c>
      <c r="S489" s="1">
        <v>0.61685000000000001</v>
      </c>
      <c r="T489" s="1">
        <v>0.75349999999999995</v>
      </c>
      <c r="U489" s="1">
        <v>0.97819999999999996</v>
      </c>
      <c r="V489" s="1">
        <v>1.4282000000000001</v>
      </c>
    </row>
    <row r="490" spans="12:22" x14ac:dyDescent="0.25">
      <c r="L490" s="1">
        <v>88.8</v>
      </c>
      <c r="M490" s="1">
        <v>0.61644999999999994</v>
      </c>
      <c r="N490" s="1">
        <v>0.75305</v>
      </c>
      <c r="O490" s="1">
        <v>0.59009999999999996</v>
      </c>
      <c r="P490" s="1">
        <v>0.63759999999999994</v>
      </c>
      <c r="Q490" s="1">
        <v>0.64280000000000004</v>
      </c>
      <c r="R490" s="1">
        <v>0.86899999999999999</v>
      </c>
      <c r="S490" s="1">
        <v>0.61644999999999994</v>
      </c>
      <c r="T490" s="1">
        <v>0.75305</v>
      </c>
      <c r="U490" s="1">
        <v>0.97760000000000002</v>
      </c>
      <c r="V490" s="1">
        <v>1.4278</v>
      </c>
    </row>
    <row r="491" spans="12:22" x14ac:dyDescent="0.25">
      <c r="L491" s="1">
        <v>88.9</v>
      </c>
      <c r="M491" s="1">
        <v>0.61814999999999998</v>
      </c>
      <c r="N491" s="1">
        <v>0.75260000000000005</v>
      </c>
      <c r="O491" s="1">
        <v>0.59389999999999998</v>
      </c>
      <c r="P491" s="1">
        <v>0.6371</v>
      </c>
      <c r="Q491" s="1">
        <v>0.64239999999999997</v>
      </c>
      <c r="R491" s="1">
        <v>0.86860000000000004</v>
      </c>
      <c r="S491" s="1">
        <v>0.61814999999999998</v>
      </c>
      <c r="T491" s="1">
        <v>0.75260000000000005</v>
      </c>
      <c r="U491" s="1">
        <v>0.9768</v>
      </c>
      <c r="V491" s="1">
        <v>1.4274</v>
      </c>
    </row>
    <row r="492" spans="12:22" x14ac:dyDescent="0.25">
      <c r="L492" s="1">
        <v>89</v>
      </c>
      <c r="M492" s="1">
        <v>0.61570000000000003</v>
      </c>
      <c r="N492" s="1">
        <v>0.75205</v>
      </c>
      <c r="O492" s="1">
        <v>0.58930000000000005</v>
      </c>
      <c r="P492" s="1">
        <v>0.63660000000000005</v>
      </c>
      <c r="Q492" s="1">
        <v>0.6421</v>
      </c>
      <c r="R492" s="1">
        <v>0.86809999999999998</v>
      </c>
      <c r="S492" s="1">
        <v>0.61570000000000003</v>
      </c>
      <c r="T492" s="1">
        <v>0.75205</v>
      </c>
      <c r="U492" s="1">
        <v>0.97599999999999998</v>
      </c>
      <c r="V492" s="1">
        <v>1.427</v>
      </c>
    </row>
    <row r="493" spans="12:22" x14ac:dyDescent="0.25">
      <c r="L493" s="1">
        <v>89.1</v>
      </c>
      <c r="M493" s="1">
        <v>0.61529999999999996</v>
      </c>
      <c r="N493" s="1">
        <v>0.75160000000000005</v>
      </c>
      <c r="O493" s="1">
        <v>0.58889999999999998</v>
      </c>
      <c r="P493" s="1">
        <v>0.63600000000000001</v>
      </c>
      <c r="Q493" s="1">
        <v>0.64170000000000005</v>
      </c>
      <c r="R493" s="1">
        <v>0.86770000000000003</v>
      </c>
      <c r="S493" s="1">
        <v>0.61529999999999996</v>
      </c>
      <c r="T493" s="1">
        <v>0.75160000000000005</v>
      </c>
      <c r="U493" s="1">
        <v>0.97519999999999996</v>
      </c>
      <c r="V493" s="1">
        <v>1.4264000000000001</v>
      </c>
    </row>
    <row r="494" spans="12:22" x14ac:dyDescent="0.25">
      <c r="L494" s="1">
        <v>89.2</v>
      </c>
      <c r="M494" s="1">
        <v>0.6149</v>
      </c>
      <c r="N494" s="1">
        <v>0.75114999999999998</v>
      </c>
      <c r="O494" s="1">
        <v>0.58850000000000002</v>
      </c>
      <c r="P494" s="1">
        <v>0.63549999999999995</v>
      </c>
      <c r="Q494" s="1">
        <v>0.64129999999999998</v>
      </c>
      <c r="R494" s="1">
        <v>0.86729999999999996</v>
      </c>
      <c r="S494" s="1">
        <v>0.6149</v>
      </c>
      <c r="T494" s="1">
        <v>0.75114999999999998</v>
      </c>
      <c r="U494" s="1">
        <v>0.97439999999999993</v>
      </c>
      <c r="V494" s="1">
        <v>1.4258</v>
      </c>
    </row>
    <row r="495" spans="12:22" x14ac:dyDescent="0.25">
      <c r="L495" s="1">
        <v>89.3</v>
      </c>
      <c r="M495" s="1">
        <v>0.61454999999999993</v>
      </c>
      <c r="N495" s="1">
        <v>0.75065000000000004</v>
      </c>
      <c r="O495" s="1">
        <v>0.58809999999999996</v>
      </c>
      <c r="P495" s="1">
        <v>0.63500000000000001</v>
      </c>
      <c r="Q495" s="1">
        <v>0.64100000000000001</v>
      </c>
      <c r="R495" s="1">
        <v>0.8669</v>
      </c>
      <c r="S495" s="1">
        <v>0.61454999999999993</v>
      </c>
      <c r="T495" s="1">
        <v>0.75065000000000004</v>
      </c>
      <c r="U495" s="1">
        <v>0.97360000000000002</v>
      </c>
      <c r="V495" s="1">
        <v>1.4252</v>
      </c>
    </row>
    <row r="496" spans="12:22" x14ac:dyDescent="0.25">
      <c r="L496" s="1">
        <v>89.4</v>
      </c>
      <c r="M496" s="1">
        <v>0.61414999999999997</v>
      </c>
      <c r="N496" s="1">
        <v>0.75019999999999998</v>
      </c>
      <c r="O496" s="1">
        <v>0.5877</v>
      </c>
      <c r="P496" s="1">
        <v>0.63439999999999996</v>
      </c>
      <c r="Q496" s="1">
        <v>0.64059999999999995</v>
      </c>
      <c r="R496" s="1">
        <v>0.86650000000000005</v>
      </c>
      <c r="S496" s="1">
        <v>0.61414999999999997</v>
      </c>
      <c r="T496" s="1">
        <v>0.75019999999999998</v>
      </c>
      <c r="U496" s="1">
        <v>0.9728</v>
      </c>
      <c r="V496" s="1">
        <v>1.4245999999999999</v>
      </c>
    </row>
    <row r="497" spans="12:22" x14ac:dyDescent="0.25">
      <c r="L497" s="1">
        <v>89.5</v>
      </c>
      <c r="M497" s="1">
        <v>0.61375000000000002</v>
      </c>
      <c r="N497" s="1">
        <v>0.74970000000000003</v>
      </c>
      <c r="O497" s="1">
        <v>0.58730000000000004</v>
      </c>
      <c r="P497" s="1">
        <v>0.63390000000000002</v>
      </c>
      <c r="Q497" s="1">
        <v>0.64019999999999999</v>
      </c>
      <c r="R497" s="1">
        <v>0.86609999999999998</v>
      </c>
      <c r="S497" s="1">
        <v>0.61375000000000002</v>
      </c>
      <c r="T497" s="1">
        <v>0.74970000000000003</v>
      </c>
      <c r="U497" s="1">
        <v>0.97199999999999998</v>
      </c>
      <c r="V497" s="1">
        <v>1.4239999999999999</v>
      </c>
    </row>
    <row r="498" spans="12:22" x14ac:dyDescent="0.25">
      <c r="L498" s="1">
        <v>89.6</v>
      </c>
      <c r="M498" s="1">
        <v>0.61335000000000006</v>
      </c>
      <c r="N498" s="1">
        <v>0.74924999999999997</v>
      </c>
      <c r="O498" s="1">
        <v>0.58689999999999998</v>
      </c>
      <c r="P498" s="1">
        <v>0.63329999999999997</v>
      </c>
      <c r="Q498" s="1">
        <v>0.63980000000000004</v>
      </c>
      <c r="R498" s="1">
        <v>0.86570000000000003</v>
      </c>
      <c r="S498" s="1">
        <v>0.61335000000000006</v>
      </c>
      <c r="T498" s="1">
        <v>0.74924999999999997</v>
      </c>
      <c r="U498" s="1">
        <v>0.97119999999999995</v>
      </c>
      <c r="V498" s="1">
        <v>1.4232</v>
      </c>
    </row>
    <row r="499" spans="12:22" x14ac:dyDescent="0.25">
      <c r="L499" s="1">
        <v>89.7</v>
      </c>
      <c r="M499" s="1">
        <v>0.61299999999999999</v>
      </c>
      <c r="N499" s="1">
        <v>0.74870000000000003</v>
      </c>
      <c r="O499" s="1">
        <v>0.58650000000000002</v>
      </c>
      <c r="P499" s="1">
        <v>0.63280000000000003</v>
      </c>
      <c r="Q499" s="1">
        <v>0.63949999999999996</v>
      </c>
      <c r="R499" s="1">
        <v>0.86529999999999996</v>
      </c>
      <c r="S499" s="1">
        <v>0.61299999999999999</v>
      </c>
      <c r="T499" s="1">
        <v>0.74870000000000003</v>
      </c>
      <c r="U499" s="1">
        <v>0.97039999999999993</v>
      </c>
      <c r="V499" s="1">
        <v>1.4223999999999999</v>
      </c>
    </row>
    <row r="500" spans="12:22" x14ac:dyDescent="0.25">
      <c r="L500" s="1">
        <v>89.8</v>
      </c>
      <c r="M500" s="1">
        <v>0.61260000000000003</v>
      </c>
      <c r="N500" s="1">
        <v>0.74829999999999997</v>
      </c>
      <c r="O500" s="1">
        <v>0.58609999999999995</v>
      </c>
      <c r="P500" s="1">
        <v>0.63229999999999997</v>
      </c>
      <c r="Q500" s="1">
        <v>0.6391</v>
      </c>
      <c r="R500" s="1">
        <v>0.8649</v>
      </c>
      <c r="S500" s="1">
        <v>0.61260000000000003</v>
      </c>
      <c r="T500" s="1">
        <v>0.74829999999999997</v>
      </c>
      <c r="U500" s="1">
        <v>0.9698</v>
      </c>
      <c r="V500" s="1">
        <v>1.4216</v>
      </c>
    </row>
    <row r="501" spans="12:22" x14ac:dyDescent="0.25">
      <c r="L501" s="1">
        <v>89.9</v>
      </c>
      <c r="M501" s="1">
        <v>0.61424999999999996</v>
      </c>
      <c r="N501" s="1">
        <v>0.74785000000000001</v>
      </c>
      <c r="O501" s="1">
        <v>0.5897</v>
      </c>
      <c r="P501" s="1">
        <v>0.63170000000000004</v>
      </c>
      <c r="Q501" s="1">
        <v>0.63880000000000003</v>
      </c>
      <c r="R501" s="1">
        <v>0.86450000000000005</v>
      </c>
      <c r="S501" s="1">
        <v>0.61424999999999996</v>
      </c>
      <c r="T501" s="1">
        <v>0.74785000000000001</v>
      </c>
      <c r="U501" s="1">
        <v>0.96939999999999993</v>
      </c>
      <c r="V501" s="1">
        <v>1.4207999999999998</v>
      </c>
    </row>
    <row r="502" spans="12:22" x14ac:dyDescent="0.25">
      <c r="L502" s="1">
        <v>90</v>
      </c>
      <c r="M502" s="1">
        <v>0.61185</v>
      </c>
      <c r="N502" s="1">
        <v>0.74755000000000005</v>
      </c>
      <c r="O502" s="1">
        <v>0.58530000000000004</v>
      </c>
      <c r="P502" s="1">
        <v>0.63119999999999998</v>
      </c>
      <c r="Q502" s="1">
        <v>0.63839999999999997</v>
      </c>
      <c r="R502" s="1">
        <v>0.86409999999999998</v>
      </c>
      <c r="S502" s="1">
        <v>0.61185</v>
      </c>
      <c r="T502" s="1">
        <v>0.74755000000000005</v>
      </c>
      <c r="U502" s="1">
        <v>0.96899999999999997</v>
      </c>
      <c r="V502" s="1">
        <v>1.42</v>
      </c>
    </row>
    <row r="503" spans="12:22" x14ac:dyDescent="0.25">
      <c r="L503" s="1">
        <v>90.1</v>
      </c>
      <c r="M503" s="1">
        <v>0.61149999999999993</v>
      </c>
      <c r="N503" s="1">
        <v>0.74719999999999998</v>
      </c>
      <c r="O503" s="1">
        <v>0.58499999999999996</v>
      </c>
      <c r="P503" s="1">
        <v>0.63100000000000001</v>
      </c>
      <c r="Q503" s="1">
        <v>0.63800000000000001</v>
      </c>
      <c r="R503" s="1">
        <v>0.86370000000000002</v>
      </c>
      <c r="S503" s="1">
        <v>0.61149999999999993</v>
      </c>
      <c r="T503" s="1">
        <v>0.74719999999999998</v>
      </c>
      <c r="U503" s="1">
        <v>0.96819999999999995</v>
      </c>
      <c r="V503" s="1">
        <v>1.4194</v>
      </c>
    </row>
    <row r="504" spans="12:22" x14ac:dyDescent="0.25">
      <c r="L504" s="1">
        <v>90.2</v>
      </c>
      <c r="M504" s="1">
        <v>0.61115000000000008</v>
      </c>
      <c r="N504" s="1">
        <v>0.74680000000000002</v>
      </c>
      <c r="O504" s="1">
        <v>0.58460000000000001</v>
      </c>
      <c r="P504" s="1">
        <v>0.63070000000000004</v>
      </c>
      <c r="Q504" s="1">
        <v>0.63770000000000004</v>
      </c>
      <c r="R504" s="1">
        <v>0.86329999999999996</v>
      </c>
      <c r="S504" s="1">
        <v>0.61115000000000008</v>
      </c>
      <c r="T504" s="1">
        <v>0.74680000000000002</v>
      </c>
      <c r="U504" s="1">
        <v>0.96739999999999993</v>
      </c>
      <c r="V504" s="1">
        <v>1.4188000000000001</v>
      </c>
    </row>
    <row r="505" spans="12:22" x14ac:dyDescent="0.25">
      <c r="L505" s="1">
        <v>90.3</v>
      </c>
      <c r="M505" s="1">
        <v>0.61075000000000002</v>
      </c>
      <c r="N505" s="1">
        <v>0.74644999999999995</v>
      </c>
      <c r="O505" s="1">
        <v>0.58420000000000005</v>
      </c>
      <c r="P505" s="1">
        <v>0.63029999999999997</v>
      </c>
      <c r="Q505" s="1">
        <v>0.63729999999999998</v>
      </c>
      <c r="R505" s="1">
        <v>0.8629</v>
      </c>
      <c r="S505" s="1">
        <v>0.61075000000000002</v>
      </c>
      <c r="T505" s="1">
        <v>0.74644999999999995</v>
      </c>
      <c r="U505" s="1">
        <v>0.96660000000000001</v>
      </c>
      <c r="V505" s="1">
        <v>1.4181999999999999</v>
      </c>
    </row>
    <row r="506" spans="12:22" x14ac:dyDescent="0.25">
      <c r="L506" s="1">
        <v>90.4</v>
      </c>
      <c r="M506" s="1">
        <v>0.61040000000000005</v>
      </c>
      <c r="N506" s="1">
        <v>0.74604999999999999</v>
      </c>
      <c r="O506" s="1">
        <v>0.58379999999999999</v>
      </c>
      <c r="P506" s="1">
        <v>0.63</v>
      </c>
      <c r="Q506" s="1">
        <v>0.63700000000000001</v>
      </c>
      <c r="R506" s="1">
        <v>0.86250000000000004</v>
      </c>
      <c r="S506" s="1">
        <v>0.61040000000000005</v>
      </c>
      <c r="T506" s="1">
        <v>0.74604999999999999</v>
      </c>
      <c r="U506" s="1">
        <v>0.96579999999999999</v>
      </c>
      <c r="V506" s="1">
        <v>1.4176</v>
      </c>
    </row>
    <row r="507" spans="12:22" x14ac:dyDescent="0.25">
      <c r="L507" s="1">
        <v>90.5</v>
      </c>
      <c r="M507" s="1">
        <v>0.61</v>
      </c>
      <c r="N507" s="1">
        <v>0.74570000000000003</v>
      </c>
      <c r="O507" s="1">
        <v>0.58340000000000003</v>
      </c>
      <c r="P507" s="1">
        <v>0.62960000000000005</v>
      </c>
      <c r="Q507" s="1">
        <v>0.63660000000000005</v>
      </c>
      <c r="R507" s="1">
        <v>0.86209999999999998</v>
      </c>
      <c r="S507" s="1">
        <v>0.61</v>
      </c>
      <c r="T507" s="1">
        <v>0.74570000000000003</v>
      </c>
      <c r="U507" s="1">
        <v>0.96499999999999997</v>
      </c>
      <c r="V507" s="1">
        <v>1.417</v>
      </c>
    </row>
    <row r="508" spans="12:22" x14ac:dyDescent="0.25">
      <c r="L508" s="1">
        <v>90.6</v>
      </c>
      <c r="M508" s="1">
        <v>0.60965000000000003</v>
      </c>
      <c r="N508" s="1">
        <v>0.74534999999999996</v>
      </c>
      <c r="O508" s="1">
        <v>0.58299999999999996</v>
      </c>
      <c r="P508" s="1">
        <v>0.62929999999999997</v>
      </c>
      <c r="Q508" s="1">
        <v>0.63629999999999998</v>
      </c>
      <c r="R508" s="1">
        <v>0.86170000000000002</v>
      </c>
      <c r="S508" s="1">
        <v>0.60965000000000003</v>
      </c>
      <c r="T508" s="1">
        <v>0.74534999999999996</v>
      </c>
      <c r="U508" s="1">
        <v>0.96419999999999995</v>
      </c>
      <c r="V508" s="1">
        <v>1.4164000000000001</v>
      </c>
    </row>
    <row r="509" spans="12:22" x14ac:dyDescent="0.25">
      <c r="L509" s="1">
        <v>90.7</v>
      </c>
      <c r="M509" s="1">
        <v>0.60929999999999995</v>
      </c>
      <c r="N509" s="1">
        <v>0.74495</v>
      </c>
      <c r="O509" s="1">
        <v>0.5827</v>
      </c>
      <c r="P509" s="1">
        <v>0.629</v>
      </c>
      <c r="Q509" s="1">
        <v>0.63590000000000002</v>
      </c>
      <c r="R509" s="1">
        <v>0.86129999999999995</v>
      </c>
      <c r="S509" s="1">
        <v>0.60929999999999995</v>
      </c>
      <c r="T509" s="1">
        <v>0.74495</v>
      </c>
      <c r="U509" s="1">
        <v>0.96339999999999992</v>
      </c>
      <c r="V509" s="1">
        <v>1.4157999999999999</v>
      </c>
    </row>
    <row r="510" spans="12:22" x14ac:dyDescent="0.25">
      <c r="L510" s="1">
        <v>90.8</v>
      </c>
      <c r="M510" s="1">
        <v>0.6089500000000001</v>
      </c>
      <c r="N510" s="1">
        <v>0.74460000000000004</v>
      </c>
      <c r="O510" s="1">
        <v>0.58230000000000004</v>
      </c>
      <c r="P510" s="1">
        <v>0.62860000000000005</v>
      </c>
      <c r="Q510" s="1">
        <v>0.63560000000000005</v>
      </c>
      <c r="R510" s="1">
        <v>0.8609</v>
      </c>
      <c r="S510" s="1">
        <v>0.6089500000000001</v>
      </c>
      <c r="T510" s="1">
        <v>0.74460000000000004</v>
      </c>
      <c r="U510" s="1">
        <v>0.96260000000000001</v>
      </c>
      <c r="V510" s="1">
        <v>1.4152</v>
      </c>
    </row>
    <row r="511" spans="12:22" x14ac:dyDescent="0.25">
      <c r="L511" s="1">
        <v>90.9</v>
      </c>
      <c r="M511" s="1">
        <v>0.61044999999999994</v>
      </c>
      <c r="N511" s="1">
        <v>0.74429999999999996</v>
      </c>
      <c r="O511" s="1">
        <v>0.5857</v>
      </c>
      <c r="P511" s="1">
        <v>0.62829999999999997</v>
      </c>
      <c r="Q511" s="1">
        <v>0.63519999999999999</v>
      </c>
      <c r="R511" s="1">
        <v>0.86060000000000003</v>
      </c>
      <c r="S511" s="1">
        <v>0.61044999999999994</v>
      </c>
      <c r="T511" s="1">
        <v>0.74429999999999996</v>
      </c>
      <c r="U511" s="1">
        <v>0.96179999999999999</v>
      </c>
      <c r="V511" s="1">
        <v>1.4145999999999999</v>
      </c>
    </row>
    <row r="512" spans="12:22" x14ac:dyDescent="0.25">
      <c r="L512" s="1">
        <v>91</v>
      </c>
      <c r="M512" s="1">
        <v>0.60820000000000007</v>
      </c>
      <c r="N512" s="1">
        <v>0.74390000000000001</v>
      </c>
      <c r="O512" s="1">
        <v>0.58150000000000002</v>
      </c>
      <c r="P512" s="1">
        <v>0.628</v>
      </c>
      <c r="Q512" s="1">
        <v>0.63490000000000002</v>
      </c>
      <c r="R512" s="1">
        <v>0.86019999999999996</v>
      </c>
      <c r="S512" s="1">
        <v>0.60820000000000007</v>
      </c>
      <c r="T512" s="1">
        <v>0.74390000000000001</v>
      </c>
      <c r="U512" s="1">
        <v>0.96099999999999997</v>
      </c>
      <c r="V512" s="1">
        <v>1.4139999999999999</v>
      </c>
    </row>
    <row r="513" spans="12:22" x14ac:dyDescent="0.25">
      <c r="L513" s="1">
        <v>91.1</v>
      </c>
      <c r="M513" s="1">
        <v>0.60785</v>
      </c>
      <c r="N513" s="1">
        <v>0.74355000000000004</v>
      </c>
      <c r="O513" s="1">
        <v>0.58120000000000005</v>
      </c>
      <c r="P513" s="1">
        <v>0.62760000000000005</v>
      </c>
      <c r="Q513" s="1">
        <v>0.63449999999999995</v>
      </c>
      <c r="R513" s="1">
        <v>0.85980000000000001</v>
      </c>
      <c r="S513" s="1">
        <v>0.60785</v>
      </c>
      <c r="T513" s="1">
        <v>0.74355000000000004</v>
      </c>
      <c r="U513" s="1">
        <v>0.96060000000000001</v>
      </c>
      <c r="V513" s="1">
        <v>1.4134</v>
      </c>
    </row>
    <row r="514" spans="12:22" x14ac:dyDescent="0.25">
      <c r="L514" s="1">
        <v>91.2</v>
      </c>
      <c r="M514" s="1">
        <v>0.60750000000000004</v>
      </c>
      <c r="N514" s="1">
        <v>0.74314999999999998</v>
      </c>
      <c r="O514" s="1">
        <v>0.58079999999999998</v>
      </c>
      <c r="P514" s="1">
        <v>0.62729999999999997</v>
      </c>
      <c r="Q514" s="1">
        <v>0.63419999999999999</v>
      </c>
      <c r="R514" s="1">
        <v>0.85940000000000005</v>
      </c>
      <c r="S514" s="1">
        <v>0.60750000000000004</v>
      </c>
      <c r="T514" s="1">
        <v>0.74314999999999998</v>
      </c>
      <c r="U514" s="1">
        <v>0.96019999999999994</v>
      </c>
      <c r="V514" s="1">
        <v>1.4128000000000001</v>
      </c>
    </row>
    <row r="515" spans="12:22" x14ac:dyDescent="0.25">
      <c r="L515" s="1">
        <v>91.3</v>
      </c>
      <c r="M515" s="1">
        <v>0.60709999999999997</v>
      </c>
      <c r="N515" s="1">
        <v>0.74280000000000002</v>
      </c>
      <c r="O515" s="1">
        <v>0.58040000000000003</v>
      </c>
      <c r="P515" s="1">
        <v>0.62690000000000001</v>
      </c>
      <c r="Q515" s="1">
        <v>0.63380000000000003</v>
      </c>
      <c r="R515" s="1">
        <v>0.85899999999999999</v>
      </c>
      <c r="S515" s="1">
        <v>0.60709999999999997</v>
      </c>
      <c r="T515" s="1">
        <v>0.74280000000000002</v>
      </c>
      <c r="U515" s="1">
        <v>0.95960000000000001</v>
      </c>
      <c r="V515" s="1">
        <v>1.4121999999999999</v>
      </c>
    </row>
    <row r="516" spans="12:22" x14ac:dyDescent="0.25">
      <c r="L516" s="1">
        <v>91.4</v>
      </c>
      <c r="M516" s="1">
        <v>0.60680000000000001</v>
      </c>
      <c r="N516" s="1">
        <v>0.74250000000000005</v>
      </c>
      <c r="O516" s="1">
        <v>0.58009999999999995</v>
      </c>
      <c r="P516" s="1">
        <v>0.62660000000000005</v>
      </c>
      <c r="Q516" s="1">
        <v>0.63349999999999995</v>
      </c>
      <c r="R516" s="1">
        <v>0.85870000000000002</v>
      </c>
      <c r="S516" s="1">
        <v>0.60680000000000001</v>
      </c>
      <c r="T516" s="1">
        <v>0.74250000000000005</v>
      </c>
      <c r="U516" s="1">
        <v>0.95879999999999999</v>
      </c>
      <c r="V516" s="1">
        <v>1.4116</v>
      </c>
    </row>
    <row r="517" spans="12:22" x14ac:dyDescent="0.25">
      <c r="L517" s="1">
        <v>91.5</v>
      </c>
      <c r="M517" s="1">
        <v>0.60640000000000005</v>
      </c>
      <c r="N517" s="1">
        <v>0.74209999999999998</v>
      </c>
      <c r="O517" s="1">
        <v>0.57969999999999999</v>
      </c>
      <c r="P517" s="1">
        <v>0.62629999999999997</v>
      </c>
      <c r="Q517" s="1">
        <v>0.6331</v>
      </c>
      <c r="R517" s="1">
        <v>0.85829999999999995</v>
      </c>
      <c r="S517" s="1">
        <v>0.60640000000000005</v>
      </c>
      <c r="T517" s="1">
        <v>0.74209999999999998</v>
      </c>
      <c r="U517" s="1">
        <v>0.95799999999999996</v>
      </c>
      <c r="V517" s="1">
        <v>1.411</v>
      </c>
    </row>
    <row r="518" spans="12:22" x14ac:dyDescent="0.25">
      <c r="L518" s="1">
        <v>91.6</v>
      </c>
      <c r="M518" s="1">
        <v>0.60604999999999998</v>
      </c>
      <c r="N518" s="1">
        <v>0.74175000000000002</v>
      </c>
      <c r="O518" s="1">
        <v>0.57930000000000004</v>
      </c>
      <c r="P518" s="1">
        <v>0.62590000000000001</v>
      </c>
      <c r="Q518" s="1">
        <v>0.63280000000000003</v>
      </c>
      <c r="R518" s="1">
        <v>0.8579</v>
      </c>
      <c r="S518" s="1">
        <v>0.60604999999999998</v>
      </c>
      <c r="T518" s="1">
        <v>0.74175000000000002</v>
      </c>
      <c r="U518" s="1">
        <v>0.95719999999999994</v>
      </c>
      <c r="V518" s="1">
        <v>1.4104000000000001</v>
      </c>
    </row>
    <row r="519" spans="12:22" x14ac:dyDescent="0.25">
      <c r="L519" s="1">
        <v>91.7</v>
      </c>
      <c r="M519" s="1">
        <v>0.60575000000000001</v>
      </c>
      <c r="N519" s="1">
        <v>0.74145000000000005</v>
      </c>
      <c r="O519" s="1">
        <v>0.57899999999999996</v>
      </c>
      <c r="P519" s="1">
        <v>0.62560000000000004</v>
      </c>
      <c r="Q519" s="1">
        <v>0.63249999999999995</v>
      </c>
      <c r="R519" s="1">
        <v>0.85760000000000003</v>
      </c>
      <c r="S519" s="1">
        <v>0.60575000000000001</v>
      </c>
      <c r="T519" s="1">
        <v>0.74145000000000005</v>
      </c>
      <c r="U519" s="1">
        <v>0.95639999999999992</v>
      </c>
      <c r="V519" s="1">
        <v>1.4097999999999999</v>
      </c>
    </row>
    <row r="520" spans="12:22" x14ac:dyDescent="0.25">
      <c r="L520" s="1">
        <v>91.8</v>
      </c>
      <c r="M520" s="1">
        <v>0.60535000000000005</v>
      </c>
      <c r="N520" s="1">
        <v>0.74104999999999999</v>
      </c>
      <c r="O520" s="1">
        <v>0.5786</v>
      </c>
      <c r="P520" s="1">
        <v>0.62529999999999997</v>
      </c>
      <c r="Q520" s="1">
        <v>0.6321</v>
      </c>
      <c r="R520" s="1">
        <v>0.85719999999999996</v>
      </c>
      <c r="S520" s="1">
        <v>0.60535000000000005</v>
      </c>
      <c r="T520" s="1">
        <v>0.74104999999999999</v>
      </c>
      <c r="U520" s="1">
        <v>0.9556</v>
      </c>
      <c r="V520" s="1">
        <v>1.4092</v>
      </c>
    </row>
    <row r="521" spans="12:22" x14ac:dyDescent="0.25">
      <c r="L521" s="1">
        <v>91.9</v>
      </c>
      <c r="M521" s="1">
        <v>0.60685</v>
      </c>
      <c r="N521" s="1">
        <v>0.74070000000000003</v>
      </c>
      <c r="O521" s="1">
        <v>0.58189999999999997</v>
      </c>
      <c r="P521" s="1">
        <v>0.62490000000000001</v>
      </c>
      <c r="Q521" s="1">
        <v>0.63180000000000003</v>
      </c>
      <c r="R521" s="1">
        <v>0.85680000000000001</v>
      </c>
      <c r="S521" s="1">
        <v>0.60685</v>
      </c>
      <c r="T521" s="1">
        <v>0.74070000000000003</v>
      </c>
      <c r="U521" s="1">
        <v>0.95479999999999998</v>
      </c>
      <c r="V521" s="1">
        <v>1.4085999999999999</v>
      </c>
    </row>
    <row r="522" spans="12:22" x14ac:dyDescent="0.25">
      <c r="L522" s="1">
        <v>92</v>
      </c>
      <c r="M522" s="1">
        <v>0.60470000000000002</v>
      </c>
      <c r="N522" s="1">
        <v>0.74039999999999995</v>
      </c>
      <c r="O522" s="1">
        <v>0.57789999999999997</v>
      </c>
      <c r="P522" s="1">
        <v>0.62460000000000004</v>
      </c>
      <c r="Q522" s="1">
        <v>0.63149999999999995</v>
      </c>
      <c r="R522" s="1">
        <v>0.85650000000000004</v>
      </c>
      <c r="S522" s="1">
        <v>0.60470000000000002</v>
      </c>
      <c r="T522" s="1">
        <v>0.74039999999999995</v>
      </c>
      <c r="U522" s="1">
        <v>0.95399999999999996</v>
      </c>
      <c r="V522" s="1">
        <v>1.4079999999999999</v>
      </c>
    </row>
    <row r="523" spans="12:22" x14ac:dyDescent="0.25">
      <c r="L523" s="1">
        <v>92.1</v>
      </c>
      <c r="M523" s="1">
        <v>0.60430000000000006</v>
      </c>
      <c r="N523" s="1">
        <v>0.74</v>
      </c>
      <c r="O523" s="1">
        <v>0.57750000000000001</v>
      </c>
      <c r="P523" s="1">
        <v>0.62429999999999997</v>
      </c>
      <c r="Q523" s="1">
        <v>0.63109999999999999</v>
      </c>
      <c r="R523" s="1">
        <v>0.85609999999999997</v>
      </c>
      <c r="S523" s="1">
        <v>0.60430000000000006</v>
      </c>
      <c r="T523" s="1">
        <v>0.74</v>
      </c>
      <c r="U523" s="1">
        <v>0.95319999999999994</v>
      </c>
      <c r="V523" s="1">
        <v>1.4074</v>
      </c>
    </row>
    <row r="524" spans="12:22" x14ac:dyDescent="0.25">
      <c r="L524" s="1">
        <v>92.2</v>
      </c>
      <c r="M524" s="1">
        <v>0.60400000000000009</v>
      </c>
      <c r="N524" s="1">
        <v>0.73970000000000002</v>
      </c>
      <c r="O524" s="1">
        <v>0.57720000000000005</v>
      </c>
      <c r="P524" s="1">
        <v>0.62390000000000001</v>
      </c>
      <c r="Q524" s="1">
        <v>0.63080000000000003</v>
      </c>
      <c r="R524" s="1">
        <v>0.85580000000000001</v>
      </c>
      <c r="S524" s="1">
        <v>0.60400000000000009</v>
      </c>
      <c r="T524" s="1">
        <v>0.73970000000000002</v>
      </c>
      <c r="U524" s="1">
        <v>0.95239999999999991</v>
      </c>
      <c r="V524" s="1">
        <v>1.4068000000000001</v>
      </c>
    </row>
    <row r="525" spans="12:22" x14ac:dyDescent="0.25">
      <c r="L525" s="1">
        <v>92.3</v>
      </c>
      <c r="M525" s="1">
        <v>0.60365000000000002</v>
      </c>
      <c r="N525" s="1">
        <v>0.73934999999999995</v>
      </c>
      <c r="O525" s="1">
        <v>0.57679999999999998</v>
      </c>
      <c r="P525" s="1">
        <v>0.62360000000000004</v>
      </c>
      <c r="Q525" s="1">
        <v>0.63049999999999995</v>
      </c>
      <c r="R525" s="1">
        <v>0.85540000000000005</v>
      </c>
      <c r="S525" s="1">
        <v>0.60365000000000002</v>
      </c>
      <c r="T525" s="1">
        <v>0.73934999999999995</v>
      </c>
      <c r="U525" s="1">
        <v>0.95179999999999998</v>
      </c>
      <c r="V525" s="1">
        <v>1.4061999999999999</v>
      </c>
    </row>
    <row r="526" spans="12:22" x14ac:dyDescent="0.25">
      <c r="L526" s="1">
        <v>92.4</v>
      </c>
      <c r="M526" s="1">
        <v>0.60329999999999995</v>
      </c>
      <c r="N526" s="1">
        <v>0.73895</v>
      </c>
      <c r="O526" s="1">
        <v>0.57650000000000001</v>
      </c>
      <c r="P526" s="1">
        <v>0.62329999999999997</v>
      </c>
      <c r="Q526" s="1">
        <v>0.63009999999999999</v>
      </c>
      <c r="R526" s="1">
        <v>0.85499999999999998</v>
      </c>
      <c r="S526" s="1">
        <v>0.60329999999999995</v>
      </c>
      <c r="T526" s="1">
        <v>0.73895</v>
      </c>
      <c r="U526" s="1">
        <v>0.95139999999999991</v>
      </c>
      <c r="V526" s="1">
        <v>1.4056</v>
      </c>
    </row>
    <row r="527" spans="12:22" x14ac:dyDescent="0.25">
      <c r="L527" s="1">
        <v>92.5</v>
      </c>
      <c r="M527" s="1">
        <v>0.60294999999999999</v>
      </c>
      <c r="N527" s="1">
        <v>0.73865000000000003</v>
      </c>
      <c r="O527" s="1">
        <v>0.57609999999999995</v>
      </c>
      <c r="P527" s="1">
        <v>0.62290000000000001</v>
      </c>
      <c r="Q527" s="1">
        <v>0.62980000000000003</v>
      </c>
      <c r="R527" s="1">
        <v>0.85470000000000002</v>
      </c>
      <c r="S527" s="1">
        <v>0.60294999999999999</v>
      </c>
      <c r="T527" s="1">
        <v>0.73865000000000003</v>
      </c>
      <c r="U527" s="1">
        <v>0.95099999999999996</v>
      </c>
      <c r="V527" s="1">
        <v>1.405</v>
      </c>
    </row>
    <row r="528" spans="12:22" x14ac:dyDescent="0.25">
      <c r="L528" s="1">
        <v>92.6</v>
      </c>
      <c r="M528" s="1">
        <v>0.60264999999999991</v>
      </c>
      <c r="N528" s="1">
        <v>0.73829999999999996</v>
      </c>
      <c r="O528" s="1">
        <v>0.57579999999999998</v>
      </c>
      <c r="P528" s="1">
        <v>0.62260000000000004</v>
      </c>
      <c r="Q528" s="1">
        <v>0.62949999999999995</v>
      </c>
      <c r="R528" s="1">
        <v>0.85429999999999995</v>
      </c>
      <c r="S528" s="1">
        <v>0.60264999999999991</v>
      </c>
      <c r="T528" s="1">
        <v>0.73829999999999996</v>
      </c>
      <c r="U528" s="1">
        <v>0.9506</v>
      </c>
      <c r="V528" s="1">
        <v>1.4046000000000001</v>
      </c>
    </row>
    <row r="529" spans="12:22" x14ac:dyDescent="0.25">
      <c r="L529" s="1">
        <v>92.7</v>
      </c>
      <c r="M529" s="1">
        <v>0.60230000000000006</v>
      </c>
      <c r="N529" s="1">
        <v>0.73794999999999999</v>
      </c>
      <c r="O529" s="1">
        <v>0.57540000000000002</v>
      </c>
      <c r="P529" s="1">
        <v>0.62229999999999996</v>
      </c>
      <c r="Q529" s="1">
        <v>0.62919999999999998</v>
      </c>
      <c r="R529" s="1">
        <v>0.85399999999999998</v>
      </c>
      <c r="S529" s="1">
        <v>0.60230000000000006</v>
      </c>
      <c r="T529" s="1">
        <v>0.73794999999999999</v>
      </c>
      <c r="U529" s="1">
        <v>0.95019999999999993</v>
      </c>
      <c r="V529" s="1">
        <v>1.4042000000000001</v>
      </c>
    </row>
    <row r="530" spans="12:22" x14ac:dyDescent="0.25">
      <c r="L530" s="1">
        <v>92.8</v>
      </c>
      <c r="M530" s="1">
        <v>0.60194999999999999</v>
      </c>
      <c r="N530" s="1">
        <v>0.73760000000000003</v>
      </c>
      <c r="O530" s="1">
        <v>0.57509999999999994</v>
      </c>
      <c r="P530" s="1">
        <v>0.62190000000000001</v>
      </c>
      <c r="Q530" s="1">
        <v>0.62880000000000003</v>
      </c>
      <c r="R530" s="1">
        <v>0.85360000000000003</v>
      </c>
      <c r="S530" s="1">
        <v>0.60194999999999999</v>
      </c>
      <c r="T530" s="1">
        <v>0.73760000000000003</v>
      </c>
      <c r="U530" s="1">
        <v>0.9496</v>
      </c>
      <c r="V530" s="1">
        <v>1.4037999999999999</v>
      </c>
    </row>
    <row r="531" spans="12:22" x14ac:dyDescent="0.25">
      <c r="L531" s="1">
        <v>92.9</v>
      </c>
      <c r="M531" s="1">
        <v>0.60335000000000005</v>
      </c>
      <c r="N531" s="1">
        <v>0.73729999999999996</v>
      </c>
      <c r="O531" s="1">
        <v>0.57820000000000005</v>
      </c>
      <c r="P531" s="1">
        <v>0.62160000000000004</v>
      </c>
      <c r="Q531" s="1">
        <v>0.62849999999999995</v>
      </c>
      <c r="R531" s="1">
        <v>0.85329999999999995</v>
      </c>
      <c r="S531" s="1">
        <v>0.60335000000000005</v>
      </c>
      <c r="T531" s="1">
        <v>0.73729999999999996</v>
      </c>
      <c r="U531" s="1">
        <v>0.94879999999999998</v>
      </c>
      <c r="V531" s="1">
        <v>1.4034</v>
      </c>
    </row>
    <row r="532" spans="12:22" x14ac:dyDescent="0.25">
      <c r="L532" s="1">
        <v>93</v>
      </c>
      <c r="M532" s="1">
        <v>0.60129999999999995</v>
      </c>
      <c r="N532" s="1">
        <v>0.73694999999999999</v>
      </c>
      <c r="O532" s="1">
        <v>0.57440000000000002</v>
      </c>
      <c r="P532" s="1">
        <v>0.62129999999999996</v>
      </c>
      <c r="Q532" s="1">
        <v>0.62819999999999998</v>
      </c>
      <c r="R532" s="1">
        <v>0.85299999999999998</v>
      </c>
      <c r="S532" s="1">
        <v>0.60129999999999995</v>
      </c>
      <c r="T532" s="1">
        <v>0.73694999999999999</v>
      </c>
      <c r="U532" s="1">
        <v>0.94799999999999995</v>
      </c>
      <c r="V532" s="1">
        <v>1.403</v>
      </c>
    </row>
    <row r="533" spans="12:22" x14ac:dyDescent="0.25">
      <c r="L533" s="1">
        <v>93.1</v>
      </c>
      <c r="M533" s="1">
        <v>0.60094999999999998</v>
      </c>
      <c r="N533" s="1">
        <v>0.73660000000000003</v>
      </c>
      <c r="O533" s="1">
        <v>0.57399999999999995</v>
      </c>
      <c r="P533" s="1">
        <v>0.62090000000000001</v>
      </c>
      <c r="Q533" s="1">
        <v>0.62790000000000001</v>
      </c>
      <c r="R533" s="1">
        <v>0.85260000000000002</v>
      </c>
      <c r="S533" s="1">
        <v>0.60094999999999998</v>
      </c>
      <c r="T533" s="1">
        <v>0.73660000000000003</v>
      </c>
      <c r="U533" s="1">
        <v>0.9476</v>
      </c>
      <c r="V533" s="1">
        <v>1.4024000000000001</v>
      </c>
    </row>
    <row r="534" spans="12:22" x14ac:dyDescent="0.25">
      <c r="L534" s="1">
        <v>93.2</v>
      </c>
      <c r="M534" s="1">
        <v>0.60065000000000002</v>
      </c>
      <c r="N534" s="1">
        <v>0.73629999999999995</v>
      </c>
      <c r="O534" s="1">
        <v>0.57369999999999999</v>
      </c>
      <c r="P534" s="1">
        <v>0.62060000000000004</v>
      </c>
      <c r="Q534" s="1">
        <v>0.62760000000000005</v>
      </c>
      <c r="R534" s="1">
        <v>0.85229999999999995</v>
      </c>
      <c r="S534" s="1">
        <v>0.60065000000000002</v>
      </c>
      <c r="T534" s="1">
        <v>0.73629999999999995</v>
      </c>
      <c r="U534" s="1">
        <v>0.94719999999999993</v>
      </c>
      <c r="V534" s="1">
        <v>1.4017999999999999</v>
      </c>
    </row>
    <row r="535" spans="12:22" x14ac:dyDescent="0.25">
      <c r="L535" s="1">
        <v>93.3</v>
      </c>
      <c r="M535" s="1">
        <v>0.60030000000000006</v>
      </c>
      <c r="N535" s="1">
        <v>0.73594999999999999</v>
      </c>
      <c r="O535" s="1">
        <v>0.57340000000000002</v>
      </c>
      <c r="P535" s="1">
        <v>0.62029999999999996</v>
      </c>
      <c r="Q535" s="1">
        <v>0.62719999999999998</v>
      </c>
      <c r="R535" s="1">
        <v>0.85189999999999999</v>
      </c>
      <c r="S535" s="1">
        <v>0.60030000000000006</v>
      </c>
      <c r="T535" s="1">
        <v>0.73594999999999999</v>
      </c>
      <c r="U535" s="1">
        <v>0.9466</v>
      </c>
      <c r="V535" s="1">
        <v>1.4012</v>
      </c>
    </row>
    <row r="536" spans="12:22" x14ac:dyDescent="0.25">
      <c r="L536" s="1">
        <v>93.4</v>
      </c>
      <c r="M536" s="1">
        <v>0.59994999999999998</v>
      </c>
      <c r="N536" s="1">
        <v>0.73560000000000003</v>
      </c>
      <c r="O536" s="1">
        <v>0.57299999999999995</v>
      </c>
      <c r="P536" s="1">
        <v>0.62</v>
      </c>
      <c r="Q536" s="1">
        <v>0.62690000000000001</v>
      </c>
      <c r="R536" s="1">
        <v>0.85160000000000002</v>
      </c>
      <c r="S536" s="1">
        <v>0.59994999999999998</v>
      </c>
      <c r="T536" s="1">
        <v>0.73560000000000003</v>
      </c>
      <c r="U536" s="1">
        <v>0.94579999999999997</v>
      </c>
      <c r="V536" s="1">
        <v>1.4005999999999998</v>
      </c>
    </row>
    <row r="537" spans="12:22" x14ac:dyDescent="0.25">
      <c r="L537" s="1">
        <v>93.5</v>
      </c>
      <c r="M537" s="1">
        <v>0.59965000000000002</v>
      </c>
      <c r="N537" s="1">
        <v>0.73529999999999995</v>
      </c>
      <c r="O537" s="1">
        <v>0.57269999999999999</v>
      </c>
      <c r="P537" s="1">
        <v>0.61960000000000004</v>
      </c>
      <c r="Q537" s="1">
        <v>0.62660000000000005</v>
      </c>
      <c r="R537" s="1">
        <v>0.85129999999999995</v>
      </c>
      <c r="S537" s="1">
        <v>0.59965000000000002</v>
      </c>
      <c r="T537" s="1">
        <v>0.73529999999999995</v>
      </c>
      <c r="U537" s="1">
        <v>0.94499999999999995</v>
      </c>
      <c r="V537" s="1">
        <v>1.4</v>
      </c>
    </row>
    <row r="538" spans="12:22" x14ac:dyDescent="0.25">
      <c r="L538" s="1">
        <v>93.6</v>
      </c>
      <c r="M538" s="1">
        <v>0.59929999999999994</v>
      </c>
      <c r="N538" s="1">
        <v>0.73494999999999999</v>
      </c>
      <c r="O538" s="1">
        <v>0.57230000000000003</v>
      </c>
      <c r="P538" s="1">
        <v>0.61929999999999996</v>
      </c>
      <c r="Q538" s="1">
        <v>0.62629999999999997</v>
      </c>
      <c r="R538" s="1">
        <v>0.85089999999999999</v>
      </c>
      <c r="S538" s="1">
        <v>0.59929999999999994</v>
      </c>
      <c r="T538" s="1">
        <v>0.73494999999999999</v>
      </c>
      <c r="U538" s="1">
        <v>0.9446</v>
      </c>
      <c r="V538" s="1">
        <v>1.3994</v>
      </c>
    </row>
    <row r="539" spans="12:22" x14ac:dyDescent="0.25">
      <c r="L539" s="1">
        <v>93.7</v>
      </c>
      <c r="M539" s="1">
        <v>0.59899999999999998</v>
      </c>
      <c r="N539" s="1">
        <v>0.73460000000000003</v>
      </c>
      <c r="O539" s="1">
        <v>0.57199999999999995</v>
      </c>
      <c r="P539" s="1">
        <v>0.61899999999999999</v>
      </c>
      <c r="Q539" s="1">
        <v>0.626</v>
      </c>
      <c r="R539" s="1">
        <v>0.85060000000000002</v>
      </c>
      <c r="S539" s="1">
        <v>0.59899999999999998</v>
      </c>
      <c r="T539" s="1">
        <v>0.73460000000000003</v>
      </c>
      <c r="U539" s="1">
        <v>0.94419999999999993</v>
      </c>
      <c r="V539" s="1">
        <v>1.3988</v>
      </c>
    </row>
    <row r="540" spans="12:22" x14ac:dyDescent="0.25">
      <c r="L540" s="1">
        <v>93.8</v>
      </c>
      <c r="M540" s="1">
        <v>0.59870000000000001</v>
      </c>
      <c r="N540" s="1">
        <v>0.73429999999999995</v>
      </c>
      <c r="O540" s="1">
        <v>0.57169999999999999</v>
      </c>
      <c r="P540" s="1">
        <v>0.61860000000000004</v>
      </c>
      <c r="Q540" s="1">
        <v>0.62570000000000003</v>
      </c>
      <c r="R540" s="1">
        <v>0.85029999999999994</v>
      </c>
      <c r="S540" s="1">
        <v>0.59870000000000001</v>
      </c>
      <c r="T540" s="1">
        <v>0.73429999999999995</v>
      </c>
      <c r="U540" s="1">
        <v>0.94359999999999999</v>
      </c>
      <c r="V540" s="1">
        <v>1.3981999999999999</v>
      </c>
    </row>
    <row r="541" spans="12:22" x14ac:dyDescent="0.25">
      <c r="L541" s="1">
        <v>93.9</v>
      </c>
      <c r="M541" s="1">
        <v>0.60004999999999997</v>
      </c>
      <c r="N541" s="1">
        <v>0.73394999999999999</v>
      </c>
      <c r="O541" s="1">
        <v>0.57469999999999999</v>
      </c>
      <c r="P541" s="1">
        <v>0.61829999999999996</v>
      </c>
      <c r="Q541" s="1">
        <v>0.62539999999999996</v>
      </c>
      <c r="R541" s="1">
        <v>0.84989999999999999</v>
      </c>
      <c r="S541" s="1">
        <v>0.60004999999999997</v>
      </c>
      <c r="T541" s="1">
        <v>0.73394999999999999</v>
      </c>
      <c r="U541" s="1">
        <v>0.94279999999999997</v>
      </c>
      <c r="V541" s="1">
        <v>1.3976</v>
      </c>
    </row>
    <row r="542" spans="12:22" x14ac:dyDescent="0.25">
      <c r="L542" s="1">
        <v>94</v>
      </c>
      <c r="M542" s="1">
        <v>0.59799999999999998</v>
      </c>
      <c r="N542" s="1">
        <v>0.73365000000000002</v>
      </c>
      <c r="O542" s="1">
        <v>0.57099999999999995</v>
      </c>
      <c r="P542" s="1">
        <v>0.61799999999999999</v>
      </c>
      <c r="Q542" s="1">
        <v>0.625</v>
      </c>
      <c r="R542" s="1">
        <v>0.84960000000000002</v>
      </c>
      <c r="S542" s="1">
        <v>0.59799999999999998</v>
      </c>
      <c r="T542" s="1">
        <v>0.73365000000000002</v>
      </c>
      <c r="U542" s="1">
        <v>0.94199999999999995</v>
      </c>
      <c r="V542" s="1">
        <v>1.397</v>
      </c>
    </row>
    <row r="543" spans="12:22" x14ac:dyDescent="0.25">
      <c r="L543" s="1">
        <v>94.1</v>
      </c>
      <c r="M543" s="1">
        <v>0.59770000000000001</v>
      </c>
      <c r="N543" s="1">
        <v>0.73329999999999995</v>
      </c>
      <c r="O543" s="1">
        <v>0.57069999999999999</v>
      </c>
      <c r="P543" s="1">
        <v>0.61770000000000003</v>
      </c>
      <c r="Q543" s="1">
        <v>0.62470000000000003</v>
      </c>
      <c r="R543" s="1">
        <v>0.84930000000000005</v>
      </c>
      <c r="S543" s="1">
        <v>0.59770000000000001</v>
      </c>
      <c r="T543" s="1">
        <v>0.73329999999999995</v>
      </c>
      <c r="U543" s="1">
        <v>0.94159999999999999</v>
      </c>
      <c r="V543" s="1">
        <v>1.3964000000000001</v>
      </c>
    </row>
    <row r="544" spans="12:22" x14ac:dyDescent="0.25">
      <c r="L544" s="1">
        <v>94.2</v>
      </c>
      <c r="M544" s="1">
        <v>0.59739999999999993</v>
      </c>
      <c r="N544" s="1">
        <v>0.73294999999999999</v>
      </c>
      <c r="O544" s="1">
        <v>0.57040000000000002</v>
      </c>
      <c r="P544" s="1">
        <v>0.61729999999999996</v>
      </c>
      <c r="Q544" s="1">
        <v>0.62439999999999996</v>
      </c>
      <c r="R544" s="1">
        <v>0.84889999999999999</v>
      </c>
      <c r="S544" s="1">
        <v>0.59739999999999993</v>
      </c>
      <c r="T544" s="1">
        <v>0.73294999999999999</v>
      </c>
      <c r="U544" s="1">
        <v>0.94119999999999993</v>
      </c>
      <c r="V544" s="1">
        <v>1.3957999999999999</v>
      </c>
    </row>
    <row r="545" spans="12:22" x14ac:dyDescent="0.25">
      <c r="L545" s="1">
        <v>94.3</v>
      </c>
      <c r="M545" s="1">
        <v>0.59709999999999996</v>
      </c>
      <c r="N545" s="1">
        <v>0.73265000000000002</v>
      </c>
      <c r="O545" s="1">
        <v>0.57010000000000005</v>
      </c>
      <c r="P545" s="1">
        <v>0.61699999999999999</v>
      </c>
      <c r="Q545" s="1">
        <v>0.62409999999999999</v>
      </c>
      <c r="R545" s="1">
        <v>0.84860000000000002</v>
      </c>
      <c r="S545" s="1">
        <v>0.59709999999999996</v>
      </c>
      <c r="T545" s="1">
        <v>0.73265000000000002</v>
      </c>
      <c r="U545" s="1">
        <v>0.94059999999999999</v>
      </c>
      <c r="V545" s="1">
        <v>1.3952</v>
      </c>
    </row>
    <row r="546" spans="12:22" x14ac:dyDescent="0.25">
      <c r="L546" s="1">
        <v>94.4</v>
      </c>
      <c r="M546" s="1">
        <v>0.59675</v>
      </c>
      <c r="N546" s="1">
        <v>0.73234999999999995</v>
      </c>
      <c r="O546" s="1">
        <v>0.56969999999999998</v>
      </c>
      <c r="P546" s="1">
        <v>0.61670000000000003</v>
      </c>
      <c r="Q546" s="1">
        <v>0.62380000000000002</v>
      </c>
      <c r="R546" s="1">
        <v>0.84830000000000005</v>
      </c>
      <c r="S546" s="1">
        <v>0.59675</v>
      </c>
      <c r="T546" s="1">
        <v>0.73234999999999995</v>
      </c>
      <c r="U546" s="1">
        <v>0.93979999999999997</v>
      </c>
      <c r="V546" s="1">
        <v>1.3945999999999998</v>
      </c>
    </row>
    <row r="547" spans="12:22" x14ac:dyDescent="0.25">
      <c r="L547" s="1">
        <v>94.5</v>
      </c>
      <c r="M547" s="1">
        <v>0.59645000000000004</v>
      </c>
      <c r="N547" s="1">
        <v>0.73199999999999998</v>
      </c>
      <c r="O547" s="1">
        <v>0.56940000000000002</v>
      </c>
      <c r="P547" s="1">
        <v>0.61639999999999995</v>
      </c>
      <c r="Q547" s="1">
        <v>0.62350000000000005</v>
      </c>
      <c r="R547" s="1">
        <v>0.84799999999999998</v>
      </c>
      <c r="S547" s="1">
        <v>0.59645000000000004</v>
      </c>
      <c r="T547" s="1">
        <v>0.73199999999999998</v>
      </c>
      <c r="U547" s="1">
        <v>0.93899999999999995</v>
      </c>
      <c r="V547" s="1">
        <v>1.3939999999999999</v>
      </c>
    </row>
    <row r="548" spans="12:22" x14ac:dyDescent="0.25">
      <c r="L548" s="1">
        <v>94.6</v>
      </c>
      <c r="M548" s="1">
        <v>0.59614999999999996</v>
      </c>
      <c r="N548" s="1">
        <v>0.73170000000000002</v>
      </c>
      <c r="O548" s="1">
        <v>0.56910000000000005</v>
      </c>
      <c r="P548" s="1">
        <v>0.61599999999999999</v>
      </c>
      <c r="Q548" s="1">
        <v>0.62319999999999998</v>
      </c>
      <c r="R548" s="1">
        <v>0.84770000000000001</v>
      </c>
      <c r="S548" s="1">
        <v>0.59614999999999996</v>
      </c>
      <c r="T548" s="1">
        <v>0.73170000000000002</v>
      </c>
      <c r="U548" s="1">
        <v>0.93859999999999999</v>
      </c>
      <c r="V548" s="1">
        <v>1.3934</v>
      </c>
    </row>
    <row r="549" spans="12:22" x14ac:dyDescent="0.25">
      <c r="L549" s="1">
        <v>94.7</v>
      </c>
      <c r="M549" s="1">
        <v>0.59584999999999999</v>
      </c>
      <c r="N549" s="1">
        <v>0.73134999999999994</v>
      </c>
      <c r="O549" s="1">
        <v>0.56879999999999997</v>
      </c>
      <c r="P549" s="1">
        <v>0.61570000000000003</v>
      </c>
      <c r="Q549" s="1">
        <v>0.62290000000000001</v>
      </c>
      <c r="R549" s="1">
        <v>0.84730000000000005</v>
      </c>
      <c r="S549" s="1">
        <v>0.59584999999999999</v>
      </c>
      <c r="T549" s="1">
        <v>0.73134999999999994</v>
      </c>
      <c r="U549" s="1">
        <v>0.93819999999999992</v>
      </c>
      <c r="V549" s="1">
        <v>1.3928</v>
      </c>
    </row>
    <row r="550" spans="12:22" x14ac:dyDescent="0.25">
      <c r="L550" s="1">
        <v>94.8</v>
      </c>
      <c r="M550" s="1">
        <v>0.59555000000000002</v>
      </c>
      <c r="N550" s="1">
        <v>0.73104999999999998</v>
      </c>
      <c r="O550" s="1">
        <v>0.56850000000000001</v>
      </c>
      <c r="P550" s="1">
        <v>0.61539999999999995</v>
      </c>
      <c r="Q550" s="1">
        <v>0.62260000000000004</v>
      </c>
      <c r="R550" s="1">
        <v>0.84699999999999998</v>
      </c>
      <c r="S550" s="1">
        <v>0.59555000000000002</v>
      </c>
      <c r="T550" s="1">
        <v>0.73104999999999998</v>
      </c>
      <c r="U550" s="1">
        <v>0.93779999999999997</v>
      </c>
      <c r="V550" s="1">
        <v>1.3921999999999999</v>
      </c>
    </row>
    <row r="551" spans="12:22" x14ac:dyDescent="0.25">
      <c r="L551" s="1">
        <v>94.9</v>
      </c>
      <c r="M551" s="1">
        <v>0.59684999999999999</v>
      </c>
      <c r="N551" s="1">
        <v>0.73070000000000002</v>
      </c>
      <c r="O551" s="1">
        <v>0.57140000000000002</v>
      </c>
      <c r="P551" s="1">
        <v>0.61509999999999998</v>
      </c>
      <c r="Q551" s="1">
        <v>0.62229999999999996</v>
      </c>
      <c r="R551" s="1">
        <v>0.84670000000000001</v>
      </c>
      <c r="S551" s="1">
        <v>0.59684999999999999</v>
      </c>
      <c r="T551" s="1">
        <v>0.73070000000000002</v>
      </c>
      <c r="U551" s="1">
        <v>0.93740000000000001</v>
      </c>
      <c r="V551" s="1">
        <v>1.3915999999999999</v>
      </c>
    </row>
    <row r="552" spans="12:22" x14ac:dyDescent="0.25">
      <c r="L552" s="1">
        <v>95</v>
      </c>
      <c r="M552" s="1">
        <v>0.59489999999999998</v>
      </c>
      <c r="N552" s="1">
        <v>0.73040000000000005</v>
      </c>
      <c r="O552" s="1">
        <v>0.56779999999999997</v>
      </c>
      <c r="P552" s="1">
        <v>0.61470000000000002</v>
      </c>
      <c r="Q552" s="1">
        <v>0.622</v>
      </c>
      <c r="R552" s="1">
        <v>0.84640000000000004</v>
      </c>
      <c r="S552" s="1">
        <v>0.59489999999999998</v>
      </c>
      <c r="T552" s="1">
        <v>0.73040000000000005</v>
      </c>
      <c r="U552" s="1">
        <v>0.93700000000000006</v>
      </c>
      <c r="V552" s="1">
        <v>1.391</v>
      </c>
    </row>
    <row r="553" spans="12:22" x14ac:dyDescent="0.25">
      <c r="L553" s="1">
        <v>95.1</v>
      </c>
      <c r="M553" s="1">
        <v>0.59460000000000002</v>
      </c>
      <c r="N553" s="1">
        <v>0.73009999999999997</v>
      </c>
      <c r="O553" s="1">
        <v>0.5675</v>
      </c>
      <c r="P553" s="1">
        <v>0.61439999999999995</v>
      </c>
      <c r="Q553" s="1">
        <v>0.62170000000000003</v>
      </c>
      <c r="R553" s="1">
        <v>0.84609999999999996</v>
      </c>
      <c r="S553" s="1">
        <v>0.59460000000000002</v>
      </c>
      <c r="T553" s="1">
        <v>0.73009999999999997</v>
      </c>
      <c r="U553" s="1">
        <v>0.93620000000000003</v>
      </c>
      <c r="V553" s="1">
        <v>1.3904000000000001</v>
      </c>
    </row>
    <row r="554" spans="12:22" x14ac:dyDescent="0.25">
      <c r="L554" s="1">
        <v>95.2</v>
      </c>
      <c r="M554" s="1">
        <v>0.59430000000000005</v>
      </c>
      <c r="N554" s="1">
        <v>0.7298</v>
      </c>
      <c r="O554" s="1">
        <v>0.56720000000000004</v>
      </c>
      <c r="P554" s="1">
        <v>0.61409999999999998</v>
      </c>
      <c r="Q554" s="1">
        <v>0.62139999999999995</v>
      </c>
      <c r="R554" s="1">
        <v>0.8458</v>
      </c>
      <c r="S554" s="1">
        <v>0.59430000000000005</v>
      </c>
      <c r="T554" s="1">
        <v>0.7298</v>
      </c>
      <c r="U554" s="1">
        <v>0.93540000000000001</v>
      </c>
      <c r="V554" s="1">
        <v>1.3897999999999999</v>
      </c>
    </row>
    <row r="555" spans="12:22" x14ac:dyDescent="0.25">
      <c r="L555" s="1">
        <v>95.3</v>
      </c>
      <c r="M555" s="1">
        <v>0.59399999999999997</v>
      </c>
      <c r="N555" s="1">
        <v>0.72945000000000004</v>
      </c>
      <c r="O555" s="1">
        <v>0.56689999999999996</v>
      </c>
      <c r="P555" s="1">
        <v>0.61380000000000001</v>
      </c>
      <c r="Q555" s="1">
        <v>0.62109999999999999</v>
      </c>
      <c r="R555" s="1">
        <v>0.84550000000000003</v>
      </c>
      <c r="S555" s="1">
        <v>0.59399999999999997</v>
      </c>
      <c r="T555" s="1">
        <v>0.72945000000000004</v>
      </c>
      <c r="U555" s="1">
        <v>0.93480000000000008</v>
      </c>
      <c r="V555" s="1">
        <v>1.3892</v>
      </c>
    </row>
    <row r="556" spans="12:22" x14ac:dyDescent="0.25">
      <c r="L556" s="1">
        <v>95.4</v>
      </c>
      <c r="M556" s="1">
        <v>0.59375</v>
      </c>
      <c r="N556" s="1">
        <v>0.72914999999999996</v>
      </c>
      <c r="O556" s="1">
        <v>0.56659999999999999</v>
      </c>
      <c r="P556" s="1">
        <v>0.61339999999999995</v>
      </c>
      <c r="Q556" s="1">
        <v>0.62090000000000001</v>
      </c>
      <c r="R556" s="1">
        <v>0.84519999999999995</v>
      </c>
      <c r="S556" s="1">
        <v>0.59375</v>
      </c>
      <c r="T556" s="1">
        <v>0.72914999999999996</v>
      </c>
      <c r="U556" s="1">
        <v>0.93440000000000001</v>
      </c>
      <c r="V556" s="1">
        <v>1.3885999999999998</v>
      </c>
    </row>
    <row r="557" spans="12:22" x14ac:dyDescent="0.25">
      <c r="L557" s="1">
        <v>95.5</v>
      </c>
      <c r="M557" s="1">
        <v>0.59345000000000003</v>
      </c>
      <c r="N557" s="1">
        <v>0.72885</v>
      </c>
      <c r="O557" s="1">
        <v>0.56630000000000003</v>
      </c>
      <c r="P557" s="1">
        <v>0.61309999999999998</v>
      </c>
      <c r="Q557" s="1">
        <v>0.62060000000000004</v>
      </c>
      <c r="R557" s="1">
        <v>0.84489999999999998</v>
      </c>
      <c r="S557" s="1">
        <v>0.59345000000000003</v>
      </c>
      <c r="T557" s="1">
        <v>0.72885</v>
      </c>
      <c r="U557" s="1">
        <v>0.93400000000000005</v>
      </c>
      <c r="V557" s="1">
        <v>1.3879999999999999</v>
      </c>
    </row>
    <row r="558" spans="12:22" x14ac:dyDescent="0.25">
      <c r="L558" s="1">
        <v>95.6</v>
      </c>
      <c r="M558" s="1">
        <v>0.59314999999999996</v>
      </c>
      <c r="N558" s="1">
        <v>0.72855000000000003</v>
      </c>
      <c r="O558" s="1">
        <v>0.56599999999999995</v>
      </c>
      <c r="P558" s="1">
        <v>0.61280000000000001</v>
      </c>
      <c r="Q558" s="1">
        <v>0.62029999999999996</v>
      </c>
      <c r="R558" s="1">
        <v>0.84460000000000002</v>
      </c>
      <c r="S558" s="1">
        <v>0.59314999999999996</v>
      </c>
      <c r="T558" s="1">
        <v>0.72855000000000003</v>
      </c>
      <c r="U558" s="1">
        <v>0.9336000000000001</v>
      </c>
      <c r="V558" s="1">
        <v>1.3874</v>
      </c>
    </row>
    <row r="559" spans="12:22" x14ac:dyDescent="0.25">
      <c r="L559" s="1">
        <v>95.7</v>
      </c>
      <c r="M559" s="1">
        <v>0.59284999999999999</v>
      </c>
      <c r="N559" s="1">
        <v>0.72824999999999995</v>
      </c>
      <c r="O559" s="1">
        <v>0.56569999999999998</v>
      </c>
      <c r="P559" s="1">
        <v>0.61250000000000004</v>
      </c>
      <c r="Q559" s="1">
        <v>0.62</v>
      </c>
      <c r="R559" s="1">
        <v>0.84430000000000005</v>
      </c>
      <c r="S559" s="1">
        <v>0.59284999999999999</v>
      </c>
      <c r="T559" s="1">
        <v>0.72824999999999995</v>
      </c>
      <c r="U559" s="1">
        <v>0.93320000000000003</v>
      </c>
      <c r="V559" s="1">
        <v>1.3868</v>
      </c>
    </row>
    <row r="560" spans="12:22" x14ac:dyDescent="0.25">
      <c r="L560" s="1">
        <v>95.8</v>
      </c>
      <c r="M560" s="1">
        <v>0.59255000000000002</v>
      </c>
      <c r="N560" s="1">
        <v>0.72789999999999999</v>
      </c>
      <c r="O560" s="1">
        <v>0.56540000000000001</v>
      </c>
      <c r="P560" s="1">
        <v>0.61219999999999997</v>
      </c>
      <c r="Q560" s="1">
        <v>0.61970000000000003</v>
      </c>
      <c r="R560" s="1">
        <v>0.84399999999999997</v>
      </c>
      <c r="S560" s="1">
        <v>0.59255000000000002</v>
      </c>
      <c r="T560" s="1">
        <v>0.72789999999999999</v>
      </c>
      <c r="U560" s="1">
        <v>0.93280000000000007</v>
      </c>
      <c r="V560" s="1">
        <v>1.3861999999999999</v>
      </c>
    </row>
    <row r="561" spans="12:22" x14ac:dyDescent="0.25">
      <c r="L561" s="1">
        <v>95.9</v>
      </c>
      <c r="M561" s="1">
        <v>0.59375</v>
      </c>
      <c r="N561" s="1">
        <v>0.72760000000000002</v>
      </c>
      <c r="O561" s="1">
        <v>0.56810000000000005</v>
      </c>
      <c r="P561" s="1">
        <v>0.61180000000000001</v>
      </c>
      <c r="Q561" s="1">
        <v>0.61939999999999995</v>
      </c>
      <c r="R561" s="1">
        <v>0.84370000000000001</v>
      </c>
      <c r="S561" s="1">
        <v>0.59375</v>
      </c>
      <c r="T561" s="1">
        <v>0.72760000000000002</v>
      </c>
      <c r="U561" s="1">
        <v>0.93240000000000001</v>
      </c>
      <c r="V561" s="1">
        <v>1.3855999999999999</v>
      </c>
    </row>
    <row r="562" spans="12:22" x14ac:dyDescent="0.25">
      <c r="L562" s="1">
        <v>96</v>
      </c>
      <c r="M562" s="1">
        <v>0.59194999999999998</v>
      </c>
      <c r="N562" s="1">
        <v>0.72729999999999995</v>
      </c>
      <c r="O562" s="1">
        <v>0.56479999999999997</v>
      </c>
      <c r="P562" s="1">
        <v>0.61150000000000004</v>
      </c>
      <c r="Q562" s="1">
        <v>0.61909999999999998</v>
      </c>
      <c r="R562" s="1">
        <v>0.84340000000000004</v>
      </c>
      <c r="S562" s="1">
        <v>0.59194999999999998</v>
      </c>
      <c r="T562" s="1">
        <v>0.72729999999999995</v>
      </c>
      <c r="U562" s="1">
        <v>0.93200000000000005</v>
      </c>
      <c r="V562" s="1">
        <v>1.385</v>
      </c>
    </row>
    <row r="563" spans="12:22" x14ac:dyDescent="0.25">
      <c r="L563" s="1">
        <v>96.1</v>
      </c>
      <c r="M563" s="1">
        <v>0.59165000000000001</v>
      </c>
      <c r="N563" s="1">
        <v>0.72699999999999998</v>
      </c>
      <c r="O563" s="1">
        <v>0.5645</v>
      </c>
      <c r="P563" s="1">
        <v>0.61119999999999997</v>
      </c>
      <c r="Q563" s="1">
        <v>0.61880000000000002</v>
      </c>
      <c r="R563" s="1">
        <v>0.84309999999999996</v>
      </c>
      <c r="S563" s="1">
        <v>0.59165000000000001</v>
      </c>
      <c r="T563" s="1">
        <v>0.72699999999999998</v>
      </c>
      <c r="U563" s="1">
        <v>0.93160000000000009</v>
      </c>
      <c r="V563" s="1">
        <v>1.3844000000000001</v>
      </c>
    </row>
    <row r="564" spans="12:22" x14ac:dyDescent="0.25">
      <c r="L564" s="1">
        <v>96.2</v>
      </c>
      <c r="M564" s="1">
        <v>0.59140000000000004</v>
      </c>
      <c r="N564" s="1">
        <v>0.72670000000000001</v>
      </c>
      <c r="O564" s="1">
        <v>0.56420000000000003</v>
      </c>
      <c r="P564" s="1">
        <v>0.6109</v>
      </c>
      <c r="Q564" s="1">
        <v>0.61860000000000004</v>
      </c>
      <c r="R564" s="1">
        <v>0.84279999999999999</v>
      </c>
      <c r="S564" s="1">
        <v>0.59140000000000004</v>
      </c>
      <c r="T564" s="1">
        <v>0.72670000000000001</v>
      </c>
      <c r="U564" s="1">
        <v>0.93120000000000003</v>
      </c>
      <c r="V564" s="1">
        <v>1.3837999999999999</v>
      </c>
    </row>
    <row r="565" spans="12:22" x14ac:dyDescent="0.25">
      <c r="L565" s="1">
        <v>96.3</v>
      </c>
      <c r="M565" s="1">
        <v>0.59109999999999996</v>
      </c>
      <c r="N565" s="1">
        <v>0.72635000000000005</v>
      </c>
      <c r="O565" s="1">
        <v>0.56389999999999996</v>
      </c>
      <c r="P565" s="1">
        <v>0.61060000000000003</v>
      </c>
      <c r="Q565" s="1">
        <v>0.61829999999999996</v>
      </c>
      <c r="R565" s="1">
        <v>0.84250000000000003</v>
      </c>
      <c r="S565" s="1">
        <v>0.59109999999999996</v>
      </c>
      <c r="T565" s="1">
        <v>0.72635000000000005</v>
      </c>
      <c r="U565" s="1">
        <v>0.93060000000000009</v>
      </c>
      <c r="V565" s="1">
        <v>1.3832</v>
      </c>
    </row>
    <row r="566" spans="12:22" x14ac:dyDescent="0.25">
      <c r="L566" s="1">
        <v>96.4</v>
      </c>
      <c r="M566" s="1">
        <v>0.59079999999999999</v>
      </c>
      <c r="N566" s="1">
        <v>0.72604999999999997</v>
      </c>
      <c r="O566" s="1">
        <v>0.56359999999999999</v>
      </c>
      <c r="P566" s="1">
        <v>0.61019999999999996</v>
      </c>
      <c r="Q566" s="1">
        <v>0.61799999999999999</v>
      </c>
      <c r="R566" s="1">
        <v>0.84219999999999995</v>
      </c>
      <c r="S566" s="1">
        <v>0.59079999999999999</v>
      </c>
      <c r="T566" s="1">
        <v>0.72604999999999997</v>
      </c>
      <c r="U566" s="1">
        <v>0.92980000000000007</v>
      </c>
      <c r="V566" s="1">
        <v>1.3825999999999998</v>
      </c>
    </row>
    <row r="567" spans="12:22" x14ac:dyDescent="0.25">
      <c r="L567" s="1">
        <v>96.5</v>
      </c>
      <c r="M567" s="1">
        <v>0.59050000000000002</v>
      </c>
      <c r="N567" s="1">
        <v>0.72575000000000001</v>
      </c>
      <c r="O567" s="1">
        <v>0.56330000000000002</v>
      </c>
      <c r="P567" s="1">
        <v>0.6099</v>
      </c>
      <c r="Q567" s="1">
        <v>0.61770000000000003</v>
      </c>
      <c r="R567" s="1">
        <v>0.84189999999999998</v>
      </c>
      <c r="S567" s="1">
        <v>0.59050000000000002</v>
      </c>
      <c r="T567" s="1">
        <v>0.72575000000000001</v>
      </c>
      <c r="U567" s="1">
        <v>0.92900000000000005</v>
      </c>
      <c r="V567" s="1">
        <v>1.3819999999999999</v>
      </c>
    </row>
    <row r="568" spans="12:22" x14ac:dyDescent="0.25">
      <c r="L568" s="1">
        <v>96.6</v>
      </c>
      <c r="M568" s="1">
        <v>0.59019999999999995</v>
      </c>
      <c r="N568" s="1">
        <v>0.72545000000000004</v>
      </c>
      <c r="O568" s="1">
        <v>0.56299999999999994</v>
      </c>
      <c r="P568" s="1">
        <v>0.60960000000000003</v>
      </c>
      <c r="Q568" s="1">
        <v>0.61739999999999995</v>
      </c>
      <c r="R568" s="1">
        <v>0.84160000000000001</v>
      </c>
      <c r="S568" s="1">
        <v>0.59019999999999995</v>
      </c>
      <c r="T568" s="1">
        <v>0.72545000000000004</v>
      </c>
      <c r="U568" s="1">
        <v>0.92860000000000009</v>
      </c>
      <c r="V568" s="1">
        <v>1.3814</v>
      </c>
    </row>
    <row r="569" spans="12:22" x14ac:dyDescent="0.25">
      <c r="L569" s="1">
        <v>96.7</v>
      </c>
      <c r="M569" s="1">
        <v>0.58994999999999997</v>
      </c>
      <c r="N569" s="1">
        <v>0.72514999999999996</v>
      </c>
      <c r="O569" s="1">
        <v>0.56269999999999998</v>
      </c>
      <c r="P569" s="1">
        <v>0.60929999999999995</v>
      </c>
      <c r="Q569" s="1">
        <v>0.61719999999999997</v>
      </c>
      <c r="R569" s="1">
        <v>0.84130000000000005</v>
      </c>
      <c r="S569" s="1">
        <v>0.58994999999999997</v>
      </c>
      <c r="T569" s="1">
        <v>0.72514999999999996</v>
      </c>
      <c r="U569" s="1">
        <v>0.92820000000000003</v>
      </c>
      <c r="V569" s="1">
        <v>1.3808</v>
      </c>
    </row>
    <row r="570" spans="12:22" x14ac:dyDescent="0.25">
      <c r="L570" s="1">
        <v>96.8</v>
      </c>
      <c r="M570" s="1">
        <v>0.58965000000000001</v>
      </c>
      <c r="N570" s="1">
        <v>0.72484999999999999</v>
      </c>
      <c r="O570" s="1">
        <v>0.56240000000000001</v>
      </c>
      <c r="P570" s="1">
        <v>0.60899999999999999</v>
      </c>
      <c r="Q570" s="1">
        <v>0.6169</v>
      </c>
      <c r="R570" s="1">
        <v>0.84099999999999997</v>
      </c>
      <c r="S570" s="1">
        <v>0.58965000000000001</v>
      </c>
      <c r="T570" s="1">
        <v>0.72484999999999999</v>
      </c>
      <c r="U570" s="1">
        <v>0.92780000000000007</v>
      </c>
      <c r="V570" s="1">
        <v>1.3801999999999999</v>
      </c>
    </row>
    <row r="571" spans="12:22" x14ac:dyDescent="0.25">
      <c r="L571" s="1">
        <v>96.9</v>
      </c>
      <c r="M571" s="1">
        <v>0.5908500000000001</v>
      </c>
      <c r="N571" s="1">
        <v>0.72450000000000003</v>
      </c>
      <c r="O571" s="1">
        <v>0.56510000000000005</v>
      </c>
      <c r="P571" s="1">
        <v>0.60870000000000002</v>
      </c>
      <c r="Q571" s="1">
        <v>0.61660000000000004</v>
      </c>
      <c r="R571" s="1">
        <v>0.8407</v>
      </c>
      <c r="S571" s="1">
        <v>0.5908500000000001</v>
      </c>
      <c r="T571" s="1">
        <v>0.72450000000000003</v>
      </c>
      <c r="U571" s="1">
        <v>0.9274</v>
      </c>
      <c r="V571" s="1">
        <v>1.3795999999999999</v>
      </c>
    </row>
    <row r="572" spans="12:22" x14ac:dyDescent="0.25">
      <c r="L572" s="1">
        <v>97</v>
      </c>
      <c r="M572" s="1">
        <v>0.58909999999999996</v>
      </c>
      <c r="N572" s="1">
        <v>0.72424999999999995</v>
      </c>
      <c r="O572" s="1">
        <v>0.56189999999999996</v>
      </c>
      <c r="P572" s="1">
        <v>0.60829999999999995</v>
      </c>
      <c r="Q572" s="1">
        <v>0.61629999999999996</v>
      </c>
      <c r="R572" s="1">
        <v>0.84050000000000002</v>
      </c>
      <c r="S572" s="1">
        <v>0.58909999999999996</v>
      </c>
      <c r="T572" s="1">
        <v>0.72424999999999995</v>
      </c>
      <c r="U572" s="1">
        <v>0.92700000000000005</v>
      </c>
      <c r="V572" s="1">
        <v>1.379</v>
      </c>
    </row>
    <row r="573" spans="12:22" x14ac:dyDescent="0.25">
      <c r="L573" s="1">
        <v>97.1</v>
      </c>
      <c r="M573" s="1">
        <v>0.58884999999999998</v>
      </c>
      <c r="N573" s="1">
        <v>0.72394999999999998</v>
      </c>
      <c r="O573" s="1">
        <v>0.56159999999999999</v>
      </c>
      <c r="P573" s="1">
        <v>0.60799999999999998</v>
      </c>
      <c r="Q573" s="1">
        <v>0.61609999999999998</v>
      </c>
      <c r="R573" s="1">
        <v>0.84019999999999995</v>
      </c>
      <c r="S573" s="1">
        <v>0.58884999999999998</v>
      </c>
      <c r="T573" s="1">
        <v>0.72394999999999998</v>
      </c>
      <c r="U573" s="1">
        <v>0.92660000000000009</v>
      </c>
      <c r="V573" s="1">
        <v>1.3784000000000001</v>
      </c>
    </row>
    <row r="574" spans="12:22" x14ac:dyDescent="0.25">
      <c r="L574" s="1">
        <v>97.2</v>
      </c>
      <c r="M574" s="1">
        <v>0.58855000000000002</v>
      </c>
      <c r="N574" s="1">
        <v>0.72365000000000002</v>
      </c>
      <c r="O574" s="1">
        <v>0.56130000000000002</v>
      </c>
      <c r="P574" s="1">
        <v>0.60770000000000002</v>
      </c>
      <c r="Q574" s="1">
        <v>0.61580000000000001</v>
      </c>
      <c r="R574" s="1">
        <v>0.83989999999999998</v>
      </c>
      <c r="S574" s="1">
        <v>0.58855000000000002</v>
      </c>
      <c r="T574" s="1">
        <v>0.72365000000000002</v>
      </c>
      <c r="U574" s="1">
        <v>0.92620000000000002</v>
      </c>
      <c r="V574" s="1">
        <v>1.3777999999999999</v>
      </c>
    </row>
    <row r="575" spans="12:22" x14ac:dyDescent="0.25">
      <c r="L575" s="1">
        <v>97.3</v>
      </c>
      <c r="M575" s="1">
        <v>0.58825000000000005</v>
      </c>
      <c r="N575" s="1">
        <v>0.72335000000000005</v>
      </c>
      <c r="O575" s="1">
        <v>0.56100000000000005</v>
      </c>
      <c r="P575" s="1">
        <v>0.60740000000000005</v>
      </c>
      <c r="Q575" s="1">
        <v>0.61550000000000005</v>
      </c>
      <c r="R575" s="1">
        <v>0.83960000000000001</v>
      </c>
      <c r="S575" s="1">
        <v>0.58825000000000005</v>
      </c>
      <c r="T575" s="1">
        <v>0.72335000000000005</v>
      </c>
      <c r="U575" s="1">
        <v>0.92580000000000007</v>
      </c>
      <c r="V575" s="1">
        <v>1.3772</v>
      </c>
    </row>
    <row r="576" spans="12:22" x14ac:dyDescent="0.25">
      <c r="L576" s="1">
        <v>97.4</v>
      </c>
      <c r="M576" s="1">
        <v>0.58799999999999997</v>
      </c>
      <c r="N576" s="1">
        <v>0.72304999999999997</v>
      </c>
      <c r="O576" s="1">
        <v>0.56079999999999997</v>
      </c>
      <c r="P576" s="1">
        <v>0.60709999999999997</v>
      </c>
      <c r="Q576" s="1">
        <v>0.61519999999999997</v>
      </c>
      <c r="R576" s="1">
        <v>0.83930000000000005</v>
      </c>
      <c r="S576" s="1">
        <v>0.58799999999999997</v>
      </c>
      <c r="T576" s="1">
        <v>0.72304999999999997</v>
      </c>
      <c r="U576" s="1">
        <v>0.9254</v>
      </c>
      <c r="V576" s="1">
        <v>1.3765999999999998</v>
      </c>
    </row>
    <row r="577" spans="12:22" x14ac:dyDescent="0.25">
      <c r="L577" s="1">
        <v>97.5</v>
      </c>
      <c r="M577" s="1">
        <v>0.58774999999999999</v>
      </c>
      <c r="N577" s="1">
        <v>0.72275</v>
      </c>
      <c r="O577" s="1">
        <v>0.5605</v>
      </c>
      <c r="P577" s="1">
        <v>0.60680000000000001</v>
      </c>
      <c r="Q577" s="1">
        <v>0.61499999999999999</v>
      </c>
      <c r="R577" s="1">
        <v>0.83909999999999996</v>
      </c>
      <c r="S577" s="1">
        <v>0.58774999999999999</v>
      </c>
      <c r="T577" s="1">
        <v>0.72275</v>
      </c>
      <c r="U577" s="1">
        <v>0.92500000000000004</v>
      </c>
      <c r="V577" s="1">
        <v>1.3759999999999999</v>
      </c>
    </row>
    <row r="578" spans="12:22" x14ac:dyDescent="0.25">
      <c r="L578" s="1">
        <v>97.6</v>
      </c>
      <c r="M578" s="1">
        <v>0.58745000000000003</v>
      </c>
      <c r="N578" s="1">
        <v>0.72245000000000004</v>
      </c>
      <c r="O578" s="1">
        <v>0.56020000000000003</v>
      </c>
      <c r="P578" s="1">
        <v>0.60640000000000005</v>
      </c>
      <c r="Q578" s="1">
        <v>0.61470000000000002</v>
      </c>
      <c r="R578" s="1">
        <v>0.83879999999999999</v>
      </c>
      <c r="S578" s="1">
        <v>0.58745000000000003</v>
      </c>
      <c r="T578" s="1">
        <v>0.72245000000000004</v>
      </c>
      <c r="U578" s="1">
        <v>0.92460000000000009</v>
      </c>
      <c r="V578" s="1">
        <v>1.3754</v>
      </c>
    </row>
    <row r="579" spans="12:22" x14ac:dyDescent="0.25">
      <c r="L579" s="1">
        <v>97.7</v>
      </c>
      <c r="M579" s="1">
        <v>0.58714999999999995</v>
      </c>
      <c r="N579" s="1">
        <v>0.72214999999999996</v>
      </c>
      <c r="O579" s="1">
        <v>0.55989999999999995</v>
      </c>
      <c r="P579" s="1">
        <v>0.60609999999999997</v>
      </c>
      <c r="Q579" s="1">
        <v>0.61439999999999995</v>
      </c>
      <c r="R579" s="1">
        <v>0.83850000000000002</v>
      </c>
      <c r="S579" s="1">
        <v>0.58714999999999995</v>
      </c>
      <c r="T579" s="1">
        <v>0.72214999999999996</v>
      </c>
      <c r="U579" s="1">
        <v>0.92420000000000002</v>
      </c>
      <c r="V579" s="1">
        <v>1.3748</v>
      </c>
    </row>
    <row r="580" spans="12:22" x14ac:dyDescent="0.25">
      <c r="L580" s="1">
        <v>97.8</v>
      </c>
      <c r="M580" s="1">
        <v>0.58694999999999997</v>
      </c>
      <c r="N580" s="1">
        <v>0.72184999999999999</v>
      </c>
      <c r="O580" s="1">
        <v>0.55969999999999998</v>
      </c>
      <c r="P580" s="1">
        <v>0.60580000000000001</v>
      </c>
      <c r="Q580" s="1">
        <v>0.61419999999999997</v>
      </c>
      <c r="R580" s="1">
        <v>0.83819999999999995</v>
      </c>
      <c r="S580" s="1">
        <v>0.58694999999999997</v>
      </c>
      <c r="T580" s="1">
        <v>0.72184999999999999</v>
      </c>
      <c r="U580" s="1">
        <v>0.92380000000000007</v>
      </c>
      <c r="V580" s="1">
        <v>1.3741999999999999</v>
      </c>
    </row>
    <row r="581" spans="12:22" x14ac:dyDescent="0.25">
      <c r="L581" s="1">
        <v>97.9</v>
      </c>
      <c r="M581" s="1">
        <v>0.58804999999999996</v>
      </c>
      <c r="N581" s="1">
        <v>0.72160000000000002</v>
      </c>
      <c r="O581" s="1">
        <v>0.56220000000000003</v>
      </c>
      <c r="P581" s="1">
        <v>0.60550000000000004</v>
      </c>
      <c r="Q581" s="1">
        <v>0.6139</v>
      </c>
      <c r="R581" s="1">
        <v>0.83799999999999997</v>
      </c>
      <c r="S581" s="1">
        <v>0.58804999999999996</v>
      </c>
      <c r="T581" s="1">
        <v>0.72160000000000002</v>
      </c>
      <c r="U581" s="1">
        <v>0.9234</v>
      </c>
      <c r="V581" s="1">
        <v>1.3735999999999999</v>
      </c>
    </row>
    <row r="582" spans="12:22" x14ac:dyDescent="0.25">
      <c r="L582" s="1">
        <v>98</v>
      </c>
      <c r="M582" s="1">
        <v>0.58635000000000004</v>
      </c>
      <c r="N582" s="1">
        <v>0.72130000000000005</v>
      </c>
      <c r="O582" s="1">
        <v>0.55910000000000004</v>
      </c>
      <c r="P582" s="1">
        <v>0.60519999999999996</v>
      </c>
      <c r="Q582" s="1">
        <v>0.61360000000000003</v>
      </c>
      <c r="R582" s="1">
        <v>0.8377</v>
      </c>
      <c r="S582" s="1">
        <v>0.58635000000000004</v>
      </c>
      <c r="T582" s="1">
        <v>0.72130000000000005</v>
      </c>
      <c r="U582" s="1">
        <v>0.92300000000000004</v>
      </c>
      <c r="V582" s="1">
        <v>1.373</v>
      </c>
    </row>
    <row r="583" spans="12:22" x14ac:dyDescent="0.25">
      <c r="L583" s="1">
        <v>98.1</v>
      </c>
      <c r="M583" s="1">
        <v>0.58614999999999995</v>
      </c>
      <c r="N583" s="1">
        <v>0.72099999999999997</v>
      </c>
      <c r="O583" s="1">
        <v>0.55889999999999995</v>
      </c>
      <c r="P583" s="1">
        <v>0.60489999999999999</v>
      </c>
      <c r="Q583" s="1">
        <v>0.61339999999999995</v>
      </c>
      <c r="R583" s="1">
        <v>0.83740000000000003</v>
      </c>
      <c r="S583" s="1">
        <v>0.58614999999999995</v>
      </c>
      <c r="T583" s="1">
        <v>0.72099999999999997</v>
      </c>
      <c r="U583" s="1">
        <v>0.92260000000000009</v>
      </c>
      <c r="V583" s="1">
        <v>1.3726</v>
      </c>
    </row>
    <row r="584" spans="12:22" x14ac:dyDescent="0.25">
      <c r="L584" s="1">
        <v>98.2</v>
      </c>
      <c r="M584" s="1">
        <v>0.58584999999999998</v>
      </c>
      <c r="N584" s="1">
        <v>0.72070000000000001</v>
      </c>
      <c r="O584" s="1">
        <v>0.55859999999999999</v>
      </c>
      <c r="P584" s="1">
        <v>0.60460000000000003</v>
      </c>
      <c r="Q584" s="1">
        <v>0.61309999999999998</v>
      </c>
      <c r="R584" s="1">
        <v>0.83720000000000006</v>
      </c>
      <c r="S584" s="1">
        <v>0.58584999999999998</v>
      </c>
      <c r="T584" s="1">
        <v>0.72070000000000001</v>
      </c>
      <c r="U584" s="1">
        <v>0.92220000000000002</v>
      </c>
      <c r="V584" s="1">
        <v>1.3722000000000001</v>
      </c>
    </row>
    <row r="585" spans="12:22" x14ac:dyDescent="0.25">
      <c r="L585" s="1">
        <v>98.3</v>
      </c>
      <c r="M585" s="1">
        <v>0.58560000000000001</v>
      </c>
      <c r="N585" s="1">
        <v>0.72040000000000004</v>
      </c>
      <c r="O585" s="1">
        <v>0.55830000000000002</v>
      </c>
      <c r="P585" s="1">
        <v>0.60419999999999996</v>
      </c>
      <c r="Q585" s="1">
        <v>0.6129</v>
      </c>
      <c r="R585" s="1">
        <v>0.83689999999999998</v>
      </c>
      <c r="S585" s="1">
        <v>0.58560000000000001</v>
      </c>
      <c r="T585" s="1">
        <v>0.72040000000000004</v>
      </c>
      <c r="U585" s="1">
        <v>0.92180000000000006</v>
      </c>
      <c r="V585" s="1">
        <v>1.3717999999999999</v>
      </c>
    </row>
    <row r="586" spans="12:22" x14ac:dyDescent="0.25">
      <c r="L586" s="1">
        <v>98.4</v>
      </c>
      <c r="M586" s="1">
        <v>0.58535000000000004</v>
      </c>
      <c r="N586" s="1">
        <v>0.72009999999999996</v>
      </c>
      <c r="O586" s="1">
        <v>0.55810000000000004</v>
      </c>
      <c r="P586" s="1">
        <v>0.60389999999999999</v>
      </c>
      <c r="Q586" s="1">
        <v>0.61260000000000003</v>
      </c>
      <c r="R586" s="1">
        <v>0.83660000000000001</v>
      </c>
      <c r="S586" s="1">
        <v>0.58535000000000004</v>
      </c>
      <c r="T586" s="1">
        <v>0.72009999999999996</v>
      </c>
      <c r="U586" s="1">
        <v>0.9214</v>
      </c>
      <c r="V586" s="1">
        <v>1.3714</v>
      </c>
    </row>
    <row r="587" spans="12:22" x14ac:dyDescent="0.25">
      <c r="L587" s="1">
        <v>98.5</v>
      </c>
      <c r="M587" s="1">
        <v>0.58504999999999996</v>
      </c>
      <c r="N587" s="1">
        <v>0.71984999999999999</v>
      </c>
      <c r="O587" s="1">
        <v>0.55779999999999996</v>
      </c>
      <c r="P587" s="1">
        <v>0.60360000000000003</v>
      </c>
      <c r="Q587" s="1">
        <v>0.61229999999999996</v>
      </c>
      <c r="R587" s="1">
        <v>0.83640000000000003</v>
      </c>
      <c r="S587" s="1">
        <v>0.58504999999999996</v>
      </c>
      <c r="T587" s="1">
        <v>0.71984999999999999</v>
      </c>
      <c r="U587" s="1">
        <v>0.92100000000000004</v>
      </c>
      <c r="V587" s="1">
        <v>1.371</v>
      </c>
    </row>
    <row r="588" spans="12:22" x14ac:dyDescent="0.25">
      <c r="L588" s="1">
        <v>98.6</v>
      </c>
      <c r="M588" s="1">
        <v>0.58479999999999999</v>
      </c>
      <c r="N588" s="1">
        <v>0.71955000000000002</v>
      </c>
      <c r="O588" s="1">
        <v>0.5575</v>
      </c>
      <c r="P588" s="1">
        <v>0.60329999999999995</v>
      </c>
      <c r="Q588" s="1">
        <v>0.61209999999999998</v>
      </c>
      <c r="R588" s="1">
        <v>0.83609999999999995</v>
      </c>
      <c r="S588" s="1">
        <v>0.58479999999999999</v>
      </c>
      <c r="T588" s="1">
        <v>0.71955000000000002</v>
      </c>
      <c r="U588" s="1">
        <v>0.92060000000000008</v>
      </c>
      <c r="V588" s="1">
        <v>1.3704000000000001</v>
      </c>
    </row>
    <row r="589" spans="12:22" x14ac:dyDescent="0.25">
      <c r="L589" s="1">
        <v>98.7</v>
      </c>
      <c r="M589" s="1">
        <v>0.58455000000000001</v>
      </c>
      <c r="N589" s="1">
        <v>0.71930000000000005</v>
      </c>
      <c r="O589" s="1">
        <v>0.55730000000000002</v>
      </c>
      <c r="P589" s="1">
        <v>0.60299999999999998</v>
      </c>
      <c r="Q589" s="1">
        <v>0.61180000000000001</v>
      </c>
      <c r="R589" s="1">
        <v>0.83589999999999998</v>
      </c>
      <c r="S589" s="1">
        <v>0.58455000000000001</v>
      </c>
      <c r="T589" s="1">
        <v>0.71930000000000005</v>
      </c>
      <c r="U589" s="1">
        <v>0.92020000000000002</v>
      </c>
      <c r="V589" s="1">
        <v>1.3698000000000001</v>
      </c>
    </row>
    <row r="590" spans="12:22" x14ac:dyDescent="0.25">
      <c r="L590" s="1">
        <v>98.8</v>
      </c>
      <c r="M590" s="1">
        <v>0.58430000000000004</v>
      </c>
      <c r="N590" s="1">
        <v>0.71899999999999997</v>
      </c>
      <c r="O590" s="1">
        <v>0.55700000000000005</v>
      </c>
      <c r="P590" s="1">
        <v>0.60270000000000001</v>
      </c>
      <c r="Q590" s="1">
        <v>0.61160000000000003</v>
      </c>
      <c r="R590" s="1">
        <v>0.83560000000000001</v>
      </c>
      <c r="S590" s="1">
        <v>0.58430000000000004</v>
      </c>
      <c r="T590" s="1">
        <v>0.71899999999999997</v>
      </c>
      <c r="U590" s="1">
        <v>0.91980000000000006</v>
      </c>
      <c r="V590" s="1">
        <v>1.3692</v>
      </c>
    </row>
    <row r="591" spans="12:22" x14ac:dyDescent="0.25">
      <c r="L591" s="1">
        <v>98.9</v>
      </c>
      <c r="M591" s="1">
        <v>0.58535000000000004</v>
      </c>
      <c r="N591" s="1">
        <v>0.71870000000000001</v>
      </c>
      <c r="O591" s="1">
        <v>0.55940000000000001</v>
      </c>
      <c r="P591" s="1">
        <v>0.60240000000000005</v>
      </c>
      <c r="Q591" s="1">
        <v>0.61129999999999995</v>
      </c>
      <c r="R591" s="1">
        <v>0.83530000000000004</v>
      </c>
      <c r="S591" s="1">
        <v>0.58535000000000004</v>
      </c>
      <c r="T591" s="1">
        <v>0.71870000000000001</v>
      </c>
      <c r="U591" s="1">
        <v>0.9194</v>
      </c>
      <c r="V591" s="1">
        <v>1.3686</v>
      </c>
    </row>
    <row r="592" spans="12:22" x14ac:dyDescent="0.25">
      <c r="L592" s="1">
        <v>99</v>
      </c>
      <c r="M592" s="1">
        <v>0.58379999999999999</v>
      </c>
      <c r="N592" s="1">
        <v>0.71845000000000003</v>
      </c>
      <c r="O592" s="1">
        <v>0.55649999999999999</v>
      </c>
      <c r="P592" s="1">
        <v>0.60209999999999997</v>
      </c>
      <c r="Q592" s="1">
        <v>0.61109999999999998</v>
      </c>
      <c r="R592" s="1">
        <v>0.83509999999999995</v>
      </c>
      <c r="S592" s="1">
        <v>0.58379999999999999</v>
      </c>
      <c r="T592" s="1">
        <v>0.71845000000000003</v>
      </c>
      <c r="U592" s="1">
        <v>0.91900000000000004</v>
      </c>
      <c r="V592" s="1">
        <v>1.3680000000000001</v>
      </c>
    </row>
    <row r="593" spans="12:22" x14ac:dyDescent="0.25">
      <c r="L593" s="1">
        <v>99.1</v>
      </c>
      <c r="M593" s="1">
        <v>0.58355000000000001</v>
      </c>
      <c r="N593" s="1">
        <v>0.71809999999999996</v>
      </c>
      <c r="O593" s="1">
        <v>0.55630000000000002</v>
      </c>
      <c r="P593" s="1">
        <v>0.6018</v>
      </c>
      <c r="Q593" s="1">
        <v>0.61080000000000001</v>
      </c>
      <c r="R593" s="1">
        <v>0.83479999999999999</v>
      </c>
      <c r="S593" s="1">
        <v>0.58355000000000001</v>
      </c>
      <c r="T593" s="1">
        <v>0.71809999999999996</v>
      </c>
      <c r="U593" s="1">
        <v>0.91860000000000008</v>
      </c>
      <c r="V593" s="1">
        <v>1.3674000000000002</v>
      </c>
    </row>
    <row r="594" spans="12:22" x14ac:dyDescent="0.25">
      <c r="L594" s="1">
        <v>99.2</v>
      </c>
      <c r="M594" s="1">
        <v>0.58330000000000004</v>
      </c>
      <c r="N594" s="1">
        <v>0.71784999999999999</v>
      </c>
      <c r="O594" s="1">
        <v>0.55600000000000005</v>
      </c>
      <c r="P594" s="1">
        <v>0.60140000000000005</v>
      </c>
      <c r="Q594" s="1">
        <v>0.61060000000000003</v>
      </c>
      <c r="R594" s="1">
        <v>0.83460000000000001</v>
      </c>
      <c r="S594" s="1">
        <v>0.58330000000000004</v>
      </c>
      <c r="T594" s="1">
        <v>0.71784999999999999</v>
      </c>
      <c r="U594" s="1">
        <v>0.91820000000000002</v>
      </c>
      <c r="V594" s="1">
        <v>1.3668</v>
      </c>
    </row>
    <row r="595" spans="12:22" x14ac:dyDescent="0.25">
      <c r="L595" s="1">
        <v>99.3</v>
      </c>
      <c r="M595" s="1">
        <v>0.58304999999999996</v>
      </c>
      <c r="N595" s="1">
        <v>0.71755000000000002</v>
      </c>
      <c r="O595" s="1">
        <v>0.55579999999999996</v>
      </c>
      <c r="P595" s="1">
        <v>0.60109999999999997</v>
      </c>
      <c r="Q595" s="1">
        <v>0.61029999999999995</v>
      </c>
      <c r="R595" s="1">
        <v>0.83430000000000004</v>
      </c>
      <c r="S595" s="1">
        <v>0.58304999999999996</v>
      </c>
      <c r="T595" s="1">
        <v>0.71755000000000002</v>
      </c>
      <c r="U595" s="1">
        <v>0.91780000000000006</v>
      </c>
      <c r="V595" s="1">
        <v>1.3662000000000001</v>
      </c>
    </row>
    <row r="596" spans="12:22" x14ac:dyDescent="0.25">
      <c r="L596" s="1">
        <v>99.4</v>
      </c>
      <c r="M596" s="1">
        <v>0.58279999999999998</v>
      </c>
      <c r="N596" s="1">
        <v>0.71730000000000005</v>
      </c>
      <c r="O596" s="1">
        <v>0.55549999999999999</v>
      </c>
      <c r="P596" s="1">
        <v>0.6008</v>
      </c>
      <c r="Q596" s="1">
        <v>0.61009999999999998</v>
      </c>
      <c r="R596" s="1">
        <v>0.83409999999999995</v>
      </c>
      <c r="S596" s="1">
        <v>0.58279999999999998</v>
      </c>
      <c r="T596" s="1">
        <v>0.71730000000000005</v>
      </c>
      <c r="U596" s="1">
        <v>0.91739999999999999</v>
      </c>
      <c r="V596" s="1">
        <v>1.3655999999999999</v>
      </c>
    </row>
    <row r="597" spans="12:22" x14ac:dyDescent="0.25">
      <c r="L597" s="1">
        <v>99.5</v>
      </c>
      <c r="M597" s="1">
        <v>0.58255000000000001</v>
      </c>
      <c r="N597" s="1">
        <v>0.71699999999999997</v>
      </c>
      <c r="O597" s="1">
        <v>0.55530000000000002</v>
      </c>
      <c r="P597" s="1">
        <v>0.60050000000000003</v>
      </c>
      <c r="Q597" s="1">
        <v>0.60980000000000001</v>
      </c>
      <c r="R597" s="1">
        <v>0.83379999999999999</v>
      </c>
      <c r="S597" s="1">
        <v>0.58255000000000001</v>
      </c>
      <c r="T597" s="1">
        <v>0.71699999999999997</v>
      </c>
      <c r="U597" s="1">
        <v>0.91700000000000004</v>
      </c>
      <c r="V597" s="1">
        <v>1.365</v>
      </c>
    </row>
    <row r="598" spans="12:22" x14ac:dyDescent="0.25">
      <c r="L598" s="1">
        <v>99.6</v>
      </c>
      <c r="M598" s="1">
        <v>0.58230000000000004</v>
      </c>
      <c r="N598" s="1">
        <v>0.71675</v>
      </c>
      <c r="O598" s="1">
        <v>0.55500000000000005</v>
      </c>
      <c r="P598" s="1">
        <v>0.60019999999999996</v>
      </c>
      <c r="Q598" s="1">
        <v>0.60960000000000003</v>
      </c>
      <c r="R598" s="1">
        <v>0.83360000000000001</v>
      </c>
      <c r="S598" s="1">
        <v>0.58230000000000004</v>
      </c>
      <c r="T598" s="1">
        <v>0.71675</v>
      </c>
      <c r="U598" s="1">
        <v>0.91660000000000008</v>
      </c>
      <c r="V598" s="1">
        <v>1.3644000000000001</v>
      </c>
    </row>
    <row r="599" spans="12:22" x14ac:dyDescent="0.25">
      <c r="L599" s="1">
        <v>99.7</v>
      </c>
      <c r="M599" s="1">
        <v>0.58204999999999996</v>
      </c>
      <c r="N599" s="1">
        <v>0.71645000000000003</v>
      </c>
      <c r="O599" s="1">
        <v>0.55479999999999996</v>
      </c>
      <c r="P599" s="1">
        <v>0.59989999999999999</v>
      </c>
      <c r="Q599" s="1">
        <v>0.60929999999999995</v>
      </c>
      <c r="R599" s="1">
        <v>0.83330000000000004</v>
      </c>
      <c r="S599" s="1">
        <v>0.58204999999999996</v>
      </c>
      <c r="T599" s="1">
        <v>0.71645000000000003</v>
      </c>
      <c r="U599" s="1">
        <v>0.91620000000000001</v>
      </c>
      <c r="V599" s="1">
        <v>1.3638000000000001</v>
      </c>
    </row>
    <row r="600" spans="12:22" x14ac:dyDescent="0.25">
      <c r="L600" s="1">
        <v>99.8</v>
      </c>
      <c r="M600" s="1">
        <v>0.58179999999999998</v>
      </c>
      <c r="N600" s="1">
        <v>0.71619999999999995</v>
      </c>
      <c r="O600" s="1">
        <v>0.55449999999999999</v>
      </c>
      <c r="P600" s="1">
        <v>0.59960000000000002</v>
      </c>
      <c r="Q600" s="1">
        <v>0.60909999999999997</v>
      </c>
      <c r="R600" s="1">
        <v>0.83309999999999995</v>
      </c>
      <c r="S600" s="1">
        <v>0.58179999999999998</v>
      </c>
      <c r="T600" s="1">
        <v>0.71619999999999995</v>
      </c>
      <c r="U600" s="1">
        <v>0.91580000000000006</v>
      </c>
      <c r="V600" s="1">
        <v>1.3632</v>
      </c>
    </row>
    <row r="601" spans="12:22" x14ac:dyDescent="0.25">
      <c r="L601" s="1">
        <v>99.9</v>
      </c>
      <c r="M601" s="1">
        <v>0.58279999999999998</v>
      </c>
      <c r="N601" s="1">
        <v>0.71589999999999998</v>
      </c>
      <c r="O601" s="1">
        <v>0.55679999999999996</v>
      </c>
      <c r="P601" s="1">
        <v>0.59930000000000005</v>
      </c>
      <c r="Q601" s="1">
        <v>0.60880000000000001</v>
      </c>
      <c r="R601" s="1">
        <v>0.83279999999999998</v>
      </c>
      <c r="S601" s="1">
        <v>0.58279999999999998</v>
      </c>
      <c r="T601" s="1">
        <v>0.71589999999999998</v>
      </c>
      <c r="U601" s="1">
        <v>0.91539999999999999</v>
      </c>
      <c r="V601" s="1">
        <v>1.3626</v>
      </c>
    </row>
    <row r="602" spans="12:22" x14ac:dyDescent="0.25">
      <c r="L602" s="1">
        <v>100</v>
      </c>
      <c r="M602" s="1">
        <v>0.58130000000000004</v>
      </c>
      <c r="N602" s="1">
        <v>0.71565000000000001</v>
      </c>
      <c r="O602" s="1">
        <v>0.55400000000000005</v>
      </c>
      <c r="P602" s="1">
        <v>0.59899999999999998</v>
      </c>
      <c r="Q602" s="1">
        <v>0.60860000000000003</v>
      </c>
      <c r="R602" s="1">
        <v>0.83260000000000001</v>
      </c>
      <c r="S602" s="1">
        <v>0.58130000000000004</v>
      </c>
      <c r="T602" s="1">
        <v>0.71565000000000001</v>
      </c>
      <c r="U602" s="1">
        <v>0.91500000000000004</v>
      </c>
      <c r="V602" s="1">
        <v>1.3620000000000001</v>
      </c>
    </row>
    <row r="603" spans="12:22" x14ac:dyDescent="0.25">
      <c r="L603" s="1">
        <v>100.1</v>
      </c>
      <c r="M603" s="1">
        <v>0.58104999999999996</v>
      </c>
      <c r="N603" s="1">
        <v>0.71535000000000004</v>
      </c>
      <c r="O603" s="1">
        <v>0.55379999999999996</v>
      </c>
      <c r="P603" s="1">
        <v>0.59870000000000001</v>
      </c>
      <c r="Q603" s="1">
        <v>0.60829999999999995</v>
      </c>
      <c r="R603" s="1">
        <v>0.83230000000000004</v>
      </c>
      <c r="S603" s="1">
        <v>0.58104999999999996</v>
      </c>
      <c r="T603" s="1">
        <v>0.71535000000000004</v>
      </c>
      <c r="U603" s="1">
        <v>0.91460000000000008</v>
      </c>
      <c r="V603" s="1">
        <v>1.3616000000000001</v>
      </c>
    </row>
    <row r="604" spans="12:22" x14ac:dyDescent="0.25">
      <c r="L604" s="1">
        <v>100.2</v>
      </c>
      <c r="M604" s="1">
        <v>0.58084999999999998</v>
      </c>
      <c r="N604" s="1">
        <v>0.71509999999999996</v>
      </c>
      <c r="O604" s="1">
        <v>0.55359999999999998</v>
      </c>
      <c r="P604" s="1">
        <v>0.59840000000000004</v>
      </c>
      <c r="Q604" s="1">
        <v>0.60809999999999997</v>
      </c>
      <c r="R604" s="1">
        <v>0.83209999999999995</v>
      </c>
      <c r="S604" s="1">
        <v>0.58084999999999998</v>
      </c>
      <c r="T604" s="1">
        <v>0.71509999999999996</v>
      </c>
      <c r="U604" s="1">
        <v>0.91420000000000001</v>
      </c>
      <c r="V604" s="1">
        <v>1.3612000000000002</v>
      </c>
    </row>
    <row r="605" spans="12:22" x14ac:dyDescent="0.25">
      <c r="L605" s="1">
        <v>100.3</v>
      </c>
      <c r="M605" s="1">
        <v>0.5806</v>
      </c>
      <c r="N605" s="1">
        <v>0.71479999999999999</v>
      </c>
      <c r="O605" s="1">
        <v>0.55330000000000001</v>
      </c>
      <c r="P605" s="1">
        <v>0.59809999999999997</v>
      </c>
      <c r="Q605" s="1">
        <v>0.6079</v>
      </c>
      <c r="R605" s="1">
        <v>0.83189999999999997</v>
      </c>
      <c r="S605" s="1">
        <v>0.5806</v>
      </c>
      <c r="T605" s="1">
        <v>0.71479999999999999</v>
      </c>
      <c r="U605" s="1">
        <v>0.91380000000000006</v>
      </c>
      <c r="V605" s="1">
        <v>1.3608</v>
      </c>
    </row>
    <row r="606" spans="12:22" x14ac:dyDescent="0.25">
      <c r="L606" s="1">
        <v>100.4</v>
      </c>
      <c r="M606" s="1">
        <v>0.58035000000000003</v>
      </c>
      <c r="N606" s="1">
        <v>0.71450000000000002</v>
      </c>
      <c r="O606" s="1">
        <v>0.55310000000000004</v>
      </c>
      <c r="P606" s="1">
        <v>0.59770000000000001</v>
      </c>
      <c r="Q606" s="1">
        <v>0.60760000000000003</v>
      </c>
      <c r="R606" s="1">
        <v>0.83160000000000001</v>
      </c>
      <c r="S606" s="1">
        <v>0.58035000000000003</v>
      </c>
      <c r="T606" s="1">
        <v>0.71450000000000002</v>
      </c>
      <c r="U606" s="1">
        <v>0.91339999999999999</v>
      </c>
      <c r="V606" s="1">
        <v>1.3604000000000001</v>
      </c>
    </row>
    <row r="607" spans="12:22" x14ac:dyDescent="0.25">
      <c r="L607" s="1">
        <v>100.5</v>
      </c>
      <c r="M607" s="1">
        <v>0.58014999999999994</v>
      </c>
      <c r="N607" s="1">
        <v>0.71425000000000005</v>
      </c>
      <c r="O607" s="1">
        <v>0.55289999999999995</v>
      </c>
      <c r="P607" s="1">
        <v>0.59740000000000004</v>
      </c>
      <c r="Q607" s="1">
        <v>0.60740000000000005</v>
      </c>
      <c r="R607" s="1">
        <v>0.83140000000000003</v>
      </c>
      <c r="S607" s="1">
        <v>0.58014999999999994</v>
      </c>
      <c r="T607" s="1">
        <v>0.71425000000000005</v>
      </c>
      <c r="U607" s="1">
        <v>0.91300000000000003</v>
      </c>
      <c r="V607" s="1">
        <v>1.36</v>
      </c>
    </row>
    <row r="608" spans="12:22" x14ac:dyDescent="0.25">
      <c r="L608" s="1">
        <v>100.6</v>
      </c>
      <c r="M608" s="1">
        <v>0.57984999999999998</v>
      </c>
      <c r="N608" s="1">
        <v>0.71394999999999997</v>
      </c>
      <c r="O608" s="1">
        <v>0.55259999999999998</v>
      </c>
      <c r="P608" s="1">
        <v>0.59709999999999996</v>
      </c>
      <c r="Q608" s="1">
        <v>0.60709999999999997</v>
      </c>
      <c r="R608" s="1">
        <v>0.83109999999999995</v>
      </c>
      <c r="S608" s="1">
        <v>0.57984999999999998</v>
      </c>
      <c r="T608" s="1">
        <v>0.71394999999999997</v>
      </c>
      <c r="U608" s="1">
        <v>0.91260000000000008</v>
      </c>
      <c r="V608" s="1">
        <v>1.3598000000000001</v>
      </c>
    </row>
    <row r="609" spans="12:22" x14ac:dyDescent="0.25">
      <c r="L609" s="1">
        <v>100.7</v>
      </c>
      <c r="M609" s="1">
        <v>0.57965</v>
      </c>
      <c r="N609" s="1">
        <v>0.7137</v>
      </c>
      <c r="O609" s="1">
        <v>0.5524</v>
      </c>
      <c r="P609" s="1">
        <v>0.5968</v>
      </c>
      <c r="Q609" s="1">
        <v>0.6069</v>
      </c>
      <c r="R609" s="1">
        <v>0.83089999999999997</v>
      </c>
      <c r="S609" s="1">
        <v>0.57965</v>
      </c>
      <c r="T609" s="1">
        <v>0.7137</v>
      </c>
      <c r="U609" s="1">
        <v>0.91220000000000001</v>
      </c>
      <c r="V609" s="1">
        <v>1.3596000000000001</v>
      </c>
    </row>
    <row r="610" spans="12:22" x14ac:dyDescent="0.25">
      <c r="L610" s="1">
        <v>100.8</v>
      </c>
      <c r="M610" s="1">
        <v>0.57945000000000002</v>
      </c>
      <c r="N610" s="1">
        <v>0.71345000000000003</v>
      </c>
      <c r="O610" s="1">
        <v>0.55220000000000002</v>
      </c>
      <c r="P610" s="1">
        <v>0.59650000000000003</v>
      </c>
      <c r="Q610" s="1">
        <v>0.60670000000000002</v>
      </c>
      <c r="R610" s="1">
        <v>0.83069999999999999</v>
      </c>
      <c r="S610" s="1">
        <v>0.57945000000000002</v>
      </c>
      <c r="T610" s="1">
        <v>0.71345000000000003</v>
      </c>
      <c r="U610" s="1">
        <v>0.91180000000000005</v>
      </c>
      <c r="V610" s="1">
        <v>1.3593999999999999</v>
      </c>
    </row>
    <row r="611" spans="12:22" x14ac:dyDescent="0.25">
      <c r="L611" s="1">
        <v>100.9</v>
      </c>
      <c r="M611" s="1">
        <v>0.58035000000000003</v>
      </c>
      <c r="N611" s="1">
        <v>0.71314999999999995</v>
      </c>
      <c r="O611" s="1">
        <v>0.55430000000000001</v>
      </c>
      <c r="P611" s="1">
        <v>0.59619999999999995</v>
      </c>
      <c r="Q611" s="1">
        <v>0.60640000000000005</v>
      </c>
      <c r="R611" s="1">
        <v>0.83040000000000003</v>
      </c>
      <c r="S611" s="1">
        <v>0.58035000000000003</v>
      </c>
      <c r="T611" s="1">
        <v>0.71314999999999995</v>
      </c>
      <c r="U611" s="1">
        <v>0.91139999999999999</v>
      </c>
      <c r="V611" s="1">
        <v>1.3592</v>
      </c>
    </row>
    <row r="612" spans="12:22" x14ac:dyDescent="0.25">
      <c r="L612" s="1">
        <v>101</v>
      </c>
      <c r="M612" s="1">
        <v>0.57894999999999996</v>
      </c>
      <c r="N612" s="1">
        <v>0.71289999999999998</v>
      </c>
      <c r="O612" s="1">
        <v>0.55169999999999997</v>
      </c>
      <c r="P612" s="1">
        <v>0.59589999999999999</v>
      </c>
      <c r="Q612" s="1">
        <v>0.60619999999999996</v>
      </c>
      <c r="R612" s="1">
        <v>0.83020000000000005</v>
      </c>
      <c r="S612" s="1">
        <v>0.57894999999999996</v>
      </c>
      <c r="T612" s="1">
        <v>0.71289999999999998</v>
      </c>
      <c r="U612" s="1">
        <v>0.91100000000000003</v>
      </c>
      <c r="V612" s="1">
        <v>1.359</v>
      </c>
    </row>
    <row r="613" spans="12:22" x14ac:dyDescent="0.25">
      <c r="L613" s="1">
        <v>101.1</v>
      </c>
      <c r="M613" s="1">
        <v>0.57874999999999999</v>
      </c>
      <c r="N613" s="1">
        <v>0.71265000000000001</v>
      </c>
      <c r="O613" s="1">
        <v>0.55149999999999999</v>
      </c>
      <c r="P613" s="1">
        <v>0.59560000000000002</v>
      </c>
      <c r="Q613" s="1">
        <v>0.60599999999999998</v>
      </c>
      <c r="R613" s="1">
        <v>0.83</v>
      </c>
      <c r="S613" s="1">
        <v>0.57874999999999999</v>
      </c>
      <c r="T613" s="1">
        <v>0.71265000000000001</v>
      </c>
      <c r="U613" s="1">
        <v>0.91060000000000008</v>
      </c>
      <c r="V613" s="1">
        <v>1.3586</v>
      </c>
    </row>
    <row r="614" spans="12:22" x14ac:dyDescent="0.25">
      <c r="L614" s="1">
        <v>101.2</v>
      </c>
      <c r="M614" s="1">
        <v>0.57850000000000001</v>
      </c>
      <c r="N614" s="1">
        <v>0.71235000000000004</v>
      </c>
      <c r="O614" s="1">
        <v>0.55130000000000001</v>
      </c>
      <c r="P614" s="1">
        <v>0.59530000000000005</v>
      </c>
      <c r="Q614" s="1">
        <v>0.60570000000000002</v>
      </c>
      <c r="R614" s="1">
        <v>0.82969999999999999</v>
      </c>
      <c r="S614" s="1">
        <v>0.57850000000000001</v>
      </c>
      <c r="T614" s="1">
        <v>0.71235000000000004</v>
      </c>
      <c r="U614" s="1">
        <v>0.91020000000000001</v>
      </c>
      <c r="V614" s="1">
        <v>1.3582000000000001</v>
      </c>
    </row>
    <row r="615" spans="12:22" x14ac:dyDescent="0.25">
      <c r="L615" s="1">
        <v>101.3</v>
      </c>
      <c r="M615" s="1">
        <v>0.57825000000000004</v>
      </c>
      <c r="N615" s="1">
        <v>0.71209999999999996</v>
      </c>
      <c r="O615" s="1">
        <v>0.55100000000000005</v>
      </c>
      <c r="P615" s="1">
        <v>0.59499999999999997</v>
      </c>
      <c r="Q615" s="1">
        <v>0.60550000000000004</v>
      </c>
      <c r="R615" s="1">
        <v>0.82950000000000002</v>
      </c>
      <c r="S615" s="1">
        <v>0.57825000000000004</v>
      </c>
      <c r="T615" s="1">
        <v>0.71209999999999996</v>
      </c>
      <c r="U615" s="1">
        <v>0.90980000000000005</v>
      </c>
      <c r="V615" s="1">
        <v>1.3577999999999999</v>
      </c>
    </row>
    <row r="616" spans="12:22" x14ac:dyDescent="0.25">
      <c r="L616" s="1">
        <v>101.4</v>
      </c>
      <c r="M616" s="1">
        <v>0.57804999999999995</v>
      </c>
      <c r="N616" s="1">
        <v>0.71184999999999998</v>
      </c>
      <c r="O616" s="1">
        <v>0.55079999999999996</v>
      </c>
      <c r="P616" s="1">
        <v>0.59470000000000001</v>
      </c>
      <c r="Q616" s="1">
        <v>0.60529999999999995</v>
      </c>
      <c r="R616" s="1">
        <v>0.82930000000000004</v>
      </c>
      <c r="S616" s="1">
        <v>0.57804999999999995</v>
      </c>
      <c r="T616" s="1">
        <v>0.71184999999999998</v>
      </c>
      <c r="U616" s="1">
        <v>0.90939999999999999</v>
      </c>
      <c r="V616" s="1">
        <v>1.3573999999999999</v>
      </c>
    </row>
    <row r="617" spans="12:22" x14ac:dyDescent="0.25">
      <c r="L617" s="1">
        <v>101.5</v>
      </c>
      <c r="M617" s="1">
        <v>0.57779999999999998</v>
      </c>
      <c r="N617" s="1">
        <v>0.71160000000000001</v>
      </c>
      <c r="O617" s="1">
        <v>0.55059999999999998</v>
      </c>
      <c r="P617" s="1">
        <v>0.59440000000000004</v>
      </c>
      <c r="Q617" s="1">
        <v>0.60499999999999998</v>
      </c>
      <c r="R617" s="1">
        <v>0.82909999999999995</v>
      </c>
      <c r="S617" s="1">
        <v>0.57779999999999998</v>
      </c>
      <c r="T617" s="1">
        <v>0.71160000000000001</v>
      </c>
      <c r="U617" s="1">
        <v>0.90900000000000003</v>
      </c>
      <c r="V617" s="1">
        <v>1.357</v>
      </c>
    </row>
    <row r="618" spans="12:22" x14ac:dyDescent="0.25">
      <c r="L618" s="1">
        <v>101.6</v>
      </c>
      <c r="M618" s="1">
        <v>0.5776</v>
      </c>
      <c r="N618" s="1">
        <v>0.71130000000000004</v>
      </c>
      <c r="O618" s="1">
        <v>0.5504</v>
      </c>
      <c r="P618" s="1">
        <v>0.59409999999999996</v>
      </c>
      <c r="Q618" s="1">
        <v>0.6048</v>
      </c>
      <c r="R618" s="1">
        <v>0.82879999999999998</v>
      </c>
      <c r="S618" s="1">
        <v>0.5776</v>
      </c>
      <c r="T618" s="1">
        <v>0.71130000000000004</v>
      </c>
      <c r="U618" s="1">
        <v>0.90900000000000003</v>
      </c>
      <c r="V618" s="1">
        <v>1.3566</v>
      </c>
    </row>
    <row r="619" spans="12:22" x14ac:dyDescent="0.25">
      <c r="L619" s="1">
        <v>101.7</v>
      </c>
      <c r="M619" s="1">
        <v>0.57740000000000002</v>
      </c>
      <c r="N619" s="1">
        <v>0.71104999999999996</v>
      </c>
      <c r="O619" s="1">
        <v>0.55020000000000002</v>
      </c>
      <c r="P619" s="1">
        <v>0.59379999999999999</v>
      </c>
      <c r="Q619" s="1">
        <v>0.60460000000000003</v>
      </c>
      <c r="R619" s="1">
        <v>0.8286</v>
      </c>
      <c r="S619" s="1">
        <v>0.57740000000000002</v>
      </c>
      <c r="T619" s="1">
        <v>0.71104999999999996</v>
      </c>
      <c r="U619" s="1">
        <v>0.90900000000000003</v>
      </c>
      <c r="V619" s="1">
        <v>1.3562000000000001</v>
      </c>
    </row>
    <row r="620" spans="12:22" x14ac:dyDescent="0.25">
      <c r="L620" s="1">
        <v>101.8</v>
      </c>
      <c r="M620" s="1">
        <v>0.57720000000000005</v>
      </c>
      <c r="N620" s="1">
        <v>0.71079999999999999</v>
      </c>
      <c r="O620" s="1">
        <v>0.55000000000000004</v>
      </c>
      <c r="P620" s="1">
        <v>0.59350000000000003</v>
      </c>
      <c r="Q620" s="1">
        <v>0.60440000000000005</v>
      </c>
      <c r="R620" s="1">
        <v>0.82840000000000003</v>
      </c>
      <c r="S620" s="1">
        <v>0.57720000000000005</v>
      </c>
      <c r="T620" s="1">
        <v>0.71079999999999999</v>
      </c>
      <c r="U620" s="1">
        <v>0.90880000000000005</v>
      </c>
      <c r="V620" s="1">
        <v>1.3557999999999999</v>
      </c>
    </row>
    <row r="621" spans="12:22" x14ac:dyDescent="0.25">
      <c r="L621" s="1">
        <v>101.9</v>
      </c>
      <c r="M621" s="1">
        <v>0.57799999999999996</v>
      </c>
      <c r="N621" s="1">
        <v>0.71055000000000001</v>
      </c>
      <c r="O621" s="1">
        <v>0.55189999999999995</v>
      </c>
      <c r="P621" s="1">
        <v>0.59319999999999995</v>
      </c>
      <c r="Q621" s="1">
        <v>0.60409999999999997</v>
      </c>
      <c r="R621" s="1">
        <v>0.82820000000000005</v>
      </c>
      <c r="S621" s="1">
        <v>0.57799999999999996</v>
      </c>
      <c r="T621" s="1">
        <v>0.71055000000000001</v>
      </c>
      <c r="U621" s="1">
        <v>0.90839999999999999</v>
      </c>
      <c r="V621" s="1">
        <v>1.3553999999999999</v>
      </c>
    </row>
    <row r="622" spans="12:22" x14ac:dyDescent="0.25">
      <c r="L622" s="1">
        <v>102</v>
      </c>
      <c r="M622" s="1">
        <v>0.57669999999999999</v>
      </c>
      <c r="N622" s="1">
        <v>0.71025000000000005</v>
      </c>
      <c r="O622" s="1">
        <v>0.54949999999999999</v>
      </c>
      <c r="P622" s="1">
        <v>0.59289999999999998</v>
      </c>
      <c r="Q622" s="1">
        <v>0.60389999999999999</v>
      </c>
      <c r="R622" s="1">
        <v>0.82789999999999997</v>
      </c>
      <c r="S622" s="1">
        <v>0.57669999999999999</v>
      </c>
      <c r="T622" s="1">
        <v>0.71025000000000005</v>
      </c>
      <c r="U622" s="1">
        <v>0.90800000000000003</v>
      </c>
      <c r="V622" s="1">
        <v>1.355</v>
      </c>
    </row>
    <row r="623" spans="12:22" x14ac:dyDescent="0.25">
      <c r="L623" s="1">
        <v>102.1</v>
      </c>
      <c r="M623" s="1">
        <v>0.57650000000000001</v>
      </c>
      <c r="N623" s="1">
        <v>0.71</v>
      </c>
      <c r="O623" s="1">
        <v>0.54930000000000001</v>
      </c>
      <c r="P623" s="1">
        <v>0.59260000000000002</v>
      </c>
      <c r="Q623" s="1">
        <v>0.60370000000000001</v>
      </c>
      <c r="R623" s="1">
        <v>0.82769999999999999</v>
      </c>
      <c r="S623" s="1">
        <v>0.57650000000000001</v>
      </c>
      <c r="T623" s="1">
        <v>0.71</v>
      </c>
      <c r="U623" s="1">
        <v>0.90760000000000007</v>
      </c>
      <c r="V623" s="1">
        <v>1.3546</v>
      </c>
    </row>
    <row r="624" spans="12:22" x14ac:dyDescent="0.25">
      <c r="L624" s="1">
        <v>102.2</v>
      </c>
      <c r="M624" s="1">
        <v>0.57630000000000003</v>
      </c>
      <c r="N624" s="1">
        <v>0.70974999999999999</v>
      </c>
      <c r="O624" s="1">
        <v>0.54910000000000003</v>
      </c>
      <c r="P624" s="1">
        <v>0.59230000000000005</v>
      </c>
      <c r="Q624" s="1">
        <v>0.60350000000000004</v>
      </c>
      <c r="R624" s="1">
        <v>0.82750000000000001</v>
      </c>
      <c r="S624" s="1">
        <v>0.57630000000000003</v>
      </c>
      <c r="T624" s="1">
        <v>0.70974999999999999</v>
      </c>
      <c r="U624" s="1">
        <v>0.90720000000000001</v>
      </c>
      <c r="V624" s="1">
        <v>1.3542000000000001</v>
      </c>
    </row>
    <row r="625" spans="12:22" x14ac:dyDescent="0.25">
      <c r="L625" s="1">
        <v>102.3</v>
      </c>
      <c r="M625" s="1">
        <v>0.57604999999999995</v>
      </c>
      <c r="N625" s="1">
        <v>0.70950000000000002</v>
      </c>
      <c r="O625" s="1">
        <v>0.54890000000000005</v>
      </c>
      <c r="P625" s="1">
        <v>0.59199999999999997</v>
      </c>
      <c r="Q625" s="1">
        <v>0.60319999999999996</v>
      </c>
      <c r="R625" s="1">
        <v>0.82730000000000004</v>
      </c>
      <c r="S625" s="1">
        <v>0.57604999999999995</v>
      </c>
      <c r="T625" s="1">
        <v>0.70950000000000002</v>
      </c>
      <c r="U625" s="1">
        <v>0.90680000000000005</v>
      </c>
      <c r="V625" s="1">
        <v>1.3537999999999999</v>
      </c>
    </row>
    <row r="626" spans="12:22" x14ac:dyDescent="0.25">
      <c r="L626" s="1">
        <v>102.4</v>
      </c>
      <c r="M626" s="1">
        <v>0.57584999999999997</v>
      </c>
      <c r="N626" s="1">
        <v>0.70925000000000005</v>
      </c>
      <c r="O626" s="1">
        <v>0.54869999999999997</v>
      </c>
      <c r="P626" s="1">
        <v>0.5917</v>
      </c>
      <c r="Q626" s="1">
        <v>0.60299999999999998</v>
      </c>
      <c r="R626" s="1">
        <v>0.82709999999999995</v>
      </c>
      <c r="S626" s="1">
        <v>0.57584999999999997</v>
      </c>
      <c r="T626" s="1">
        <v>0.70925000000000005</v>
      </c>
      <c r="U626" s="1">
        <v>0.90639999999999998</v>
      </c>
      <c r="V626" s="1">
        <v>1.3533999999999999</v>
      </c>
    </row>
    <row r="627" spans="12:22" x14ac:dyDescent="0.25">
      <c r="L627" s="1">
        <v>102.5</v>
      </c>
      <c r="M627" s="1">
        <v>0.57565</v>
      </c>
      <c r="N627" s="1">
        <v>0.70894999999999997</v>
      </c>
      <c r="O627" s="1">
        <v>0.54849999999999999</v>
      </c>
      <c r="P627" s="1">
        <v>0.59140000000000004</v>
      </c>
      <c r="Q627" s="1">
        <v>0.6028</v>
      </c>
      <c r="R627" s="1">
        <v>0.82679999999999998</v>
      </c>
      <c r="S627" s="1">
        <v>0.57565</v>
      </c>
      <c r="T627" s="1">
        <v>0.70894999999999997</v>
      </c>
      <c r="U627" s="1">
        <v>0.90600000000000003</v>
      </c>
      <c r="V627" s="1">
        <v>1.353</v>
      </c>
    </row>
    <row r="628" spans="12:22" x14ac:dyDescent="0.25">
      <c r="L628" s="1">
        <v>102.6</v>
      </c>
      <c r="M628" s="1">
        <v>0.57545000000000002</v>
      </c>
      <c r="N628" s="1">
        <v>0.7087</v>
      </c>
      <c r="O628" s="1">
        <v>0.54830000000000001</v>
      </c>
      <c r="P628" s="1">
        <v>0.59109999999999996</v>
      </c>
      <c r="Q628" s="1">
        <v>0.60260000000000002</v>
      </c>
      <c r="R628" s="1">
        <v>0.8266</v>
      </c>
      <c r="S628" s="1">
        <v>0.57545000000000002</v>
      </c>
      <c r="T628" s="1">
        <v>0.7087</v>
      </c>
      <c r="U628" s="1">
        <v>0.90560000000000007</v>
      </c>
      <c r="V628" s="1">
        <v>1.3526</v>
      </c>
    </row>
    <row r="629" spans="12:22" x14ac:dyDescent="0.25">
      <c r="L629" s="1">
        <v>102.7</v>
      </c>
      <c r="M629" s="1">
        <v>0.57525000000000004</v>
      </c>
      <c r="N629" s="1">
        <v>0.70845000000000002</v>
      </c>
      <c r="O629" s="1">
        <v>0.54810000000000003</v>
      </c>
      <c r="P629" s="1">
        <v>0.59079999999999999</v>
      </c>
      <c r="Q629" s="1">
        <v>0.60240000000000005</v>
      </c>
      <c r="R629" s="1">
        <v>0.82640000000000002</v>
      </c>
      <c r="S629" s="1">
        <v>0.57525000000000004</v>
      </c>
      <c r="T629" s="1">
        <v>0.70845000000000002</v>
      </c>
      <c r="U629" s="1">
        <v>0.9052</v>
      </c>
      <c r="V629" s="1">
        <v>1.3522000000000001</v>
      </c>
    </row>
    <row r="630" spans="12:22" x14ac:dyDescent="0.25">
      <c r="L630" s="1">
        <v>102.8</v>
      </c>
      <c r="M630" s="1">
        <v>0.57499999999999996</v>
      </c>
      <c r="N630" s="1">
        <v>0.70820000000000005</v>
      </c>
      <c r="O630" s="1">
        <v>0.54790000000000005</v>
      </c>
      <c r="P630" s="1">
        <v>0.59050000000000002</v>
      </c>
      <c r="Q630" s="1">
        <v>0.60209999999999997</v>
      </c>
      <c r="R630" s="1">
        <v>0.82620000000000005</v>
      </c>
      <c r="S630" s="1">
        <v>0.57499999999999996</v>
      </c>
      <c r="T630" s="1">
        <v>0.70820000000000005</v>
      </c>
      <c r="U630" s="1">
        <v>0.90480000000000005</v>
      </c>
      <c r="V630" s="1">
        <v>1.3517999999999999</v>
      </c>
    </row>
    <row r="631" spans="12:22" x14ac:dyDescent="0.25">
      <c r="L631" s="1">
        <v>102.9</v>
      </c>
      <c r="M631" s="1">
        <v>0.57579999999999998</v>
      </c>
      <c r="N631" s="1">
        <v>0.70794999999999997</v>
      </c>
      <c r="O631" s="1">
        <v>0.54969999999999997</v>
      </c>
      <c r="P631" s="1">
        <v>0.59019999999999995</v>
      </c>
      <c r="Q631" s="1">
        <v>0.60189999999999999</v>
      </c>
      <c r="R631" s="1">
        <v>0.82599999999999996</v>
      </c>
      <c r="S631" s="1">
        <v>0.57579999999999998</v>
      </c>
      <c r="T631" s="1">
        <v>0.70794999999999997</v>
      </c>
      <c r="U631" s="1">
        <v>0.90439999999999998</v>
      </c>
      <c r="V631" s="1">
        <v>1.3513999999999999</v>
      </c>
    </row>
    <row r="632" spans="12:22" x14ac:dyDescent="0.25">
      <c r="L632" s="1">
        <v>103</v>
      </c>
      <c r="M632" s="1">
        <v>0.5746</v>
      </c>
      <c r="N632" s="1">
        <v>0.7077</v>
      </c>
      <c r="O632" s="1">
        <v>0.54749999999999999</v>
      </c>
      <c r="P632" s="1">
        <v>0.58989999999999998</v>
      </c>
      <c r="Q632" s="1">
        <v>0.60170000000000001</v>
      </c>
      <c r="R632" s="1">
        <v>0.82579999999999998</v>
      </c>
      <c r="S632" s="1">
        <v>0.5746</v>
      </c>
      <c r="T632" s="1">
        <v>0.7077</v>
      </c>
      <c r="U632" s="1">
        <v>0.90400000000000003</v>
      </c>
      <c r="V632" s="1">
        <v>1.351</v>
      </c>
    </row>
    <row r="633" spans="12:22" x14ac:dyDescent="0.25">
      <c r="L633" s="1">
        <v>103.1</v>
      </c>
      <c r="M633" s="1">
        <v>0.57440000000000002</v>
      </c>
      <c r="N633" s="1">
        <v>0.70745000000000002</v>
      </c>
      <c r="O633" s="1">
        <v>0.54730000000000001</v>
      </c>
      <c r="P633" s="1">
        <v>0.58960000000000001</v>
      </c>
      <c r="Q633" s="1">
        <v>0.60150000000000003</v>
      </c>
      <c r="R633" s="1">
        <v>0.8256</v>
      </c>
      <c r="S633" s="1">
        <v>0.57440000000000002</v>
      </c>
      <c r="T633" s="1">
        <v>0.70745000000000002</v>
      </c>
      <c r="U633" s="1">
        <v>0.90400000000000003</v>
      </c>
      <c r="V633" s="1">
        <v>1.3506</v>
      </c>
    </row>
    <row r="634" spans="12:22" x14ac:dyDescent="0.25">
      <c r="L634" s="1">
        <v>103.2</v>
      </c>
      <c r="M634" s="1">
        <v>0.57420000000000004</v>
      </c>
      <c r="N634" s="1">
        <v>0.70714999999999995</v>
      </c>
      <c r="O634" s="1">
        <v>0.54710000000000003</v>
      </c>
      <c r="P634" s="1">
        <v>0.58930000000000005</v>
      </c>
      <c r="Q634" s="1">
        <v>0.60129999999999995</v>
      </c>
      <c r="R634" s="1">
        <v>0.82530000000000003</v>
      </c>
      <c r="S634" s="1">
        <v>0.57420000000000004</v>
      </c>
      <c r="T634" s="1">
        <v>0.70714999999999995</v>
      </c>
      <c r="U634" s="1">
        <v>0.90400000000000003</v>
      </c>
      <c r="V634" s="1">
        <v>1.3502000000000001</v>
      </c>
    </row>
    <row r="635" spans="12:22" x14ac:dyDescent="0.25">
      <c r="L635" s="1">
        <v>103.3</v>
      </c>
      <c r="M635" s="1">
        <v>0.57400000000000007</v>
      </c>
      <c r="N635" s="1">
        <v>0.70689999999999997</v>
      </c>
      <c r="O635" s="1">
        <v>0.54690000000000005</v>
      </c>
      <c r="P635" s="1">
        <v>0.58899999999999997</v>
      </c>
      <c r="Q635" s="1">
        <v>0.60109999999999997</v>
      </c>
      <c r="R635" s="1">
        <v>0.82509999999999994</v>
      </c>
      <c r="S635" s="1">
        <v>0.57400000000000007</v>
      </c>
      <c r="T635" s="1">
        <v>0.70689999999999997</v>
      </c>
      <c r="U635" s="1">
        <v>0.90380000000000005</v>
      </c>
      <c r="V635" s="1">
        <v>1.3497999999999999</v>
      </c>
    </row>
    <row r="636" spans="12:22" x14ac:dyDescent="0.25">
      <c r="L636" s="1">
        <v>103.4</v>
      </c>
      <c r="M636" s="1">
        <v>0.57379999999999998</v>
      </c>
      <c r="N636" s="1">
        <v>0.70665</v>
      </c>
      <c r="O636" s="1">
        <v>0.54669999999999996</v>
      </c>
      <c r="P636" s="1">
        <v>0.5887</v>
      </c>
      <c r="Q636" s="1">
        <v>0.60089999999999999</v>
      </c>
      <c r="R636" s="1">
        <v>0.82489999999999997</v>
      </c>
      <c r="S636" s="1">
        <v>0.57379999999999998</v>
      </c>
      <c r="T636" s="1">
        <v>0.70665</v>
      </c>
      <c r="U636" s="1">
        <v>0.90339999999999998</v>
      </c>
      <c r="V636" s="1">
        <v>1.3493999999999999</v>
      </c>
    </row>
    <row r="637" spans="12:22" x14ac:dyDescent="0.25">
      <c r="L637" s="1">
        <v>103.5</v>
      </c>
      <c r="M637" s="1">
        <v>0.57355</v>
      </c>
      <c r="N637" s="1">
        <v>0.70640000000000003</v>
      </c>
      <c r="O637" s="1">
        <v>0.54649999999999999</v>
      </c>
      <c r="P637" s="1">
        <v>0.58840000000000003</v>
      </c>
      <c r="Q637" s="1">
        <v>0.60060000000000002</v>
      </c>
      <c r="R637" s="1">
        <v>0.82469999999999999</v>
      </c>
      <c r="S637" s="1">
        <v>0.57355</v>
      </c>
      <c r="T637" s="1">
        <v>0.70640000000000003</v>
      </c>
      <c r="U637" s="1">
        <v>0.90300000000000002</v>
      </c>
      <c r="V637" s="1">
        <v>1.349</v>
      </c>
    </row>
    <row r="638" spans="12:22" x14ac:dyDescent="0.25">
      <c r="L638" s="1">
        <v>103.6</v>
      </c>
      <c r="M638" s="1">
        <v>0.57335000000000003</v>
      </c>
      <c r="N638" s="1">
        <v>0.70615000000000006</v>
      </c>
      <c r="O638" s="1">
        <v>0.54630000000000001</v>
      </c>
      <c r="P638" s="1">
        <v>0.58809999999999996</v>
      </c>
      <c r="Q638" s="1">
        <v>0.60040000000000004</v>
      </c>
      <c r="R638" s="1">
        <v>0.82450000000000001</v>
      </c>
      <c r="S638" s="1">
        <v>0.57335000000000003</v>
      </c>
      <c r="T638" s="1">
        <v>0.70615000000000006</v>
      </c>
      <c r="U638" s="1">
        <v>0.90260000000000007</v>
      </c>
      <c r="V638" s="1">
        <v>1.3488</v>
      </c>
    </row>
    <row r="639" spans="12:22" x14ac:dyDescent="0.25">
      <c r="L639" s="1">
        <v>103.7</v>
      </c>
      <c r="M639" s="1">
        <v>0.57315000000000005</v>
      </c>
      <c r="N639" s="1">
        <v>0.70589999999999997</v>
      </c>
      <c r="O639" s="1">
        <v>0.54610000000000003</v>
      </c>
      <c r="P639" s="1">
        <v>0.58779999999999999</v>
      </c>
      <c r="Q639" s="1">
        <v>0.60019999999999996</v>
      </c>
      <c r="R639" s="1">
        <v>0.82430000000000003</v>
      </c>
      <c r="S639" s="1">
        <v>0.57315000000000005</v>
      </c>
      <c r="T639" s="1">
        <v>0.70589999999999997</v>
      </c>
      <c r="U639" s="1">
        <v>0.9022</v>
      </c>
      <c r="V639" s="1">
        <v>1.3486</v>
      </c>
    </row>
    <row r="640" spans="12:22" x14ac:dyDescent="0.25">
      <c r="L640" s="1">
        <v>103.8</v>
      </c>
      <c r="M640" s="1">
        <v>0.57295000000000007</v>
      </c>
      <c r="N640" s="1">
        <v>0.70565</v>
      </c>
      <c r="O640" s="1">
        <v>0.54590000000000005</v>
      </c>
      <c r="P640" s="1">
        <v>0.58750000000000002</v>
      </c>
      <c r="Q640" s="1">
        <v>0.6</v>
      </c>
      <c r="R640" s="1">
        <v>0.82410000000000005</v>
      </c>
      <c r="S640" s="1">
        <v>0.57295000000000007</v>
      </c>
      <c r="T640" s="1">
        <v>0.70565</v>
      </c>
      <c r="U640" s="1">
        <v>0.90180000000000005</v>
      </c>
      <c r="V640" s="1">
        <v>1.3484</v>
      </c>
    </row>
    <row r="641" spans="12:22" x14ac:dyDescent="0.25">
      <c r="L641" s="1">
        <v>103.9</v>
      </c>
      <c r="M641" s="1">
        <v>0.57374999999999998</v>
      </c>
      <c r="N641" s="1">
        <v>0.70540000000000003</v>
      </c>
      <c r="O641" s="1">
        <v>0.54769999999999996</v>
      </c>
      <c r="P641" s="1">
        <v>0.58720000000000006</v>
      </c>
      <c r="Q641" s="1">
        <v>0.5998</v>
      </c>
      <c r="R641" s="1">
        <v>0.82389999999999997</v>
      </c>
      <c r="S641" s="1">
        <v>0.57374999999999998</v>
      </c>
      <c r="T641" s="1">
        <v>0.70540000000000003</v>
      </c>
      <c r="U641" s="1">
        <v>0.90139999999999998</v>
      </c>
      <c r="V641" s="1">
        <v>1.3482000000000001</v>
      </c>
    </row>
    <row r="642" spans="12:22" x14ac:dyDescent="0.25">
      <c r="L642" s="1">
        <v>104</v>
      </c>
      <c r="M642" s="1">
        <v>0.57255</v>
      </c>
      <c r="N642" s="1">
        <v>0.70515000000000005</v>
      </c>
      <c r="O642" s="1">
        <v>0.54549999999999998</v>
      </c>
      <c r="P642" s="1">
        <v>0.58689999999999998</v>
      </c>
      <c r="Q642" s="1">
        <v>0.59960000000000002</v>
      </c>
      <c r="R642" s="1">
        <v>0.82369999999999999</v>
      </c>
      <c r="S642" s="1">
        <v>0.57255</v>
      </c>
      <c r="T642" s="1">
        <v>0.70515000000000005</v>
      </c>
      <c r="U642" s="1">
        <v>0.90100000000000002</v>
      </c>
      <c r="V642" s="1">
        <v>1.3480000000000001</v>
      </c>
    </row>
    <row r="643" spans="12:22" x14ac:dyDescent="0.25">
      <c r="L643" s="1">
        <v>104.1</v>
      </c>
      <c r="M643" s="1">
        <v>0.57240000000000002</v>
      </c>
      <c r="N643" s="1">
        <v>0.70489999999999997</v>
      </c>
      <c r="O643" s="1">
        <v>0.5454</v>
      </c>
      <c r="P643" s="1">
        <v>0.58660000000000001</v>
      </c>
      <c r="Q643" s="1">
        <v>0.59940000000000004</v>
      </c>
      <c r="R643" s="1">
        <v>0.82350000000000001</v>
      </c>
      <c r="S643" s="1">
        <v>0.57240000000000002</v>
      </c>
      <c r="T643" s="1">
        <v>0.70489999999999997</v>
      </c>
      <c r="U643" s="1">
        <v>0.90060000000000007</v>
      </c>
      <c r="V643" s="1">
        <v>1.3476000000000001</v>
      </c>
    </row>
    <row r="644" spans="12:22" x14ac:dyDescent="0.25">
      <c r="L644" s="1">
        <v>104.2</v>
      </c>
      <c r="M644" s="1">
        <v>0.57220000000000004</v>
      </c>
      <c r="N644" s="1">
        <v>0.70469999999999999</v>
      </c>
      <c r="O644" s="1">
        <v>0.54520000000000002</v>
      </c>
      <c r="P644" s="1">
        <v>0.58630000000000004</v>
      </c>
      <c r="Q644" s="1">
        <v>0.59919999999999995</v>
      </c>
      <c r="R644" s="1">
        <v>0.82330000000000003</v>
      </c>
      <c r="S644" s="1">
        <v>0.57220000000000004</v>
      </c>
      <c r="T644" s="1">
        <v>0.70469999999999999</v>
      </c>
      <c r="U644" s="1">
        <v>0.9002</v>
      </c>
      <c r="V644" s="1">
        <v>1.3472000000000002</v>
      </c>
    </row>
    <row r="645" spans="12:22" x14ac:dyDescent="0.25">
      <c r="L645" s="1">
        <v>104.3</v>
      </c>
      <c r="M645" s="1">
        <v>0.57200000000000006</v>
      </c>
      <c r="N645" s="1">
        <v>0.70445000000000002</v>
      </c>
      <c r="O645" s="1">
        <v>0.54500000000000004</v>
      </c>
      <c r="P645" s="1">
        <v>0.58609999999999995</v>
      </c>
      <c r="Q645" s="1">
        <v>0.59899999999999998</v>
      </c>
      <c r="R645" s="1">
        <v>0.82310000000000005</v>
      </c>
      <c r="S645" s="1">
        <v>0.57200000000000006</v>
      </c>
      <c r="T645" s="1">
        <v>0.70445000000000002</v>
      </c>
      <c r="U645" s="1">
        <v>0.89980000000000004</v>
      </c>
      <c r="V645" s="1">
        <v>1.3468</v>
      </c>
    </row>
    <row r="646" spans="12:22" x14ac:dyDescent="0.25">
      <c r="L646" s="1">
        <v>104.4</v>
      </c>
      <c r="M646" s="1">
        <v>0.57179999999999997</v>
      </c>
      <c r="N646" s="1">
        <v>0.70420000000000005</v>
      </c>
      <c r="O646" s="1">
        <v>0.54479999999999995</v>
      </c>
      <c r="P646" s="1">
        <v>0.58579999999999999</v>
      </c>
      <c r="Q646" s="1">
        <v>0.5988</v>
      </c>
      <c r="R646" s="1">
        <v>0.82289999999999996</v>
      </c>
      <c r="S646" s="1">
        <v>0.57179999999999997</v>
      </c>
      <c r="T646" s="1">
        <v>0.70420000000000005</v>
      </c>
      <c r="U646" s="1">
        <v>0.89939999999999998</v>
      </c>
      <c r="V646" s="1">
        <v>1.3464</v>
      </c>
    </row>
    <row r="647" spans="12:22" x14ac:dyDescent="0.25">
      <c r="L647" s="1">
        <v>104.5</v>
      </c>
      <c r="M647" s="1">
        <v>0.5716</v>
      </c>
      <c r="N647" s="1">
        <v>0.70394999999999996</v>
      </c>
      <c r="O647" s="1">
        <v>0.54459999999999997</v>
      </c>
      <c r="P647" s="1">
        <v>0.58550000000000002</v>
      </c>
      <c r="Q647" s="1">
        <v>0.59860000000000002</v>
      </c>
      <c r="R647" s="1">
        <v>0.82269999999999999</v>
      </c>
      <c r="S647" s="1">
        <v>0.5716</v>
      </c>
      <c r="T647" s="1">
        <v>0.70394999999999996</v>
      </c>
      <c r="U647" s="1">
        <v>0.89900000000000002</v>
      </c>
      <c r="V647" s="1">
        <v>1.3460000000000001</v>
      </c>
    </row>
    <row r="648" spans="12:22" x14ac:dyDescent="0.25">
      <c r="L648" s="1">
        <v>104.6</v>
      </c>
      <c r="M648" s="1">
        <v>0.57140000000000002</v>
      </c>
      <c r="N648" s="1">
        <v>0.70369999999999999</v>
      </c>
      <c r="O648" s="1">
        <v>0.5444</v>
      </c>
      <c r="P648" s="1">
        <v>0.58520000000000005</v>
      </c>
      <c r="Q648" s="1">
        <v>0.59840000000000004</v>
      </c>
      <c r="R648" s="1">
        <v>0.82250000000000001</v>
      </c>
      <c r="S648" s="1">
        <v>0.57140000000000002</v>
      </c>
      <c r="T648" s="1">
        <v>0.70369999999999999</v>
      </c>
      <c r="U648" s="1">
        <v>0.89900000000000002</v>
      </c>
      <c r="V648" s="1">
        <v>1.3456000000000001</v>
      </c>
    </row>
    <row r="649" spans="12:22" x14ac:dyDescent="0.25">
      <c r="L649" s="1">
        <v>104.7</v>
      </c>
      <c r="M649" s="1">
        <v>0.57125000000000004</v>
      </c>
      <c r="N649" s="1">
        <v>0.70345000000000002</v>
      </c>
      <c r="O649" s="1">
        <v>0.54430000000000001</v>
      </c>
      <c r="P649" s="1">
        <v>0.58489999999999998</v>
      </c>
      <c r="Q649" s="1">
        <v>0.59819999999999995</v>
      </c>
      <c r="R649" s="1">
        <v>0.82230000000000003</v>
      </c>
      <c r="S649" s="1">
        <v>0.57125000000000004</v>
      </c>
      <c r="T649" s="1">
        <v>0.70345000000000002</v>
      </c>
      <c r="U649" s="1">
        <v>0.89900000000000002</v>
      </c>
      <c r="V649" s="1">
        <v>1.3452000000000002</v>
      </c>
    </row>
    <row r="650" spans="12:22" x14ac:dyDescent="0.25">
      <c r="L650" s="1">
        <v>104.8</v>
      </c>
      <c r="M650" s="1">
        <v>0.57105000000000006</v>
      </c>
      <c r="N650" s="1">
        <v>0.70320000000000005</v>
      </c>
      <c r="O650" s="1">
        <v>0.54410000000000003</v>
      </c>
      <c r="P650" s="1">
        <v>0.58460000000000001</v>
      </c>
      <c r="Q650" s="1">
        <v>0.59799999999999998</v>
      </c>
      <c r="R650" s="1">
        <v>0.82210000000000005</v>
      </c>
      <c r="S650" s="1">
        <v>0.57105000000000006</v>
      </c>
      <c r="T650" s="1">
        <v>0.70320000000000005</v>
      </c>
      <c r="U650" s="1">
        <v>0.89880000000000004</v>
      </c>
      <c r="V650" s="1">
        <v>1.3448</v>
      </c>
    </row>
    <row r="651" spans="12:22" x14ac:dyDescent="0.25">
      <c r="L651" s="1">
        <v>104.9</v>
      </c>
      <c r="M651" s="1">
        <v>0.57174999999999998</v>
      </c>
      <c r="N651" s="1">
        <v>0.70294999999999996</v>
      </c>
      <c r="O651" s="1">
        <v>0.54569999999999996</v>
      </c>
      <c r="P651" s="1">
        <v>0.58430000000000004</v>
      </c>
      <c r="Q651" s="1">
        <v>0.5978</v>
      </c>
      <c r="R651" s="1">
        <v>0.82189999999999996</v>
      </c>
      <c r="S651" s="1">
        <v>0.57174999999999998</v>
      </c>
      <c r="T651" s="1">
        <v>0.70294999999999996</v>
      </c>
      <c r="U651" s="1">
        <v>0.89839999999999998</v>
      </c>
      <c r="V651" s="1">
        <v>1.3444</v>
      </c>
    </row>
    <row r="652" spans="12:22" x14ac:dyDescent="0.25">
      <c r="L652" s="1">
        <v>105</v>
      </c>
      <c r="M652" s="1">
        <v>0.57064999999999999</v>
      </c>
      <c r="N652" s="1">
        <v>0.70269999999999999</v>
      </c>
      <c r="O652" s="1">
        <v>0.54369999999999996</v>
      </c>
      <c r="P652" s="1">
        <v>0.58399999999999996</v>
      </c>
      <c r="Q652" s="1">
        <v>0.59760000000000002</v>
      </c>
      <c r="R652" s="1">
        <v>0.82169999999999999</v>
      </c>
      <c r="S652" s="1">
        <v>0.57064999999999999</v>
      </c>
      <c r="T652" s="1">
        <v>0.70269999999999999</v>
      </c>
      <c r="U652" s="1">
        <v>0.89800000000000002</v>
      </c>
      <c r="V652" s="1">
        <v>1.3440000000000001</v>
      </c>
    </row>
    <row r="653" spans="12:22" x14ac:dyDescent="0.25">
      <c r="L653" s="1">
        <v>105.1</v>
      </c>
      <c r="M653" s="1">
        <v>0.57050000000000001</v>
      </c>
      <c r="N653" s="1">
        <v>0.70245000000000002</v>
      </c>
      <c r="O653" s="1">
        <v>0.54359999999999997</v>
      </c>
      <c r="P653" s="1">
        <v>0.5837</v>
      </c>
      <c r="Q653" s="1">
        <v>0.59740000000000004</v>
      </c>
      <c r="R653" s="1">
        <v>0.82150000000000001</v>
      </c>
      <c r="S653" s="1">
        <v>0.57050000000000001</v>
      </c>
      <c r="T653" s="1">
        <v>0.70245000000000002</v>
      </c>
      <c r="U653" s="1">
        <v>0.89800000000000002</v>
      </c>
      <c r="V653" s="1">
        <v>1.3436000000000001</v>
      </c>
    </row>
    <row r="654" spans="12:22" x14ac:dyDescent="0.25">
      <c r="L654" s="1">
        <v>105.2</v>
      </c>
      <c r="M654" s="1">
        <v>0.57030000000000003</v>
      </c>
      <c r="N654" s="1">
        <v>0.70225000000000004</v>
      </c>
      <c r="O654" s="1">
        <v>0.54339999999999999</v>
      </c>
      <c r="P654" s="1">
        <v>0.58340000000000003</v>
      </c>
      <c r="Q654" s="1">
        <v>0.59719999999999995</v>
      </c>
      <c r="R654" s="1">
        <v>0.82140000000000002</v>
      </c>
      <c r="S654" s="1">
        <v>0.57030000000000003</v>
      </c>
      <c r="T654" s="1">
        <v>0.70225000000000004</v>
      </c>
      <c r="U654" s="1">
        <v>0.89800000000000002</v>
      </c>
      <c r="V654" s="1">
        <v>1.3432000000000002</v>
      </c>
    </row>
    <row r="655" spans="12:22" x14ac:dyDescent="0.25">
      <c r="L655" s="1">
        <v>105.3</v>
      </c>
      <c r="M655" s="1">
        <v>0.57010000000000005</v>
      </c>
      <c r="N655" s="1">
        <v>0.70199999999999996</v>
      </c>
      <c r="O655" s="1">
        <v>0.54320000000000002</v>
      </c>
      <c r="P655" s="1">
        <v>0.58309999999999995</v>
      </c>
      <c r="Q655" s="1">
        <v>0.59699999999999998</v>
      </c>
      <c r="R655" s="1">
        <v>0.82120000000000004</v>
      </c>
      <c r="S655" s="1">
        <v>0.57010000000000005</v>
      </c>
      <c r="T655" s="1">
        <v>0.70199999999999996</v>
      </c>
      <c r="U655" s="1">
        <v>0.89780000000000004</v>
      </c>
      <c r="V655" s="1">
        <v>1.3428</v>
      </c>
    </row>
    <row r="656" spans="12:22" x14ac:dyDescent="0.25">
      <c r="L656" s="1">
        <v>105.4</v>
      </c>
      <c r="M656" s="1">
        <v>0.56994999999999996</v>
      </c>
      <c r="N656" s="1">
        <v>0.70174999999999998</v>
      </c>
      <c r="O656" s="1">
        <v>0.54310000000000003</v>
      </c>
      <c r="P656" s="1">
        <v>0.58279999999999998</v>
      </c>
      <c r="Q656" s="1">
        <v>0.5968</v>
      </c>
      <c r="R656" s="1">
        <v>0.82099999999999995</v>
      </c>
      <c r="S656" s="1">
        <v>0.56994999999999996</v>
      </c>
      <c r="T656" s="1">
        <v>0.70174999999999998</v>
      </c>
      <c r="U656" s="1">
        <v>0.89739999999999998</v>
      </c>
      <c r="V656" s="1">
        <v>1.3424</v>
      </c>
    </row>
    <row r="657" spans="12:22" x14ac:dyDescent="0.25">
      <c r="L657" s="1">
        <v>105.5</v>
      </c>
      <c r="M657" s="1">
        <v>0.56974999999999998</v>
      </c>
      <c r="N657" s="1">
        <v>0.70155000000000001</v>
      </c>
      <c r="O657" s="1">
        <v>0.54290000000000005</v>
      </c>
      <c r="P657" s="1">
        <v>0.58250000000000002</v>
      </c>
      <c r="Q657" s="1">
        <v>0.59660000000000002</v>
      </c>
      <c r="R657" s="1">
        <v>0.82079999999999997</v>
      </c>
      <c r="S657" s="1">
        <v>0.56974999999999998</v>
      </c>
      <c r="T657" s="1">
        <v>0.70155000000000001</v>
      </c>
      <c r="U657" s="1">
        <v>0.89700000000000002</v>
      </c>
      <c r="V657" s="1">
        <v>1.3420000000000001</v>
      </c>
    </row>
    <row r="658" spans="12:22" x14ac:dyDescent="0.25">
      <c r="L658" s="1">
        <v>105.6</v>
      </c>
      <c r="M658" s="1">
        <v>0.56955</v>
      </c>
      <c r="N658" s="1">
        <v>0.70130000000000003</v>
      </c>
      <c r="O658" s="1">
        <v>0.54269999999999996</v>
      </c>
      <c r="P658" s="1">
        <v>0.58230000000000004</v>
      </c>
      <c r="Q658" s="1">
        <v>0.59640000000000004</v>
      </c>
      <c r="R658" s="1">
        <v>0.8206</v>
      </c>
      <c r="S658" s="1">
        <v>0.56955</v>
      </c>
      <c r="T658" s="1">
        <v>0.70130000000000003</v>
      </c>
      <c r="U658" s="1">
        <v>0.89660000000000006</v>
      </c>
      <c r="V658" s="1">
        <v>1.3416000000000001</v>
      </c>
    </row>
    <row r="659" spans="12:22" x14ac:dyDescent="0.25">
      <c r="L659" s="1">
        <v>105.7</v>
      </c>
      <c r="M659" s="1">
        <v>0.56939999999999991</v>
      </c>
      <c r="N659" s="1">
        <v>0.70104999999999995</v>
      </c>
      <c r="O659" s="1">
        <v>0.54259999999999997</v>
      </c>
      <c r="P659" s="1">
        <v>0.58199999999999996</v>
      </c>
      <c r="Q659" s="1">
        <v>0.59619999999999995</v>
      </c>
      <c r="R659" s="1">
        <v>0.82040000000000002</v>
      </c>
      <c r="S659" s="1">
        <v>0.56939999999999991</v>
      </c>
      <c r="T659" s="1">
        <v>0.70104999999999995</v>
      </c>
      <c r="U659" s="1">
        <v>0.8962</v>
      </c>
      <c r="V659" s="1">
        <v>1.3412000000000002</v>
      </c>
    </row>
    <row r="660" spans="12:22" x14ac:dyDescent="0.25">
      <c r="L660" s="1">
        <v>105.8</v>
      </c>
      <c r="M660" s="1">
        <v>0.56919999999999993</v>
      </c>
      <c r="N660" s="1">
        <v>0.70079999999999998</v>
      </c>
      <c r="O660" s="1">
        <v>0.54239999999999999</v>
      </c>
      <c r="P660" s="1">
        <v>0.58169999999999999</v>
      </c>
      <c r="Q660" s="1">
        <v>0.59599999999999997</v>
      </c>
      <c r="R660" s="1">
        <v>0.82020000000000004</v>
      </c>
      <c r="S660" s="1">
        <v>0.56919999999999993</v>
      </c>
      <c r="T660" s="1">
        <v>0.70079999999999998</v>
      </c>
      <c r="U660" s="1">
        <v>0.89580000000000004</v>
      </c>
      <c r="V660" s="1">
        <v>1.3408</v>
      </c>
    </row>
    <row r="661" spans="12:22" x14ac:dyDescent="0.25">
      <c r="L661" s="1">
        <v>105.9</v>
      </c>
      <c r="M661" s="1">
        <v>0.56984999999999997</v>
      </c>
      <c r="N661" s="1">
        <v>0.70055000000000001</v>
      </c>
      <c r="O661" s="1">
        <v>0.54390000000000005</v>
      </c>
      <c r="P661" s="1">
        <v>0.58140000000000003</v>
      </c>
      <c r="Q661" s="1">
        <v>0.5958</v>
      </c>
      <c r="R661" s="1">
        <v>0.82</v>
      </c>
      <c r="S661" s="1">
        <v>0.56984999999999997</v>
      </c>
      <c r="T661" s="1">
        <v>0.70055000000000001</v>
      </c>
      <c r="U661" s="1">
        <v>0.89539999999999997</v>
      </c>
      <c r="V661" s="1">
        <v>1.3404</v>
      </c>
    </row>
    <row r="662" spans="12:22" x14ac:dyDescent="0.25">
      <c r="L662" s="1">
        <v>106</v>
      </c>
      <c r="M662" s="1">
        <v>0.56885000000000008</v>
      </c>
      <c r="N662" s="1">
        <v>0.70030000000000003</v>
      </c>
      <c r="O662" s="1">
        <v>0.54210000000000003</v>
      </c>
      <c r="P662" s="1">
        <v>0.58109999999999995</v>
      </c>
      <c r="Q662" s="1">
        <v>0.59560000000000002</v>
      </c>
      <c r="R662" s="1">
        <v>0.81979999999999997</v>
      </c>
      <c r="S662" s="1">
        <v>0.56885000000000008</v>
      </c>
      <c r="T662" s="1">
        <v>0.70030000000000003</v>
      </c>
      <c r="U662" s="1">
        <v>0.89500000000000002</v>
      </c>
      <c r="V662" s="1">
        <v>1.34</v>
      </c>
    </row>
    <row r="663" spans="12:22" x14ac:dyDescent="0.25">
      <c r="L663" s="1">
        <v>106.1</v>
      </c>
      <c r="M663" s="1">
        <v>0.5686500000000001</v>
      </c>
      <c r="N663" s="1">
        <v>0.70009999999999994</v>
      </c>
      <c r="O663" s="1">
        <v>0.54190000000000005</v>
      </c>
      <c r="P663" s="1">
        <v>0.58079999999999998</v>
      </c>
      <c r="Q663" s="1">
        <v>0.59540000000000004</v>
      </c>
      <c r="R663" s="1">
        <v>0.81969999999999998</v>
      </c>
      <c r="S663" s="1">
        <v>0.5686500000000001</v>
      </c>
      <c r="T663" s="1">
        <v>0.70009999999999994</v>
      </c>
      <c r="U663" s="1">
        <v>0.89460000000000006</v>
      </c>
      <c r="V663" s="1">
        <v>1.3396000000000001</v>
      </c>
    </row>
    <row r="664" spans="12:22" x14ac:dyDescent="0.25">
      <c r="L664" s="1">
        <v>106.2</v>
      </c>
      <c r="M664" s="1">
        <v>0.5684499999999999</v>
      </c>
      <c r="N664" s="1">
        <v>0.69984999999999997</v>
      </c>
      <c r="O664" s="1">
        <v>0.54169999999999996</v>
      </c>
      <c r="P664" s="1">
        <v>0.58050000000000002</v>
      </c>
      <c r="Q664" s="1">
        <v>0.59519999999999995</v>
      </c>
      <c r="R664" s="1">
        <v>0.81950000000000001</v>
      </c>
      <c r="S664" s="1">
        <v>0.5684499999999999</v>
      </c>
      <c r="T664" s="1">
        <v>0.69984999999999997</v>
      </c>
      <c r="U664" s="1">
        <v>0.89419999999999999</v>
      </c>
      <c r="V664" s="1">
        <v>1.3392000000000002</v>
      </c>
    </row>
    <row r="665" spans="12:22" x14ac:dyDescent="0.25">
      <c r="L665" s="1">
        <v>106.3</v>
      </c>
      <c r="M665" s="1">
        <v>0.56830000000000003</v>
      </c>
      <c r="N665" s="1">
        <v>0.6996</v>
      </c>
      <c r="O665" s="1">
        <v>0.54159999999999997</v>
      </c>
      <c r="P665" s="1">
        <v>0.58020000000000005</v>
      </c>
      <c r="Q665" s="1">
        <v>0.59499999999999997</v>
      </c>
      <c r="R665" s="1">
        <v>0.81930000000000003</v>
      </c>
      <c r="S665" s="1">
        <v>0.56830000000000003</v>
      </c>
      <c r="T665" s="1">
        <v>0.6996</v>
      </c>
      <c r="U665" s="1">
        <v>0.89400000000000002</v>
      </c>
      <c r="V665" s="1">
        <v>1.3388</v>
      </c>
    </row>
    <row r="666" spans="12:22" x14ac:dyDescent="0.25">
      <c r="L666" s="1">
        <v>106.4</v>
      </c>
      <c r="M666" s="1">
        <v>0.56810000000000005</v>
      </c>
      <c r="N666" s="1">
        <v>0.69940000000000002</v>
      </c>
      <c r="O666" s="1">
        <v>0.54139999999999999</v>
      </c>
      <c r="P666" s="1">
        <v>0.57989999999999997</v>
      </c>
      <c r="Q666" s="1">
        <v>0.5948</v>
      </c>
      <c r="R666" s="1">
        <v>0.81910000000000005</v>
      </c>
      <c r="S666" s="1">
        <v>0.56810000000000005</v>
      </c>
      <c r="T666" s="1">
        <v>0.69940000000000002</v>
      </c>
      <c r="U666" s="1">
        <v>0.89400000000000002</v>
      </c>
      <c r="V666" s="1">
        <v>1.3384</v>
      </c>
    </row>
    <row r="667" spans="12:22" x14ac:dyDescent="0.25">
      <c r="L667" s="1">
        <v>106.5</v>
      </c>
      <c r="M667" s="1">
        <v>0.56794999999999995</v>
      </c>
      <c r="N667" s="1">
        <v>0.69915000000000005</v>
      </c>
      <c r="O667" s="1">
        <v>0.5413</v>
      </c>
      <c r="P667" s="1">
        <v>0.57969999999999999</v>
      </c>
      <c r="Q667" s="1">
        <v>0.59460000000000002</v>
      </c>
      <c r="R667" s="1">
        <v>0.81889999999999996</v>
      </c>
      <c r="S667" s="1">
        <v>0.56794999999999995</v>
      </c>
      <c r="T667" s="1">
        <v>0.69915000000000005</v>
      </c>
      <c r="U667" s="1">
        <v>0.89400000000000002</v>
      </c>
      <c r="V667" s="1">
        <v>1.3380000000000001</v>
      </c>
    </row>
    <row r="668" spans="12:22" x14ac:dyDescent="0.25">
      <c r="L668" s="1">
        <v>106.6</v>
      </c>
      <c r="M668" s="1">
        <v>0.56780000000000008</v>
      </c>
      <c r="N668" s="1">
        <v>0.69894999999999996</v>
      </c>
      <c r="O668" s="1">
        <v>0.54110000000000003</v>
      </c>
      <c r="P668" s="1">
        <v>0.57940000000000003</v>
      </c>
      <c r="Q668" s="1">
        <v>0.59450000000000003</v>
      </c>
      <c r="R668" s="1">
        <v>0.81879999999999997</v>
      </c>
      <c r="S668" s="1">
        <v>0.56780000000000008</v>
      </c>
      <c r="T668" s="1">
        <v>0.69894999999999996</v>
      </c>
      <c r="U668" s="1">
        <v>0.89360000000000006</v>
      </c>
      <c r="V668" s="1">
        <v>1.3378000000000001</v>
      </c>
    </row>
    <row r="669" spans="12:22" x14ac:dyDescent="0.25">
      <c r="L669" s="1">
        <v>106.7</v>
      </c>
      <c r="M669" s="1">
        <v>0.56764999999999999</v>
      </c>
      <c r="N669" s="1">
        <v>0.69869999999999999</v>
      </c>
      <c r="O669" s="1">
        <v>0.54100000000000004</v>
      </c>
      <c r="P669" s="1">
        <v>0.57909999999999995</v>
      </c>
      <c r="Q669" s="1">
        <v>0.59430000000000005</v>
      </c>
      <c r="R669" s="1">
        <v>0.81859999999999999</v>
      </c>
      <c r="S669" s="1">
        <v>0.56764999999999999</v>
      </c>
      <c r="T669" s="1">
        <v>0.69869999999999999</v>
      </c>
      <c r="U669" s="1">
        <v>0.89319999999999999</v>
      </c>
      <c r="V669" s="1">
        <v>1.3376000000000001</v>
      </c>
    </row>
    <row r="670" spans="12:22" x14ac:dyDescent="0.25">
      <c r="L670" s="1">
        <v>106.8</v>
      </c>
      <c r="M670" s="1">
        <v>0.56745000000000001</v>
      </c>
      <c r="N670" s="1">
        <v>0.69845000000000002</v>
      </c>
      <c r="O670" s="1">
        <v>0.54079999999999995</v>
      </c>
      <c r="P670" s="1">
        <v>0.57879999999999998</v>
      </c>
      <c r="Q670" s="1">
        <v>0.59409999999999996</v>
      </c>
      <c r="R670" s="1">
        <v>0.81840000000000002</v>
      </c>
      <c r="S670" s="1">
        <v>0.56745000000000001</v>
      </c>
      <c r="T670" s="1">
        <v>0.69845000000000002</v>
      </c>
      <c r="U670" s="1">
        <v>0.89280000000000004</v>
      </c>
      <c r="V670" s="1">
        <v>1.3373999999999999</v>
      </c>
    </row>
    <row r="671" spans="12:22" x14ac:dyDescent="0.25">
      <c r="L671" s="1">
        <v>106.9</v>
      </c>
      <c r="M671" s="1">
        <v>0.56804999999999994</v>
      </c>
      <c r="N671" s="1">
        <v>0.69820000000000004</v>
      </c>
      <c r="O671" s="1">
        <v>0.54220000000000002</v>
      </c>
      <c r="P671" s="1">
        <v>0.57850000000000001</v>
      </c>
      <c r="Q671" s="1">
        <v>0.59389999999999998</v>
      </c>
      <c r="R671" s="1">
        <v>0.81820000000000004</v>
      </c>
      <c r="S671" s="1">
        <v>0.56804999999999994</v>
      </c>
      <c r="T671" s="1">
        <v>0.69820000000000004</v>
      </c>
      <c r="U671" s="1">
        <v>0.89239999999999997</v>
      </c>
      <c r="V671" s="1">
        <v>1.3371999999999999</v>
      </c>
    </row>
    <row r="672" spans="12:22" x14ac:dyDescent="0.25">
      <c r="L672" s="1">
        <v>107</v>
      </c>
      <c r="M672" s="1">
        <v>0.56709999999999994</v>
      </c>
      <c r="N672" s="1">
        <v>0.69794999999999996</v>
      </c>
      <c r="O672" s="1">
        <v>0.54049999999999998</v>
      </c>
      <c r="P672" s="1">
        <v>0.57820000000000005</v>
      </c>
      <c r="Q672" s="1">
        <v>0.59370000000000001</v>
      </c>
      <c r="R672" s="1">
        <v>0.81799999999999995</v>
      </c>
      <c r="S672" s="1">
        <v>0.56709999999999994</v>
      </c>
      <c r="T672" s="1">
        <v>0.69794999999999996</v>
      </c>
      <c r="U672" s="1">
        <v>0.89200000000000002</v>
      </c>
      <c r="V672" s="1">
        <v>1.337</v>
      </c>
    </row>
    <row r="673" spans="12:22" x14ac:dyDescent="0.25">
      <c r="L673" s="1">
        <v>107.1</v>
      </c>
      <c r="M673" s="1">
        <v>0.56695000000000007</v>
      </c>
      <c r="N673" s="1">
        <v>0.69774999999999998</v>
      </c>
      <c r="O673" s="1">
        <v>0.54039999999999999</v>
      </c>
      <c r="P673" s="1">
        <v>0.57789999999999997</v>
      </c>
      <c r="Q673" s="1">
        <v>0.59350000000000003</v>
      </c>
      <c r="R673" s="1">
        <v>0.81789999999999996</v>
      </c>
      <c r="S673" s="1">
        <v>0.56695000000000007</v>
      </c>
      <c r="T673" s="1">
        <v>0.69774999999999998</v>
      </c>
      <c r="U673" s="1">
        <v>0.89200000000000002</v>
      </c>
      <c r="V673" s="1">
        <v>1.3366</v>
      </c>
    </row>
    <row r="674" spans="12:22" x14ac:dyDescent="0.25">
      <c r="L674" s="1">
        <v>107.2</v>
      </c>
      <c r="M674" s="1">
        <v>0.56675000000000009</v>
      </c>
      <c r="N674" s="1">
        <v>0.69755</v>
      </c>
      <c r="O674" s="1">
        <v>0.54020000000000001</v>
      </c>
      <c r="P674" s="1">
        <v>0.5776</v>
      </c>
      <c r="Q674" s="1">
        <v>0.59330000000000005</v>
      </c>
      <c r="R674" s="1">
        <v>0.81769999999999998</v>
      </c>
      <c r="S674" s="1">
        <v>0.56675000000000009</v>
      </c>
      <c r="T674" s="1">
        <v>0.69755</v>
      </c>
      <c r="U674" s="1">
        <v>0.89200000000000002</v>
      </c>
      <c r="V674" s="1">
        <v>1.3362000000000001</v>
      </c>
    </row>
    <row r="675" spans="12:22" x14ac:dyDescent="0.25">
      <c r="L675" s="1">
        <v>107.3</v>
      </c>
      <c r="M675" s="1">
        <v>0.56664999999999999</v>
      </c>
      <c r="N675" s="1">
        <v>0.69730000000000003</v>
      </c>
      <c r="O675" s="1">
        <v>0.54010000000000002</v>
      </c>
      <c r="P675" s="1">
        <v>0.57740000000000002</v>
      </c>
      <c r="Q675" s="1">
        <v>0.59319999999999995</v>
      </c>
      <c r="R675" s="1">
        <v>0.8175</v>
      </c>
      <c r="S675" s="1">
        <v>0.56664999999999999</v>
      </c>
      <c r="T675" s="1">
        <v>0.69730000000000003</v>
      </c>
      <c r="U675" s="1">
        <v>0.89180000000000004</v>
      </c>
      <c r="V675" s="1">
        <v>1.3357999999999999</v>
      </c>
    </row>
    <row r="676" spans="12:22" x14ac:dyDescent="0.25">
      <c r="L676" s="1">
        <v>107.4</v>
      </c>
      <c r="M676" s="1">
        <v>0.56645000000000001</v>
      </c>
      <c r="N676" s="1">
        <v>0.69704999999999995</v>
      </c>
      <c r="O676" s="1">
        <v>0.53990000000000005</v>
      </c>
      <c r="P676" s="1">
        <v>0.57709999999999995</v>
      </c>
      <c r="Q676" s="1">
        <v>0.59299999999999997</v>
      </c>
      <c r="R676" s="1">
        <v>0.81730000000000003</v>
      </c>
      <c r="S676" s="1">
        <v>0.56645000000000001</v>
      </c>
      <c r="T676" s="1">
        <v>0.69704999999999995</v>
      </c>
      <c r="U676" s="1">
        <v>0.89139999999999997</v>
      </c>
      <c r="V676" s="1">
        <v>1.3353999999999999</v>
      </c>
    </row>
    <row r="677" spans="12:22" x14ac:dyDescent="0.25">
      <c r="L677" s="1">
        <v>107.5</v>
      </c>
      <c r="M677" s="1">
        <v>0.56630000000000003</v>
      </c>
      <c r="N677" s="1">
        <v>0.69684999999999997</v>
      </c>
      <c r="O677" s="1">
        <v>0.53979999999999995</v>
      </c>
      <c r="P677" s="1">
        <v>0.57679999999999998</v>
      </c>
      <c r="Q677" s="1">
        <v>0.59279999999999999</v>
      </c>
      <c r="R677" s="1">
        <v>0.81720000000000004</v>
      </c>
      <c r="S677" s="1">
        <v>0.56630000000000003</v>
      </c>
      <c r="T677" s="1">
        <v>0.69684999999999997</v>
      </c>
      <c r="U677" s="1">
        <v>0.89100000000000001</v>
      </c>
      <c r="V677" s="1">
        <v>1.335</v>
      </c>
    </row>
    <row r="678" spans="12:22" x14ac:dyDescent="0.25">
      <c r="L678" s="1">
        <v>107.6</v>
      </c>
      <c r="M678" s="1">
        <v>0.56610000000000005</v>
      </c>
      <c r="N678" s="1">
        <v>0.6966</v>
      </c>
      <c r="O678" s="1">
        <v>0.53959999999999997</v>
      </c>
      <c r="P678" s="1">
        <v>0.57650000000000001</v>
      </c>
      <c r="Q678" s="1">
        <v>0.59260000000000002</v>
      </c>
      <c r="R678" s="1">
        <v>0.81699999999999995</v>
      </c>
      <c r="S678" s="1">
        <v>0.56610000000000005</v>
      </c>
      <c r="T678" s="1">
        <v>0.6966</v>
      </c>
      <c r="U678" s="1">
        <v>0.89060000000000006</v>
      </c>
      <c r="V678" s="1">
        <v>1.3346</v>
      </c>
    </row>
    <row r="679" spans="12:22" x14ac:dyDescent="0.25">
      <c r="L679" s="1">
        <v>107.7</v>
      </c>
      <c r="M679" s="1">
        <v>0.56594999999999995</v>
      </c>
      <c r="N679" s="1">
        <v>0.69635000000000002</v>
      </c>
      <c r="O679" s="1">
        <v>0.53949999999999998</v>
      </c>
      <c r="P679" s="1">
        <v>0.57620000000000005</v>
      </c>
      <c r="Q679" s="1">
        <v>0.59240000000000004</v>
      </c>
      <c r="R679" s="1">
        <v>0.81679999999999997</v>
      </c>
      <c r="S679" s="1">
        <v>0.56594999999999995</v>
      </c>
      <c r="T679" s="1">
        <v>0.69635000000000002</v>
      </c>
      <c r="U679" s="1">
        <v>0.89019999999999999</v>
      </c>
      <c r="V679" s="1">
        <v>1.3342000000000001</v>
      </c>
    </row>
    <row r="680" spans="12:22" x14ac:dyDescent="0.25">
      <c r="L680" s="1">
        <v>107.8</v>
      </c>
      <c r="M680" s="1">
        <v>0.56580000000000008</v>
      </c>
      <c r="N680" s="1">
        <v>0.69620000000000004</v>
      </c>
      <c r="O680" s="1">
        <v>0.5393</v>
      </c>
      <c r="P680" s="1">
        <v>0.57589999999999997</v>
      </c>
      <c r="Q680" s="1">
        <v>0.59230000000000005</v>
      </c>
      <c r="R680" s="1">
        <v>0.81669999999999998</v>
      </c>
      <c r="S680" s="1">
        <v>0.56580000000000008</v>
      </c>
      <c r="T680" s="1">
        <v>0.69620000000000004</v>
      </c>
      <c r="U680" s="1">
        <v>0.89</v>
      </c>
      <c r="V680" s="1">
        <v>1.3337999999999999</v>
      </c>
    </row>
    <row r="681" spans="12:22" x14ac:dyDescent="0.25">
      <c r="L681" s="1">
        <v>107.9</v>
      </c>
      <c r="M681" s="1">
        <v>0.56640000000000001</v>
      </c>
      <c r="N681" s="1">
        <v>0.69594999999999996</v>
      </c>
      <c r="O681" s="1">
        <v>0.54069999999999996</v>
      </c>
      <c r="P681" s="1">
        <v>0.57569999999999999</v>
      </c>
      <c r="Q681" s="1">
        <v>0.59209999999999996</v>
      </c>
      <c r="R681" s="1">
        <v>0.8165</v>
      </c>
      <c r="S681" s="1">
        <v>0.56640000000000001</v>
      </c>
      <c r="T681" s="1">
        <v>0.69594999999999996</v>
      </c>
      <c r="U681" s="1">
        <v>0.89</v>
      </c>
      <c r="V681" s="1">
        <v>1.3333999999999999</v>
      </c>
    </row>
    <row r="682" spans="12:22" x14ac:dyDescent="0.25">
      <c r="L682" s="1">
        <v>108</v>
      </c>
      <c r="M682" s="1">
        <v>0.5655</v>
      </c>
      <c r="N682" s="1">
        <v>0.69569999999999999</v>
      </c>
      <c r="O682" s="1">
        <v>0.53910000000000002</v>
      </c>
      <c r="P682" s="1">
        <v>0.57540000000000002</v>
      </c>
      <c r="Q682" s="1">
        <v>0.59189999999999998</v>
      </c>
      <c r="R682" s="1">
        <v>0.81630000000000003</v>
      </c>
      <c r="S682" s="1">
        <v>0.5655</v>
      </c>
      <c r="T682" s="1">
        <v>0.69569999999999999</v>
      </c>
      <c r="U682" s="1">
        <v>0.89</v>
      </c>
      <c r="V682" s="1">
        <v>1.333</v>
      </c>
    </row>
    <row r="683" spans="12:22" x14ac:dyDescent="0.25">
      <c r="L683" s="1">
        <v>108.1</v>
      </c>
      <c r="M683" s="1">
        <v>0.56530000000000002</v>
      </c>
      <c r="N683" s="1">
        <v>0.69545000000000001</v>
      </c>
      <c r="O683" s="1">
        <v>0.53890000000000005</v>
      </c>
      <c r="P683" s="1">
        <v>0.57509999999999994</v>
      </c>
      <c r="Q683" s="1">
        <v>0.5917</v>
      </c>
      <c r="R683" s="1">
        <v>0.81610000000000005</v>
      </c>
      <c r="S683" s="1">
        <v>0.56530000000000002</v>
      </c>
      <c r="T683" s="1">
        <v>0.69545000000000001</v>
      </c>
      <c r="U683" s="1">
        <v>0.88960000000000006</v>
      </c>
      <c r="V683" s="1">
        <v>1.3326</v>
      </c>
    </row>
    <row r="684" spans="12:22" x14ac:dyDescent="0.25">
      <c r="L684" s="1">
        <v>108.2</v>
      </c>
      <c r="M684" s="1">
        <v>0.56519999999999992</v>
      </c>
      <c r="N684" s="1">
        <v>0.69525000000000003</v>
      </c>
      <c r="O684" s="1">
        <v>0.53879999999999995</v>
      </c>
      <c r="P684" s="1">
        <v>0.57479999999999998</v>
      </c>
      <c r="Q684" s="1">
        <v>0.59160000000000001</v>
      </c>
      <c r="R684" s="1">
        <v>0.81599999999999995</v>
      </c>
      <c r="S684" s="1">
        <v>0.56519999999999992</v>
      </c>
      <c r="T684" s="1">
        <v>0.69525000000000003</v>
      </c>
      <c r="U684" s="1">
        <v>0.88919999999999999</v>
      </c>
      <c r="V684" s="1">
        <v>1.3322000000000001</v>
      </c>
    </row>
    <row r="685" spans="12:22" x14ac:dyDescent="0.25">
      <c r="L685" s="1">
        <v>108.3</v>
      </c>
      <c r="M685" s="1">
        <v>0.56499999999999995</v>
      </c>
      <c r="N685" s="1">
        <v>0.69499999999999995</v>
      </c>
      <c r="O685" s="1">
        <v>0.53859999999999997</v>
      </c>
      <c r="P685" s="1">
        <v>0.57450000000000001</v>
      </c>
      <c r="Q685" s="1">
        <v>0.59140000000000004</v>
      </c>
      <c r="R685" s="1">
        <v>0.81579999999999997</v>
      </c>
      <c r="S685" s="1">
        <v>0.56499999999999995</v>
      </c>
      <c r="T685" s="1">
        <v>0.69499999999999995</v>
      </c>
      <c r="U685" s="1">
        <v>0.88900000000000001</v>
      </c>
      <c r="V685" s="1">
        <v>1.3317999999999999</v>
      </c>
    </row>
    <row r="686" spans="12:22" x14ac:dyDescent="0.25">
      <c r="L686" s="1">
        <v>108.4</v>
      </c>
      <c r="M686" s="1">
        <v>0.56484999999999996</v>
      </c>
      <c r="N686" s="1">
        <v>0.69479999999999997</v>
      </c>
      <c r="O686" s="1">
        <v>0.53849999999999998</v>
      </c>
      <c r="P686" s="1">
        <v>0.57420000000000004</v>
      </c>
      <c r="Q686" s="1">
        <v>0.59119999999999995</v>
      </c>
      <c r="R686" s="1">
        <v>0.81559999999999999</v>
      </c>
      <c r="S686" s="1">
        <v>0.56484999999999996</v>
      </c>
      <c r="T686" s="1">
        <v>0.69479999999999997</v>
      </c>
      <c r="U686" s="1">
        <v>0.88900000000000001</v>
      </c>
      <c r="V686" s="1">
        <v>1.3313999999999999</v>
      </c>
    </row>
    <row r="687" spans="12:22" x14ac:dyDescent="0.25">
      <c r="L687" s="1">
        <v>108.5</v>
      </c>
      <c r="M687" s="1">
        <v>0.56469999999999998</v>
      </c>
      <c r="N687" s="1">
        <v>0.6946</v>
      </c>
      <c r="O687" s="1">
        <v>0.53839999999999999</v>
      </c>
      <c r="P687" s="1">
        <v>0.57399999999999995</v>
      </c>
      <c r="Q687" s="1">
        <v>0.59099999999999997</v>
      </c>
      <c r="R687" s="1">
        <v>0.8155</v>
      </c>
      <c r="S687" s="1">
        <v>0.56469999999999998</v>
      </c>
      <c r="T687" s="1">
        <v>0.6946</v>
      </c>
      <c r="U687" s="1">
        <v>0.88900000000000001</v>
      </c>
      <c r="V687" s="1">
        <v>1.331</v>
      </c>
    </row>
    <row r="688" spans="12:22" x14ac:dyDescent="0.25">
      <c r="L688" s="1">
        <v>108.6</v>
      </c>
      <c r="M688" s="1">
        <v>0.56455</v>
      </c>
      <c r="N688" s="1">
        <v>0.69435000000000002</v>
      </c>
      <c r="O688" s="1">
        <v>0.53820000000000001</v>
      </c>
      <c r="P688" s="1">
        <v>0.57369999999999999</v>
      </c>
      <c r="Q688" s="1">
        <v>0.59089999999999998</v>
      </c>
      <c r="R688" s="1">
        <v>0.81530000000000002</v>
      </c>
      <c r="S688" s="1">
        <v>0.56455</v>
      </c>
      <c r="T688" s="1">
        <v>0.69435000000000002</v>
      </c>
      <c r="U688" s="1">
        <v>0.88860000000000006</v>
      </c>
      <c r="V688" s="1">
        <v>1.3308</v>
      </c>
    </row>
    <row r="689" spans="12:22" x14ac:dyDescent="0.25">
      <c r="L689" s="1">
        <v>108.7</v>
      </c>
      <c r="M689" s="1">
        <v>0.56440000000000001</v>
      </c>
      <c r="N689" s="1">
        <v>0.69415000000000004</v>
      </c>
      <c r="O689" s="1">
        <v>0.53810000000000002</v>
      </c>
      <c r="P689" s="1">
        <v>0.57340000000000002</v>
      </c>
      <c r="Q689" s="1">
        <v>0.5907</v>
      </c>
      <c r="R689" s="1">
        <v>0.81520000000000004</v>
      </c>
      <c r="S689" s="1">
        <v>0.56440000000000001</v>
      </c>
      <c r="T689" s="1">
        <v>0.69415000000000004</v>
      </c>
      <c r="U689" s="1">
        <v>0.88819999999999999</v>
      </c>
      <c r="V689" s="1">
        <v>1.3306</v>
      </c>
    </row>
    <row r="690" spans="12:22" x14ac:dyDescent="0.25">
      <c r="L690" s="1">
        <v>108.8</v>
      </c>
      <c r="M690" s="1">
        <v>0.56425000000000003</v>
      </c>
      <c r="N690" s="1">
        <v>0.69389999999999996</v>
      </c>
      <c r="O690" s="1">
        <v>0.53800000000000003</v>
      </c>
      <c r="P690" s="1">
        <v>0.57310000000000005</v>
      </c>
      <c r="Q690" s="1">
        <v>0.59050000000000002</v>
      </c>
      <c r="R690" s="1">
        <v>0.81499999999999995</v>
      </c>
      <c r="S690" s="1">
        <v>0.56425000000000003</v>
      </c>
      <c r="T690" s="1">
        <v>0.69389999999999996</v>
      </c>
      <c r="U690" s="1">
        <v>0.88780000000000003</v>
      </c>
      <c r="V690" s="1">
        <v>1.3304</v>
      </c>
    </row>
    <row r="691" spans="12:22" x14ac:dyDescent="0.25">
      <c r="L691" s="1">
        <v>108.9</v>
      </c>
      <c r="M691" s="1">
        <v>0.56475000000000009</v>
      </c>
      <c r="N691" s="1">
        <v>0.69364999999999999</v>
      </c>
      <c r="O691" s="1">
        <v>0.53920000000000001</v>
      </c>
      <c r="P691" s="1">
        <v>0.57279999999999998</v>
      </c>
      <c r="Q691" s="1">
        <v>0.59030000000000005</v>
      </c>
      <c r="R691" s="1">
        <v>0.81479999999999997</v>
      </c>
      <c r="S691" s="1">
        <v>0.56475000000000009</v>
      </c>
      <c r="T691" s="1">
        <v>0.69364999999999999</v>
      </c>
      <c r="U691" s="1">
        <v>0.88739999999999997</v>
      </c>
      <c r="V691" s="1">
        <v>1.3302</v>
      </c>
    </row>
    <row r="692" spans="12:22" x14ac:dyDescent="0.25">
      <c r="L692" s="1">
        <v>109</v>
      </c>
      <c r="M692" s="1">
        <v>0.56394999999999995</v>
      </c>
      <c r="N692" s="1">
        <v>0.69350000000000001</v>
      </c>
      <c r="O692" s="1">
        <v>0.53769999999999996</v>
      </c>
      <c r="P692" s="1">
        <v>0.57250000000000001</v>
      </c>
      <c r="Q692" s="1">
        <v>0.59019999999999995</v>
      </c>
      <c r="R692" s="1">
        <v>0.81469999999999998</v>
      </c>
      <c r="S692" s="1">
        <v>0.56394999999999995</v>
      </c>
      <c r="T692" s="1">
        <v>0.69350000000000001</v>
      </c>
      <c r="U692" s="1">
        <v>0.88700000000000001</v>
      </c>
      <c r="V692" s="1">
        <v>1.33</v>
      </c>
    </row>
    <row r="693" spans="12:22" x14ac:dyDescent="0.25">
      <c r="L693" s="1">
        <v>109.1</v>
      </c>
      <c r="M693" s="1">
        <v>0.56379999999999997</v>
      </c>
      <c r="N693" s="1">
        <v>0.69325000000000003</v>
      </c>
      <c r="O693" s="1">
        <v>0.53759999999999997</v>
      </c>
      <c r="P693" s="1">
        <v>0.57230000000000003</v>
      </c>
      <c r="Q693" s="1">
        <v>0.59</v>
      </c>
      <c r="R693" s="1">
        <v>0.8145</v>
      </c>
      <c r="S693" s="1">
        <v>0.56379999999999997</v>
      </c>
      <c r="T693" s="1">
        <v>0.69325000000000003</v>
      </c>
      <c r="U693" s="1">
        <v>0.88700000000000001</v>
      </c>
      <c r="V693" s="1">
        <v>1.3296000000000001</v>
      </c>
    </row>
    <row r="694" spans="12:22" x14ac:dyDescent="0.25">
      <c r="L694" s="1">
        <v>109.2</v>
      </c>
      <c r="M694" s="1">
        <v>0.56364999999999998</v>
      </c>
      <c r="N694" s="1">
        <v>0.69299999999999995</v>
      </c>
      <c r="O694" s="1">
        <v>0.53749999999999998</v>
      </c>
      <c r="P694" s="1">
        <v>0.57199999999999995</v>
      </c>
      <c r="Q694" s="1">
        <v>0.58979999999999999</v>
      </c>
      <c r="R694" s="1">
        <v>0.81430000000000002</v>
      </c>
      <c r="S694" s="1">
        <v>0.56364999999999998</v>
      </c>
      <c r="T694" s="1">
        <v>0.69299999999999995</v>
      </c>
      <c r="U694" s="1">
        <v>0.88700000000000001</v>
      </c>
      <c r="V694" s="1">
        <v>1.3292000000000002</v>
      </c>
    </row>
    <row r="695" spans="12:22" x14ac:dyDescent="0.25">
      <c r="L695" s="1">
        <v>109.3</v>
      </c>
      <c r="M695" s="1">
        <v>0.5635</v>
      </c>
      <c r="N695" s="1">
        <v>0.69279999999999997</v>
      </c>
      <c r="O695" s="1">
        <v>0.5373</v>
      </c>
      <c r="P695" s="1">
        <v>0.57169999999999999</v>
      </c>
      <c r="Q695" s="1">
        <v>0.5897</v>
      </c>
      <c r="R695" s="1">
        <v>0.81420000000000003</v>
      </c>
      <c r="S695" s="1">
        <v>0.5635</v>
      </c>
      <c r="T695" s="1">
        <v>0.69279999999999997</v>
      </c>
      <c r="U695" s="1">
        <v>0.88680000000000003</v>
      </c>
      <c r="V695" s="1">
        <v>1.3288</v>
      </c>
    </row>
    <row r="696" spans="12:22" x14ac:dyDescent="0.25">
      <c r="L696" s="1">
        <v>109.4</v>
      </c>
      <c r="M696" s="1">
        <v>0.56335000000000002</v>
      </c>
      <c r="N696" s="1">
        <v>0.69255</v>
      </c>
      <c r="O696" s="1">
        <v>0.53720000000000001</v>
      </c>
      <c r="P696" s="1">
        <v>0.57140000000000002</v>
      </c>
      <c r="Q696" s="1">
        <v>0.58950000000000002</v>
      </c>
      <c r="R696" s="1">
        <v>0.81399999999999995</v>
      </c>
      <c r="S696" s="1">
        <v>0.56335000000000002</v>
      </c>
      <c r="T696" s="1">
        <v>0.69255</v>
      </c>
      <c r="U696" s="1">
        <v>0.88639999999999997</v>
      </c>
      <c r="V696" s="1">
        <v>1.3284</v>
      </c>
    </row>
    <row r="697" spans="12:22" x14ac:dyDescent="0.25">
      <c r="L697" s="1">
        <v>109.5</v>
      </c>
      <c r="M697" s="1">
        <v>0.56320000000000003</v>
      </c>
      <c r="N697" s="1">
        <v>0.69240000000000002</v>
      </c>
      <c r="O697" s="1">
        <v>0.53710000000000002</v>
      </c>
      <c r="P697" s="1">
        <v>0.57110000000000005</v>
      </c>
      <c r="Q697" s="1">
        <v>0.58930000000000005</v>
      </c>
      <c r="R697" s="1">
        <v>0.81389999999999996</v>
      </c>
      <c r="S697" s="1">
        <v>0.56320000000000003</v>
      </c>
      <c r="T697" s="1">
        <v>0.69240000000000002</v>
      </c>
      <c r="U697" s="1">
        <v>0.88600000000000001</v>
      </c>
      <c r="V697" s="1">
        <v>1.3280000000000001</v>
      </c>
    </row>
    <row r="698" spans="12:22" x14ac:dyDescent="0.25">
      <c r="L698" s="1">
        <v>109.6</v>
      </c>
      <c r="M698" s="1">
        <v>0.56309999999999993</v>
      </c>
      <c r="N698" s="1">
        <v>0.69215000000000004</v>
      </c>
      <c r="O698" s="1">
        <v>0.53700000000000003</v>
      </c>
      <c r="P698" s="1">
        <v>0.57089999999999996</v>
      </c>
      <c r="Q698" s="1">
        <v>0.58919999999999995</v>
      </c>
      <c r="R698" s="1">
        <v>0.81369999999999998</v>
      </c>
      <c r="S698" s="1">
        <v>0.56309999999999993</v>
      </c>
      <c r="T698" s="1">
        <v>0.69215000000000004</v>
      </c>
      <c r="U698" s="1">
        <v>0.88560000000000005</v>
      </c>
      <c r="V698" s="1">
        <v>1.3276000000000001</v>
      </c>
    </row>
    <row r="699" spans="12:22" x14ac:dyDescent="0.25">
      <c r="L699" s="1">
        <v>109.7</v>
      </c>
      <c r="M699" s="1">
        <v>0.56289999999999996</v>
      </c>
      <c r="N699" s="1">
        <v>0.69189999999999996</v>
      </c>
      <c r="O699" s="1">
        <v>0.53680000000000005</v>
      </c>
      <c r="P699" s="1">
        <v>0.5706</v>
      </c>
      <c r="Q699" s="1">
        <v>0.58899999999999997</v>
      </c>
      <c r="R699" s="1">
        <v>0.8135</v>
      </c>
      <c r="S699" s="1">
        <v>0.56289999999999996</v>
      </c>
      <c r="T699" s="1">
        <v>0.69189999999999996</v>
      </c>
      <c r="U699" s="1">
        <v>0.88519999999999999</v>
      </c>
      <c r="V699" s="1">
        <v>1.3272000000000002</v>
      </c>
    </row>
    <row r="700" spans="12:22" x14ac:dyDescent="0.25">
      <c r="L700" s="1">
        <v>109.8</v>
      </c>
      <c r="M700" s="1">
        <v>0.56274999999999997</v>
      </c>
      <c r="N700" s="1">
        <v>0.69169999999999998</v>
      </c>
      <c r="O700" s="1">
        <v>0.53669999999999995</v>
      </c>
      <c r="P700" s="1">
        <v>0.57030000000000003</v>
      </c>
      <c r="Q700" s="1">
        <v>0.58879999999999999</v>
      </c>
      <c r="R700" s="1">
        <v>0.81340000000000001</v>
      </c>
      <c r="S700" s="1">
        <v>0.56274999999999997</v>
      </c>
      <c r="T700" s="1">
        <v>0.69169999999999998</v>
      </c>
      <c r="U700" s="1">
        <v>0.88500000000000001</v>
      </c>
      <c r="V700" s="1">
        <v>1.3268</v>
      </c>
    </row>
    <row r="701" spans="12:22" x14ac:dyDescent="0.25">
      <c r="L701" s="1">
        <v>109.9</v>
      </c>
      <c r="M701" s="1">
        <v>0.56325000000000003</v>
      </c>
      <c r="N701" s="1">
        <v>0.6915</v>
      </c>
      <c r="O701" s="1">
        <v>0.53779999999999994</v>
      </c>
      <c r="P701" s="1">
        <v>0.56999999999999995</v>
      </c>
      <c r="Q701" s="1">
        <v>0.5887</v>
      </c>
      <c r="R701" s="1">
        <v>0.81320000000000003</v>
      </c>
      <c r="S701" s="1">
        <v>0.56325000000000003</v>
      </c>
      <c r="T701" s="1">
        <v>0.6915</v>
      </c>
      <c r="U701" s="1">
        <v>0.88500000000000001</v>
      </c>
      <c r="V701" s="1">
        <v>1.3264</v>
      </c>
    </row>
    <row r="702" spans="12:22" x14ac:dyDescent="0.25">
      <c r="L702" s="1">
        <v>110</v>
      </c>
      <c r="M702" s="1">
        <v>0.5625</v>
      </c>
      <c r="N702" s="1">
        <v>0.69135000000000002</v>
      </c>
      <c r="O702" s="1">
        <v>0.53649999999999998</v>
      </c>
      <c r="P702" s="1">
        <v>0.56979999999999997</v>
      </c>
      <c r="Q702" s="1">
        <v>0.58850000000000002</v>
      </c>
      <c r="R702" s="1">
        <v>0.81310000000000004</v>
      </c>
      <c r="S702" s="1">
        <v>0.5625</v>
      </c>
      <c r="T702" s="1">
        <v>0.69135000000000002</v>
      </c>
      <c r="U702" s="1">
        <v>0.88500000000000001</v>
      </c>
      <c r="V702" s="1">
        <v>1.3260000000000001</v>
      </c>
    </row>
    <row r="703" spans="12:22" x14ac:dyDescent="0.25">
      <c r="L703" s="1">
        <v>110.1</v>
      </c>
      <c r="M703" s="1">
        <v>0.56235000000000002</v>
      </c>
      <c r="N703" s="1">
        <v>0.69120000000000004</v>
      </c>
      <c r="O703" s="1">
        <v>0.53639999999999999</v>
      </c>
      <c r="P703" s="1">
        <v>0.5696</v>
      </c>
      <c r="Q703" s="1">
        <v>0.58830000000000005</v>
      </c>
      <c r="R703" s="1">
        <v>0.81289999999999996</v>
      </c>
      <c r="S703" s="1">
        <v>0.56235000000000002</v>
      </c>
      <c r="T703" s="1">
        <v>0.69120000000000004</v>
      </c>
      <c r="U703" s="1">
        <v>0.88460000000000005</v>
      </c>
      <c r="V703" s="1">
        <v>1.3256000000000001</v>
      </c>
    </row>
    <row r="704" spans="12:22" x14ac:dyDescent="0.25">
      <c r="L704" s="1">
        <v>110.2</v>
      </c>
      <c r="M704" s="1">
        <v>0.56220000000000003</v>
      </c>
      <c r="N704" s="1">
        <v>0.69105000000000005</v>
      </c>
      <c r="O704" s="1">
        <v>0.53620000000000001</v>
      </c>
      <c r="P704" s="1">
        <v>0.56950000000000001</v>
      </c>
      <c r="Q704" s="1">
        <v>0.58819999999999995</v>
      </c>
      <c r="R704" s="1">
        <v>0.81279999999999997</v>
      </c>
      <c r="S704" s="1">
        <v>0.56220000000000003</v>
      </c>
      <c r="T704" s="1">
        <v>0.69105000000000005</v>
      </c>
      <c r="U704" s="1">
        <v>0.88419999999999999</v>
      </c>
      <c r="V704" s="1">
        <v>1.3252000000000002</v>
      </c>
    </row>
    <row r="705" spans="12:22" x14ac:dyDescent="0.25">
      <c r="L705" s="1">
        <v>110.3</v>
      </c>
      <c r="M705" s="1">
        <v>0.56204999999999994</v>
      </c>
      <c r="N705" s="1">
        <v>0.69089999999999996</v>
      </c>
      <c r="O705" s="1">
        <v>0.53610000000000002</v>
      </c>
      <c r="P705" s="1">
        <v>0.56930000000000003</v>
      </c>
      <c r="Q705" s="1">
        <v>0.58799999999999997</v>
      </c>
      <c r="R705" s="1">
        <v>0.81259999999999999</v>
      </c>
      <c r="S705" s="1">
        <v>0.56204999999999994</v>
      </c>
      <c r="T705" s="1">
        <v>0.69089999999999996</v>
      </c>
      <c r="U705" s="1">
        <v>0.88380000000000003</v>
      </c>
      <c r="V705" s="1">
        <v>1.3248</v>
      </c>
    </row>
    <row r="706" spans="12:22" x14ac:dyDescent="0.25">
      <c r="L706" s="1">
        <v>110.4</v>
      </c>
      <c r="M706" s="1">
        <v>0.56190000000000007</v>
      </c>
      <c r="N706" s="1">
        <v>0.69074999999999998</v>
      </c>
      <c r="O706" s="1">
        <v>0.53600000000000003</v>
      </c>
      <c r="P706" s="1">
        <v>0.56920000000000004</v>
      </c>
      <c r="Q706" s="1">
        <v>0.58779999999999999</v>
      </c>
      <c r="R706" s="1">
        <v>0.81240000000000001</v>
      </c>
      <c r="S706" s="1">
        <v>0.56190000000000007</v>
      </c>
      <c r="T706" s="1">
        <v>0.69074999999999998</v>
      </c>
      <c r="U706" s="1">
        <v>0.88339999999999996</v>
      </c>
      <c r="V706" s="1">
        <v>1.3244</v>
      </c>
    </row>
    <row r="707" spans="12:22" x14ac:dyDescent="0.25">
      <c r="L707" s="1">
        <v>110.5</v>
      </c>
      <c r="M707" s="1">
        <v>0.56180000000000008</v>
      </c>
      <c r="N707" s="1">
        <v>0.69059999999999999</v>
      </c>
      <c r="O707" s="1">
        <v>0.53590000000000004</v>
      </c>
      <c r="P707" s="1">
        <v>0.56940000000000002</v>
      </c>
      <c r="Q707" s="1">
        <v>0.5877</v>
      </c>
      <c r="R707" s="1">
        <v>0.81230000000000002</v>
      </c>
      <c r="S707" s="1">
        <v>0.56180000000000008</v>
      </c>
      <c r="T707" s="1">
        <v>0.69059999999999999</v>
      </c>
      <c r="U707" s="1">
        <v>0.88300000000000001</v>
      </c>
      <c r="V707" s="1">
        <v>1.3240000000000001</v>
      </c>
    </row>
    <row r="708" spans="12:22" x14ac:dyDescent="0.25">
      <c r="L708" s="1">
        <v>110.6</v>
      </c>
      <c r="M708" s="1">
        <v>0.56164999999999998</v>
      </c>
      <c r="N708" s="1">
        <v>0.69045000000000001</v>
      </c>
      <c r="O708" s="1">
        <v>0.53580000000000005</v>
      </c>
      <c r="P708" s="1">
        <v>0.56889999999999996</v>
      </c>
      <c r="Q708" s="1">
        <v>0.58750000000000002</v>
      </c>
      <c r="R708" s="1">
        <v>0.81210000000000004</v>
      </c>
      <c r="S708" s="1">
        <v>0.56164999999999998</v>
      </c>
      <c r="T708" s="1">
        <v>0.69045000000000001</v>
      </c>
      <c r="U708" s="1">
        <v>0.88300000000000001</v>
      </c>
      <c r="V708" s="1">
        <v>1.3238000000000001</v>
      </c>
    </row>
    <row r="709" spans="12:22" x14ac:dyDescent="0.25">
      <c r="L709" s="1">
        <v>110.7</v>
      </c>
      <c r="M709" s="1">
        <v>0.56154999999999999</v>
      </c>
      <c r="N709" s="1">
        <v>0.69030000000000002</v>
      </c>
      <c r="O709" s="1">
        <v>0.53569999999999995</v>
      </c>
      <c r="P709" s="1">
        <v>0.56879999999999997</v>
      </c>
      <c r="Q709" s="1">
        <v>0.58740000000000003</v>
      </c>
      <c r="R709" s="1">
        <v>0.81200000000000006</v>
      </c>
      <c r="S709" s="1">
        <v>0.56154999999999999</v>
      </c>
      <c r="T709" s="1">
        <v>0.69030000000000002</v>
      </c>
      <c r="U709" s="1">
        <v>0.88300000000000001</v>
      </c>
      <c r="V709" s="1">
        <v>1.3236000000000001</v>
      </c>
    </row>
    <row r="710" spans="12:22" x14ac:dyDescent="0.25">
      <c r="L710" s="1">
        <v>110.8</v>
      </c>
      <c r="M710" s="1">
        <v>0.56135000000000002</v>
      </c>
      <c r="N710" s="1">
        <v>0.69015000000000004</v>
      </c>
      <c r="O710" s="1">
        <v>0.53549999999999998</v>
      </c>
      <c r="P710" s="1">
        <v>0.56859999999999999</v>
      </c>
      <c r="Q710" s="1">
        <v>0.58720000000000006</v>
      </c>
      <c r="R710" s="1">
        <v>0.81179999999999997</v>
      </c>
      <c r="S710" s="1">
        <v>0.56135000000000002</v>
      </c>
      <c r="T710" s="1">
        <v>0.69015000000000004</v>
      </c>
      <c r="U710" s="1">
        <v>0.88280000000000003</v>
      </c>
      <c r="V710" s="1">
        <v>1.3233999999999999</v>
      </c>
    </row>
    <row r="711" spans="12:22" x14ac:dyDescent="0.25">
      <c r="L711" s="1">
        <v>110.9</v>
      </c>
      <c r="M711" s="1">
        <v>0.56179999999999997</v>
      </c>
      <c r="N711" s="1">
        <v>0.69005000000000005</v>
      </c>
      <c r="O711" s="1">
        <v>0.53659999999999997</v>
      </c>
      <c r="P711" s="1">
        <v>0.56850000000000001</v>
      </c>
      <c r="Q711" s="1">
        <v>0.58699999999999997</v>
      </c>
      <c r="R711" s="1">
        <v>0.81169999999999998</v>
      </c>
      <c r="S711" s="1">
        <v>0.56179999999999997</v>
      </c>
      <c r="T711" s="1">
        <v>0.69005000000000005</v>
      </c>
      <c r="U711" s="1">
        <v>0.88239999999999996</v>
      </c>
      <c r="V711" s="1">
        <v>1.3231999999999999</v>
      </c>
    </row>
    <row r="712" spans="12:22" x14ac:dyDescent="0.25">
      <c r="L712" s="1">
        <v>111</v>
      </c>
      <c r="M712" s="1">
        <v>0.56109999999999993</v>
      </c>
      <c r="N712" s="1">
        <v>0.68984999999999996</v>
      </c>
      <c r="O712" s="1">
        <v>0.5353</v>
      </c>
      <c r="P712" s="1">
        <v>0.56840000000000002</v>
      </c>
      <c r="Q712" s="1">
        <v>0.58689999999999998</v>
      </c>
      <c r="R712" s="1">
        <v>0.8115</v>
      </c>
      <c r="S712" s="1">
        <v>0.56109999999999993</v>
      </c>
      <c r="T712" s="1">
        <v>0.68984999999999996</v>
      </c>
      <c r="U712" s="1">
        <v>0.88200000000000001</v>
      </c>
      <c r="V712" s="1">
        <v>1.323</v>
      </c>
    </row>
    <row r="713" spans="12:22" x14ac:dyDescent="0.25">
      <c r="L713" s="1">
        <v>111.1</v>
      </c>
      <c r="M713" s="1">
        <v>0.56095000000000006</v>
      </c>
      <c r="N713" s="1">
        <v>0.68974999999999997</v>
      </c>
      <c r="O713" s="1">
        <v>0.53520000000000001</v>
      </c>
      <c r="P713" s="33">
        <v>0.56809999999999994</v>
      </c>
      <c r="Q713" s="1">
        <v>0.5867</v>
      </c>
      <c r="R713" s="1">
        <v>0.81140000000000001</v>
      </c>
      <c r="S713" s="1">
        <v>0.56095000000000006</v>
      </c>
      <c r="T713" s="1">
        <v>0.68974999999999997</v>
      </c>
      <c r="U713" s="1">
        <v>0.88160000000000005</v>
      </c>
      <c r="V713" s="1">
        <v>1.3226</v>
      </c>
    </row>
    <row r="714" spans="12:22" x14ac:dyDescent="0.25">
      <c r="L714" s="1">
        <v>111.2</v>
      </c>
      <c r="M714" s="1">
        <v>0.56085000000000007</v>
      </c>
      <c r="N714" s="1">
        <v>0.68959999999999999</v>
      </c>
      <c r="O714" s="1">
        <v>0.53510000000000002</v>
      </c>
      <c r="P714" s="33">
        <v>0.56799999999999995</v>
      </c>
      <c r="Q714" s="1">
        <v>0.58660000000000001</v>
      </c>
      <c r="R714" s="1">
        <v>0.81120000000000003</v>
      </c>
      <c r="S714" s="1">
        <v>0.56085000000000007</v>
      </c>
      <c r="T714" s="1">
        <v>0.68959999999999999</v>
      </c>
      <c r="U714" s="1">
        <v>0.88119999999999998</v>
      </c>
      <c r="V714" s="1">
        <v>1.3222</v>
      </c>
    </row>
    <row r="715" spans="12:22" x14ac:dyDescent="0.25">
      <c r="L715" s="1">
        <v>111.3</v>
      </c>
      <c r="M715" s="1">
        <v>0.56069999999999998</v>
      </c>
      <c r="N715" s="1">
        <v>0.68945000000000001</v>
      </c>
      <c r="O715" s="1">
        <v>0.53500000000000003</v>
      </c>
      <c r="P715" s="33">
        <v>0.56779999999999997</v>
      </c>
      <c r="Q715" s="1">
        <v>0.58640000000000003</v>
      </c>
      <c r="R715" s="1">
        <v>0.81110000000000004</v>
      </c>
      <c r="S715" s="1">
        <v>0.56069999999999998</v>
      </c>
      <c r="T715" s="1">
        <v>0.68945000000000001</v>
      </c>
      <c r="U715" s="1">
        <v>0.88100000000000001</v>
      </c>
      <c r="V715" s="1">
        <v>1.3217999999999999</v>
      </c>
    </row>
    <row r="716" spans="12:22" x14ac:dyDescent="0.25">
      <c r="L716" s="1">
        <v>111.4</v>
      </c>
      <c r="M716" s="1">
        <v>0.56059999999999999</v>
      </c>
      <c r="N716" s="1">
        <v>0.68930000000000002</v>
      </c>
      <c r="O716" s="1">
        <v>0.53490000000000004</v>
      </c>
      <c r="P716" s="33">
        <v>0.56770000000000009</v>
      </c>
      <c r="Q716" s="1">
        <v>0.58630000000000004</v>
      </c>
      <c r="R716" s="1">
        <v>0.81089999999999995</v>
      </c>
      <c r="S716" s="1">
        <v>0.56059999999999999</v>
      </c>
      <c r="T716" s="1">
        <v>0.68930000000000002</v>
      </c>
      <c r="U716" s="1">
        <v>0.88100000000000001</v>
      </c>
      <c r="V716" s="1">
        <v>1.3213999999999999</v>
      </c>
    </row>
    <row r="717" spans="12:22" x14ac:dyDescent="0.25">
      <c r="L717" s="1">
        <v>111.5</v>
      </c>
      <c r="M717" s="1">
        <v>0.56045</v>
      </c>
      <c r="N717" s="1">
        <v>0.68915000000000004</v>
      </c>
      <c r="O717" s="1">
        <v>0.53480000000000005</v>
      </c>
      <c r="P717" s="33">
        <v>0.5675</v>
      </c>
      <c r="Q717" s="1">
        <v>0.58609999999999995</v>
      </c>
      <c r="R717" s="1">
        <v>0.81079999999999997</v>
      </c>
      <c r="S717" s="1">
        <v>0.56045</v>
      </c>
      <c r="T717" s="1">
        <v>0.68915000000000004</v>
      </c>
      <c r="U717" s="1">
        <v>0.88100000000000001</v>
      </c>
      <c r="V717" s="1">
        <v>1.321</v>
      </c>
    </row>
    <row r="718" spans="12:22" x14ac:dyDescent="0.25">
      <c r="L718" s="1">
        <v>111.6</v>
      </c>
      <c r="M718" s="1">
        <v>0.5603499999999999</v>
      </c>
      <c r="N718" s="1">
        <v>0.68899999999999995</v>
      </c>
      <c r="O718" s="1">
        <v>0.53469999999999995</v>
      </c>
      <c r="P718" s="33">
        <v>0.5673999999999999</v>
      </c>
      <c r="Q718" s="1">
        <v>0.58599999999999997</v>
      </c>
      <c r="R718" s="1">
        <v>0.81059999999999999</v>
      </c>
      <c r="S718" s="1">
        <v>0.5603499999999999</v>
      </c>
      <c r="T718" s="1">
        <v>0.68899999999999995</v>
      </c>
      <c r="U718" s="1">
        <v>0.88060000000000005</v>
      </c>
      <c r="V718" s="1">
        <v>1.3206</v>
      </c>
    </row>
    <row r="719" spans="12:22" x14ac:dyDescent="0.25">
      <c r="L719" s="1">
        <v>111.7</v>
      </c>
      <c r="M719" s="1">
        <v>0.56020000000000003</v>
      </c>
      <c r="N719" s="1">
        <v>0.68889999999999996</v>
      </c>
      <c r="O719" s="1">
        <v>0.53459999999999996</v>
      </c>
      <c r="P719" s="33">
        <v>0.56729999999999992</v>
      </c>
      <c r="Q719" s="1">
        <v>0.58579999999999999</v>
      </c>
      <c r="R719" s="1">
        <v>0.8105</v>
      </c>
      <c r="S719" s="1">
        <v>0.56020000000000003</v>
      </c>
      <c r="T719" s="1">
        <v>0.68889999999999996</v>
      </c>
      <c r="U719" s="1">
        <v>0.88019999999999998</v>
      </c>
      <c r="V719" s="1">
        <v>1.3202</v>
      </c>
    </row>
    <row r="720" spans="12:22" x14ac:dyDescent="0.25">
      <c r="L720" s="1">
        <v>111.8</v>
      </c>
      <c r="M720" s="1">
        <v>0.56004999999999994</v>
      </c>
      <c r="N720" s="1">
        <v>0.68869999999999998</v>
      </c>
      <c r="O720" s="1">
        <v>0.53449999999999998</v>
      </c>
      <c r="P720" s="33">
        <v>0.56709999999999994</v>
      </c>
      <c r="Q720" s="1">
        <v>0.58560000000000001</v>
      </c>
      <c r="R720" s="1">
        <v>0.81030000000000002</v>
      </c>
      <c r="S720" s="1">
        <v>0.56004999999999994</v>
      </c>
      <c r="T720" s="1">
        <v>0.68869999999999998</v>
      </c>
      <c r="U720" s="1">
        <v>0.87980000000000003</v>
      </c>
      <c r="V720" s="1">
        <v>1.3197999999999999</v>
      </c>
    </row>
    <row r="721" spans="12:22" x14ac:dyDescent="0.25">
      <c r="L721" s="1">
        <v>111.9</v>
      </c>
      <c r="M721" s="1">
        <v>0.56045</v>
      </c>
      <c r="N721" s="1">
        <v>0.68859999999999999</v>
      </c>
      <c r="O721" s="1">
        <v>0.53539999999999999</v>
      </c>
      <c r="P721" s="33">
        <v>0.56699999999999995</v>
      </c>
      <c r="Q721" s="1">
        <v>0.58550000000000002</v>
      </c>
      <c r="R721" s="1">
        <v>0.81020000000000003</v>
      </c>
      <c r="S721" s="1">
        <v>0.56045</v>
      </c>
      <c r="T721" s="1">
        <v>0.68859999999999999</v>
      </c>
      <c r="U721" s="1">
        <v>0.87939999999999996</v>
      </c>
      <c r="V721" s="1">
        <v>1.3193999999999999</v>
      </c>
    </row>
    <row r="722" spans="12:22" x14ac:dyDescent="0.25">
      <c r="L722" s="1">
        <v>112</v>
      </c>
      <c r="M722" s="1">
        <v>0.55974999999999997</v>
      </c>
      <c r="N722" s="1">
        <v>0.6885</v>
      </c>
      <c r="O722" s="1">
        <v>0.53420000000000001</v>
      </c>
      <c r="P722" s="33">
        <v>0.56689999999999996</v>
      </c>
      <c r="Q722" s="1">
        <v>0.58530000000000004</v>
      </c>
      <c r="R722" s="1">
        <v>0.81010000000000004</v>
      </c>
      <c r="S722" s="1">
        <v>0.55974999999999997</v>
      </c>
      <c r="T722" s="1">
        <v>0.6885</v>
      </c>
      <c r="U722" s="1">
        <v>0.879</v>
      </c>
      <c r="V722" s="1">
        <v>1.319</v>
      </c>
    </row>
    <row r="723" spans="12:22" x14ac:dyDescent="0.25">
      <c r="L723" s="1">
        <v>112.1</v>
      </c>
      <c r="M723" s="1">
        <v>0.55964999999999998</v>
      </c>
      <c r="N723" s="1">
        <v>0.68830000000000002</v>
      </c>
      <c r="O723" s="1">
        <v>0.53410000000000002</v>
      </c>
      <c r="P723" s="33">
        <v>0.56670000000000009</v>
      </c>
      <c r="Q723" s="1">
        <v>0.58520000000000005</v>
      </c>
      <c r="R723" s="1">
        <v>0.80989999999999995</v>
      </c>
      <c r="S723" s="1">
        <v>0.55964999999999998</v>
      </c>
      <c r="T723" s="1">
        <v>0.68830000000000002</v>
      </c>
      <c r="U723" s="1">
        <v>0.879</v>
      </c>
      <c r="V723" s="1">
        <v>1.3188</v>
      </c>
    </row>
    <row r="724" spans="12:22" x14ac:dyDescent="0.25">
      <c r="L724" s="1">
        <v>112.2</v>
      </c>
      <c r="M724" s="1">
        <v>0.5595</v>
      </c>
      <c r="N724" s="1">
        <v>0.68820000000000003</v>
      </c>
      <c r="O724" s="1">
        <v>0.53400000000000003</v>
      </c>
      <c r="P724" s="33">
        <v>0.5666000000000001</v>
      </c>
      <c r="Q724" s="1">
        <v>0.58499999999999996</v>
      </c>
      <c r="R724" s="1">
        <v>0.80979999999999996</v>
      </c>
      <c r="S724" s="1">
        <v>0.5595</v>
      </c>
      <c r="T724" s="1">
        <v>0.68820000000000003</v>
      </c>
      <c r="U724" s="1">
        <v>0.879</v>
      </c>
      <c r="V724" s="1">
        <v>1.3186</v>
      </c>
    </row>
    <row r="725" spans="12:22" x14ac:dyDescent="0.25">
      <c r="L725" s="1">
        <v>112.3</v>
      </c>
      <c r="M725" s="1">
        <v>0.55940000000000001</v>
      </c>
      <c r="N725" s="1">
        <v>0.68799999999999994</v>
      </c>
      <c r="O725" s="1">
        <v>0.53390000000000004</v>
      </c>
      <c r="P725" s="33">
        <v>0.5663999999999999</v>
      </c>
      <c r="Q725" s="1">
        <v>0.58489999999999998</v>
      </c>
      <c r="R725" s="1">
        <v>0.80959999999999999</v>
      </c>
      <c r="S725" s="1">
        <v>0.55940000000000001</v>
      </c>
      <c r="T725" s="1">
        <v>0.68799999999999994</v>
      </c>
      <c r="U725" s="1">
        <v>0.87880000000000003</v>
      </c>
      <c r="V725" s="1">
        <v>1.3184</v>
      </c>
    </row>
    <row r="726" spans="12:22" x14ac:dyDescent="0.25">
      <c r="L726" s="1">
        <v>112.4</v>
      </c>
      <c r="M726" s="1">
        <v>0.55925000000000002</v>
      </c>
      <c r="N726" s="1">
        <v>0.68789999999999996</v>
      </c>
      <c r="O726" s="1">
        <v>0.53380000000000005</v>
      </c>
      <c r="P726" s="33">
        <v>0.56629999999999991</v>
      </c>
      <c r="Q726" s="1">
        <v>0.5847</v>
      </c>
      <c r="R726" s="1">
        <v>0.8095</v>
      </c>
      <c r="S726" s="1">
        <v>0.55925000000000002</v>
      </c>
      <c r="T726" s="1">
        <v>0.68789999999999996</v>
      </c>
      <c r="U726" s="1">
        <v>0.87839999999999996</v>
      </c>
      <c r="V726" s="1">
        <v>1.3182</v>
      </c>
    </row>
    <row r="727" spans="12:22" x14ac:dyDescent="0.25">
      <c r="L727" s="1">
        <v>112.5</v>
      </c>
      <c r="M727" s="1">
        <v>0.55915000000000004</v>
      </c>
      <c r="N727" s="1">
        <v>0.68774999999999997</v>
      </c>
      <c r="O727" s="1">
        <v>0.53369999999999995</v>
      </c>
      <c r="P727" s="33">
        <v>0.56619999999999993</v>
      </c>
      <c r="Q727" s="1">
        <v>0.58460000000000001</v>
      </c>
      <c r="R727" s="1">
        <v>0.80930000000000002</v>
      </c>
      <c r="S727" s="1">
        <v>0.55915000000000004</v>
      </c>
      <c r="T727" s="1">
        <v>0.68774999999999997</v>
      </c>
      <c r="U727" s="1">
        <v>0.878</v>
      </c>
      <c r="V727" s="1">
        <v>1.3180000000000001</v>
      </c>
    </row>
    <row r="728" spans="12:22" x14ac:dyDescent="0.25">
      <c r="L728" s="1">
        <v>112.6</v>
      </c>
      <c r="M728" s="1">
        <v>0.55899999999999994</v>
      </c>
      <c r="N728" s="1">
        <v>0.68759999999999999</v>
      </c>
      <c r="O728" s="1">
        <v>0.53359999999999996</v>
      </c>
      <c r="P728" s="33">
        <v>0.56599999999999995</v>
      </c>
      <c r="Q728" s="1">
        <v>0.58440000000000003</v>
      </c>
      <c r="R728" s="1">
        <v>0.80920000000000003</v>
      </c>
      <c r="S728" s="1">
        <v>0.55899999999999994</v>
      </c>
      <c r="T728" s="1">
        <v>0.68759999999999999</v>
      </c>
      <c r="U728" s="1">
        <v>0.878</v>
      </c>
      <c r="V728" s="1">
        <v>1.3180000000000001</v>
      </c>
    </row>
    <row r="729" spans="12:22" x14ac:dyDescent="0.25">
      <c r="L729" s="1">
        <v>112.7</v>
      </c>
      <c r="M729" s="1">
        <v>0.55889999999999995</v>
      </c>
      <c r="N729" s="1">
        <v>0.68745000000000001</v>
      </c>
      <c r="O729" s="1">
        <v>0.53349999999999997</v>
      </c>
      <c r="P729" s="33">
        <v>0.56589999999999996</v>
      </c>
      <c r="Q729" s="1">
        <v>0.58430000000000004</v>
      </c>
      <c r="R729" s="1">
        <v>0.80900000000000005</v>
      </c>
      <c r="S729" s="1">
        <v>0.55889999999999995</v>
      </c>
      <c r="T729" s="1">
        <v>0.68745000000000001</v>
      </c>
      <c r="U729" s="1">
        <v>0.878</v>
      </c>
      <c r="V729" s="1">
        <v>1.3180000000000001</v>
      </c>
    </row>
    <row r="730" spans="12:22" x14ac:dyDescent="0.25">
      <c r="L730" s="1">
        <v>112.8</v>
      </c>
      <c r="M730" s="1">
        <v>0.55874999999999997</v>
      </c>
      <c r="N730" s="1">
        <v>0.68735000000000002</v>
      </c>
      <c r="O730" s="1">
        <v>0.53339999999999999</v>
      </c>
      <c r="P730" s="33">
        <v>0.56580000000000008</v>
      </c>
      <c r="Q730" s="1">
        <v>0.58409999999999995</v>
      </c>
      <c r="R730" s="1">
        <v>0.80889999999999995</v>
      </c>
      <c r="S730" s="1">
        <v>0.55874999999999997</v>
      </c>
      <c r="T730" s="1">
        <v>0.68735000000000002</v>
      </c>
      <c r="U730" s="1">
        <v>0.87780000000000002</v>
      </c>
      <c r="V730" s="1">
        <v>1.3180000000000001</v>
      </c>
    </row>
    <row r="731" spans="12:22" x14ac:dyDescent="0.25">
      <c r="L731" s="1">
        <v>112.9</v>
      </c>
      <c r="M731" s="1">
        <v>0.55915000000000004</v>
      </c>
      <c r="N731" s="1">
        <v>0.68720000000000003</v>
      </c>
      <c r="O731" s="1">
        <v>0.5343</v>
      </c>
      <c r="P731" s="33">
        <v>0.5656000000000001</v>
      </c>
      <c r="Q731" s="1">
        <v>0.58399999999999996</v>
      </c>
      <c r="R731" s="1">
        <v>0.80879999999999996</v>
      </c>
      <c r="S731" s="1">
        <v>0.55915000000000004</v>
      </c>
      <c r="T731" s="1">
        <v>0.68720000000000003</v>
      </c>
      <c r="U731" s="1">
        <v>0.87739999999999996</v>
      </c>
      <c r="V731" s="1">
        <v>1.3180000000000001</v>
      </c>
    </row>
    <row r="732" spans="12:22" x14ac:dyDescent="0.25">
      <c r="L732" s="1">
        <v>113</v>
      </c>
      <c r="M732" s="1">
        <v>0.55854999999999999</v>
      </c>
      <c r="N732" s="1">
        <v>0.68705000000000005</v>
      </c>
      <c r="O732" s="1">
        <v>0.53320000000000001</v>
      </c>
      <c r="P732" s="33">
        <v>0.56550000000000011</v>
      </c>
      <c r="Q732" s="1">
        <v>0.58389999999999997</v>
      </c>
      <c r="R732" s="1">
        <v>0.80859999999999999</v>
      </c>
      <c r="S732" s="1">
        <v>0.55854999999999999</v>
      </c>
      <c r="T732" s="1">
        <v>0.68705000000000005</v>
      </c>
      <c r="U732" s="1">
        <v>0.877</v>
      </c>
      <c r="V732" s="1">
        <v>1.3180000000000001</v>
      </c>
    </row>
    <row r="733" spans="12:22" x14ac:dyDescent="0.25">
      <c r="L733" s="1">
        <v>113.1</v>
      </c>
      <c r="M733" s="1">
        <v>0.55840000000000001</v>
      </c>
      <c r="N733" s="1">
        <v>0.68689999999999996</v>
      </c>
      <c r="O733" s="1">
        <v>0.53310000000000002</v>
      </c>
      <c r="P733" s="33">
        <v>0.56529999999999991</v>
      </c>
      <c r="Q733" s="1">
        <v>0.5837</v>
      </c>
      <c r="R733" s="1">
        <v>0.8085</v>
      </c>
      <c r="S733" s="1">
        <v>0.55840000000000001</v>
      </c>
      <c r="T733" s="1">
        <v>0.68689999999999996</v>
      </c>
      <c r="U733" s="1">
        <v>0.87660000000000005</v>
      </c>
      <c r="V733" s="1">
        <v>1.3178000000000001</v>
      </c>
    </row>
    <row r="734" spans="12:22" x14ac:dyDescent="0.25">
      <c r="L734" s="1">
        <v>113.2</v>
      </c>
      <c r="M734" s="1">
        <v>0.55830000000000002</v>
      </c>
      <c r="N734" s="1">
        <v>0.68674999999999997</v>
      </c>
      <c r="O734" s="1">
        <v>0.53300000000000003</v>
      </c>
      <c r="P734" s="33">
        <v>0.56519999999999992</v>
      </c>
      <c r="Q734" s="1">
        <v>0.58360000000000001</v>
      </c>
      <c r="R734" s="1">
        <v>0.80830000000000002</v>
      </c>
      <c r="S734" s="1">
        <v>0.55830000000000002</v>
      </c>
      <c r="T734" s="1">
        <v>0.68674999999999997</v>
      </c>
      <c r="U734" s="1">
        <v>0.87619999999999998</v>
      </c>
      <c r="V734" s="1">
        <v>1.3176000000000001</v>
      </c>
    </row>
    <row r="735" spans="12:22" x14ac:dyDescent="0.25">
      <c r="L735" s="1">
        <v>113.3</v>
      </c>
      <c r="M735" s="1">
        <v>0.55815000000000003</v>
      </c>
      <c r="N735" s="1">
        <v>0.68664999999999998</v>
      </c>
      <c r="O735" s="1">
        <v>0.53290000000000004</v>
      </c>
      <c r="P735" s="33">
        <v>0.56509999999999994</v>
      </c>
      <c r="Q735" s="1">
        <v>0.58340000000000003</v>
      </c>
      <c r="R735" s="1">
        <v>0.80820000000000003</v>
      </c>
      <c r="S735" s="1">
        <v>0.55815000000000003</v>
      </c>
      <c r="T735" s="1">
        <v>0.68664999999999998</v>
      </c>
      <c r="U735" s="1">
        <v>0.876</v>
      </c>
      <c r="V735" s="1">
        <v>1.3173999999999999</v>
      </c>
    </row>
    <row r="736" spans="12:22" x14ac:dyDescent="0.25">
      <c r="L736" s="1">
        <v>113.4</v>
      </c>
      <c r="M736" s="1">
        <v>0.55805000000000005</v>
      </c>
      <c r="N736" s="1">
        <v>0.6865</v>
      </c>
      <c r="O736" s="1">
        <v>0.53280000000000005</v>
      </c>
      <c r="P736" s="33">
        <v>0.56489999999999996</v>
      </c>
      <c r="Q736" s="1">
        <v>0.58330000000000004</v>
      </c>
      <c r="R736" s="1">
        <v>0.80810000000000004</v>
      </c>
      <c r="S736" s="1">
        <v>0.55805000000000005</v>
      </c>
      <c r="T736" s="1">
        <v>0.6865</v>
      </c>
      <c r="U736" s="1">
        <v>0.876</v>
      </c>
      <c r="V736" s="1">
        <v>1.3171999999999999</v>
      </c>
    </row>
    <row r="737" spans="12:22" x14ac:dyDescent="0.25">
      <c r="L737" s="1">
        <v>113.5</v>
      </c>
      <c r="M737" s="1">
        <v>0.55794999999999995</v>
      </c>
      <c r="N737" s="1">
        <v>0.68635000000000002</v>
      </c>
      <c r="O737" s="1">
        <v>0.53280000000000005</v>
      </c>
      <c r="P737" s="33">
        <v>0.56480000000000008</v>
      </c>
      <c r="Q737" s="1">
        <v>0.58309999999999995</v>
      </c>
      <c r="R737" s="1">
        <v>0.80789999999999995</v>
      </c>
      <c r="S737" s="1">
        <v>0.55794999999999995</v>
      </c>
      <c r="T737" s="1">
        <v>0.68635000000000002</v>
      </c>
      <c r="U737" s="1">
        <v>0.876</v>
      </c>
      <c r="V737" s="1">
        <v>1.3169999999999999</v>
      </c>
    </row>
    <row r="738" spans="12:22" x14ac:dyDescent="0.25">
      <c r="L738" s="1">
        <v>113.6</v>
      </c>
      <c r="M738" s="1">
        <v>0.55784999999999996</v>
      </c>
      <c r="N738" s="1">
        <v>0.68625000000000003</v>
      </c>
      <c r="O738" s="1">
        <v>0.53269999999999995</v>
      </c>
      <c r="P738" s="33">
        <v>0.56470000000000009</v>
      </c>
      <c r="Q738" s="1">
        <v>0.58299999999999996</v>
      </c>
      <c r="R738" s="1">
        <v>0.80779999999999996</v>
      </c>
      <c r="S738" s="1">
        <v>0.55784999999999996</v>
      </c>
      <c r="T738" s="1">
        <v>0.68625000000000003</v>
      </c>
      <c r="U738" s="1">
        <v>0.87560000000000004</v>
      </c>
      <c r="V738" s="1">
        <v>1.3168</v>
      </c>
    </row>
    <row r="739" spans="12:22" x14ac:dyDescent="0.25">
      <c r="L739" s="1">
        <v>113.7</v>
      </c>
      <c r="M739" s="1">
        <v>0.55769999999999997</v>
      </c>
      <c r="N739" s="1">
        <v>0.68610000000000004</v>
      </c>
      <c r="O739" s="1">
        <v>0.53259999999999996</v>
      </c>
      <c r="P739" s="33">
        <v>0.56450000000000011</v>
      </c>
      <c r="Q739" s="1">
        <v>0.58279999999999998</v>
      </c>
      <c r="R739" s="1">
        <v>0.80769999999999997</v>
      </c>
      <c r="S739" s="1">
        <v>0.55769999999999997</v>
      </c>
      <c r="T739" s="1">
        <v>0.68610000000000004</v>
      </c>
      <c r="U739" s="1">
        <v>0.87519999999999998</v>
      </c>
      <c r="V739" s="1">
        <v>1.3166</v>
      </c>
    </row>
    <row r="740" spans="12:22" x14ac:dyDescent="0.25">
      <c r="L740" s="1">
        <v>113.8</v>
      </c>
      <c r="M740" s="1">
        <v>0.55759999999999998</v>
      </c>
      <c r="N740" s="1">
        <v>0.68594999999999995</v>
      </c>
      <c r="O740" s="1">
        <v>0.53249999999999997</v>
      </c>
      <c r="P740" s="33">
        <v>0.5643999999999999</v>
      </c>
      <c r="Q740" s="1">
        <v>0.5827</v>
      </c>
      <c r="R740" s="1">
        <v>0.8075</v>
      </c>
      <c r="S740" s="1">
        <v>0.55759999999999998</v>
      </c>
      <c r="T740" s="1">
        <v>0.68594999999999995</v>
      </c>
      <c r="U740" s="1">
        <v>0.875</v>
      </c>
      <c r="V740" s="1">
        <v>1.3164</v>
      </c>
    </row>
    <row r="741" spans="12:22" x14ac:dyDescent="0.25">
      <c r="L741" s="1">
        <v>113.9</v>
      </c>
      <c r="M741" s="1">
        <v>0.55794999999999995</v>
      </c>
      <c r="N741" s="1">
        <v>0.68584999999999996</v>
      </c>
      <c r="O741" s="1">
        <v>0.5333</v>
      </c>
      <c r="P741" s="33">
        <v>0.56429999999999991</v>
      </c>
      <c r="Q741" s="1">
        <v>0.58260000000000001</v>
      </c>
      <c r="R741" s="1">
        <v>0.80740000000000001</v>
      </c>
      <c r="S741" s="1">
        <v>0.55794999999999995</v>
      </c>
      <c r="T741" s="1">
        <v>0.68584999999999996</v>
      </c>
      <c r="U741" s="1">
        <v>0.875</v>
      </c>
      <c r="V741" s="1">
        <v>1.3162</v>
      </c>
    </row>
    <row r="742" spans="12:22" x14ac:dyDescent="0.25">
      <c r="L742" s="1">
        <v>114</v>
      </c>
      <c r="M742" s="1">
        <v>0.55735000000000001</v>
      </c>
      <c r="N742" s="1">
        <v>0.68564999999999998</v>
      </c>
      <c r="O742" s="1">
        <v>0.5323</v>
      </c>
      <c r="P742" s="33">
        <v>0.56409999999999993</v>
      </c>
      <c r="Q742" s="1">
        <v>0.58240000000000003</v>
      </c>
      <c r="R742" s="1">
        <v>0.80720000000000003</v>
      </c>
      <c r="S742" s="1">
        <v>0.55735000000000001</v>
      </c>
      <c r="T742" s="1">
        <v>0.68564999999999998</v>
      </c>
      <c r="U742" s="1">
        <v>0.875</v>
      </c>
      <c r="V742" s="1">
        <v>1.3160000000000001</v>
      </c>
    </row>
    <row r="743" spans="12:22" x14ac:dyDescent="0.25">
      <c r="L743" s="1">
        <v>114.1</v>
      </c>
      <c r="M743" s="1">
        <v>0.55725000000000002</v>
      </c>
      <c r="N743" s="1">
        <v>0.68554999999999999</v>
      </c>
      <c r="O743" s="1">
        <v>0.53220000000000001</v>
      </c>
      <c r="P743" s="33">
        <v>0.56399999999999995</v>
      </c>
      <c r="Q743" s="1">
        <v>0.58230000000000004</v>
      </c>
      <c r="R743" s="1">
        <v>0.80710000000000004</v>
      </c>
      <c r="S743" s="1">
        <v>0.55725000000000002</v>
      </c>
      <c r="T743" s="1">
        <v>0.68554999999999999</v>
      </c>
      <c r="U743" s="1">
        <v>0.87460000000000004</v>
      </c>
      <c r="V743" s="1">
        <v>1.3158000000000001</v>
      </c>
    </row>
    <row r="744" spans="12:22" x14ac:dyDescent="0.25">
      <c r="L744" s="1">
        <v>114.2</v>
      </c>
      <c r="M744" s="1">
        <v>0.55709999999999993</v>
      </c>
      <c r="N744" s="1">
        <v>0.68540000000000001</v>
      </c>
      <c r="O744" s="1">
        <v>0.53210000000000002</v>
      </c>
      <c r="P744" s="33">
        <v>0.56379999999999997</v>
      </c>
      <c r="Q744" s="1">
        <v>0.58209999999999995</v>
      </c>
      <c r="R744" s="1">
        <v>0.80700000000000005</v>
      </c>
      <c r="S744" s="1">
        <v>0.55709999999999993</v>
      </c>
      <c r="T744" s="1">
        <v>0.68540000000000001</v>
      </c>
      <c r="U744" s="1">
        <v>0.87419999999999998</v>
      </c>
      <c r="V744" s="1">
        <v>1.3156000000000001</v>
      </c>
    </row>
    <row r="745" spans="12:22" x14ac:dyDescent="0.25">
      <c r="L745" s="1">
        <v>114.3</v>
      </c>
      <c r="M745" s="1">
        <v>0.55699999999999994</v>
      </c>
      <c r="N745" s="1">
        <v>0.68525000000000003</v>
      </c>
      <c r="O745" s="1">
        <v>0.53200000000000003</v>
      </c>
      <c r="P745" s="33">
        <v>0.56370000000000009</v>
      </c>
      <c r="Q745" s="1">
        <v>0.58199999999999996</v>
      </c>
      <c r="R745" s="1">
        <v>0.80679999999999996</v>
      </c>
      <c r="S745" s="1">
        <v>0.55699999999999994</v>
      </c>
      <c r="T745" s="1">
        <v>0.68525000000000003</v>
      </c>
      <c r="U745" s="1">
        <v>0.87380000000000002</v>
      </c>
      <c r="V745" s="1">
        <v>1.3153999999999999</v>
      </c>
    </row>
    <row r="746" spans="12:22" x14ac:dyDescent="0.25">
      <c r="L746" s="1">
        <v>114.4</v>
      </c>
      <c r="M746" s="1">
        <v>0.55689999999999995</v>
      </c>
      <c r="N746" s="1">
        <v>0.68515000000000004</v>
      </c>
      <c r="O746" s="1">
        <v>0.53190000000000004</v>
      </c>
      <c r="P746" s="33">
        <v>0.5636000000000001</v>
      </c>
      <c r="Q746" s="1">
        <v>0.58189999999999997</v>
      </c>
      <c r="R746" s="1">
        <v>0.80669999999999997</v>
      </c>
      <c r="S746" s="1">
        <v>0.55689999999999995</v>
      </c>
      <c r="T746" s="1">
        <v>0.68515000000000004</v>
      </c>
      <c r="U746" s="1">
        <v>0.87339999999999995</v>
      </c>
      <c r="V746" s="1">
        <v>1.3151999999999999</v>
      </c>
    </row>
    <row r="747" spans="12:22" x14ac:dyDescent="0.25">
      <c r="L747" s="1">
        <v>114.5</v>
      </c>
      <c r="M747" s="1">
        <v>0.55675000000000008</v>
      </c>
      <c r="N747" s="1">
        <v>0.68500000000000005</v>
      </c>
      <c r="O747" s="1">
        <v>0.53180000000000005</v>
      </c>
      <c r="P747" s="33">
        <v>0.56340000000000012</v>
      </c>
      <c r="Q747" s="1">
        <v>0.58169999999999999</v>
      </c>
      <c r="R747" s="1">
        <v>0.80659999999999998</v>
      </c>
      <c r="S747" s="1">
        <v>0.55675000000000008</v>
      </c>
      <c r="T747" s="1">
        <v>0.68500000000000005</v>
      </c>
      <c r="U747" s="1">
        <v>0.873</v>
      </c>
      <c r="V747" s="1">
        <v>1.3149999999999999</v>
      </c>
    </row>
    <row r="748" spans="12:22" x14ac:dyDescent="0.25">
      <c r="L748" s="1">
        <v>114.6</v>
      </c>
      <c r="M748" s="1">
        <v>0.55664999999999998</v>
      </c>
      <c r="N748" s="1">
        <v>0.68484999999999996</v>
      </c>
      <c r="O748" s="1">
        <v>0.53169999999999995</v>
      </c>
      <c r="P748" s="33">
        <v>0.56329999999999991</v>
      </c>
      <c r="Q748" s="1">
        <v>0.58160000000000001</v>
      </c>
      <c r="R748" s="1">
        <v>0.80640000000000001</v>
      </c>
      <c r="S748" s="1">
        <v>0.55664999999999998</v>
      </c>
      <c r="T748" s="1">
        <v>0.68484999999999996</v>
      </c>
      <c r="U748" s="1">
        <v>0.873</v>
      </c>
      <c r="V748" s="1">
        <v>1.3148</v>
      </c>
    </row>
    <row r="749" spans="12:22" x14ac:dyDescent="0.25">
      <c r="L749" s="1">
        <v>114.7</v>
      </c>
      <c r="M749" s="1">
        <v>0.55654999999999999</v>
      </c>
      <c r="N749" s="1">
        <v>0.68474999999999997</v>
      </c>
      <c r="O749" s="1">
        <v>0.53159999999999996</v>
      </c>
      <c r="P749" s="33">
        <v>0.56319999999999992</v>
      </c>
      <c r="Q749" s="1">
        <v>0.58150000000000002</v>
      </c>
      <c r="R749" s="1">
        <v>0.80630000000000002</v>
      </c>
      <c r="S749" s="1">
        <v>0.55654999999999999</v>
      </c>
      <c r="T749" s="1">
        <v>0.68474999999999997</v>
      </c>
      <c r="U749" s="1">
        <v>0.873</v>
      </c>
      <c r="V749" s="1">
        <v>1.3146</v>
      </c>
    </row>
    <row r="750" spans="12:22" x14ac:dyDescent="0.25">
      <c r="L750" s="1">
        <v>114.8</v>
      </c>
      <c r="M750" s="1">
        <v>0.55645</v>
      </c>
      <c r="N750" s="1">
        <v>0.68459999999999999</v>
      </c>
      <c r="O750" s="1">
        <v>0.53159999999999996</v>
      </c>
      <c r="P750" s="33">
        <v>0.56299999999999994</v>
      </c>
      <c r="Q750" s="1">
        <v>0.58130000000000004</v>
      </c>
      <c r="R750" s="1">
        <v>0.80620000000000003</v>
      </c>
      <c r="S750" s="1">
        <v>0.55645</v>
      </c>
      <c r="T750" s="1">
        <v>0.68459999999999999</v>
      </c>
      <c r="U750" s="1">
        <v>0.873</v>
      </c>
      <c r="V750" s="1">
        <v>1.3144</v>
      </c>
    </row>
    <row r="751" spans="12:22" x14ac:dyDescent="0.25">
      <c r="L751" s="1">
        <v>114.9</v>
      </c>
      <c r="M751" s="1">
        <v>0.55679999999999996</v>
      </c>
      <c r="N751" s="1">
        <v>0.68445</v>
      </c>
      <c r="O751" s="1">
        <v>0.53239999999999998</v>
      </c>
      <c r="P751" s="33">
        <v>0.56289999999999996</v>
      </c>
      <c r="Q751" s="1">
        <v>0.58120000000000005</v>
      </c>
      <c r="R751" s="1">
        <v>0.80600000000000005</v>
      </c>
      <c r="S751" s="1">
        <v>0.55679999999999996</v>
      </c>
      <c r="T751" s="1">
        <v>0.68445</v>
      </c>
      <c r="U751" s="1">
        <v>0.873</v>
      </c>
      <c r="V751" s="1">
        <v>1.3142</v>
      </c>
    </row>
    <row r="752" spans="12:22" x14ac:dyDescent="0.25">
      <c r="L752" s="1">
        <v>115</v>
      </c>
      <c r="M752" s="1">
        <v>0.55625000000000002</v>
      </c>
      <c r="N752" s="1">
        <v>0.68435000000000001</v>
      </c>
      <c r="O752" s="1">
        <v>0.53139999999999998</v>
      </c>
      <c r="P752" s="33">
        <v>0.56280000000000008</v>
      </c>
      <c r="Q752" s="1">
        <v>0.58109999999999995</v>
      </c>
      <c r="R752" s="1">
        <v>0.80589999999999995</v>
      </c>
      <c r="S752" s="1">
        <v>0.55625000000000002</v>
      </c>
      <c r="T752" s="1">
        <v>0.68435000000000001</v>
      </c>
      <c r="U752" s="1">
        <v>0.873</v>
      </c>
      <c r="V752" s="1">
        <v>1.3140000000000001</v>
      </c>
    </row>
    <row r="753" spans="12:22" x14ac:dyDescent="0.25">
      <c r="L753" s="1">
        <v>115.1</v>
      </c>
      <c r="M753" s="1">
        <v>0.55610000000000004</v>
      </c>
      <c r="N753" s="1">
        <v>0.68420000000000003</v>
      </c>
      <c r="O753" s="1">
        <v>0.53129999999999999</v>
      </c>
      <c r="P753" s="33">
        <v>0.5626000000000001</v>
      </c>
      <c r="Q753" s="1">
        <v>0.58089999999999997</v>
      </c>
      <c r="R753" s="1">
        <v>0.80579999999999996</v>
      </c>
      <c r="S753" s="1">
        <v>0.55610000000000004</v>
      </c>
      <c r="T753" s="1">
        <v>0.68420000000000003</v>
      </c>
      <c r="U753" s="1">
        <v>0.87260000000000004</v>
      </c>
      <c r="V753" s="1">
        <v>1.3138000000000001</v>
      </c>
    </row>
    <row r="754" spans="12:22" x14ac:dyDescent="0.25">
      <c r="L754" s="1">
        <v>115.2</v>
      </c>
      <c r="M754" s="1">
        <v>0.55600000000000005</v>
      </c>
      <c r="N754" s="1">
        <v>0.68405000000000005</v>
      </c>
      <c r="O754" s="1">
        <v>0.53120000000000001</v>
      </c>
      <c r="P754" s="33">
        <v>0.5625</v>
      </c>
      <c r="Q754" s="1">
        <v>0.58079999999999998</v>
      </c>
      <c r="R754" s="1">
        <v>0.80559999999999998</v>
      </c>
      <c r="S754" s="1">
        <v>0.55600000000000005</v>
      </c>
      <c r="T754" s="1">
        <v>0.68405000000000005</v>
      </c>
      <c r="U754" s="1">
        <v>0.87219999999999998</v>
      </c>
      <c r="V754" s="1">
        <v>1.3136000000000001</v>
      </c>
    </row>
    <row r="755" spans="12:22" x14ac:dyDescent="0.25">
      <c r="L755" s="1">
        <v>115.3</v>
      </c>
      <c r="M755" s="1">
        <v>0.55584999999999996</v>
      </c>
      <c r="N755" s="1">
        <v>0.68389999999999995</v>
      </c>
      <c r="O755" s="1">
        <v>0.53110000000000002</v>
      </c>
      <c r="P755" s="33">
        <v>0.56229999999999991</v>
      </c>
      <c r="Q755" s="1">
        <v>0.5806</v>
      </c>
      <c r="R755" s="1">
        <v>0.80549999999999999</v>
      </c>
      <c r="S755" s="1">
        <v>0.55584999999999996</v>
      </c>
      <c r="T755" s="1">
        <v>0.68389999999999995</v>
      </c>
      <c r="U755" s="1">
        <v>0.872</v>
      </c>
      <c r="V755" s="1">
        <v>1.3133999999999999</v>
      </c>
    </row>
    <row r="756" spans="12:22" x14ac:dyDescent="0.25">
      <c r="L756" s="1">
        <v>115.4</v>
      </c>
      <c r="M756" s="1">
        <v>0.55574999999999997</v>
      </c>
      <c r="N756" s="1">
        <v>0.68379999999999996</v>
      </c>
      <c r="O756" s="1">
        <v>0.53100000000000003</v>
      </c>
      <c r="P756" s="33">
        <v>0.56219999999999992</v>
      </c>
      <c r="Q756" s="1">
        <v>0.58050000000000002</v>
      </c>
      <c r="R756" s="1">
        <v>0.8054</v>
      </c>
      <c r="S756" s="1">
        <v>0.55574999999999997</v>
      </c>
      <c r="T756" s="1">
        <v>0.68379999999999996</v>
      </c>
      <c r="U756" s="1">
        <v>0.872</v>
      </c>
      <c r="V756" s="1">
        <v>1.3131999999999999</v>
      </c>
    </row>
    <row r="757" spans="12:22" x14ac:dyDescent="0.25">
      <c r="L757" s="1">
        <v>115.5</v>
      </c>
      <c r="M757" s="1">
        <v>0.55564999999999998</v>
      </c>
      <c r="N757" s="1">
        <v>0.68364999999999998</v>
      </c>
      <c r="O757" s="1">
        <v>0.53090000000000004</v>
      </c>
      <c r="P757" s="33">
        <v>0.56209999999999993</v>
      </c>
      <c r="Q757" s="1">
        <v>0.58040000000000003</v>
      </c>
      <c r="R757" s="1">
        <v>0.80520000000000003</v>
      </c>
      <c r="S757" s="1">
        <v>0.55564999999999998</v>
      </c>
      <c r="T757" s="1">
        <v>0.68364999999999998</v>
      </c>
      <c r="U757" s="1">
        <v>0.872</v>
      </c>
      <c r="V757" s="1">
        <v>1.3129999999999999</v>
      </c>
    </row>
    <row r="758" spans="12:22" x14ac:dyDescent="0.25">
      <c r="L758" s="1">
        <v>115.6</v>
      </c>
      <c r="M758" s="1">
        <v>0.55560000000000009</v>
      </c>
      <c r="N758" s="1">
        <v>0.6835</v>
      </c>
      <c r="O758" s="1">
        <v>0.53090000000000004</v>
      </c>
      <c r="P758" s="33">
        <v>0.56189999999999996</v>
      </c>
      <c r="Q758" s="1">
        <v>0.58030000000000004</v>
      </c>
      <c r="R758" s="1">
        <v>0.80510000000000004</v>
      </c>
      <c r="S758" s="1">
        <v>0.55560000000000009</v>
      </c>
      <c r="T758" s="1">
        <v>0.6835</v>
      </c>
      <c r="U758" s="1">
        <v>0.87160000000000004</v>
      </c>
      <c r="V758" s="1">
        <v>1.3128</v>
      </c>
    </row>
    <row r="759" spans="12:22" x14ac:dyDescent="0.25">
      <c r="L759" s="1">
        <v>115.7</v>
      </c>
      <c r="M759" s="1">
        <v>0.55545</v>
      </c>
      <c r="N759" s="1">
        <v>0.68340000000000001</v>
      </c>
      <c r="O759" s="1">
        <v>0.53080000000000005</v>
      </c>
      <c r="P759" s="33">
        <v>0.56179999999999997</v>
      </c>
      <c r="Q759" s="1">
        <v>0.58009999999999995</v>
      </c>
      <c r="R759" s="1">
        <v>0.80500000000000005</v>
      </c>
      <c r="S759" s="1">
        <v>0.55545</v>
      </c>
      <c r="T759" s="1">
        <v>0.68340000000000001</v>
      </c>
      <c r="U759" s="1">
        <v>0.87119999999999997</v>
      </c>
      <c r="V759" s="1">
        <v>1.3126</v>
      </c>
    </row>
    <row r="760" spans="12:22" x14ac:dyDescent="0.25">
      <c r="L760" s="1">
        <v>115.8</v>
      </c>
      <c r="M760" s="1">
        <v>0.55535000000000001</v>
      </c>
      <c r="N760" s="1">
        <v>0.68330000000000002</v>
      </c>
      <c r="O760" s="1">
        <v>0.53069999999999995</v>
      </c>
      <c r="P760" s="33">
        <v>0.56170000000000009</v>
      </c>
      <c r="Q760" s="1">
        <v>0.57999999999999996</v>
      </c>
      <c r="R760" s="1">
        <v>0.80489999999999995</v>
      </c>
      <c r="S760" s="1">
        <v>0.55535000000000001</v>
      </c>
      <c r="T760" s="1">
        <v>0.68330000000000002</v>
      </c>
      <c r="U760" s="1">
        <v>0.871</v>
      </c>
      <c r="V760" s="1">
        <v>1.3124</v>
      </c>
    </row>
    <row r="761" spans="12:22" x14ac:dyDescent="0.25">
      <c r="L761" s="1">
        <v>115.9</v>
      </c>
      <c r="M761" s="1">
        <v>0.55569999999999997</v>
      </c>
      <c r="N761" s="1">
        <v>0.68310000000000004</v>
      </c>
      <c r="O761" s="1">
        <v>0.53149999999999997</v>
      </c>
      <c r="P761" s="33">
        <v>0.56150000000000011</v>
      </c>
      <c r="Q761" s="1">
        <v>0.57989999999999997</v>
      </c>
      <c r="R761" s="1">
        <v>0.80469999999999997</v>
      </c>
      <c r="S761" s="1">
        <v>0.55569999999999997</v>
      </c>
      <c r="T761" s="1">
        <v>0.68310000000000004</v>
      </c>
      <c r="U761" s="1">
        <v>0.871</v>
      </c>
      <c r="V761" s="1">
        <v>1.3122</v>
      </c>
    </row>
    <row r="762" spans="12:22" x14ac:dyDescent="0.25">
      <c r="L762" s="1">
        <v>116</v>
      </c>
      <c r="M762" s="1">
        <v>0.55509999999999993</v>
      </c>
      <c r="N762" s="1">
        <v>0.68300000000000005</v>
      </c>
      <c r="O762" s="1">
        <v>0.53049999999999997</v>
      </c>
      <c r="P762" s="33">
        <v>0.56140000000000012</v>
      </c>
      <c r="Q762" s="1">
        <v>0.57969999999999999</v>
      </c>
      <c r="R762" s="1">
        <v>0.80459999999999998</v>
      </c>
      <c r="S762" s="1">
        <v>0.55509999999999993</v>
      </c>
      <c r="T762" s="1">
        <v>0.68300000000000005</v>
      </c>
      <c r="U762" s="1">
        <v>0.871</v>
      </c>
      <c r="V762" s="1">
        <v>1.3120000000000001</v>
      </c>
    </row>
    <row r="763" spans="12:22" x14ac:dyDescent="0.25">
      <c r="L763" s="1">
        <v>116.1</v>
      </c>
      <c r="M763" s="1">
        <v>0.55500000000000005</v>
      </c>
      <c r="N763" s="1">
        <v>0.68289999999999995</v>
      </c>
      <c r="O763" s="1">
        <v>0.53039999999999998</v>
      </c>
      <c r="P763" s="33">
        <v>0.56129999999999991</v>
      </c>
      <c r="Q763" s="1">
        <v>0.5796</v>
      </c>
      <c r="R763" s="1">
        <v>0.80449999999999999</v>
      </c>
      <c r="S763" s="1">
        <v>0.55500000000000005</v>
      </c>
      <c r="T763" s="1">
        <v>0.68289999999999995</v>
      </c>
      <c r="U763" s="1">
        <v>0.87060000000000004</v>
      </c>
      <c r="V763" s="1">
        <v>1.3118000000000001</v>
      </c>
    </row>
    <row r="764" spans="12:22" x14ac:dyDescent="0.25">
      <c r="L764" s="1">
        <v>116.2</v>
      </c>
      <c r="M764" s="1">
        <v>0.55489999999999995</v>
      </c>
      <c r="N764" s="1">
        <v>0.68269999999999997</v>
      </c>
      <c r="O764" s="1">
        <v>0.53029999999999999</v>
      </c>
      <c r="P764" s="33">
        <v>0.56109999999999993</v>
      </c>
      <c r="Q764" s="1">
        <v>0.57950000000000002</v>
      </c>
      <c r="R764" s="1">
        <v>0.80430000000000001</v>
      </c>
      <c r="S764" s="1">
        <v>0.55489999999999995</v>
      </c>
      <c r="T764" s="1">
        <v>0.68269999999999997</v>
      </c>
      <c r="U764" s="1">
        <v>0.87019999999999997</v>
      </c>
      <c r="V764" s="1">
        <v>1.3116000000000001</v>
      </c>
    </row>
    <row r="765" spans="12:22" x14ac:dyDescent="0.25">
      <c r="L765" s="1">
        <v>116.3</v>
      </c>
      <c r="M765" s="1">
        <v>0.55475000000000008</v>
      </c>
      <c r="N765" s="1">
        <v>0.68259999999999998</v>
      </c>
      <c r="O765" s="1">
        <v>0.5302</v>
      </c>
      <c r="P765" s="33">
        <v>0.56099999999999994</v>
      </c>
      <c r="Q765" s="1">
        <v>0.57930000000000004</v>
      </c>
      <c r="R765" s="1">
        <v>0.80420000000000003</v>
      </c>
      <c r="S765" s="1">
        <v>0.55475000000000008</v>
      </c>
      <c r="T765" s="1">
        <v>0.68259999999999998</v>
      </c>
      <c r="U765" s="1">
        <v>0.87</v>
      </c>
      <c r="V765" s="1">
        <v>1.3113999999999999</v>
      </c>
    </row>
    <row r="766" spans="12:22" x14ac:dyDescent="0.25">
      <c r="L766" s="1">
        <v>116.4</v>
      </c>
      <c r="M766" s="1">
        <v>0.55469999999999997</v>
      </c>
      <c r="N766" s="1">
        <v>0.6825</v>
      </c>
      <c r="O766" s="1">
        <v>0.5302</v>
      </c>
      <c r="P766" s="33">
        <v>0.56089999999999995</v>
      </c>
      <c r="Q766" s="1">
        <v>0.57920000000000005</v>
      </c>
      <c r="R766" s="1">
        <v>0.80410000000000004</v>
      </c>
      <c r="S766" s="1">
        <v>0.55469999999999997</v>
      </c>
      <c r="T766" s="1">
        <v>0.6825</v>
      </c>
      <c r="U766" s="1">
        <v>0.87</v>
      </c>
      <c r="V766" s="1">
        <v>1.3111999999999999</v>
      </c>
    </row>
    <row r="767" spans="12:22" x14ac:dyDescent="0.25">
      <c r="L767" s="1">
        <v>116.5</v>
      </c>
      <c r="M767" s="1">
        <v>0.55459999999999998</v>
      </c>
      <c r="N767" s="1">
        <v>0.68235000000000001</v>
      </c>
      <c r="O767" s="1">
        <v>0.53010000000000002</v>
      </c>
      <c r="P767" s="33">
        <v>0.56069999999999998</v>
      </c>
      <c r="Q767" s="1">
        <v>0.57909999999999995</v>
      </c>
      <c r="R767" s="1">
        <v>0.80400000000000005</v>
      </c>
      <c r="S767" s="1">
        <v>0.55459999999999998</v>
      </c>
      <c r="T767" s="1">
        <v>0.68235000000000001</v>
      </c>
      <c r="U767" s="1">
        <v>0.87</v>
      </c>
      <c r="V767" s="1">
        <v>1.3109999999999999</v>
      </c>
    </row>
    <row r="768" spans="12:22" x14ac:dyDescent="0.25">
      <c r="L768" s="1">
        <v>116.6</v>
      </c>
      <c r="M768" s="1">
        <v>0.55449999999999999</v>
      </c>
      <c r="N768" s="1">
        <v>0.68220000000000003</v>
      </c>
      <c r="O768" s="1">
        <v>0.53</v>
      </c>
      <c r="P768" s="33">
        <v>0.5606000000000001</v>
      </c>
      <c r="Q768" s="1">
        <v>0.57899999999999996</v>
      </c>
      <c r="R768" s="1">
        <v>0.80379999999999996</v>
      </c>
      <c r="S768" s="1">
        <v>0.55449999999999999</v>
      </c>
      <c r="T768" s="1">
        <v>0.68220000000000003</v>
      </c>
      <c r="U768" s="1">
        <v>0.86960000000000004</v>
      </c>
      <c r="V768" s="1">
        <v>1.3108</v>
      </c>
    </row>
    <row r="769" spans="12:22" x14ac:dyDescent="0.25">
      <c r="L769" s="1">
        <v>116.7</v>
      </c>
      <c r="M769" s="1">
        <v>0.55435000000000001</v>
      </c>
      <c r="N769" s="1">
        <v>0.68210000000000004</v>
      </c>
      <c r="O769" s="1">
        <v>0.52990000000000004</v>
      </c>
      <c r="P769" s="33">
        <v>0.56050000000000011</v>
      </c>
      <c r="Q769" s="1">
        <v>0.57879999999999998</v>
      </c>
      <c r="R769" s="1">
        <v>0.80369999999999997</v>
      </c>
      <c r="S769" s="1">
        <v>0.55435000000000001</v>
      </c>
      <c r="T769" s="1">
        <v>0.68210000000000004</v>
      </c>
      <c r="U769" s="1">
        <v>0.86919999999999997</v>
      </c>
      <c r="V769" s="1">
        <v>1.3106</v>
      </c>
    </row>
    <row r="770" spans="12:22" x14ac:dyDescent="0.25">
      <c r="L770" s="1">
        <v>116.8</v>
      </c>
      <c r="M770" s="1">
        <v>0.55425000000000002</v>
      </c>
      <c r="N770" s="1">
        <v>0.68194999999999995</v>
      </c>
      <c r="O770" s="1">
        <v>0.52980000000000005</v>
      </c>
      <c r="P770" s="33">
        <v>0.56029999999999991</v>
      </c>
      <c r="Q770" s="1">
        <v>0.57869999999999999</v>
      </c>
      <c r="R770" s="1">
        <v>0.80359999999999998</v>
      </c>
      <c r="S770" s="1">
        <v>0.55425000000000002</v>
      </c>
      <c r="T770" s="1">
        <v>0.68194999999999995</v>
      </c>
      <c r="U770" s="1">
        <v>0.86899999999999999</v>
      </c>
      <c r="V770" s="1">
        <v>1.3104</v>
      </c>
    </row>
    <row r="771" spans="12:22" x14ac:dyDescent="0.25">
      <c r="L771" s="1">
        <v>116.9</v>
      </c>
      <c r="M771" s="1">
        <v>0.55459999999999998</v>
      </c>
      <c r="N771" s="1">
        <v>0.68179999999999996</v>
      </c>
      <c r="O771" s="1">
        <v>0.53059999999999996</v>
      </c>
      <c r="P771" s="33">
        <v>0.56019999999999992</v>
      </c>
      <c r="Q771" s="1">
        <v>0.5786</v>
      </c>
      <c r="R771" s="1">
        <v>0.8034</v>
      </c>
      <c r="S771" s="1">
        <v>0.55459999999999998</v>
      </c>
      <c r="T771" s="1">
        <v>0.68179999999999996</v>
      </c>
      <c r="U771" s="1">
        <v>0.86899999999999999</v>
      </c>
      <c r="V771" s="1">
        <v>1.3102</v>
      </c>
    </row>
    <row r="772" spans="12:22" x14ac:dyDescent="0.25">
      <c r="L772" s="1">
        <v>117</v>
      </c>
      <c r="M772" s="1">
        <v>0.55404999999999993</v>
      </c>
      <c r="N772" s="1">
        <v>0.68169999999999997</v>
      </c>
      <c r="O772" s="1">
        <v>0.52959999999999996</v>
      </c>
      <c r="P772" s="33">
        <v>0.56009999999999993</v>
      </c>
      <c r="Q772" s="1">
        <v>0.57850000000000001</v>
      </c>
      <c r="R772" s="1">
        <v>0.80330000000000001</v>
      </c>
      <c r="S772" s="1">
        <v>0.55404999999999993</v>
      </c>
      <c r="T772" s="1">
        <v>0.68169999999999997</v>
      </c>
      <c r="U772" s="1">
        <v>0.86899999999999999</v>
      </c>
      <c r="V772" s="1">
        <v>1.31</v>
      </c>
    </row>
    <row r="773" spans="12:22" x14ac:dyDescent="0.25">
      <c r="L773" s="1">
        <v>117.1</v>
      </c>
      <c r="M773" s="1">
        <v>0.55394999999999994</v>
      </c>
      <c r="N773" s="1">
        <v>0.68154999999999999</v>
      </c>
      <c r="O773" s="1">
        <v>0.52959999999999996</v>
      </c>
      <c r="P773" s="33">
        <v>0.55989999999999995</v>
      </c>
      <c r="Q773" s="1">
        <v>0.57830000000000004</v>
      </c>
      <c r="R773" s="1">
        <v>0.80320000000000003</v>
      </c>
      <c r="S773" s="1">
        <v>0.55394999999999994</v>
      </c>
      <c r="T773" s="1">
        <v>0.68154999999999999</v>
      </c>
      <c r="U773" s="1">
        <v>0.86860000000000004</v>
      </c>
      <c r="V773" s="1">
        <v>1.3098000000000001</v>
      </c>
    </row>
    <row r="774" spans="12:22" x14ac:dyDescent="0.25">
      <c r="L774" s="1">
        <v>117.2</v>
      </c>
      <c r="M774" s="1">
        <v>0.55384999999999995</v>
      </c>
      <c r="N774" s="1">
        <v>0.68145</v>
      </c>
      <c r="O774" s="1">
        <v>0.52949999999999997</v>
      </c>
      <c r="P774" s="33">
        <v>0.55979999999999996</v>
      </c>
      <c r="Q774" s="1">
        <v>0.57820000000000005</v>
      </c>
      <c r="R774" s="1">
        <v>0.80310000000000004</v>
      </c>
      <c r="S774" s="1">
        <v>0.55384999999999995</v>
      </c>
      <c r="T774" s="1">
        <v>0.68145</v>
      </c>
      <c r="U774" s="1">
        <v>0.86819999999999997</v>
      </c>
      <c r="V774" s="1">
        <v>1.3096000000000001</v>
      </c>
    </row>
    <row r="775" spans="12:22" x14ac:dyDescent="0.25">
      <c r="L775" s="1">
        <v>117.3</v>
      </c>
      <c r="M775" s="1">
        <v>0.55374999999999996</v>
      </c>
      <c r="N775" s="1">
        <v>0.68130000000000002</v>
      </c>
      <c r="O775" s="1">
        <v>0.52939999999999998</v>
      </c>
      <c r="P775" s="33">
        <v>0.55970000000000009</v>
      </c>
      <c r="Q775" s="1">
        <v>0.57809999999999995</v>
      </c>
      <c r="R775" s="1">
        <v>0.80289999999999995</v>
      </c>
      <c r="S775" s="1">
        <v>0.55374999999999996</v>
      </c>
      <c r="T775" s="1">
        <v>0.68130000000000002</v>
      </c>
      <c r="U775" s="1">
        <v>0.86799999999999999</v>
      </c>
      <c r="V775" s="1">
        <v>1.3093999999999999</v>
      </c>
    </row>
    <row r="776" spans="12:22" x14ac:dyDescent="0.25">
      <c r="L776" s="1">
        <v>117.4</v>
      </c>
      <c r="M776" s="1">
        <v>0.55364999999999998</v>
      </c>
      <c r="N776" s="1">
        <v>0.68115000000000003</v>
      </c>
      <c r="O776" s="1">
        <v>0.52929999999999999</v>
      </c>
      <c r="P776" s="33">
        <v>0.55950000000000011</v>
      </c>
      <c r="Q776" s="1">
        <v>0.57799999999999996</v>
      </c>
      <c r="R776" s="1">
        <v>0.80279999999999996</v>
      </c>
      <c r="S776" s="1">
        <v>0.55364999999999998</v>
      </c>
      <c r="T776" s="1">
        <v>0.68115000000000003</v>
      </c>
      <c r="U776" s="1">
        <v>0.86799999999999999</v>
      </c>
      <c r="V776" s="1">
        <v>1.3091999999999999</v>
      </c>
    </row>
    <row r="777" spans="12:22" x14ac:dyDescent="0.25">
      <c r="L777" s="1">
        <v>117.5</v>
      </c>
      <c r="M777" s="1">
        <v>0.55349999999999999</v>
      </c>
      <c r="N777" s="1">
        <v>0.68105000000000004</v>
      </c>
      <c r="O777" s="1">
        <v>0.5292</v>
      </c>
      <c r="P777" s="33">
        <v>0.55940000000000012</v>
      </c>
      <c r="Q777" s="1">
        <v>0.57779999999999998</v>
      </c>
      <c r="R777" s="1">
        <v>0.80269999999999997</v>
      </c>
      <c r="S777" s="1">
        <v>0.55349999999999999</v>
      </c>
      <c r="T777" s="1">
        <v>0.68105000000000004</v>
      </c>
      <c r="U777" s="1">
        <v>0.86799999999999999</v>
      </c>
      <c r="V777" s="1">
        <v>1.3089999999999999</v>
      </c>
    </row>
    <row r="778" spans="12:22" x14ac:dyDescent="0.25">
      <c r="L778" s="1">
        <v>117.6</v>
      </c>
      <c r="M778" s="1">
        <v>0.5534</v>
      </c>
      <c r="N778" s="1">
        <v>0.68095000000000006</v>
      </c>
      <c r="O778" s="1">
        <v>0.52910000000000001</v>
      </c>
      <c r="P778" s="33">
        <v>0.55930000000000013</v>
      </c>
      <c r="Q778" s="1">
        <v>0.57769999999999999</v>
      </c>
      <c r="R778" s="1">
        <v>0.80259999999999998</v>
      </c>
      <c r="S778" s="1">
        <v>0.5534</v>
      </c>
      <c r="T778" s="1">
        <v>0.68095000000000006</v>
      </c>
      <c r="U778" s="1">
        <v>0.86799999999999999</v>
      </c>
      <c r="V778" s="1">
        <v>1.3089999999999999</v>
      </c>
    </row>
    <row r="779" spans="12:22" x14ac:dyDescent="0.25">
      <c r="L779" s="1">
        <v>117.7</v>
      </c>
      <c r="M779" s="1">
        <v>0.55330000000000001</v>
      </c>
      <c r="N779" s="1">
        <v>0.68074999999999997</v>
      </c>
      <c r="O779" s="1">
        <v>0.52900000000000003</v>
      </c>
      <c r="P779" s="33">
        <v>0.55909999999999993</v>
      </c>
      <c r="Q779" s="1">
        <v>0.5776</v>
      </c>
      <c r="R779" s="1">
        <v>0.8024</v>
      </c>
      <c r="S779" s="1">
        <v>0.55330000000000001</v>
      </c>
      <c r="T779" s="1">
        <v>0.68074999999999997</v>
      </c>
      <c r="U779" s="1">
        <v>0.86799999999999999</v>
      </c>
      <c r="V779" s="1">
        <v>1.3089999999999999</v>
      </c>
    </row>
    <row r="780" spans="12:22" x14ac:dyDescent="0.25">
      <c r="L780" s="1">
        <v>117.8</v>
      </c>
      <c r="M780" s="1">
        <v>0.55325000000000002</v>
      </c>
      <c r="N780" s="1">
        <v>0.68064999999999998</v>
      </c>
      <c r="O780" s="1">
        <v>0.52900000000000003</v>
      </c>
      <c r="P780" s="33">
        <v>0.55899999999999994</v>
      </c>
      <c r="Q780" s="1">
        <v>0.57750000000000001</v>
      </c>
      <c r="R780" s="1">
        <v>0.80230000000000001</v>
      </c>
      <c r="S780" s="1">
        <v>0.55325000000000002</v>
      </c>
      <c r="T780" s="1">
        <v>0.68064999999999998</v>
      </c>
      <c r="U780" s="1">
        <v>0.86780000000000002</v>
      </c>
      <c r="V780" s="1">
        <v>1.3089999999999999</v>
      </c>
    </row>
    <row r="781" spans="12:22" x14ac:dyDescent="0.25">
      <c r="L781" s="1">
        <v>117.9</v>
      </c>
      <c r="M781" s="1">
        <v>0.55354999999999999</v>
      </c>
      <c r="N781" s="1">
        <v>0.68054999999999999</v>
      </c>
      <c r="O781" s="1">
        <v>0.52969999999999995</v>
      </c>
      <c r="P781" s="33">
        <v>0.55889999999999995</v>
      </c>
      <c r="Q781" s="1">
        <v>0.57740000000000002</v>
      </c>
      <c r="R781" s="1">
        <v>0.80220000000000002</v>
      </c>
      <c r="S781" s="1">
        <v>0.55354999999999999</v>
      </c>
      <c r="T781" s="1">
        <v>0.68054999999999999</v>
      </c>
      <c r="U781" s="1">
        <v>0.86739999999999995</v>
      </c>
      <c r="V781" s="1">
        <v>1.3089999999999999</v>
      </c>
    </row>
    <row r="782" spans="12:22" x14ac:dyDescent="0.25">
      <c r="L782" s="1">
        <v>118</v>
      </c>
      <c r="M782" s="1">
        <v>0.55300000000000005</v>
      </c>
      <c r="N782" s="1">
        <v>0.6804</v>
      </c>
      <c r="O782" s="1">
        <v>0.52880000000000005</v>
      </c>
      <c r="P782" s="33">
        <v>0.55869999999999997</v>
      </c>
      <c r="Q782" s="1">
        <v>0.57720000000000005</v>
      </c>
      <c r="R782" s="1">
        <v>0.80210000000000004</v>
      </c>
      <c r="S782" s="1">
        <v>0.55300000000000005</v>
      </c>
      <c r="T782" s="1">
        <v>0.6804</v>
      </c>
      <c r="U782" s="1">
        <v>0.86699999999999999</v>
      </c>
      <c r="V782" s="1">
        <v>1.3089999999999999</v>
      </c>
    </row>
    <row r="783" spans="12:22" x14ac:dyDescent="0.25">
      <c r="L783" s="1">
        <v>118.1</v>
      </c>
      <c r="M783" s="1">
        <v>0.55289999999999995</v>
      </c>
      <c r="N783" s="1">
        <v>0.68030000000000002</v>
      </c>
      <c r="O783" s="1">
        <v>0.52869999999999995</v>
      </c>
      <c r="P783" s="33">
        <v>0.55859999999999999</v>
      </c>
      <c r="Q783" s="1">
        <v>0.57709999999999995</v>
      </c>
      <c r="R783" s="1">
        <v>0.80200000000000005</v>
      </c>
      <c r="S783" s="1">
        <v>0.55289999999999995</v>
      </c>
      <c r="T783" s="1">
        <v>0.68030000000000002</v>
      </c>
      <c r="U783" s="1">
        <v>0.86699999999999999</v>
      </c>
      <c r="V783" s="1">
        <v>1.3088</v>
      </c>
    </row>
    <row r="784" spans="12:22" x14ac:dyDescent="0.25">
      <c r="L784" s="1">
        <v>118.2</v>
      </c>
      <c r="M784" s="1">
        <v>0.55279999999999996</v>
      </c>
      <c r="N784" s="1">
        <v>0.68015000000000003</v>
      </c>
      <c r="O784" s="1">
        <v>0.52859999999999996</v>
      </c>
      <c r="P784" s="33">
        <v>0.55850000000000011</v>
      </c>
      <c r="Q784" s="1">
        <v>0.57699999999999996</v>
      </c>
      <c r="R784" s="1">
        <v>0.80179999999999996</v>
      </c>
      <c r="S784" s="1">
        <v>0.55279999999999996</v>
      </c>
      <c r="T784" s="1">
        <v>0.68015000000000003</v>
      </c>
      <c r="U784" s="1">
        <v>0.86699999999999999</v>
      </c>
      <c r="V784" s="1">
        <v>1.3086</v>
      </c>
    </row>
    <row r="785" spans="12:22" x14ac:dyDescent="0.25">
      <c r="L785" s="1">
        <v>118.3</v>
      </c>
      <c r="M785" s="1">
        <v>0.55269999999999997</v>
      </c>
      <c r="N785" s="1">
        <v>0.68</v>
      </c>
      <c r="O785" s="1">
        <v>0.52849999999999997</v>
      </c>
      <c r="P785" s="33">
        <v>0.55830000000000013</v>
      </c>
      <c r="Q785" s="1">
        <v>0.57689999999999997</v>
      </c>
      <c r="R785" s="1">
        <v>0.80169999999999997</v>
      </c>
      <c r="S785" s="1">
        <v>0.55269999999999997</v>
      </c>
      <c r="T785" s="1">
        <v>0.68</v>
      </c>
      <c r="U785" s="1">
        <v>0.86680000000000001</v>
      </c>
      <c r="V785" s="1">
        <v>1.3084</v>
      </c>
    </row>
    <row r="786" spans="12:22" x14ac:dyDescent="0.25">
      <c r="L786" s="1">
        <v>118.4</v>
      </c>
      <c r="M786" s="1">
        <v>0.55259999999999998</v>
      </c>
      <c r="N786" s="1">
        <v>0.67989999999999995</v>
      </c>
      <c r="O786" s="1">
        <v>0.52839999999999998</v>
      </c>
      <c r="P786" s="33">
        <v>0.55819999999999992</v>
      </c>
      <c r="Q786" s="1">
        <v>0.57679999999999998</v>
      </c>
      <c r="R786" s="1">
        <v>0.80159999999999998</v>
      </c>
      <c r="S786" s="1">
        <v>0.55259999999999998</v>
      </c>
      <c r="T786" s="1">
        <v>0.67989999999999995</v>
      </c>
      <c r="U786" s="1">
        <v>0.86639999999999995</v>
      </c>
      <c r="V786" s="1">
        <v>1.3082</v>
      </c>
    </row>
    <row r="787" spans="12:22" x14ac:dyDescent="0.25">
      <c r="L787" s="1">
        <v>118.5</v>
      </c>
      <c r="M787" s="1">
        <v>0.55245</v>
      </c>
      <c r="N787" s="1">
        <v>0.67979999999999996</v>
      </c>
      <c r="O787" s="1">
        <v>0.52829999999999999</v>
      </c>
      <c r="P787" s="33">
        <v>0.55809999999999993</v>
      </c>
      <c r="Q787" s="1">
        <v>0.5766</v>
      </c>
      <c r="R787" s="1">
        <v>0.80149999999999999</v>
      </c>
      <c r="S787" s="1">
        <v>0.55245</v>
      </c>
      <c r="T787" s="1">
        <v>0.67979999999999996</v>
      </c>
      <c r="U787" s="1">
        <v>0.86599999999999999</v>
      </c>
      <c r="V787" s="1">
        <v>1.3080000000000001</v>
      </c>
    </row>
    <row r="788" spans="12:22" x14ac:dyDescent="0.25">
      <c r="L788" s="1">
        <v>118.6</v>
      </c>
      <c r="M788" s="1">
        <v>0.5524</v>
      </c>
      <c r="N788" s="1">
        <v>0.67959999999999998</v>
      </c>
      <c r="O788" s="1">
        <v>0.52829999999999999</v>
      </c>
      <c r="P788" s="33">
        <v>0.55789999999999995</v>
      </c>
      <c r="Q788" s="1">
        <v>0.57650000000000001</v>
      </c>
      <c r="R788" s="1">
        <v>0.80130000000000001</v>
      </c>
      <c r="S788" s="1">
        <v>0.5524</v>
      </c>
      <c r="T788" s="1">
        <v>0.67959999999999998</v>
      </c>
      <c r="U788" s="1">
        <v>0.86599999999999999</v>
      </c>
      <c r="V788" s="1">
        <v>1.3078000000000001</v>
      </c>
    </row>
    <row r="789" spans="12:22" x14ac:dyDescent="0.25">
      <c r="L789" s="1">
        <v>118.7</v>
      </c>
      <c r="M789" s="1">
        <v>0.55230000000000001</v>
      </c>
      <c r="N789" s="1">
        <v>0.67949999999999999</v>
      </c>
      <c r="O789" s="1">
        <v>0.5282</v>
      </c>
      <c r="P789" s="33">
        <v>0.55779999999999996</v>
      </c>
      <c r="Q789" s="1">
        <v>0.57640000000000002</v>
      </c>
      <c r="R789" s="1">
        <v>0.80120000000000002</v>
      </c>
      <c r="S789" s="1">
        <v>0.55230000000000001</v>
      </c>
      <c r="T789" s="1">
        <v>0.67949999999999999</v>
      </c>
      <c r="U789" s="1">
        <v>0.86599999999999999</v>
      </c>
      <c r="V789" s="1">
        <v>1.3076000000000001</v>
      </c>
    </row>
    <row r="790" spans="12:22" x14ac:dyDescent="0.25">
      <c r="L790" s="1">
        <v>118.8</v>
      </c>
      <c r="M790" s="1">
        <v>0.55220000000000002</v>
      </c>
      <c r="N790" s="1">
        <v>0.6794</v>
      </c>
      <c r="O790" s="1">
        <v>0.52810000000000001</v>
      </c>
      <c r="P790" s="33">
        <v>0.55769999999999997</v>
      </c>
      <c r="Q790" s="1">
        <v>0.57630000000000003</v>
      </c>
      <c r="R790" s="1">
        <v>0.80110000000000003</v>
      </c>
      <c r="S790" s="1">
        <v>0.55220000000000002</v>
      </c>
      <c r="T790" s="1">
        <v>0.6794</v>
      </c>
      <c r="U790" s="1">
        <v>0.86599999999999999</v>
      </c>
      <c r="V790" s="1">
        <v>1.3073999999999999</v>
      </c>
    </row>
    <row r="791" spans="12:22" x14ac:dyDescent="0.25">
      <c r="L791" s="1">
        <v>118.9</v>
      </c>
      <c r="M791" s="1">
        <v>0.5525500000000001</v>
      </c>
      <c r="N791" s="1">
        <v>0.67925000000000002</v>
      </c>
      <c r="O791" s="1">
        <v>0.52890000000000004</v>
      </c>
      <c r="P791" s="33">
        <v>0.5575</v>
      </c>
      <c r="Q791" s="1">
        <v>0.57620000000000005</v>
      </c>
      <c r="R791" s="1">
        <v>0.80100000000000005</v>
      </c>
      <c r="S791" s="1">
        <v>0.5525500000000001</v>
      </c>
      <c r="T791" s="1">
        <v>0.67925000000000002</v>
      </c>
      <c r="U791" s="1">
        <v>0.86599999999999999</v>
      </c>
      <c r="V791" s="1">
        <v>1.3071999999999999</v>
      </c>
    </row>
    <row r="792" spans="12:22" x14ac:dyDescent="0.25">
      <c r="L792" s="1">
        <v>119</v>
      </c>
      <c r="M792" s="1">
        <v>0.55200000000000005</v>
      </c>
      <c r="N792" s="1">
        <v>0.67915000000000003</v>
      </c>
      <c r="O792" s="1">
        <v>0.52790000000000004</v>
      </c>
      <c r="P792" s="33">
        <v>0.55740000000000012</v>
      </c>
      <c r="Q792" s="1">
        <v>0.57609999999999995</v>
      </c>
      <c r="R792" s="1">
        <v>0.80089999999999995</v>
      </c>
      <c r="S792" s="1">
        <v>0.55200000000000005</v>
      </c>
      <c r="T792" s="1">
        <v>0.67915000000000003</v>
      </c>
      <c r="U792" s="1">
        <v>0.86599999999999999</v>
      </c>
      <c r="V792" s="1">
        <v>1.3069999999999999</v>
      </c>
    </row>
    <row r="793" spans="12:22" x14ac:dyDescent="0.25">
      <c r="L793" s="1">
        <v>119.1</v>
      </c>
      <c r="M793" s="1">
        <v>0.55184999999999995</v>
      </c>
      <c r="N793" s="1">
        <v>0.67900000000000005</v>
      </c>
      <c r="O793" s="1">
        <v>0.52780000000000005</v>
      </c>
      <c r="P793" s="33">
        <v>0.55730000000000013</v>
      </c>
      <c r="Q793" s="1">
        <v>0.57589999999999997</v>
      </c>
      <c r="R793" s="1">
        <v>0.80069999999999997</v>
      </c>
      <c r="S793" s="1">
        <v>0.55184999999999995</v>
      </c>
      <c r="T793" s="1">
        <v>0.67900000000000005</v>
      </c>
      <c r="U793" s="1">
        <v>0.86560000000000004</v>
      </c>
      <c r="V793" s="1">
        <v>1.3068</v>
      </c>
    </row>
    <row r="794" spans="12:22" x14ac:dyDescent="0.25">
      <c r="L794" s="1">
        <v>119.2</v>
      </c>
      <c r="M794" s="1">
        <v>0.55174999999999996</v>
      </c>
      <c r="N794" s="1">
        <v>0.67884999999999995</v>
      </c>
      <c r="O794" s="1">
        <v>0.52769999999999995</v>
      </c>
      <c r="P794" s="33">
        <v>0.55709999999999993</v>
      </c>
      <c r="Q794" s="1">
        <v>0.57579999999999998</v>
      </c>
      <c r="R794" s="1">
        <v>0.80059999999999998</v>
      </c>
      <c r="S794" s="1">
        <v>0.55174999999999996</v>
      </c>
      <c r="T794" s="1">
        <v>0.67884999999999995</v>
      </c>
      <c r="U794" s="1">
        <v>0.86519999999999997</v>
      </c>
      <c r="V794" s="1">
        <v>1.3066</v>
      </c>
    </row>
    <row r="795" spans="12:22" x14ac:dyDescent="0.25">
      <c r="L795" s="1">
        <v>119.3</v>
      </c>
      <c r="M795" s="1">
        <v>0.55164999999999997</v>
      </c>
      <c r="N795" s="1">
        <v>0.67874999999999996</v>
      </c>
      <c r="O795" s="1">
        <v>0.52759999999999996</v>
      </c>
      <c r="P795" s="33">
        <v>0.55699999999999994</v>
      </c>
      <c r="Q795" s="1">
        <v>0.57569999999999999</v>
      </c>
      <c r="R795" s="1">
        <v>0.80049999999999999</v>
      </c>
      <c r="S795" s="1">
        <v>0.55164999999999997</v>
      </c>
      <c r="T795" s="1">
        <v>0.67874999999999996</v>
      </c>
      <c r="U795" s="1">
        <v>0.86499999999999999</v>
      </c>
      <c r="V795" s="1">
        <v>1.3064</v>
      </c>
    </row>
    <row r="796" spans="12:22" x14ac:dyDescent="0.25">
      <c r="L796" s="1">
        <v>119.4</v>
      </c>
      <c r="M796" s="1">
        <v>0.55154999999999998</v>
      </c>
      <c r="N796" s="1">
        <v>0.67864999999999998</v>
      </c>
      <c r="O796" s="1">
        <v>0.52749999999999997</v>
      </c>
      <c r="P796" s="33">
        <v>0.55689999999999995</v>
      </c>
      <c r="Q796" s="1">
        <v>0.5756</v>
      </c>
      <c r="R796" s="1">
        <v>0.8004</v>
      </c>
      <c r="S796" s="1">
        <v>0.55154999999999998</v>
      </c>
      <c r="T796" s="1">
        <v>0.67864999999999998</v>
      </c>
      <c r="U796" s="1">
        <v>0.86499999999999999</v>
      </c>
      <c r="V796" s="1">
        <v>1.3062</v>
      </c>
    </row>
    <row r="797" spans="12:22" x14ac:dyDescent="0.25">
      <c r="L797" s="1">
        <v>119.5</v>
      </c>
      <c r="M797" s="1">
        <v>0.55145</v>
      </c>
      <c r="N797" s="1">
        <v>0.67849999999999999</v>
      </c>
      <c r="O797" s="1">
        <v>0.52739999999999998</v>
      </c>
      <c r="P797" s="33">
        <v>0.55669999999999997</v>
      </c>
      <c r="Q797" s="1">
        <v>0.57550000000000001</v>
      </c>
      <c r="R797" s="1">
        <v>0.80030000000000001</v>
      </c>
      <c r="S797" s="1">
        <v>0.55145</v>
      </c>
      <c r="T797" s="1">
        <v>0.67849999999999999</v>
      </c>
      <c r="U797" s="1">
        <v>0.86499999999999999</v>
      </c>
      <c r="V797" s="1">
        <v>1.306</v>
      </c>
    </row>
    <row r="798" spans="12:22" x14ac:dyDescent="0.25">
      <c r="L798" s="1">
        <v>119.6</v>
      </c>
      <c r="M798" s="1">
        <v>0.5514</v>
      </c>
      <c r="N798" s="1">
        <v>0.67835000000000001</v>
      </c>
      <c r="O798" s="1">
        <v>0.52739999999999998</v>
      </c>
      <c r="P798" s="33">
        <v>0.55659999999999998</v>
      </c>
      <c r="Q798" s="1">
        <v>0.57540000000000002</v>
      </c>
      <c r="R798" s="1">
        <v>0.80010000000000003</v>
      </c>
      <c r="S798" s="1">
        <v>0.5514</v>
      </c>
      <c r="T798" s="1">
        <v>0.67835000000000001</v>
      </c>
      <c r="U798" s="1">
        <v>0.86460000000000004</v>
      </c>
      <c r="V798" s="1">
        <v>1.3056000000000001</v>
      </c>
    </row>
    <row r="799" spans="12:22" x14ac:dyDescent="0.25">
      <c r="L799" s="1">
        <v>119.7</v>
      </c>
      <c r="M799" s="1">
        <v>0.55130000000000001</v>
      </c>
      <c r="N799" s="1">
        <v>0.67825000000000002</v>
      </c>
      <c r="O799" s="1">
        <v>0.52729999999999999</v>
      </c>
      <c r="P799" s="33">
        <v>0.55649999999999999</v>
      </c>
      <c r="Q799" s="1">
        <v>0.57530000000000003</v>
      </c>
      <c r="R799" s="1">
        <v>0.8</v>
      </c>
      <c r="S799" s="1">
        <v>0.55130000000000001</v>
      </c>
      <c r="T799" s="1">
        <v>0.67825000000000002</v>
      </c>
      <c r="U799" s="1">
        <v>0.86419999999999997</v>
      </c>
      <c r="V799" s="1">
        <v>1.3052000000000001</v>
      </c>
    </row>
    <row r="800" spans="12:22" x14ac:dyDescent="0.25">
      <c r="L800" s="1">
        <v>119.8</v>
      </c>
      <c r="M800" s="1">
        <v>0.55115000000000003</v>
      </c>
      <c r="N800" s="1">
        <v>0.67810000000000004</v>
      </c>
      <c r="O800" s="1">
        <v>0.5272</v>
      </c>
      <c r="P800" s="33">
        <v>0.55630000000000002</v>
      </c>
      <c r="Q800" s="1">
        <v>0.57509999999999994</v>
      </c>
      <c r="R800" s="1">
        <v>0.79990000000000006</v>
      </c>
      <c r="S800" s="1">
        <v>0.55115000000000003</v>
      </c>
      <c r="T800" s="1">
        <v>0.67810000000000004</v>
      </c>
      <c r="U800" s="1">
        <v>0.86399999999999999</v>
      </c>
      <c r="V800" s="1">
        <v>1.3048</v>
      </c>
    </row>
    <row r="801" spans="12:22" x14ac:dyDescent="0.25">
      <c r="L801" s="1">
        <v>119.9</v>
      </c>
      <c r="M801" s="1">
        <v>0.55149999999999999</v>
      </c>
      <c r="N801" s="1">
        <v>0.67800000000000005</v>
      </c>
      <c r="O801" s="1">
        <v>0.52800000000000002</v>
      </c>
      <c r="P801" s="33">
        <v>0.55620000000000014</v>
      </c>
      <c r="Q801" s="1">
        <v>0.57499999999999996</v>
      </c>
      <c r="R801" s="1">
        <v>0.79979999999999996</v>
      </c>
      <c r="S801" s="1">
        <v>0.55149999999999999</v>
      </c>
      <c r="T801" s="1">
        <v>0.67800000000000005</v>
      </c>
      <c r="U801" s="1">
        <v>0.86399999999999999</v>
      </c>
      <c r="V801" s="1">
        <v>1.3044</v>
      </c>
    </row>
    <row r="802" spans="12:22" x14ac:dyDescent="0.25">
      <c r="L802" s="1">
        <v>120</v>
      </c>
      <c r="M802" s="1">
        <v>0.55095000000000005</v>
      </c>
      <c r="N802" s="1">
        <v>0.67789999999999995</v>
      </c>
      <c r="O802" s="1">
        <v>0.52700000000000002</v>
      </c>
      <c r="P802" s="33">
        <v>0.55609999999999993</v>
      </c>
      <c r="Q802" s="1">
        <v>0.57489999999999997</v>
      </c>
      <c r="R802" s="1">
        <v>0.79969999999999997</v>
      </c>
      <c r="S802" s="1">
        <v>0.55095000000000005</v>
      </c>
      <c r="T802" s="1">
        <v>0.67789999999999995</v>
      </c>
      <c r="U802" s="1">
        <v>0.86399999999999999</v>
      </c>
      <c r="V802" s="1">
        <v>1.304</v>
      </c>
    </row>
    <row r="803" spans="12:22" x14ac:dyDescent="0.25">
      <c r="L803" s="1">
        <v>120.1</v>
      </c>
      <c r="M803" s="1">
        <v>0.55085000000000006</v>
      </c>
      <c r="N803" s="1">
        <v>0.67769999999999997</v>
      </c>
      <c r="O803" s="1">
        <v>0.52690000000000003</v>
      </c>
      <c r="P803" s="33">
        <v>0.55589999999999995</v>
      </c>
      <c r="Q803" s="1">
        <v>0.57479999999999998</v>
      </c>
      <c r="R803" s="1">
        <v>0.79949999999999999</v>
      </c>
      <c r="S803" s="1">
        <v>0.55085000000000006</v>
      </c>
      <c r="T803" s="1">
        <v>0.67769999999999997</v>
      </c>
      <c r="U803" s="1">
        <v>0.86399999999999999</v>
      </c>
      <c r="V803" s="1">
        <v>1.3032000000000001</v>
      </c>
    </row>
    <row r="804" spans="12:22" x14ac:dyDescent="0.25">
      <c r="L804" s="1">
        <v>120.2</v>
      </c>
      <c r="M804" s="1">
        <v>0.55075000000000007</v>
      </c>
      <c r="N804" s="1">
        <v>0.67759999999999998</v>
      </c>
      <c r="O804" s="1">
        <v>0.52680000000000005</v>
      </c>
      <c r="P804" s="33">
        <v>0.55579999999999996</v>
      </c>
      <c r="Q804" s="1">
        <v>0.57469999999999999</v>
      </c>
      <c r="R804" s="1">
        <v>0.7994</v>
      </c>
      <c r="S804" s="1">
        <v>0.55075000000000007</v>
      </c>
      <c r="T804" s="1">
        <v>0.67759999999999998</v>
      </c>
      <c r="U804" s="1">
        <v>0.86399999999999999</v>
      </c>
      <c r="V804" s="1">
        <v>1.3024</v>
      </c>
    </row>
    <row r="805" spans="12:22" x14ac:dyDescent="0.25">
      <c r="L805" s="1">
        <v>120.3</v>
      </c>
      <c r="M805" s="1">
        <v>0.55064999999999997</v>
      </c>
      <c r="N805" s="1">
        <v>0.67749999999999999</v>
      </c>
      <c r="O805" s="1">
        <v>0.52669999999999995</v>
      </c>
      <c r="P805" s="33">
        <v>0.55569999999999997</v>
      </c>
      <c r="Q805" s="1">
        <v>0.5746</v>
      </c>
      <c r="R805" s="1">
        <v>0.79930000000000001</v>
      </c>
      <c r="S805" s="1">
        <v>0.55064999999999997</v>
      </c>
      <c r="T805" s="1">
        <v>0.67749999999999999</v>
      </c>
      <c r="U805" s="1">
        <v>0.86380000000000001</v>
      </c>
      <c r="V805" s="1">
        <v>1.3016000000000001</v>
      </c>
    </row>
    <row r="806" spans="12:22" x14ac:dyDescent="0.25">
      <c r="L806" s="1">
        <v>120.4</v>
      </c>
      <c r="M806" s="1">
        <v>0.55054999999999998</v>
      </c>
      <c r="N806" s="1">
        <v>0.67735000000000001</v>
      </c>
      <c r="O806" s="1">
        <v>0.52659999999999996</v>
      </c>
      <c r="P806" s="33">
        <v>0.55549999999999999</v>
      </c>
      <c r="Q806" s="1">
        <v>0.57450000000000001</v>
      </c>
      <c r="R806" s="1">
        <v>0.79920000000000002</v>
      </c>
      <c r="S806" s="1">
        <v>0.55054999999999998</v>
      </c>
      <c r="T806" s="1">
        <v>0.67735000000000001</v>
      </c>
      <c r="U806" s="1">
        <v>0.86339999999999995</v>
      </c>
      <c r="V806" s="1">
        <v>1.3008</v>
      </c>
    </row>
    <row r="807" spans="12:22" x14ac:dyDescent="0.25">
      <c r="L807" s="1">
        <v>120.5</v>
      </c>
      <c r="M807" s="1">
        <v>0.55044999999999999</v>
      </c>
      <c r="N807" s="1">
        <v>0.67725000000000002</v>
      </c>
      <c r="O807" s="1">
        <v>0.52649999999999997</v>
      </c>
      <c r="P807" s="33">
        <v>0.5554</v>
      </c>
      <c r="Q807" s="1">
        <v>0.57440000000000002</v>
      </c>
      <c r="R807" s="1">
        <v>0.79910000000000003</v>
      </c>
      <c r="S807" s="1">
        <v>0.55044999999999999</v>
      </c>
      <c r="T807" s="1">
        <v>0.67725000000000002</v>
      </c>
      <c r="U807" s="1">
        <v>0.86299999999999999</v>
      </c>
      <c r="V807" s="1">
        <v>1.3</v>
      </c>
    </row>
    <row r="808" spans="12:22" x14ac:dyDescent="0.25">
      <c r="L808" s="1">
        <v>120.6</v>
      </c>
      <c r="M808" s="1">
        <v>0.55035000000000001</v>
      </c>
      <c r="N808" s="1">
        <v>0.67710000000000004</v>
      </c>
      <c r="O808" s="1">
        <v>0.52639999999999998</v>
      </c>
      <c r="P808" s="33">
        <v>0.55530000000000002</v>
      </c>
      <c r="Q808" s="1">
        <v>0.57430000000000003</v>
      </c>
      <c r="R808" s="1">
        <v>0.79890000000000005</v>
      </c>
      <c r="S808" s="1">
        <v>0.55035000000000001</v>
      </c>
      <c r="T808" s="1">
        <v>0.67710000000000004</v>
      </c>
      <c r="U808" s="1">
        <v>0.86299999999999999</v>
      </c>
      <c r="V808" s="1">
        <v>1.298</v>
      </c>
    </row>
    <row r="809" spans="12:22" x14ac:dyDescent="0.25">
      <c r="L809" s="1">
        <v>120.7</v>
      </c>
      <c r="M809" s="1">
        <v>0.55025000000000002</v>
      </c>
      <c r="N809" s="1">
        <v>0.67695000000000005</v>
      </c>
      <c r="O809" s="1">
        <v>0.52629999999999999</v>
      </c>
      <c r="P809" s="33">
        <v>0.55510000000000015</v>
      </c>
      <c r="Q809" s="1">
        <v>0.57420000000000004</v>
      </c>
      <c r="R809" s="1">
        <v>0.79879999999999995</v>
      </c>
      <c r="S809" s="1">
        <v>0.55025000000000002</v>
      </c>
      <c r="T809" s="1">
        <v>0.67695000000000005</v>
      </c>
      <c r="U809" s="1">
        <v>0.86299999999999999</v>
      </c>
      <c r="V809" s="1">
        <v>1.296</v>
      </c>
    </row>
    <row r="810" spans="12:22" x14ac:dyDescent="0.25">
      <c r="L810" s="1">
        <v>120.8</v>
      </c>
      <c r="M810" s="1">
        <v>0.55010000000000003</v>
      </c>
      <c r="N810" s="1">
        <v>0.67684999999999995</v>
      </c>
      <c r="O810" s="1">
        <v>0.5262</v>
      </c>
      <c r="P810" s="33">
        <v>0.55500000000000005</v>
      </c>
      <c r="Q810" s="1">
        <v>0.57399999999999995</v>
      </c>
      <c r="R810" s="1">
        <v>0.79869999999999997</v>
      </c>
      <c r="S810" s="1">
        <v>0.55010000000000003</v>
      </c>
      <c r="T810" s="1">
        <v>0.67684999999999995</v>
      </c>
      <c r="U810" s="1">
        <v>0.86280000000000001</v>
      </c>
      <c r="V810" s="1">
        <v>1.294</v>
      </c>
    </row>
    <row r="811" spans="12:22" x14ac:dyDescent="0.25">
      <c r="L811" s="1">
        <v>120.9</v>
      </c>
      <c r="M811" s="1">
        <v>0.55049999999999999</v>
      </c>
      <c r="N811" s="1">
        <v>0.67674999999999996</v>
      </c>
      <c r="O811" s="1">
        <v>0.52710000000000001</v>
      </c>
      <c r="P811" s="33">
        <v>0.55489999999999995</v>
      </c>
      <c r="Q811" s="1">
        <v>0.57389999999999997</v>
      </c>
      <c r="R811" s="1">
        <v>0.79859999999999998</v>
      </c>
      <c r="S811" s="1">
        <v>0.55049999999999999</v>
      </c>
      <c r="T811" s="1">
        <v>0.67674999999999996</v>
      </c>
      <c r="U811" s="1">
        <v>0.86239999999999994</v>
      </c>
      <c r="V811" s="1">
        <v>1.292</v>
      </c>
    </row>
    <row r="812" spans="12:22" x14ac:dyDescent="0.25">
      <c r="L812" s="1">
        <v>121</v>
      </c>
      <c r="M812" s="1">
        <v>0.54990000000000006</v>
      </c>
      <c r="N812" s="1">
        <v>0.67659999999999998</v>
      </c>
      <c r="O812" s="1">
        <v>0.52600000000000002</v>
      </c>
      <c r="P812" s="33">
        <v>0.55469999999999997</v>
      </c>
      <c r="Q812" s="1">
        <v>0.57379999999999998</v>
      </c>
      <c r="R812" s="1">
        <v>0.79849999999999999</v>
      </c>
      <c r="S812" s="1">
        <v>0.54990000000000006</v>
      </c>
      <c r="T812" s="1">
        <v>0.67659999999999998</v>
      </c>
      <c r="U812" s="1">
        <v>0.86199999999999999</v>
      </c>
      <c r="V812" s="1">
        <v>1.29</v>
      </c>
    </row>
    <row r="813" spans="12:22" x14ac:dyDescent="0.25">
      <c r="L813" s="1">
        <v>121.1</v>
      </c>
      <c r="M813" s="1">
        <v>0.54980000000000007</v>
      </c>
      <c r="N813" s="1">
        <v>0.67649999999999999</v>
      </c>
      <c r="O813" s="1">
        <v>0.52590000000000003</v>
      </c>
      <c r="P813" s="33">
        <v>0.55459999999999998</v>
      </c>
      <c r="Q813" s="1">
        <v>0.57369999999999999</v>
      </c>
      <c r="R813" s="1">
        <v>0.7984</v>
      </c>
      <c r="S813" s="1">
        <v>0.54980000000000007</v>
      </c>
      <c r="T813" s="1">
        <v>0.67649999999999999</v>
      </c>
      <c r="U813" s="1">
        <v>0.86199999999999999</v>
      </c>
      <c r="V813" s="1">
        <v>1.2878000000000001</v>
      </c>
    </row>
    <row r="814" spans="12:22" x14ac:dyDescent="0.25">
      <c r="L814" s="1">
        <v>121.2</v>
      </c>
      <c r="M814" s="1">
        <v>0.54970000000000008</v>
      </c>
      <c r="N814" s="1">
        <v>0.67635000000000001</v>
      </c>
      <c r="O814" s="1">
        <v>0.52580000000000005</v>
      </c>
      <c r="P814" s="33">
        <v>0.55449999999999999</v>
      </c>
      <c r="Q814" s="1">
        <v>0.5736</v>
      </c>
      <c r="R814" s="1">
        <v>0.79820000000000002</v>
      </c>
      <c r="S814" s="1">
        <v>0.54970000000000008</v>
      </c>
      <c r="T814" s="1">
        <v>0.67635000000000001</v>
      </c>
      <c r="U814" s="1">
        <v>0.86199999999999999</v>
      </c>
      <c r="V814" s="1">
        <v>1.2856000000000001</v>
      </c>
    </row>
    <row r="815" spans="12:22" x14ac:dyDescent="0.25">
      <c r="L815" s="1">
        <v>121.3</v>
      </c>
      <c r="M815" s="1">
        <v>0.54959999999999998</v>
      </c>
      <c r="N815" s="1">
        <v>0.67620000000000002</v>
      </c>
      <c r="O815" s="1">
        <v>0.52569999999999995</v>
      </c>
      <c r="P815" s="33">
        <v>0.55430000000000001</v>
      </c>
      <c r="Q815" s="1">
        <v>0.57350000000000001</v>
      </c>
      <c r="R815" s="1">
        <v>0.79810000000000003</v>
      </c>
      <c r="S815" s="1">
        <v>0.54959999999999998</v>
      </c>
      <c r="T815" s="1">
        <v>0.67620000000000002</v>
      </c>
      <c r="U815" s="1">
        <v>0.86199999999999999</v>
      </c>
      <c r="V815" s="1">
        <v>1.2833999999999999</v>
      </c>
    </row>
    <row r="816" spans="12:22" x14ac:dyDescent="0.25">
      <c r="L816" s="1">
        <v>121.4</v>
      </c>
      <c r="M816" s="1">
        <v>0.54949999999999999</v>
      </c>
      <c r="N816" s="1">
        <v>0.67610000000000003</v>
      </c>
      <c r="O816" s="1">
        <v>0.52559999999999996</v>
      </c>
      <c r="P816" s="33">
        <v>0.55420000000000003</v>
      </c>
      <c r="Q816" s="1">
        <v>0.57340000000000002</v>
      </c>
      <c r="R816" s="1">
        <v>0.79800000000000004</v>
      </c>
      <c r="S816" s="1">
        <v>0.54949999999999999</v>
      </c>
      <c r="T816" s="1">
        <v>0.67610000000000003</v>
      </c>
      <c r="U816" s="1">
        <v>0.86199999999999999</v>
      </c>
      <c r="V816" s="1">
        <v>1.2811999999999999</v>
      </c>
    </row>
    <row r="817" spans="12:22" x14ac:dyDescent="0.25">
      <c r="L817" s="1">
        <v>121.5</v>
      </c>
      <c r="M817" s="1">
        <v>0.5494</v>
      </c>
      <c r="N817" s="1">
        <v>0.67600000000000005</v>
      </c>
      <c r="O817" s="1">
        <v>0.52549999999999997</v>
      </c>
      <c r="P817" s="33">
        <v>0.55410000000000004</v>
      </c>
      <c r="Q817" s="1">
        <v>0.57330000000000003</v>
      </c>
      <c r="R817" s="1">
        <v>0.79790000000000005</v>
      </c>
      <c r="S817" s="1">
        <v>0.5494</v>
      </c>
      <c r="T817" s="1">
        <v>0.67600000000000005</v>
      </c>
      <c r="U817" s="1">
        <v>0.86199999999999999</v>
      </c>
      <c r="V817" s="1">
        <v>1.2789999999999999</v>
      </c>
    </row>
    <row r="818" spans="12:22" x14ac:dyDescent="0.25">
      <c r="L818" s="1">
        <v>121.6</v>
      </c>
      <c r="M818" s="1">
        <v>0.54930000000000001</v>
      </c>
      <c r="N818" s="1">
        <v>0.67584999999999995</v>
      </c>
      <c r="O818" s="1">
        <v>0.52539999999999998</v>
      </c>
      <c r="P818" s="33">
        <v>0.55389999999999995</v>
      </c>
      <c r="Q818" s="1">
        <v>0.57320000000000004</v>
      </c>
      <c r="R818" s="1">
        <v>0.79779999999999995</v>
      </c>
      <c r="S818" s="1">
        <v>0.54930000000000001</v>
      </c>
      <c r="T818" s="1">
        <v>0.67584999999999995</v>
      </c>
      <c r="U818" s="1">
        <v>0.86160000000000003</v>
      </c>
      <c r="V818" s="1">
        <v>1.2767999999999999</v>
      </c>
    </row>
    <row r="819" spans="12:22" x14ac:dyDescent="0.25">
      <c r="L819" s="1">
        <v>121.7</v>
      </c>
      <c r="M819" s="1">
        <v>0.54920000000000002</v>
      </c>
      <c r="N819" s="1">
        <v>0.67574999999999996</v>
      </c>
      <c r="O819" s="1">
        <v>0.52529999999999999</v>
      </c>
      <c r="P819" s="33">
        <v>0.55379999999999996</v>
      </c>
      <c r="Q819" s="1">
        <v>0.57310000000000005</v>
      </c>
      <c r="R819" s="1">
        <v>0.79769999999999996</v>
      </c>
      <c r="S819" s="1">
        <v>0.54920000000000002</v>
      </c>
      <c r="T819" s="1">
        <v>0.67574999999999996</v>
      </c>
      <c r="U819" s="1">
        <v>0.86119999999999997</v>
      </c>
      <c r="V819" s="1">
        <v>1.2746</v>
      </c>
    </row>
    <row r="820" spans="12:22" x14ac:dyDescent="0.25">
      <c r="L820" s="1">
        <v>121.8</v>
      </c>
      <c r="M820" s="1">
        <v>0.54905000000000004</v>
      </c>
      <c r="N820" s="1">
        <v>0.67559999999999998</v>
      </c>
      <c r="O820" s="1">
        <v>0.52510000000000001</v>
      </c>
      <c r="P820" s="33">
        <v>0.55369999999999997</v>
      </c>
      <c r="Q820" s="1">
        <v>0.57299999999999995</v>
      </c>
      <c r="R820" s="1">
        <v>0.79749999999999999</v>
      </c>
      <c r="S820" s="1">
        <v>0.54905000000000004</v>
      </c>
      <c r="T820" s="1">
        <v>0.67559999999999998</v>
      </c>
      <c r="U820" s="1">
        <v>0.86099999999999999</v>
      </c>
      <c r="V820" s="1">
        <v>1.2724</v>
      </c>
    </row>
    <row r="821" spans="12:22" x14ac:dyDescent="0.25">
      <c r="L821" s="1">
        <v>121.9</v>
      </c>
      <c r="M821" s="1">
        <v>0.54949999999999999</v>
      </c>
      <c r="N821" s="1">
        <v>0.67549999999999999</v>
      </c>
      <c r="O821" s="1">
        <v>0.52610000000000001</v>
      </c>
      <c r="P821" s="33">
        <v>0.55359999999999998</v>
      </c>
      <c r="Q821" s="1">
        <v>0.57289999999999996</v>
      </c>
      <c r="R821" s="1">
        <v>0.7974</v>
      </c>
      <c r="S821" s="1">
        <v>0.54949999999999999</v>
      </c>
      <c r="T821" s="1">
        <v>0.67549999999999999</v>
      </c>
      <c r="U821" s="1">
        <v>0.86099999999999999</v>
      </c>
      <c r="V821" s="1">
        <v>1.2702</v>
      </c>
    </row>
    <row r="822" spans="12:22" x14ac:dyDescent="0.25">
      <c r="L822" s="1">
        <v>122</v>
      </c>
      <c r="M822" s="1">
        <v>0.54885000000000006</v>
      </c>
      <c r="N822" s="1">
        <v>0.67535000000000001</v>
      </c>
      <c r="O822" s="1">
        <v>0.52490000000000003</v>
      </c>
      <c r="P822" s="33">
        <v>0.5534</v>
      </c>
      <c r="Q822" s="1">
        <v>0.57279999999999998</v>
      </c>
      <c r="R822" s="1">
        <v>0.79730000000000001</v>
      </c>
      <c r="S822" s="1">
        <v>0.54885000000000006</v>
      </c>
      <c r="T822" s="1">
        <v>0.67535000000000001</v>
      </c>
      <c r="U822" s="1">
        <v>0.86099999999999999</v>
      </c>
      <c r="V822" s="1">
        <v>1.268</v>
      </c>
    </row>
    <row r="823" spans="12:22" x14ac:dyDescent="0.25">
      <c r="L823" s="1">
        <v>122.1</v>
      </c>
      <c r="M823" s="1">
        <v>0.54874999999999996</v>
      </c>
      <c r="N823" s="1">
        <v>0.67525000000000002</v>
      </c>
      <c r="O823" s="1">
        <v>0.52480000000000004</v>
      </c>
      <c r="P823" s="33">
        <v>0.55330000000000001</v>
      </c>
      <c r="Q823" s="1">
        <v>0.57269999999999999</v>
      </c>
      <c r="R823" s="1">
        <v>0.79720000000000002</v>
      </c>
      <c r="S823" s="1">
        <v>0.54874999999999996</v>
      </c>
      <c r="T823" s="1">
        <v>0.67525000000000002</v>
      </c>
      <c r="U823" s="1">
        <v>0.86099999999999999</v>
      </c>
      <c r="V823" s="1">
        <v>1.2658</v>
      </c>
    </row>
    <row r="824" spans="12:22" x14ac:dyDescent="0.25">
      <c r="L824" s="1">
        <v>122.2</v>
      </c>
      <c r="M824" s="1">
        <v>0.54865000000000008</v>
      </c>
      <c r="N824" s="1">
        <v>0.67515000000000003</v>
      </c>
      <c r="O824" s="1">
        <v>0.52470000000000006</v>
      </c>
      <c r="P824" s="33">
        <v>0.55320000000000003</v>
      </c>
      <c r="Q824" s="1">
        <v>0.5726</v>
      </c>
      <c r="R824" s="1">
        <v>0.79710000000000003</v>
      </c>
      <c r="S824" s="1">
        <v>0.54865000000000008</v>
      </c>
      <c r="T824" s="1">
        <v>0.67515000000000003</v>
      </c>
      <c r="U824" s="1">
        <v>0.86099999999999999</v>
      </c>
      <c r="V824" s="1">
        <v>1.2636000000000001</v>
      </c>
    </row>
    <row r="825" spans="12:22" x14ac:dyDescent="0.25">
      <c r="L825" s="1">
        <v>122.3</v>
      </c>
      <c r="M825" s="1">
        <v>0.54854999999999998</v>
      </c>
      <c r="N825" s="1">
        <v>0.67500000000000004</v>
      </c>
      <c r="O825" s="1">
        <v>0.52459999999999996</v>
      </c>
      <c r="P825" s="33">
        <v>0.55300000000000005</v>
      </c>
      <c r="Q825" s="1">
        <v>0.57250000000000001</v>
      </c>
      <c r="R825" s="1">
        <v>0.79700000000000004</v>
      </c>
      <c r="S825" s="1">
        <v>0.54854999999999998</v>
      </c>
      <c r="T825" s="1">
        <v>0.67500000000000004</v>
      </c>
      <c r="U825" s="1">
        <v>0.86099999999999999</v>
      </c>
      <c r="V825" s="1">
        <v>1.2613999999999999</v>
      </c>
    </row>
    <row r="826" spans="12:22" x14ac:dyDescent="0.25">
      <c r="L826" s="1">
        <v>122.4</v>
      </c>
      <c r="M826" s="1">
        <v>0.54844999999999999</v>
      </c>
      <c r="N826" s="1">
        <v>0.67490000000000006</v>
      </c>
      <c r="O826" s="1">
        <v>0.52449999999999997</v>
      </c>
      <c r="P826" s="33">
        <v>0.55290000000000006</v>
      </c>
      <c r="Q826" s="1">
        <v>0.57240000000000002</v>
      </c>
      <c r="R826" s="1">
        <v>0.79690000000000005</v>
      </c>
      <c r="S826" s="1">
        <v>0.54844999999999999</v>
      </c>
      <c r="T826" s="1">
        <v>0.67490000000000006</v>
      </c>
      <c r="U826" s="1">
        <v>0.86099999999999999</v>
      </c>
      <c r="V826" s="1">
        <v>1.2591999999999999</v>
      </c>
    </row>
    <row r="827" spans="12:22" x14ac:dyDescent="0.25">
      <c r="L827" s="1">
        <v>122.5</v>
      </c>
      <c r="M827" s="1">
        <v>0.54830000000000001</v>
      </c>
      <c r="N827" s="1">
        <v>0.67474999999999996</v>
      </c>
      <c r="O827" s="1">
        <v>0.52429999999999999</v>
      </c>
      <c r="P827" s="33">
        <v>0.55279999999999996</v>
      </c>
      <c r="Q827" s="1">
        <v>0.57230000000000003</v>
      </c>
      <c r="R827" s="1">
        <v>0.79669999999999996</v>
      </c>
      <c r="S827" s="1">
        <v>0.54830000000000001</v>
      </c>
      <c r="T827" s="1">
        <v>0.67474999999999996</v>
      </c>
      <c r="U827" s="1">
        <v>0.86099999999999999</v>
      </c>
      <c r="V827" s="1">
        <v>1.2569999999999999</v>
      </c>
    </row>
    <row r="828" spans="12:22" x14ac:dyDescent="0.25">
      <c r="L828" s="1">
        <v>122.6</v>
      </c>
      <c r="M828" s="1">
        <v>0.54820000000000002</v>
      </c>
      <c r="N828" s="1">
        <v>0.67459999999999998</v>
      </c>
      <c r="O828" s="1">
        <v>0.5242</v>
      </c>
      <c r="P828" s="33">
        <v>0.55259999999999998</v>
      </c>
      <c r="Q828" s="1">
        <v>0.57220000000000004</v>
      </c>
      <c r="R828" s="1">
        <v>0.79659999999999997</v>
      </c>
      <c r="S828" s="1">
        <v>0.54820000000000002</v>
      </c>
      <c r="T828" s="1">
        <v>0.67459999999999998</v>
      </c>
      <c r="U828" s="1">
        <v>0.86060000000000003</v>
      </c>
      <c r="V828" s="1">
        <v>1.2547999999999999</v>
      </c>
    </row>
    <row r="829" spans="12:22" x14ac:dyDescent="0.25">
      <c r="L829" s="1">
        <v>122.7</v>
      </c>
      <c r="M829" s="1">
        <v>0.54810000000000003</v>
      </c>
      <c r="N829" s="1">
        <v>0.67449999999999999</v>
      </c>
      <c r="O829" s="1">
        <v>0.52410000000000001</v>
      </c>
      <c r="P829" s="33">
        <v>0.55249999999999999</v>
      </c>
      <c r="Q829" s="1">
        <v>0.57210000000000005</v>
      </c>
      <c r="R829" s="1">
        <v>0.79649999999999999</v>
      </c>
      <c r="S829" s="1">
        <v>0.54810000000000003</v>
      </c>
      <c r="T829" s="1">
        <v>0.67449999999999999</v>
      </c>
      <c r="U829" s="1">
        <v>0.86019999999999996</v>
      </c>
      <c r="V829" s="1">
        <v>1.2525999999999999</v>
      </c>
    </row>
    <row r="830" spans="12:22" x14ac:dyDescent="0.25">
      <c r="L830" s="1">
        <v>122.8</v>
      </c>
      <c r="M830" s="1">
        <v>0.54800000000000004</v>
      </c>
      <c r="N830" s="1">
        <v>0.6744</v>
      </c>
      <c r="O830" s="1">
        <v>0.52400000000000002</v>
      </c>
      <c r="P830" s="33">
        <v>0.5524</v>
      </c>
      <c r="Q830" s="1">
        <v>0.57199999999999995</v>
      </c>
      <c r="R830" s="1">
        <v>0.7964</v>
      </c>
      <c r="S830" s="1">
        <v>0.54800000000000004</v>
      </c>
      <c r="T830" s="1">
        <v>0.6744</v>
      </c>
      <c r="U830" s="1">
        <v>0.86</v>
      </c>
      <c r="V830" s="1">
        <v>1.2504</v>
      </c>
    </row>
    <row r="831" spans="12:22" x14ac:dyDescent="0.25">
      <c r="L831" s="1">
        <v>122.9</v>
      </c>
      <c r="M831" s="1">
        <v>0.54844999999999999</v>
      </c>
      <c r="N831" s="1">
        <v>0.67425000000000002</v>
      </c>
      <c r="O831" s="1">
        <v>0.52500000000000002</v>
      </c>
      <c r="P831" s="33">
        <v>0.55220000000000002</v>
      </c>
      <c r="Q831" s="1">
        <v>0.57189999999999996</v>
      </c>
      <c r="R831" s="1">
        <v>0.79630000000000001</v>
      </c>
      <c r="S831" s="1">
        <v>0.54844999999999999</v>
      </c>
      <c r="T831" s="1">
        <v>0.67425000000000002</v>
      </c>
      <c r="U831" s="1">
        <v>0.86</v>
      </c>
      <c r="V831" s="1">
        <v>1.2482</v>
      </c>
    </row>
    <row r="832" spans="12:22" x14ac:dyDescent="0.25">
      <c r="L832" s="1">
        <v>123</v>
      </c>
      <c r="M832" s="1">
        <v>0.54774999999999996</v>
      </c>
      <c r="N832" s="1">
        <v>0.67415000000000003</v>
      </c>
      <c r="O832" s="1">
        <v>0.52370000000000005</v>
      </c>
      <c r="P832" s="33">
        <v>0.55210000000000004</v>
      </c>
      <c r="Q832" s="1">
        <v>0.57179999999999997</v>
      </c>
      <c r="R832" s="1">
        <v>0.79620000000000002</v>
      </c>
      <c r="S832" s="1">
        <v>0.54774999999999996</v>
      </c>
      <c r="T832" s="1">
        <v>0.67415000000000003</v>
      </c>
      <c r="U832" s="1">
        <v>0.86</v>
      </c>
      <c r="V832" s="1">
        <v>1.246</v>
      </c>
    </row>
    <row r="833" spans="12:22" x14ac:dyDescent="0.25">
      <c r="L833" s="1">
        <v>123.1</v>
      </c>
      <c r="M833" s="1">
        <v>0.54764999999999997</v>
      </c>
      <c r="N833" s="1">
        <v>0.67400000000000004</v>
      </c>
      <c r="O833" s="1">
        <v>0.52359999999999995</v>
      </c>
      <c r="P833" s="33">
        <v>0.55200000000000005</v>
      </c>
      <c r="Q833" s="1">
        <v>0.57169999999999999</v>
      </c>
      <c r="R833" s="1">
        <v>0.79600000000000004</v>
      </c>
      <c r="S833" s="1">
        <v>0.54764999999999997</v>
      </c>
      <c r="T833" s="1">
        <v>0.67400000000000004</v>
      </c>
      <c r="U833" s="1">
        <v>0.86</v>
      </c>
      <c r="V833" s="1">
        <v>1.2442</v>
      </c>
    </row>
    <row r="834" spans="12:22" x14ac:dyDescent="0.25">
      <c r="L834" s="1">
        <v>123.2</v>
      </c>
      <c r="M834" s="1">
        <v>0.54754999999999998</v>
      </c>
      <c r="N834" s="1">
        <v>0.67390000000000005</v>
      </c>
      <c r="O834" s="1">
        <v>0.52349999999999997</v>
      </c>
      <c r="P834" s="33">
        <v>0.55190000000000006</v>
      </c>
      <c r="Q834" s="1">
        <v>0.5716</v>
      </c>
      <c r="R834" s="1">
        <v>0.79590000000000005</v>
      </c>
      <c r="S834" s="1">
        <v>0.54754999999999998</v>
      </c>
      <c r="T834" s="1">
        <v>0.67390000000000005</v>
      </c>
      <c r="U834" s="1">
        <v>0.86</v>
      </c>
      <c r="V834" s="1">
        <v>1.2423999999999999</v>
      </c>
    </row>
    <row r="835" spans="12:22" x14ac:dyDescent="0.25">
      <c r="L835" s="1">
        <v>123.3</v>
      </c>
      <c r="M835" s="1">
        <v>0.54744999999999999</v>
      </c>
      <c r="N835" s="1">
        <v>0.67374999999999996</v>
      </c>
      <c r="O835" s="1">
        <v>0.52339999999999998</v>
      </c>
      <c r="P835" s="33">
        <v>0.55169999999999997</v>
      </c>
      <c r="Q835" s="1">
        <v>0.57150000000000001</v>
      </c>
      <c r="R835" s="1">
        <v>0.79579999999999995</v>
      </c>
      <c r="S835" s="1">
        <v>0.54744999999999999</v>
      </c>
      <c r="T835" s="1">
        <v>0.67374999999999996</v>
      </c>
      <c r="U835" s="1">
        <v>0.86</v>
      </c>
      <c r="V835" s="1">
        <v>1.2406000000000001</v>
      </c>
    </row>
    <row r="836" spans="12:22" x14ac:dyDescent="0.25">
      <c r="L836" s="1">
        <v>123.4</v>
      </c>
      <c r="M836" s="1">
        <v>0.54730000000000001</v>
      </c>
      <c r="N836" s="1">
        <v>0.67364999999999997</v>
      </c>
      <c r="O836" s="1">
        <v>0.5232</v>
      </c>
      <c r="P836" s="33">
        <v>0.55159999999999998</v>
      </c>
      <c r="Q836" s="1">
        <v>0.57140000000000002</v>
      </c>
      <c r="R836" s="1">
        <v>0.79569999999999996</v>
      </c>
      <c r="S836" s="1">
        <v>0.54730000000000001</v>
      </c>
      <c r="T836" s="1">
        <v>0.67364999999999997</v>
      </c>
      <c r="U836" s="1">
        <v>0.86</v>
      </c>
      <c r="V836" s="1">
        <v>1.2388000000000001</v>
      </c>
    </row>
    <row r="837" spans="12:22" x14ac:dyDescent="0.25">
      <c r="L837" s="1">
        <v>123.5</v>
      </c>
      <c r="M837" s="1">
        <v>0.54720000000000002</v>
      </c>
      <c r="N837" s="1">
        <v>0.67354999999999998</v>
      </c>
      <c r="O837" s="1">
        <v>0.52310000000000001</v>
      </c>
      <c r="P837" s="33">
        <v>0.55149999999999999</v>
      </c>
      <c r="Q837" s="1">
        <v>0.57130000000000003</v>
      </c>
      <c r="R837" s="1">
        <v>0.79559999999999997</v>
      </c>
      <c r="S837" s="1">
        <v>0.54720000000000002</v>
      </c>
      <c r="T837" s="1">
        <v>0.67354999999999998</v>
      </c>
      <c r="U837" s="1">
        <v>0.86</v>
      </c>
      <c r="V837" s="1">
        <v>1.2370000000000001</v>
      </c>
    </row>
    <row r="838" spans="12:22" x14ac:dyDescent="0.25">
      <c r="L838" s="1">
        <v>123.6</v>
      </c>
      <c r="M838" s="1">
        <v>0.54710000000000003</v>
      </c>
      <c r="N838" s="1">
        <v>0.6734</v>
      </c>
      <c r="O838" s="1">
        <v>0.52300000000000002</v>
      </c>
      <c r="P838" s="33">
        <v>0.55130000000000001</v>
      </c>
      <c r="Q838" s="1">
        <v>0.57120000000000004</v>
      </c>
      <c r="R838" s="1">
        <v>0.79549999999999998</v>
      </c>
      <c r="S838" s="1">
        <v>0.54710000000000003</v>
      </c>
      <c r="T838" s="1">
        <v>0.6734</v>
      </c>
      <c r="U838" s="1">
        <v>0.85960000000000003</v>
      </c>
      <c r="V838" s="1">
        <v>1.2352000000000001</v>
      </c>
    </row>
    <row r="839" spans="12:22" x14ac:dyDescent="0.25">
      <c r="L839" s="1">
        <v>123.7</v>
      </c>
      <c r="M839" s="1">
        <v>0.54695000000000005</v>
      </c>
      <c r="N839" s="1">
        <v>0.67330000000000001</v>
      </c>
      <c r="O839" s="1">
        <v>0.52280000000000004</v>
      </c>
      <c r="P839" s="33">
        <v>0.55120000000000002</v>
      </c>
      <c r="Q839" s="1">
        <v>0.57110000000000005</v>
      </c>
      <c r="R839" s="1">
        <v>0.7954</v>
      </c>
      <c r="S839" s="1">
        <v>0.54695000000000005</v>
      </c>
      <c r="T839" s="1">
        <v>0.67330000000000001</v>
      </c>
      <c r="U839" s="1">
        <v>0.85919999999999996</v>
      </c>
      <c r="V839" s="1">
        <v>1.2334000000000001</v>
      </c>
    </row>
    <row r="840" spans="12:22" x14ac:dyDescent="0.25">
      <c r="L840" s="1">
        <v>123.8</v>
      </c>
      <c r="M840" s="1">
        <v>0.54685000000000006</v>
      </c>
      <c r="N840" s="1">
        <v>0.67320000000000002</v>
      </c>
      <c r="O840" s="1">
        <v>0.52270000000000005</v>
      </c>
      <c r="P840" s="33">
        <v>0.55110000000000003</v>
      </c>
      <c r="Q840" s="1">
        <v>0.57099999999999995</v>
      </c>
      <c r="R840" s="1">
        <v>0.79530000000000001</v>
      </c>
      <c r="S840" s="1">
        <v>0.54685000000000006</v>
      </c>
      <c r="T840" s="1">
        <v>0.67320000000000002</v>
      </c>
      <c r="U840" s="1">
        <v>0.85899999999999999</v>
      </c>
      <c r="V840" s="1">
        <v>1.2316</v>
      </c>
    </row>
    <row r="841" spans="12:22" x14ac:dyDescent="0.25">
      <c r="L841" s="1">
        <v>123.9</v>
      </c>
      <c r="M841" s="1">
        <v>0.5474</v>
      </c>
      <c r="N841" s="1">
        <v>0.67300000000000004</v>
      </c>
      <c r="O841" s="1">
        <v>0.52390000000000003</v>
      </c>
      <c r="P841" s="33">
        <v>0.55090000000000006</v>
      </c>
      <c r="Q841" s="1">
        <v>0.57089999999999996</v>
      </c>
      <c r="R841" s="1">
        <v>0.79510000000000003</v>
      </c>
      <c r="S841" s="1">
        <v>0.5474</v>
      </c>
      <c r="T841" s="1">
        <v>0.67300000000000004</v>
      </c>
      <c r="U841" s="1">
        <v>0.85899999999999999</v>
      </c>
      <c r="V841" s="1">
        <v>1.2298</v>
      </c>
    </row>
    <row r="842" spans="12:22" x14ac:dyDescent="0.25">
      <c r="L842" s="1">
        <v>124</v>
      </c>
      <c r="M842" s="1">
        <v>0.54659999999999997</v>
      </c>
      <c r="N842" s="1">
        <v>0.67290000000000005</v>
      </c>
      <c r="O842" s="1">
        <v>0.52239999999999998</v>
      </c>
      <c r="P842" s="33">
        <v>0.55080000000000007</v>
      </c>
      <c r="Q842" s="1">
        <v>0.57079999999999997</v>
      </c>
      <c r="R842" s="1">
        <v>0.79500000000000004</v>
      </c>
      <c r="S842" s="1">
        <v>0.54659999999999997</v>
      </c>
      <c r="T842" s="1">
        <v>0.67290000000000005</v>
      </c>
      <c r="U842" s="1">
        <v>0.85899999999999999</v>
      </c>
      <c r="V842" s="1">
        <v>1.228</v>
      </c>
    </row>
    <row r="843" spans="12:22" x14ac:dyDescent="0.25">
      <c r="L843" s="1">
        <v>124.1</v>
      </c>
      <c r="M843" s="1">
        <v>0.54649999999999999</v>
      </c>
      <c r="N843" s="1">
        <v>0.67279999999999995</v>
      </c>
      <c r="O843" s="1">
        <v>0.52229999999999999</v>
      </c>
      <c r="P843" s="33">
        <v>0.55069999999999986</v>
      </c>
      <c r="Q843" s="1">
        <v>0.57069999999999999</v>
      </c>
      <c r="R843" s="1">
        <v>0.79490000000000005</v>
      </c>
      <c r="S843" s="1">
        <v>0.54649999999999999</v>
      </c>
      <c r="T843" s="1">
        <v>0.67279999999999995</v>
      </c>
      <c r="U843" s="1">
        <v>0.85899999999999999</v>
      </c>
      <c r="V843" s="1">
        <v>1.2262</v>
      </c>
    </row>
    <row r="844" spans="12:22" x14ac:dyDescent="0.25">
      <c r="L844" s="1">
        <v>124.2</v>
      </c>
      <c r="M844" s="1">
        <v>0.54635</v>
      </c>
      <c r="N844" s="1">
        <v>0.67269999999999996</v>
      </c>
      <c r="O844" s="1">
        <v>0.52210000000000001</v>
      </c>
      <c r="P844" s="33">
        <v>0.55059999999999998</v>
      </c>
      <c r="Q844" s="1">
        <v>0.5706</v>
      </c>
      <c r="R844" s="1">
        <v>0.79479999999999995</v>
      </c>
      <c r="S844" s="1">
        <v>0.54635</v>
      </c>
      <c r="T844" s="1">
        <v>0.67269999999999996</v>
      </c>
      <c r="U844" s="1">
        <v>0.85899999999999999</v>
      </c>
      <c r="V844" s="1">
        <v>1.2243999999999999</v>
      </c>
    </row>
    <row r="845" spans="12:22" x14ac:dyDescent="0.25">
      <c r="L845" s="1">
        <v>124.3</v>
      </c>
      <c r="M845" s="1">
        <v>0.54625000000000001</v>
      </c>
      <c r="N845" s="1">
        <v>0.67254999999999998</v>
      </c>
      <c r="O845" s="1">
        <v>0.52200000000000002</v>
      </c>
      <c r="P845" s="33">
        <v>0.5504</v>
      </c>
      <c r="Q845" s="1">
        <v>0.57050000000000001</v>
      </c>
      <c r="R845" s="1">
        <v>0.79469999999999996</v>
      </c>
      <c r="S845" s="1">
        <v>0.54625000000000001</v>
      </c>
      <c r="T845" s="1">
        <v>0.67254999999999998</v>
      </c>
      <c r="U845" s="1">
        <v>0.85880000000000001</v>
      </c>
      <c r="V845" s="1">
        <v>1.2226000000000001</v>
      </c>
    </row>
    <row r="846" spans="12:22" x14ac:dyDescent="0.25">
      <c r="L846" s="1">
        <v>124.4</v>
      </c>
      <c r="M846" s="1">
        <v>0.54615000000000002</v>
      </c>
      <c r="N846" s="1">
        <v>0.67244999999999999</v>
      </c>
      <c r="O846" s="1">
        <v>0.52190000000000003</v>
      </c>
      <c r="P846" s="33">
        <v>0.55030000000000001</v>
      </c>
      <c r="Q846" s="1">
        <v>0.57040000000000002</v>
      </c>
      <c r="R846" s="1">
        <v>0.79459999999999997</v>
      </c>
      <c r="S846" s="1">
        <v>0.54615000000000002</v>
      </c>
      <c r="T846" s="1">
        <v>0.67244999999999999</v>
      </c>
      <c r="U846" s="1">
        <v>0.85839999999999994</v>
      </c>
      <c r="V846" s="1">
        <v>1.2208000000000001</v>
      </c>
    </row>
    <row r="847" spans="12:22" x14ac:dyDescent="0.25">
      <c r="L847" s="1">
        <v>124.5</v>
      </c>
      <c r="M847" s="1">
        <v>0.54600000000000004</v>
      </c>
      <c r="N847" s="1">
        <v>0.67235</v>
      </c>
      <c r="O847" s="1">
        <v>0.52170000000000005</v>
      </c>
      <c r="P847" s="33">
        <v>0.55020000000000002</v>
      </c>
      <c r="Q847" s="1">
        <v>0.57030000000000003</v>
      </c>
      <c r="R847" s="1">
        <v>0.79449999999999998</v>
      </c>
      <c r="S847" s="1">
        <v>0.54600000000000004</v>
      </c>
      <c r="T847" s="1">
        <v>0.67235</v>
      </c>
      <c r="U847" s="1">
        <v>0.85799999999999998</v>
      </c>
      <c r="V847" s="1">
        <v>1.2190000000000001</v>
      </c>
    </row>
    <row r="848" spans="12:22" x14ac:dyDescent="0.25">
      <c r="L848" s="1">
        <v>124.6</v>
      </c>
      <c r="M848" s="1">
        <v>0.54590000000000005</v>
      </c>
      <c r="N848" s="1">
        <v>0.67215000000000003</v>
      </c>
      <c r="O848" s="1">
        <v>0.52159999999999995</v>
      </c>
      <c r="P848" s="33">
        <v>0.55000000000000004</v>
      </c>
      <c r="Q848" s="1">
        <v>0.57020000000000004</v>
      </c>
      <c r="R848" s="1">
        <v>0.79430000000000001</v>
      </c>
      <c r="S848" s="1">
        <v>0.54590000000000005</v>
      </c>
      <c r="T848" s="1">
        <v>0.67215000000000003</v>
      </c>
      <c r="U848" s="1">
        <v>0.85799999999999998</v>
      </c>
      <c r="V848" s="1">
        <v>1.2172000000000001</v>
      </c>
    </row>
    <row r="849" spans="12:22" x14ac:dyDescent="0.25">
      <c r="L849" s="1">
        <v>124.7</v>
      </c>
      <c r="M849" s="1">
        <v>0.54574999999999996</v>
      </c>
      <c r="N849" s="1">
        <v>0.67205000000000004</v>
      </c>
      <c r="O849" s="1">
        <v>0.52139999999999997</v>
      </c>
      <c r="P849" s="33">
        <v>0.54990000000000006</v>
      </c>
      <c r="Q849" s="1">
        <v>0.57010000000000005</v>
      </c>
      <c r="R849" s="1">
        <v>0.79420000000000002</v>
      </c>
      <c r="S849" s="1">
        <v>0.54574999999999996</v>
      </c>
      <c r="T849" s="1">
        <v>0.67205000000000004</v>
      </c>
      <c r="U849" s="1">
        <v>0.85799999999999998</v>
      </c>
      <c r="V849" s="1">
        <v>1.2154</v>
      </c>
    </row>
    <row r="850" spans="12:22" x14ac:dyDescent="0.25">
      <c r="L850" s="1">
        <v>124.8</v>
      </c>
      <c r="M850" s="1">
        <v>0.54564999999999997</v>
      </c>
      <c r="N850" s="1">
        <v>0.67195000000000005</v>
      </c>
      <c r="O850" s="1">
        <v>0.52129999999999999</v>
      </c>
      <c r="P850" s="33">
        <v>0.54980000000000007</v>
      </c>
      <c r="Q850" s="1">
        <v>0.56999999999999995</v>
      </c>
      <c r="R850" s="1">
        <v>0.79410000000000003</v>
      </c>
      <c r="S850" s="1">
        <v>0.54564999999999997</v>
      </c>
      <c r="T850" s="1">
        <v>0.67195000000000005</v>
      </c>
      <c r="U850" s="1">
        <v>0.85799999999999998</v>
      </c>
      <c r="V850" s="1">
        <v>1.2136</v>
      </c>
    </row>
    <row r="851" spans="12:22" x14ac:dyDescent="0.25">
      <c r="L851" s="1">
        <v>124.9</v>
      </c>
      <c r="M851" s="1">
        <v>0.54625000000000001</v>
      </c>
      <c r="N851" s="1">
        <v>0.67179999999999995</v>
      </c>
      <c r="O851" s="1">
        <v>0.52259999999999995</v>
      </c>
      <c r="P851" s="33">
        <v>0.54959999999999987</v>
      </c>
      <c r="Q851" s="1">
        <v>0.56989999999999996</v>
      </c>
      <c r="R851" s="1">
        <v>0.79400000000000004</v>
      </c>
      <c r="S851" s="1">
        <v>0.54625000000000001</v>
      </c>
      <c r="T851" s="1">
        <v>0.67179999999999995</v>
      </c>
      <c r="U851" s="1">
        <v>0.85799999999999998</v>
      </c>
      <c r="V851" s="1">
        <v>1.2118</v>
      </c>
    </row>
    <row r="852" spans="12:22" x14ac:dyDescent="0.25">
      <c r="L852" s="1">
        <v>125</v>
      </c>
      <c r="M852" s="1">
        <v>0.5454</v>
      </c>
      <c r="N852" s="1">
        <v>0.67169999999999996</v>
      </c>
      <c r="O852" s="1">
        <v>0.52100000000000002</v>
      </c>
      <c r="P852" s="33">
        <v>0.54949999999999988</v>
      </c>
      <c r="Q852" s="1">
        <v>0.56979999999999997</v>
      </c>
      <c r="R852" s="1">
        <v>0.79390000000000005</v>
      </c>
      <c r="S852" s="1">
        <v>0.5454</v>
      </c>
      <c r="T852" s="1">
        <v>0.67169999999999996</v>
      </c>
      <c r="U852" s="1">
        <v>0.85799999999999998</v>
      </c>
      <c r="V852" s="1">
        <v>1.21</v>
      </c>
    </row>
    <row r="853" spans="12:22" x14ac:dyDescent="0.25">
      <c r="L853" s="1">
        <v>125.1</v>
      </c>
      <c r="M853" s="1">
        <v>0.54535</v>
      </c>
      <c r="N853" s="1">
        <v>0.67159999999999997</v>
      </c>
      <c r="O853" s="1">
        <v>0.52090000000000003</v>
      </c>
      <c r="P853" s="33">
        <v>0.5494</v>
      </c>
      <c r="Q853" s="1">
        <v>0.56979999999999997</v>
      </c>
      <c r="R853" s="1">
        <v>0.79379999999999995</v>
      </c>
      <c r="S853" s="1">
        <v>0.54535</v>
      </c>
      <c r="T853" s="1">
        <v>0.67159999999999997</v>
      </c>
      <c r="U853" s="1">
        <v>0.85760000000000003</v>
      </c>
      <c r="V853" s="1">
        <v>1.2083999999999999</v>
      </c>
    </row>
    <row r="854" spans="12:22" x14ac:dyDescent="0.25">
      <c r="L854" s="1">
        <v>125.2</v>
      </c>
      <c r="M854" s="1">
        <v>0.54525000000000001</v>
      </c>
      <c r="N854" s="1">
        <v>0.67149999999999999</v>
      </c>
      <c r="O854" s="1">
        <v>0.52080000000000004</v>
      </c>
      <c r="P854" s="33">
        <v>0.54930000000000001</v>
      </c>
      <c r="Q854" s="1">
        <v>0.56969999999999998</v>
      </c>
      <c r="R854" s="1">
        <v>0.79369999999999996</v>
      </c>
      <c r="S854" s="1">
        <v>0.54525000000000001</v>
      </c>
      <c r="T854" s="1">
        <v>0.67149999999999999</v>
      </c>
      <c r="U854" s="1">
        <v>0.85719999999999996</v>
      </c>
      <c r="V854" s="1">
        <v>1.2067999999999999</v>
      </c>
    </row>
    <row r="855" spans="12:22" x14ac:dyDescent="0.25">
      <c r="L855" s="1">
        <v>125.3</v>
      </c>
      <c r="M855" s="1">
        <v>0.54509999999999992</v>
      </c>
      <c r="N855" s="1">
        <v>0.67135</v>
      </c>
      <c r="O855" s="1">
        <v>0.52059999999999995</v>
      </c>
      <c r="P855" s="33">
        <v>0.54910000000000003</v>
      </c>
      <c r="Q855" s="1">
        <v>0.5696</v>
      </c>
      <c r="R855" s="1">
        <v>0.79359999999999997</v>
      </c>
      <c r="S855" s="1">
        <v>0.54509999999999992</v>
      </c>
      <c r="T855" s="1">
        <v>0.67135</v>
      </c>
      <c r="U855" s="1">
        <v>0.85699999999999998</v>
      </c>
      <c r="V855" s="1">
        <v>1.2052</v>
      </c>
    </row>
    <row r="856" spans="12:22" x14ac:dyDescent="0.25">
      <c r="L856" s="1">
        <v>125.4</v>
      </c>
      <c r="M856" s="1">
        <v>0.54500000000000004</v>
      </c>
      <c r="N856" s="1">
        <v>0.67120000000000002</v>
      </c>
      <c r="O856" s="1">
        <v>0.52049999999999996</v>
      </c>
      <c r="P856" s="33">
        <v>0.54900000000000004</v>
      </c>
      <c r="Q856" s="1">
        <v>0.56950000000000001</v>
      </c>
      <c r="R856" s="1">
        <v>0.79339999999999999</v>
      </c>
      <c r="S856" s="1">
        <v>0.54500000000000004</v>
      </c>
      <c r="T856" s="1">
        <v>0.67120000000000002</v>
      </c>
      <c r="U856" s="1">
        <v>0.85699999999999998</v>
      </c>
      <c r="V856" s="1">
        <v>1.2036</v>
      </c>
    </row>
    <row r="857" spans="12:22" x14ac:dyDescent="0.25">
      <c r="L857" s="1">
        <v>125.5</v>
      </c>
      <c r="M857" s="1">
        <v>0.54489999999999994</v>
      </c>
      <c r="N857" s="1">
        <v>0.67110000000000003</v>
      </c>
      <c r="O857" s="1">
        <v>0.52039999999999997</v>
      </c>
      <c r="P857" s="33">
        <v>0.54890000000000005</v>
      </c>
      <c r="Q857" s="1">
        <v>0.56940000000000002</v>
      </c>
      <c r="R857" s="1">
        <v>0.79330000000000001</v>
      </c>
      <c r="S857" s="1">
        <v>0.54489999999999994</v>
      </c>
      <c r="T857" s="1">
        <v>0.67110000000000003</v>
      </c>
      <c r="U857" s="1">
        <v>0.85699999999999998</v>
      </c>
      <c r="V857" s="1">
        <v>1.202</v>
      </c>
    </row>
    <row r="858" spans="12:22" x14ac:dyDescent="0.25">
      <c r="L858" s="1">
        <v>125.6</v>
      </c>
      <c r="M858" s="1">
        <v>0.54479999999999995</v>
      </c>
      <c r="N858" s="1">
        <v>0.67095000000000005</v>
      </c>
      <c r="O858" s="1">
        <v>0.52029999999999998</v>
      </c>
      <c r="P858" s="33">
        <v>0.54870000000000008</v>
      </c>
      <c r="Q858" s="1">
        <v>0.56930000000000003</v>
      </c>
      <c r="R858" s="1">
        <v>0.79320000000000002</v>
      </c>
      <c r="S858" s="1">
        <v>0.54479999999999995</v>
      </c>
      <c r="T858" s="1">
        <v>0.67095000000000005</v>
      </c>
      <c r="U858" s="1">
        <v>0.85699999999999998</v>
      </c>
      <c r="V858" s="1">
        <v>1.2003999999999999</v>
      </c>
    </row>
    <row r="859" spans="12:22" x14ac:dyDescent="0.25">
      <c r="L859" s="1">
        <v>125.7</v>
      </c>
      <c r="M859" s="1">
        <v>0.54469999999999996</v>
      </c>
      <c r="N859" s="1">
        <v>0.67084999999999995</v>
      </c>
      <c r="O859" s="1">
        <v>0.5202</v>
      </c>
      <c r="P859" s="33">
        <v>0.54859999999999987</v>
      </c>
      <c r="Q859" s="1">
        <v>0.56920000000000004</v>
      </c>
      <c r="R859" s="1">
        <v>0.79310000000000003</v>
      </c>
      <c r="S859" s="1">
        <v>0.54469999999999996</v>
      </c>
      <c r="T859" s="1">
        <v>0.67084999999999995</v>
      </c>
      <c r="U859" s="1">
        <v>0.85699999999999998</v>
      </c>
      <c r="V859" s="1">
        <v>1.1987999999999999</v>
      </c>
    </row>
    <row r="860" spans="12:22" x14ac:dyDescent="0.25">
      <c r="L860" s="1">
        <v>125.8</v>
      </c>
      <c r="M860" s="1">
        <v>0.54455000000000009</v>
      </c>
      <c r="N860" s="1">
        <v>0.67074999999999996</v>
      </c>
      <c r="O860" s="1">
        <v>0.52</v>
      </c>
      <c r="P860" s="33">
        <v>0.54849999999999988</v>
      </c>
      <c r="Q860" s="1">
        <v>0.56910000000000005</v>
      </c>
      <c r="R860" s="1">
        <v>0.79300000000000004</v>
      </c>
      <c r="S860" s="1">
        <v>0.54455000000000009</v>
      </c>
      <c r="T860" s="1">
        <v>0.67074999999999996</v>
      </c>
      <c r="U860" s="1">
        <v>0.85699999999999998</v>
      </c>
      <c r="V860" s="1">
        <v>1.1972</v>
      </c>
    </row>
    <row r="861" spans="12:22" x14ac:dyDescent="0.25">
      <c r="L861" s="1">
        <v>125.9</v>
      </c>
      <c r="M861" s="1" t="e">
        <v>#VALUE!</v>
      </c>
      <c r="N861" s="1">
        <v>0.67064999999999997</v>
      </c>
      <c r="O861" s="1" t="s">
        <v>50</v>
      </c>
      <c r="P861" s="33">
        <v>0.54839999999999989</v>
      </c>
      <c r="Q861" s="1">
        <v>0.56899999999999995</v>
      </c>
      <c r="R861" s="1">
        <v>0.79290000000000005</v>
      </c>
      <c r="S861" s="1" t="e">
        <v>#VALUE!</v>
      </c>
      <c r="T861" s="1">
        <v>0.67064999999999997</v>
      </c>
      <c r="U861" s="1">
        <v>0.85699999999999998</v>
      </c>
      <c r="V861" s="1">
        <v>1.1956</v>
      </c>
    </row>
    <row r="862" spans="12:22" x14ac:dyDescent="0.25">
      <c r="L862" s="1">
        <v>126</v>
      </c>
      <c r="M862" s="1">
        <v>0.54435</v>
      </c>
      <c r="N862" s="1">
        <v>0.67049999999999998</v>
      </c>
      <c r="O862" s="1">
        <v>0.51980000000000004</v>
      </c>
      <c r="P862" s="33">
        <v>0.54820000000000002</v>
      </c>
      <c r="Q862" s="1">
        <v>0.56889999999999996</v>
      </c>
      <c r="R862" s="1">
        <v>0.79279999999999995</v>
      </c>
      <c r="S862" s="1">
        <v>0.54435</v>
      </c>
      <c r="T862" s="1">
        <v>0.67049999999999998</v>
      </c>
      <c r="U862" s="1">
        <v>0.85699999999999998</v>
      </c>
      <c r="V862" s="1">
        <v>1.194</v>
      </c>
    </row>
    <row r="863" spans="12:22" x14ac:dyDescent="0.25">
      <c r="L863" s="1">
        <v>126.1</v>
      </c>
      <c r="M863" s="1">
        <v>0.54425000000000001</v>
      </c>
      <c r="N863" s="1">
        <v>0.6704</v>
      </c>
      <c r="O863" s="1">
        <v>0.51970000000000005</v>
      </c>
      <c r="P863" s="33">
        <v>0.54810000000000003</v>
      </c>
      <c r="Q863" s="1">
        <v>0.56879999999999997</v>
      </c>
      <c r="R863" s="1">
        <v>0.79269999999999996</v>
      </c>
      <c r="S863" s="1">
        <v>0.54425000000000001</v>
      </c>
      <c r="T863" s="1">
        <v>0.6704</v>
      </c>
      <c r="U863" s="1">
        <v>0.85660000000000003</v>
      </c>
      <c r="V863" s="1">
        <v>1.1923999999999999</v>
      </c>
    </row>
    <row r="864" spans="12:22" x14ac:dyDescent="0.25">
      <c r="L864" s="1">
        <v>126.2</v>
      </c>
      <c r="M864" s="1">
        <v>0.54420000000000002</v>
      </c>
      <c r="N864" s="1">
        <v>0.67030000000000001</v>
      </c>
      <c r="O864" s="1">
        <v>0.51959999999999995</v>
      </c>
      <c r="P864" s="33">
        <v>0.54800000000000004</v>
      </c>
      <c r="Q864" s="1">
        <v>0.56879999999999997</v>
      </c>
      <c r="R864" s="1">
        <v>0.79259999999999997</v>
      </c>
      <c r="S864" s="1">
        <v>0.54420000000000002</v>
      </c>
      <c r="T864" s="1">
        <v>0.67030000000000001</v>
      </c>
      <c r="U864" s="1">
        <v>0.85619999999999996</v>
      </c>
      <c r="V864" s="1">
        <v>1.1907999999999999</v>
      </c>
    </row>
    <row r="865" spans="12:22" x14ac:dyDescent="0.25">
      <c r="L865" s="1">
        <v>126.3</v>
      </c>
      <c r="M865" s="1">
        <v>0.54404999999999992</v>
      </c>
      <c r="N865" s="1">
        <v>0.67010000000000003</v>
      </c>
      <c r="O865" s="1">
        <v>0.51939999999999997</v>
      </c>
      <c r="P865" s="33">
        <v>0.54780000000000006</v>
      </c>
      <c r="Q865" s="1">
        <v>0.56869999999999998</v>
      </c>
      <c r="R865" s="1">
        <v>0.79239999999999999</v>
      </c>
      <c r="S865" s="1">
        <v>0.54404999999999992</v>
      </c>
      <c r="T865" s="1">
        <v>0.67010000000000003</v>
      </c>
      <c r="U865" s="1">
        <v>0.85599999999999998</v>
      </c>
      <c r="V865" s="1">
        <v>1.1892</v>
      </c>
    </row>
    <row r="866" spans="12:22" x14ac:dyDescent="0.25">
      <c r="L866" s="1">
        <v>126.4</v>
      </c>
      <c r="M866" s="1">
        <v>0.54394999999999993</v>
      </c>
      <c r="N866" s="1">
        <v>0.67</v>
      </c>
      <c r="O866" s="1">
        <v>0.51929999999999998</v>
      </c>
      <c r="P866" s="33">
        <v>0.54770000000000008</v>
      </c>
      <c r="Q866" s="1">
        <v>0.56859999999999999</v>
      </c>
      <c r="R866" s="1">
        <v>0.7923</v>
      </c>
      <c r="S866" s="1">
        <v>0.54394999999999993</v>
      </c>
      <c r="T866" s="1">
        <v>0.67</v>
      </c>
      <c r="U866" s="1">
        <v>0.85599999999999998</v>
      </c>
      <c r="V866" s="1">
        <v>1.1876</v>
      </c>
    </row>
    <row r="867" spans="12:22" x14ac:dyDescent="0.25">
      <c r="L867" s="1">
        <v>126.5</v>
      </c>
      <c r="M867" s="1">
        <v>0.54384999999999994</v>
      </c>
      <c r="N867" s="1">
        <v>0.66990000000000005</v>
      </c>
      <c r="O867" s="1">
        <v>0.51919999999999999</v>
      </c>
      <c r="P867" s="33">
        <v>0.54760000000000009</v>
      </c>
      <c r="Q867" s="1">
        <v>0.56850000000000001</v>
      </c>
      <c r="R867" s="1">
        <v>0.79220000000000002</v>
      </c>
      <c r="S867" s="1">
        <v>0.54384999999999994</v>
      </c>
      <c r="T867" s="1">
        <v>0.66990000000000005</v>
      </c>
      <c r="U867" s="1">
        <v>0.85599999999999998</v>
      </c>
      <c r="V867" s="1">
        <v>1.1859999999999999</v>
      </c>
    </row>
    <row r="868" spans="12:22" x14ac:dyDescent="0.25">
      <c r="L868" s="1">
        <v>126.6</v>
      </c>
      <c r="M868" s="1">
        <v>0.54374999999999996</v>
      </c>
      <c r="N868" s="1">
        <v>0.66979999999999995</v>
      </c>
      <c r="O868" s="1">
        <v>0.51910000000000001</v>
      </c>
      <c r="P868" s="33">
        <v>0.54749999999999999</v>
      </c>
      <c r="Q868" s="1">
        <v>0.56840000000000002</v>
      </c>
      <c r="R868" s="1">
        <v>0.79210000000000003</v>
      </c>
      <c r="S868" s="1">
        <v>0.54374999999999996</v>
      </c>
      <c r="T868" s="1">
        <v>0.66979999999999995</v>
      </c>
      <c r="U868" s="1">
        <v>0.85599999999999998</v>
      </c>
      <c r="V868" s="1">
        <v>1.1843999999999999</v>
      </c>
    </row>
    <row r="869" spans="12:22" x14ac:dyDescent="0.25">
      <c r="L869" s="1">
        <v>126.7</v>
      </c>
      <c r="M869" s="1">
        <v>0.54364999999999997</v>
      </c>
      <c r="N869" s="1">
        <v>0.66964999999999997</v>
      </c>
      <c r="O869" s="1">
        <v>0.51900000000000002</v>
      </c>
      <c r="P869" s="33">
        <v>0.5472999999999999</v>
      </c>
      <c r="Q869" s="1">
        <v>0.56830000000000003</v>
      </c>
      <c r="R869" s="1">
        <v>0.79200000000000004</v>
      </c>
      <c r="S869" s="1">
        <v>0.54364999999999997</v>
      </c>
      <c r="T869" s="1">
        <v>0.66964999999999997</v>
      </c>
      <c r="U869" s="1">
        <v>0.85599999999999998</v>
      </c>
      <c r="V869" s="1">
        <v>1.1827999999999999</v>
      </c>
    </row>
    <row r="870" spans="12:22" x14ac:dyDescent="0.25">
      <c r="L870" s="1">
        <v>126.8</v>
      </c>
      <c r="M870" s="1">
        <v>0.54350000000000009</v>
      </c>
      <c r="N870" s="1">
        <v>0.66954999999999998</v>
      </c>
      <c r="O870" s="1">
        <v>0.51880000000000004</v>
      </c>
      <c r="P870" s="33">
        <v>0.54719999999999991</v>
      </c>
      <c r="Q870" s="1">
        <v>0.56820000000000004</v>
      </c>
      <c r="R870" s="1">
        <v>0.79190000000000005</v>
      </c>
      <c r="S870" s="1">
        <v>0.54350000000000009</v>
      </c>
      <c r="T870" s="1">
        <v>0.66954999999999998</v>
      </c>
      <c r="U870" s="1">
        <v>0.85580000000000001</v>
      </c>
      <c r="V870" s="1">
        <v>1.1812</v>
      </c>
    </row>
    <row r="871" spans="12:22" x14ac:dyDescent="0.25">
      <c r="L871" s="1">
        <v>126.9</v>
      </c>
      <c r="M871" s="1">
        <v>0.54400000000000004</v>
      </c>
      <c r="N871" s="1">
        <v>0.66944999999999999</v>
      </c>
      <c r="O871" s="1">
        <v>0.51990000000000003</v>
      </c>
      <c r="P871" s="33">
        <v>0.54710000000000003</v>
      </c>
      <c r="Q871" s="1">
        <v>0.56810000000000005</v>
      </c>
      <c r="R871" s="1">
        <v>0.79179999999999995</v>
      </c>
      <c r="S871" s="1">
        <v>0.54400000000000004</v>
      </c>
      <c r="T871" s="1">
        <v>0.66944999999999999</v>
      </c>
      <c r="U871" s="1">
        <v>0.85539999999999994</v>
      </c>
      <c r="V871" s="1">
        <v>1.1796</v>
      </c>
    </row>
    <row r="872" spans="12:22" x14ac:dyDescent="0.25">
      <c r="L872" s="1">
        <v>127</v>
      </c>
      <c r="M872" s="1">
        <v>0.54335</v>
      </c>
      <c r="N872" s="1">
        <v>0.66930000000000001</v>
      </c>
      <c r="O872" s="1">
        <v>0.51859999999999995</v>
      </c>
      <c r="P872" s="33">
        <v>0.54690000000000005</v>
      </c>
      <c r="Q872" s="1">
        <v>0.56810000000000005</v>
      </c>
      <c r="R872" s="1">
        <v>0.79169999999999996</v>
      </c>
      <c r="S872" s="1">
        <v>0.54335</v>
      </c>
      <c r="T872" s="1">
        <v>0.66930000000000001</v>
      </c>
      <c r="U872" s="1">
        <v>0.85499999999999998</v>
      </c>
      <c r="V872" s="1">
        <v>1.1779999999999999</v>
      </c>
    </row>
    <row r="873" spans="12:22" x14ac:dyDescent="0.25">
      <c r="L873" s="1">
        <v>127.1</v>
      </c>
      <c r="M873" s="1">
        <v>0.54325000000000001</v>
      </c>
      <c r="N873" s="1">
        <v>0.66915000000000002</v>
      </c>
      <c r="O873" s="1">
        <v>0.51849999999999996</v>
      </c>
      <c r="P873" s="33">
        <v>0.54680000000000006</v>
      </c>
      <c r="Q873" s="1">
        <v>0.56799999999999995</v>
      </c>
      <c r="R873" s="1">
        <v>0.79149999999999998</v>
      </c>
      <c r="S873" s="1">
        <v>0.54325000000000001</v>
      </c>
      <c r="T873" s="1">
        <v>0.66915000000000002</v>
      </c>
      <c r="U873" s="1">
        <v>0.85499999999999998</v>
      </c>
      <c r="V873" s="1">
        <v>1.1763999999999999</v>
      </c>
    </row>
    <row r="874" spans="12:22" x14ac:dyDescent="0.25">
      <c r="L874" s="1">
        <v>127.2</v>
      </c>
      <c r="M874" s="1">
        <v>0.54315000000000002</v>
      </c>
      <c r="N874" s="1">
        <v>0.66905000000000003</v>
      </c>
      <c r="O874" s="1">
        <v>0.51839999999999997</v>
      </c>
      <c r="P874" s="33">
        <v>0.54670000000000007</v>
      </c>
      <c r="Q874" s="1">
        <v>0.56789999999999996</v>
      </c>
      <c r="R874" s="1">
        <v>0.79139999999999999</v>
      </c>
      <c r="S874" s="1">
        <v>0.54315000000000002</v>
      </c>
      <c r="T874" s="1">
        <v>0.66905000000000003</v>
      </c>
      <c r="U874" s="1">
        <v>0.85499999999999998</v>
      </c>
      <c r="V874" s="1">
        <v>1.1747999999999998</v>
      </c>
    </row>
    <row r="875" spans="12:22" x14ac:dyDescent="0.25">
      <c r="L875" s="1">
        <v>127.3</v>
      </c>
      <c r="M875" s="1">
        <v>0.54299999999999993</v>
      </c>
      <c r="N875" s="1">
        <v>0.66895000000000004</v>
      </c>
      <c r="O875" s="1">
        <v>0.51819999999999999</v>
      </c>
      <c r="P875" s="33">
        <v>0.54660000000000009</v>
      </c>
      <c r="Q875" s="1">
        <v>0.56779999999999997</v>
      </c>
      <c r="R875" s="1">
        <v>0.7913</v>
      </c>
      <c r="S875" s="1">
        <v>0.54299999999999993</v>
      </c>
      <c r="T875" s="1">
        <v>0.66895000000000004</v>
      </c>
      <c r="U875" s="1">
        <v>0.8548</v>
      </c>
      <c r="V875" s="1">
        <v>1.1732</v>
      </c>
    </row>
    <row r="876" spans="12:22" x14ac:dyDescent="0.25">
      <c r="L876" s="1">
        <v>127.4</v>
      </c>
      <c r="M876" s="1">
        <v>0.54289999999999994</v>
      </c>
      <c r="N876" s="1">
        <v>0.66879999999999995</v>
      </c>
      <c r="O876" s="1">
        <v>0.5181</v>
      </c>
      <c r="P876" s="33">
        <v>0.54639999999999989</v>
      </c>
      <c r="Q876" s="1">
        <v>0.56769999999999998</v>
      </c>
      <c r="R876" s="1">
        <v>0.79120000000000001</v>
      </c>
      <c r="S876" s="1">
        <v>0.54289999999999994</v>
      </c>
      <c r="T876" s="1">
        <v>0.66879999999999995</v>
      </c>
      <c r="U876" s="1">
        <v>0.85439999999999994</v>
      </c>
      <c r="V876" s="1">
        <v>1.1716</v>
      </c>
    </row>
    <row r="877" spans="12:22" x14ac:dyDescent="0.25">
      <c r="L877" s="1">
        <v>127.5</v>
      </c>
      <c r="M877" s="1">
        <v>0.54279999999999995</v>
      </c>
      <c r="N877" s="1">
        <v>0.66869999999999996</v>
      </c>
      <c r="O877" s="1">
        <v>0.51800000000000002</v>
      </c>
      <c r="P877" s="33">
        <v>0.5462999999999999</v>
      </c>
      <c r="Q877" s="1">
        <v>0.56759999999999999</v>
      </c>
      <c r="R877" s="1">
        <v>0.79110000000000003</v>
      </c>
      <c r="S877" s="1">
        <v>0.54279999999999995</v>
      </c>
      <c r="T877" s="1">
        <v>0.66869999999999996</v>
      </c>
      <c r="U877" s="1">
        <v>0.85399999999999998</v>
      </c>
      <c r="V877" s="1">
        <v>1.17</v>
      </c>
    </row>
    <row r="878" spans="12:22" x14ac:dyDescent="0.25">
      <c r="L878" s="1">
        <v>127.6</v>
      </c>
      <c r="M878" s="1">
        <v>0.54269999999999996</v>
      </c>
      <c r="N878" s="1">
        <v>0.66859999999999997</v>
      </c>
      <c r="O878" s="1">
        <v>0.51790000000000003</v>
      </c>
      <c r="P878" s="33">
        <v>0.54619999999999991</v>
      </c>
      <c r="Q878" s="1">
        <v>0.5675</v>
      </c>
      <c r="R878" s="1">
        <v>0.79100000000000004</v>
      </c>
      <c r="S878" s="1">
        <v>0.54269999999999996</v>
      </c>
      <c r="T878" s="1">
        <v>0.66859999999999997</v>
      </c>
      <c r="U878" s="1">
        <v>0.85399999999999998</v>
      </c>
      <c r="V878" s="1">
        <v>1.1683999999999999</v>
      </c>
    </row>
    <row r="879" spans="12:22" x14ac:dyDescent="0.25">
      <c r="L879" s="1">
        <v>127.7</v>
      </c>
      <c r="M879" s="1">
        <v>0.54265000000000008</v>
      </c>
      <c r="N879" s="1">
        <v>0.66844999999999999</v>
      </c>
      <c r="O879" s="1">
        <v>0.51780000000000004</v>
      </c>
      <c r="P879" s="33">
        <v>0.54599999999999993</v>
      </c>
      <c r="Q879" s="1">
        <v>0.5675</v>
      </c>
      <c r="R879" s="1">
        <v>0.79090000000000005</v>
      </c>
      <c r="S879" s="1">
        <v>0.54265000000000008</v>
      </c>
      <c r="T879" s="1">
        <v>0.66844999999999999</v>
      </c>
      <c r="U879" s="1">
        <v>0.85399999999999998</v>
      </c>
      <c r="V879" s="1">
        <v>1.1667999999999998</v>
      </c>
    </row>
    <row r="880" spans="12:22" x14ac:dyDescent="0.25">
      <c r="L880" s="1">
        <v>127.8</v>
      </c>
      <c r="M880" s="1">
        <v>0.54249999999999998</v>
      </c>
      <c r="N880" s="1">
        <v>0.66835</v>
      </c>
      <c r="O880" s="1">
        <v>0.51759999999999995</v>
      </c>
      <c r="P880" s="33">
        <v>0.54590000000000005</v>
      </c>
      <c r="Q880" s="1">
        <v>0.56740000000000002</v>
      </c>
      <c r="R880" s="1">
        <v>0.79079999999999995</v>
      </c>
      <c r="S880" s="1">
        <v>0.54249999999999998</v>
      </c>
      <c r="T880" s="1">
        <v>0.66835</v>
      </c>
      <c r="U880" s="1">
        <v>0.85399999999999998</v>
      </c>
      <c r="V880" s="1">
        <v>1.1652</v>
      </c>
    </row>
    <row r="881" spans="12:22" x14ac:dyDescent="0.25">
      <c r="L881" s="1">
        <v>127.9</v>
      </c>
      <c r="M881" s="1">
        <v>0.54300000000000004</v>
      </c>
      <c r="N881" s="1">
        <v>0.66825000000000001</v>
      </c>
      <c r="O881" s="1">
        <v>0.51870000000000005</v>
      </c>
      <c r="P881" s="33">
        <v>0.54580000000000006</v>
      </c>
      <c r="Q881" s="1">
        <v>0.56730000000000003</v>
      </c>
      <c r="R881" s="1">
        <v>0.79069999999999996</v>
      </c>
      <c r="S881" s="1">
        <v>0.54300000000000004</v>
      </c>
      <c r="T881" s="1">
        <v>0.66825000000000001</v>
      </c>
      <c r="U881" s="1">
        <v>0.85399999999999998</v>
      </c>
      <c r="V881" s="1">
        <v>1.1636</v>
      </c>
    </row>
    <row r="882" spans="12:22" x14ac:dyDescent="0.25">
      <c r="L882" s="1">
        <v>128</v>
      </c>
      <c r="M882" s="1">
        <v>0.5423</v>
      </c>
      <c r="N882" s="1">
        <v>0.66810000000000003</v>
      </c>
      <c r="O882" s="1">
        <v>0.51739999999999997</v>
      </c>
      <c r="P882" s="33">
        <v>0.54570000000000007</v>
      </c>
      <c r="Q882" s="1">
        <v>0.56720000000000004</v>
      </c>
      <c r="R882" s="1">
        <v>0.79049999999999998</v>
      </c>
      <c r="S882" s="1">
        <v>0.5423</v>
      </c>
      <c r="T882" s="1">
        <v>0.66810000000000003</v>
      </c>
      <c r="U882" s="1">
        <v>0.85399999999999998</v>
      </c>
      <c r="V882" s="1">
        <v>1.1619999999999999</v>
      </c>
    </row>
    <row r="883" spans="12:22" x14ac:dyDescent="0.25">
      <c r="L883" s="1">
        <v>128.1</v>
      </c>
      <c r="M883" s="1">
        <v>0.54220000000000002</v>
      </c>
      <c r="N883" s="1">
        <v>0.66795000000000004</v>
      </c>
      <c r="O883" s="1">
        <v>0.51729999999999998</v>
      </c>
      <c r="P883" s="33">
        <v>0.5455000000000001</v>
      </c>
      <c r="Q883" s="1">
        <v>0.56710000000000005</v>
      </c>
      <c r="R883" s="1">
        <v>0.79039999999999999</v>
      </c>
      <c r="S883" s="1">
        <v>0.54220000000000002</v>
      </c>
      <c r="T883" s="1">
        <v>0.66795000000000004</v>
      </c>
      <c r="U883" s="1">
        <v>0.85399999999999998</v>
      </c>
      <c r="V883" s="1">
        <v>1.1605999999999999</v>
      </c>
    </row>
    <row r="884" spans="12:22" x14ac:dyDescent="0.25">
      <c r="L884" s="1">
        <v>128.19999999999999</v>
      </c>
      <c r="M884" s="1">
        <v>0.54210000000000003</v>
      </c>
      <c r="N884" s="1">
        <v>0.66785000000000005</v>
      </c>
      <c r="O884" s="1">
        <v>0.51719999999999999</v>
      </c>
      <c r="P884" s="33">
        <v>0.54540000000000011</v>
      </c>
      <c r="Q884" s="1">
        <v>0.56699999999999995</v>
      </c>
      <c r="R884" s="1">
        <v>0.7903</v>
      </c>
      <c r="S884" s="1">
        <v>0.54210000000000003</v>
      </c>
      <c r="T884" s="1">
        <v>0.66785000000000005</v>
      </c>
      <c r="U884" s="1">
        <v>0.85399999999999998</v>
      </c>
      <c r="V884" s="1">
        <v>1.1592</v>
      </c>
    </row>
    <row r="885" spans="12:22" x14ac:dyDescent="0.25">
      <c r="L885" s="1">
        <v>128.30000000000001</v>
      </c>
      <c r="M885" s="1">
        <v>0.54200000000000004</v>
      </c>
      <c r="N885" s="1">
        <v>0.66774999999999995</v>
      </c>
      <c r="O885" s="1">
        <v>0.51700000000000002</v>
      </c>
      <c r="P885" s="33">
        <v>0.5452999999999999</v>
      </c>
      <c r="Q885" s="1">
        <v>0.56699999999999995</v>
      </c>
      <c r="R885" s="1">
        <v>0.79020000000000001</v>
      </c>
      <c r="S885" s="1">
        <v>0.54200000000000004</v>
      </c>
      <c r="T885" s="1">
        <v>0.66774999999999995</v>
      </c>
      <c r="U885" s="1">
        <v>0.8538</v>
      </c>
      <c r="V885" s="1">
        <v>1.1577999999999999</v>
      </c>
    </row>
    <row r="886" spans="12:22" x14ac:dyDescent="0.25">
      <c r="L886" s="1">
        <v>128.4</v>
      </c>
      <c r="M886" s="1">
        <v>0.54190000000000005</v>
      </c>
      <c r="N886" s="1">
        <v>0.66764999999999997</v>
      </c>
      <c r="O886" s="1">
        <v>0.51690000000000003</v>
      </c>
      <c r="P886" s="33">
        <v>0.54519999999999991</v>
      </c>
      <c r="Q886" s="1">
        <v>0.56689999999999996</v>
      </c>
      <c r="R886" s="1">
        <v>0.79010000000000002</v>
      </c>
      <c r="S886" s="1">
        <v>0.54190000000000005</v>
      </c>
      <c r="T886" s="1">
        <v>0.66764999999999997</v>
      </c>
      <c r="U886" s="1">
        <v>0.85339999999999994</v>
      </c>
      <c r="V886" s="1">
        <v>1.1564000000000001</v>
      </c>
    </row>
    <row r="887" spans="12:22" x14ac:dyDescent="0.25">
      <c r="L887" s="1">
        <v>128.5</v>
      </c>
      <c r="M887" s="1">
        <v>0.54180000000000006</v>
      </c>
      <c r="N887" s="1">
        <v>0.66749999999999998</v>
      </c>
      <c r="O887" s="1">
        <v>0.51680000000000004</v>
      </c>
      <c r="P887" s="33">
        <v>0.54500000000000004</v>
      </c>
      <c r="Q887" s="1">
        <v>0.56679999999999997</v>
      </c>
      <c r="R887" s="1">
        <v>0.79</v>
      </c>
      <c r="S887" s="1">
        <v>0.54180000000000006</v>
      </c>
      <c r="T887" s="1">
        <v>0.66749999999999998</v>
      </c>
      <c r="U887" s="1">
        <v>0.85299999999999998</v>
      </c>
      <c r="V887" s="1">
        <v>1.155</v>
      </c>
    </row>
    <row r="888" spans="12:22" x14ac:dyDescent="0.25">
      <c r="L888" s="1">
        <v>128.6</v>
      </c>
      <c r="M888" s="1">
        <v>0.54170000000000007</v>
      </c>
      <c r="N888" s="1">
        <v>0.66739999999999999</v>
      </c>
      <c r="O888" s="1">
        <v>0.51670000000000005</v>
      </c>
      <c r="P888" s="33">
        <v>0.54489999999999994</v>
      </c>
      <c r="Q888" s="1">
        <v>0.56669999999999998</v>
      </c>
      <c r="R888" s="1">
        <v>0.78990000000000005</v>
      </c>
      <c r="S888" s="1">
        <v>0.54170000000000007</v>
      </c>
      <c r="T888" s="1">
        <v>0.66739999999999999</v>
      </c>
      <c r="U888" s="1">
        <v>0.85299999999999998</v>
      </c>
      <c r="V888" s="1">
        <v>1.1534</v>
      </c>
    </row>
    <row r="889" spans="12:22" x14ac:dyDescent="0.25">
      <c r="L889" s="1">
        <v>128.69999999999999</v>
      </c>
      <c r="M889" s="1">
        <v>0.54159999999999997</v>
      </c>
      <c r="N889" s="1">
        <v>0.6673</v>
      </c>
      <c r="O889" s="1">
        <v>0.51659999999999995</v>
      </c>
      <c r="P889" s="33">
        <v>0.54480000000000006</v>
      </c>
      <c r="Q889" s="1">
        <v>0.56659999999999999</v>
      </c>
      <c r="R889" s="1">
        <v>0.78979999999999995</v>
      </c>
      <c r="S889" s="1">
        <v>0.54159999999999997</v>
      </c>
      <c r="T889" s="1">
        <v>0.6673</v>
      </c>
      <c r="U889" s="1">
        <v>0.85299999999999998</v>
      </c>
      <c r="V889" s="1">
        <v>1.1517999999999999</v>
      </c>
    </row>
    <row r="890" spans="12:22" x14ac:dyDescent="0.25">
      <c r="L890" s="1">
        <v>128.80000000000001</v>
      </c>
      <c r="M890" s="1">
        <v>0.54144999999999999</v>
      </c>
      <c r="N890" s="1">
        <v>0.66715000000000002</v>
      </c>
      <c r="O890" s="1">
        <v>0.51639999999999997</v>
      </c>
      <c r="P890" s="33">
        <v>0.54460000000000008</v>
      </c>
      <c r="Q890" s="1">
        <v>0.5665</v>
      </c>
      <c r="R890" s="1">
        <v>0.78969999999999996</v>
      </c>
      <c r="S890" s="1">
        <v>0.54144999999999999</v>
      </c>
      <c r="T890" s="1">
        <v>0.66715000000000002</v>
      </c>
      <c r="U890" s="1">
        <v>0.85299999999999998</v>
      </c>
      <c r="V890" s="1">
        <v>1.1502000000000001</v>
      </c>
    </row>
    <row r="891" spans="12:22" x14ac:dyDescent="0.25">
      <c r="L891" s="1">
        <v>128.9</v>
      </c>
      <c r="M891" s="1">
        <v>0.54200000000000004</v>
      </c>
      <c r="N891" s="1">
        <v>0.66700000000000004</v>
      </c>
      <c r="O891" s="1">
        <v>0.51749999999999996</v>
      </c>
      <c r="P891" s="33">
        <v>0.5445000000000001</v>
      </c>
      <c r="Q891" s="1">
        <v>0.5665</v>
      </c>
      <c r="R891" s="1">
        <v>0.78949999999999998</v>
      </c>
      <c r="S891" s="1">
        <v>0.54200000000000004</v>
      </c>
      <c r="T891" s="1">
        <v>0.66700000000000004</v>
      </c>
      <c r="U891" s="1">
        <v>0.85299999999999998</v>
      </c>
      <c r="V891" s="1">
        <v>1.1486000000000001</v>
      </c>
    </row>
    <row r="892" spans="12:22" x14ac:dyDescent="0.25">
      <c r="L892" s="1">
        <v>129</v>
      </c>
      <c r="M892" s="1">
        <v>0.5413</v>
      </c>
      <c r="N892" s="1">
        <v>0.66690000000000005</v>
      </c>
      <c r="O892" s="1">
        <v>0.51619999999999999</v>
      </c>
      <c r="P892" s="33">
        <v>0.54440000000000011</v>
      </c>
      <c r="Q892" s="1">
        <v>0.56640000000000001</v>
      </c>
      <c r="R892" s="1">
        <v>0.78939999999999999</v>
      </c>
      <c r="S892" s="1">
        <v>0.5413</v>
      </c>
      <c r="T892" s="1">
        <v>0.66690000000000005</v>
      </c>
      <c r="U892" s="1">
        <v>0.85299999999999998</v>
      </c>
      <c r="V892" s="1">
        <v>1.147</v>
      </c>
    </row>
    <row r="893" spans="12:22" x14ac:dyDescent="0.25">
      <c r="L893" s="1">
        <v>129.1</v>
      </c>
      <c r="M893" s="1">
        <v>0.54120000000000001</v>
      </c>
      <c r="N893" s="1">
        <v>0.66679999999999995</v>
      </c>
      <c r="O893" s="1">
        <v>0.5161</v>
      </c>
      <c r="P893" s="33">
        <v>0.5442999999999999</v>
      </c>
      <c r="Q893" s="1">
        <v>0.56630000000000003</v>
      </c>
      <c r="R893" s="1">
        <v>0.7893</v>
      </c>
      <c r="S893" s="1">
        <v>0.54120000000000001</v>
      </c>
      <c r="T893" s="1">
        <v>0.66679999999999995</v>
      </c>
      <c r="U893" s="1">
        <v>0.85260000000000002</v>
      </c>
      <c r="V893" s="1">
        <v>1.1454</v>
      </c>
    </row>
    <row r="894" spans="12:22" x14ac:dyDescent="0.25">
      <c r="L894" s="1">
        <v>129.19999999999999</v>
      </c>
      <c r="M894" s="1">
        <v>0.54110000000000003</v>
      </c>
      <c r="N894" s="1">
        <v>0.66664999999999996</v>
      </c>
      <c r="O894" s="1">
        <v>0.51600000000000001</v>
      </c>
      <c r="P894" s="33">
        <v>0.54409999999999992</v>
      </c>
      <c r="Q894" s="1">
        <v>0.56620000000000004</v>
      </c>
      <c r="R894" s="1">
        <v>0.78920000000000001</v>
      </c>
      <c r="S894" s="1">
        <v>0.54110000000000003</v>
      </c>
      <c r="T894" s="1">
        <v>0.66664999999999996</v>
      </c>
      <c r="U894" s="1">
        <v>0.85219999999999996</v>
      </c>
      <c r="V894" s="1">
        <v>1.1437999999999999</v>
      </c>
    </row>
    <row r="895" spans="12:22" x14ac:dyDescent="0.25">
      <c r="L895" s="1">
        <v>129.30000000000001</v>
      </c>
      <c r="M895" s="1">
        <v>0.54095000000000004</v>
      </c>
      <c r="N895" s="1">
        <v>0.66654999999999998</v>
      </c>
      <c r="O895" s="1">
        <v>0.51580000000000004</v>
      </c>
      <c r="P895" s="33">
        <v>0.54399999999999993</v>
      </c>
      <c r="Q895" s="1">
        <v>0.56610000000000005</v>
      </c>
      <c r="R895" s="1">
        <v>0.78910000000000002</v>
      </c>
      <c r="S895" s="1">
        <v>0.54095000000000004</v>
      </c>
      <c r="T895" s="1">
        <v>0.66654999999999998</v>
      </c>
      <c r="U895" s="1">
        <v>0.85199999999999998</v>
      </c>
      <c r="V895" s="1">
        <v>1.1422000000000001</v>
      </c>
    </row>
    <row r="896" spans="12:22" x14ac:dyDescent="0.25">
      <c r="L896" s="1">
        <v>129.4</v>
      </c>
      <c r="M896" s="1">
        <v>0.54090000000000005</v>
      </c>
      <c r="N896" s="1">
        <v>0.66644999999999999</v>
      </c>
      <c r="O896" s="1">
        <v>0.51570000000000005</v>
      </c>
      <c r="P896" s="33">
        <v>0.54389999999999994</v>
      </c>
      <c r="Q896" s="1">
        <v>0.56610000000000005</v>
      </c>
      <c r="R896" s="1">
        <v>0.78900000000000003</v>
      </c>
      <c r="S896" s="1">
        <v>0.54090000000000005</v>
      </c>
      <c r="T896" s="1">
        <v>0.66644999999999999</v>
      </c>
      <c r="U896" s="1">
        <v>0.85199999999999998</v>
      </c>
      <c r="V896" s="1">
        <v>1.1406000000000001</v>
      </c>
    </row>
    <row r="897" spans="12:22" x14ac:dyDescent="0.25">
      <c r="L897" s="1">
        <v>129.5</v>
      </c>
      <c r="M897" s="1">
        <v>0.54079999999999995</v>
      </c>
      <c r="N897" s="1">
        <v>0.66635</v>
      </c>
      <c r="O897" s="1">
        <v>0.51559999999999995</v>
      </c>
      <c r="P897" s="33">
        <v>0.54379999999999995</v>
      </c>
      <c r="Q897" s="1">
        <v>0.56599999999999995</v>
      </c>
      <c r="R897" s="1">
        <v>0.78890000000000005</v>
      </c>
      <c r="S897" s="1">
        <v>0.54079999999999995</v>
      </c>
      <c r="T897" s="1">
        <v>0.66635</v>
      </c>
      <c r="U897" s="1">
        <v>0.85199999999999998</v>
      </c>
      <c r="V897" s="1">
        <v>1.139</v>
      </c>
    </row>
    <row r="898" spans="12:22" x14ac:dyDescent="0.25">
      <c r="L898" s="1">
        <v>129.6</v>
      </c>
      <c r="M898" s="1">
        <v>0.54069999999999996</v>
      </c>
      <c r="N898" s="1">
        <v>0.66620000000000001</v>
      </c>
      <c r="O898" s="1">
        <v>0.51549999999999996</v>
      </c>
      <c r="P898" s="33">
        <v>0.54360000000000008</v>
      </c>
      <c r="Q898" s="1">
        <v>0.56589999999999996</v>
      </c>
      <c r="R898" s="1">
        <v>0.78879999999999995</v>
      </c>
      <c r="S898" s="1">
        <v>0.54069999999999996</v>
      </c>
      <c r="T898" s="1">
        <v>0.66620000000000001</v>
      </c>
      <c r="U898" s="1">
        <v>0.85199999999999998</v>
      </c>
      <c r="V898" s="1">
        <v>1.1375999999999999</v>
      </c>
    </row>
    <row r="899" spans="12:22" x14ac:dyDescent="0.25">
      <c r="L899" s="1">
        <v>129.69999999999999</v>
      </c>
      <c r="M899" s="1">
        <v>0.54059999999999997</v>
      </c>
      <c r="N899" s="1">
        <v>0.66610000000000003</v>
      </c>
      <c r="O899" s="1">
        <v>0.51539999999999997</v>
      </c>
      <c r="P899" s="33">
        <v>0.54350000000000009</v>
      </c>
      <c r="Q899" s="1">
        <v>0.56579999999999997</v>
      </c>
      <c r="R899" s="1">
        <v>0.78869999999999996</v>
      </c>
      <c r="S899" s="1">
        <v>0.54059999999999997</v>
      </c>
      <c r="T899" s="1">
        <v>0.66610000000000003</v>
      </c>
      <c r="U899" s="1">
        <v>0.85199999999999998</v>
      </c>
      <c r="V899" s="1">
        <v>1.1361999999999999</v>
      </c>
    </row>
    <row r="900" spans="12:22" x14ac:dyDescent="0.25">
      <c r="L900" s="1">
        <v>129.80000000000001</v>
      </c>
      <c r="M900" s="1">
        <v>0.54049999999999998</v>
      </c>
      <c r="N900" s="1">
        <v>0.66600000000000004</v>
      </c>
      <c r="O900" s="1">
        <v>0.51519999999999999</v>
      </c>
      <c r="P900" s="33">
        <v>0.54340000000000011</v>
      </c>
      <c r="Q900" s="1">
        <v>0.56579999999999997</v>
      </c>
      <c r="R900" s="1">
        <v>0.78859999999999997</v>
      </c>
      <c r="S900" s="1">
        <v>0.54049999999999998</v>
      </c>
      <c r="T900" s="1">
        <v>0.66600000000000004</v>
      </c>
      <c r="U900" s="1">
        <v>0.8518</v>
      </c>
      <c r="V900" s="1">
        <v>1.1348</v>
      </c>
    </row>
    <row r="901" spans="12:22" x14ac:dyDescent="0.25">
      <c r="L901" s="1">
        <v>129.9</v>
      </c>
      <c r="M901" s="1">
        <v>0.54099999999999993</v>
      </c>
      <c r="N901" s="1">
        <v>0.66585000000000005</v>
      </c>
      <c r="O901" s="1">
        <v>0.51629999999999998</v>
      </c>
      <c r="P901" s="33">
        <v>0.54330000000000012</v>
      </c>
      <c r="Q901" s="1">
        <v>0.56569999999999998</v>
      </c>
      <c r="R901" s="1">
        <v>0.78839999999999999</v>
      </c>
      <c r="S901" s="1">
        <v>0.54099999999999993</v>
      </c>
      <c r="T901" s="1">
        <v>0.66585000000000005</v>
      </c>
      <c r="U901" s="1">
        <v>0.85139999999999993</v>
      </c>
      <c r="V901" s="1">
        <v>1.1334</v>
      </c>
    </row>
    <row r="902" spans="12:22" x14ac:dyDescent="0.25">
      <c r="L902" s="1">
        <v>130</v>
      </c>
      <c r="M902" s="1">
        <v>0.5403</v>
      </c>
      <c r="N902" s="1">
        <v>0.66569999999999996</v>
      </c>
      <c r="O902" s="1">
        <v>0.51500000000000001</v>
      </c>
      <c r="P902" s="33">
        <v>0.54309999999999992</v>
      </c>
      <c r="Q902" s="1">
        <v>0.56559999999999999</v>
      </c>
      <c r="R902" s="1">
        <v>0.7883</v>
      </c>
      <c r="S902" s="1">
        <v>0.5403</v>
      </c>
      <c r="T902" s="1">
        <v>0.66569999999999996</v>
      </c>
      <c r="U902" s="1">
        <v>0.85099999999999998</v>
      </c>
      <c r="V902" s="1">
        <v>1.1319999999999999</v>
      </c>
    </row>
    <row r="903" spans="12:22" x14ac:dyDescent="0.25">
      <c r="L903" s="1">
        <v>130.1</v>
      </c>
      <c r="M903" s="1">
        <v>0.54020000000000001</v>
      </c>
      <c r="N903" s="1">
        <v>0.66559999999999997</v>
      </c>
      <c r="O903" s="1">
        <v>0.51490000000000002</v>
      </c>
      <c r="P903" s="33">
        <v>0.54299999999999993</v>
      </c>
      <c r="Q903" s="1">
        <v>0.5655</v>
      </c>
      <c r="R903" s="1">
        <v>0.78820000000000001</v>
      </c>
      <c r="S903" s="1">
        <v>0.54020000000000001</v>
      </c>
      <c r="T903" s="1">
        <v>0.66559999999999997</v>
      </c>
      <c r="U903" s="1">
        <v>0.85099999999999998</v>
      </c>
      <c r="V903" s="1">
        <v>1.1303999999999998</v>
      </c>
    </row>
    <row r="904" spans="12:22" x14ac:dyDescent="0.25">
      <c r="L904" s="1">
        <v>130.19999999999999</v>
      </c>
      <c r="M904" s="1">
        <v>0.54005000000000003</v>
      </c>
      <c r="N904" s="1">
        <v>0.66549999999999998</v>
      </c>
      <c r="O904" s="1">
        <v>0.51470000000000005</v>
      </c>
      <c r="P904" s="33">
        <v>0.54289999999999994</v>
      </c>
      <c r="Q904" s="1">
        <v>0.56540000000000001</v>
      </c>
      <c r="R904" s="1">
        <v>0.78810000000000002</v>
      </c>
      <c r="S904" s="1">
        <v>0.54005000000000003</v>
      </c>
      <c r="T904" s="1">
        <v>0.66549999999999998</v>
      </c>
      <c r="U904" s="1">
        <v>0.85099999999999998</v>
      </c>
      <c r="V904" s="1">
        <v>1.1288</v>
      </c>
    </row>
    <row r="905" spans="12:22" x14ac:dyDescent="0.25">
      <c r="L905" s="1">
        <v>130.30000000000001</v>
      </c>
      <c r="M905" s="1">
        <v>0.54</v>
      </c>
      <c r="N905" s="1">
        <v>0.66539999999999999</v>
      </c>
      <c r="O905" s="1">
        <v>0.51459999999999995</v>
      </c>
      <c r="P905" s="33">
        <v>0.54279999999999995</v>
      </c>
      <c r="Q905" s="1">
        <v>0.56540000000000001</v>
      </c>
      <c r="R905" s="1">
        <v>0.78800000000000003</v>
      </c>
      <c r="S905" s="1">
        <v>0.54</v>
      </c>
      <c r="T905" s="1">
        <v>0.66539999999999999</v>
      </c>
      <c r="U905" s="1">
        <v>0.85099999999999998</v>
      </c>
      <c r="V905" s="1">
        <v>1.1272</v>
      </c>
    </row>
    <row r="906" spans="12:22" x14ac:dyDescent="0.25">
      <c r="L906" s="1">
        <v>130.4</v>
      </c>
      <c r="M906" s="1">
        <v>0.53990000000000005</v>
      </c>
      <c r="N906" s="1">
        <v>0.66525000000000001</v>
      </c>
      <c r="O906" s="1">
        <v>0.51449999999999996</v>
      </c>
      <c r="P906" s="33">
        <v>0.54259999999999997</v>
      </c>
      <c r="Q906" s="1">
        <v>0.56530000000000002</v>
      </c>
      <c r="R906" s="1">
        <v>0.78790000000000004</v>
      </c>
      <c r="S906" s="1">
        <v>0.53990000000000005</v>
      </c>
      <c r="T906" s="1">
        <v>0.66525000000000001</v>
      </c>
      <c r="U906" s="1">
        <v>0.85099999999999998</v>
      </c>
      <c r="V906" s="1">
        <v>1.1256000000000002</v>
      </c>
    </row>
    <row r="907" spans="12:22" x14ac:dyDescent="0.25">
      <c r="L907" s="1">
        <v>130.5</v>
      </c>
      <c r="M907" s="1">
        <v>0.53974999999999995</v>
      </c>
      <c r="N907" s="1">
        <v>0.66515000000000002</v>
      </c>
      <c r="O907" s="1">
        <v>0.51429999999999998</v>
      </c>
      <c r="P907" s="33">
        <v>0.54249999999999998</v>
      </c>
      <c r="Q907" s="1">
        <v>0.56520000000000004</v>
      </c>
      <c r="R907" s="1">
        <v>0.78779999999999994</v>
      </c>
      <c r="S907" s="1">
        <v>0.53974999999999995</v>
      </c>
      <c r="T907" s="1">
        <v>0.66515000000000002</v>
      </c>
      <c r="U907" s="1">
        <v>0.85099999999999998</v>
      </c>
      <c r="V907" s="1">
        <v>1.1240000000000001</v>
      </c>
    </row>
    <row r="908" spans="12:22" x14ac:dyDescent="0.25">
      <c r="L908" s="1">
        <v>130.6</v>
      </c>
      <c r="M908" s="1">
        <v>0.53964999999999996</v>
      </c>
      <c r="N908" s="1">
        <v>0.66505000000000003</v>
      </c>
      <c r="O908" s="1">
        <v>0.51419999999999999</v>
      </c>
      <c r="P908" s="33">
        <v>0.5424000000000001</v>
      </c>
      <c r="Q908" s="1">
        <v>0.56510000000000005</v>
      </c>
      <c r="R908" s="1">
        <v>0.78769999999999996</v>
      </c>
      <c r="S908" s="1">
        <v>0.53964999999999996</v>
      </c>
      <c r="T908" s="1">
        <v>0.66505000000000003</v>
      </c>
      <c r="U908" s="1">
        <v>0.85099999999999998</v>
      </c>
      <c r="V908" s="1">
        <v>1.1226</v>
      </c>
    </row>
    <row r="909" spans="12:22" x14ac:dyDescent="0.25">
      <c r="L909" s="1">
        <v>130.69999999999999</v>
      </c>
      <c r="M909" s="1">
        <v>0.53960000000000008</v>
      </c>
      <c r="N909" s="1">
        <v>0.66490000000000005</v>
      </c>
      <c r="O909" s="1">
        <v>0.5141</v>
      </c>
      <c r="P909" s="33">
        <v>0.54220000000000013</v>
      </c>
      <c r="Q909" s="1">
        <v>0.56510000000000005</v>
      </c>
      <c r="R909" s="1">
        <v>0.78759999999999997</v>
      </c>
      <c r="S909" s="1">
        <v>0.53960000000000008</v>
      </c>
      <c r="T909" s="1">
        <v>0.66490000000000005</v>
      </c>
      <c r="U909" s="1">
        <v>0.85099999999999998</v>
      </c>
      <c r="V909" s="1">
        <v>1.1212</v>
      </c>
    </row>
    <row r="910" spans="12:22" x14ac:dyDescent="0.25">
      <c r="L910" s="1">
        <v>130.80000000000001</v>
      </c>
      <c r="M910" s="1">
        <v>0.53949999999999998</v>
      </c>
      <c r="N910" s="1">
        <v>0.66479999999999995</v>
      </c>
      <c r="O910" s="1">
        <v>0.51400000000000001</v>
      </c>
      <c r="P910" s="33">
        <v>0.54209999999999992</v>
      </c>
      <c r="Q910" s="1">
        <v>0.56499999999999995</v>
      </c>
      <c r="R910" s="1">
        <v>0.78749999999999998</v>
      </c>
      <c r="S910" s="1">
        <v>0.53949999999999998</v>
      </c>
      <c r="T910" s="1">
        <v>0.66479999999999995</v>
      </c>
      <c r="U910" s="1">
        <v>0.8508</v>
      </c>
      <c r="V910" s="1">
        <v>1.1198000000000001</v>
      </c>
    </row>
    <row r="911" spans="12:22" x14ac:dyDescent="0.25">
      <c r="L911" s="1">
        <v>130.9</v>
      </c>
      <c r="M911" s="1">
        <v>0.54</v>
      </c>
      <c r="N911" s="1">
        <v>0.66464999999999996</v>
      </c>
      <c r="O911" s="1">
        <v>0.5151</v>
      </c>
      <c r="P911" s="33">
        <v>0.54199999999999993</v>
      </c>
      <c r="Q911" s="1">
        <v>0.56489999999999996</v>
      </c>
      <c r="R911" s="1">
        <v>0.7873</v>
      </c>
      <c r="S911" s="1">
        <v>0.54</v>
      </c>
      <c r="T911" s="1">
        <v>0.66464999999999996</v>
      </c>
      <c r="U911" s="1">
        <v>0.85039999999999993</v>
      </c>
      <c r="V911" s="1">
        <v>1.1184000000000001</v>
      </c>
    </row>
    <row r="912" spans="12:22" x14ac:dyDescent="0.25">
      <c r="L912" s="1">
        <v>131</v>
      </c>
      <c r="M912" s="1">
        <v>0.5393</v>
      </c>
      <c r="N912" s="1">
        <v>0.66454999999999997</v>
      </c>
      <c r="O912" s="1">
        <v>0.51380000000000003</v>
      </c>
      <c r="P912" s="33">
        <v>0.54189999999999994</v>
      </c>
      <c r="Q912" s="1">
        <v>0.56479999999999997</v>
      </c>
      <c r="R912" s="1">
        <v>0.78720000000000001</v>
      </c>
      <c r="S912" s="1">
        <v>0.5393</v>
      </c>
      <c r="T912" s="1">
        <v>0.66454999999999997</v>
      </c>
      <c r="U912" s="1">
        <v>0.85</v>
      </c>
      <c r="V912" s="1">
        <v>1.117</v>
      </c>
    </row>
    <row r="913" spans="12:22" x14ac:dyDescent="0.25">
      <c r="L913" s="1">
        <v>131.1</v>
      </c>
      <c r="M913" s="1">
        <v>0.53920000000000001</v>
      </c>
      <c r="N913" s="1">
        <v>0.66439999999999999</v>
      </c>
      <c r="O913" s="1">
        <v>0.51370000000000005</v>
      </c>
      <c r="P913" s="33">
        <v>0.54169999999999996</v>
      </c>
      <c r="Q913" s="1">
        <v>0.56469999999999998</v>
      </c>
      <c r="R913" s="1">
        <v>0.78710000000000002</v>
      </c>
      <c r="S913" s="1">
        <v>0.53920000000000001</v>
      </c>
      <c r="T913" s="1">
        <v>0.66439999999999999</v>
      </c>
      <c r="U913" s="1">
        <v>0.85</v>
      </c>
      <c r="V913" s="1">
        <v>1.1155999999999999</v>
      </c>
    </row>
    <row r="914" spans="12:22" x14ac:dyDescent="0.25">
      <c r="L914" s="1">
        <v>131.19999999999999</v>
      </c>
      <c r="M914" s="1">
        <v>0.53915000000000002</v>
      </c>
      <c r="N914" s="1">
        <v>0.6643</v>
      </c>
      <c r="O914" s="1">
        <v>0.51359999999999995</v>
      </c>
      <c r="P914" s="33">
        <v>0.54159999999999997</v>
      </c>
      <c r="Q914" s="1">
        <v>0.56469999999999998</v>
      </c>
      <c r="R914" s="1">
        <v>0.78700000000000003</v>
      </c>
      <c r="S914" s="1">
        <v>0.53915000000000002</v>
      </c>
      <c r="T914" s="1">
        <v>0.6643</v>
      </c>
      <c r="U914" s="1">
        <v>0.85</v>
      </c>
      <c r="V914" s="1">
        <v>1.1142000000000001</v>
      </c>
    </row>
    <row r="915" spans="12:22" x14ac:dyDescent="0.25">
      <c r="L915" s="1">
        <v>131.30000000000001</v>
      </c>
      <c r="M915" s="1">
        <v>0.53899999999999992</v>
      </c>
      <c r="N915" s="1">
        <v>0.66420000000000001</v>
      </c>
      <c r="O915" s="1">
        <v>0.51339999999999997</v>
      </c>
      <c r="P915" s="33">
        <v>0.54149999999999998</v>
      </c>
      <c r="Q915" s="1">
        <v>0.56459999999999999</v>
      </c>
      <c r="R915" s="1">
        <v>0.78690000000000004</v>
      </c>
      <c r="S915" s="1">
        <v>0.53899999999999992</v>
      </c>
      <c r="T915" s="1">
        <v>0.66420000000000001</v>
      </c>
      <c r="U915" s="1">
        <v>0.85</v>
      </c>
      <c r="V915" s="1">
        <v>1.1128</v>
      </c>
    </row>
    <row r="916" spans="12:22" x14ac:dyDescent="0.25">
      <c r="L916" s="1">
        <v>131.4</v>
      </c>
      <c r="M916" s="1">
        <v>0.53889999999999993</v>
      </c>
      <c r="N916" s="1">
        <v>0.66410000000000002</v>
      </c>
      <c r="O916" s="1">
        <v>0.51329999999999998</v>
      </c>
      <c r="P916" s="33">
        <v>0.54139999999999999</v>
      </c>
      <c r="Q916" s="1">
        <v>0.5645</v>
      </c>
      <c r="R916" s="1">
        <v>0.78680000000000005</v>
      </c>
      <c r="S916" s="1">
        <v>0.53889999999999993</v>
      </c>
      <c r="T916" s="1">
        <v>0.66410000000000002</v>
      </c>
      <c r="U916" s="1">
        <v>0.85</v>
      </c>
      <c r="V916" s="1">
        <v>1.1114000000000002</v>
      </c>
    </row>
    <row r="917" spans="12:22" x14ac:dyDescent="0.25">
      <c r="L917" s="1">
        <v>131.5</v>
      </c>
      <c r="M917" s="1">
        <v>0.53879999999999995</v>
      </c>
      <c r="N917" s="1">
        <v>0.66395000000000004</v>
      </c>
      <c r="O917" s="1">
        <v>0.51319999999999999</v>
      </c>
      <c r="P917" s="33">
        <v>0.54120000000000013</v>
      </c>
      <c r="Q917" s="1">
        <v>0.56440000000000001</v>
      </c>
      <c r="R917" s="1">
        <v>0.78669999999999995</v>
      </c>
      <c r="S917" s="1">
        <v>0.53879999999999995</v>
      </c>
      <c r="T917" s="1">
        <v>0.66395000000000004</v>
      </c>
      <c r="U917" s="1">
        <v>0.85</v>
      </c>
      <c r="V917" s="1">
        <v>1.1100000000000001</v>
      </c>
    </row>
    <row r="918" spans="12:22" x14ac:dyDescent="0.25">
      <c r="L918" s="1">
        <v>131.6</v>
      </c>
      <c r="M918" s="1">
        <v>0.53874999999999995</v>
      </c>
      <c r="N918" s="1">
        <v>0.66385000000000005</v>
      </c>
      <c r="O918" s="1">
        <v>0.5131</v>
      </c>
      <c r="P918" s="33">
        <v>0.54110000000000014</v>
      </c>
      <c r="Q918" s="1">
        <v>0.56440000000000001</v>
      </c>
      <c r="R918" s="1">
        <v>0.78659999999999997</v>
      </c>
      <c r="S918" s="1">
        <v>0.53874999999999995</v>
      </c>
      <c r="T918" s="1">
        <v>0.66385000000000005</v>
      </c>
      <c r="U918" s="1">
        <v>0.84960000000000002</v>
      </c>
      <c r="V918" s="1">
        <v>1.1086</v>
      </c>
    </row>
    <row r="919" spans="12:22" x14ac:dyDescent="0.25">
      <c r="L919" s="1">
        <v>131.69999999999999</v>
      </c>
      <c r="M919" s="1">
        <v>0.53865000000000007</v>
      </c>
      <c r="N919" s="1">
        <v>0.66374999999999995</v>
      </c>
      <c r="O919" s="1">
        <v>0.51300000000000001</v>
      </c>
      <c r="P919" s="33">
        <v>0.54099999999999993</v>
      </c>
      <c r="Q919" s="1">
        <v>0.56430000000000002</v>
      </c>
      <c r="R919" s="1">
        <v>0.78649999999999998</v>
      </c>
      <c r="S919" s="1">
        <v>0.53865000000000007</v>
      </c>
      <c r="T919" s="1">
        <v>0.66374999999999995</v>
      </c>
      <c r="U919" s="1">
        <v>0.84919999999999995</v>
      </c>
      <c r="V919" s="1">
        <v>1.1072</v>
      </c>
    </row>
    <row r="920" spans="12:22" x14ac:dyDescent="0.25">
      <c r="L920" s="1">
        <v>131.80000000000001</v>
      </c>
      <c r="M920" s="1">
        <v>0.53849999999999998</v>
      </c>
      <c r="N920" s="1">
        <v>0.66364999999999996</v>
      </c>
      <c r="O920" s="1">
        <v>0.51280000000000003</v>
      </c>
      <c r="P920" s="33">
        <v>0.54089999999999994</v>
      </c>
      <c r="Q920" s="1">
        <v>0.56420000000000003</v>
      </c>
      <c r="R920" s="1">
        <v>0.78639999999999999</v>
      </c>
      <c r="S920" s="1">
        <v>0.53849999999999998</v>
      </c>
      <c r="T920" s="1">
        <v>0.66364999999999996</v>
      </c>
      <c r="U920" s="1">
        <v>0.84899999999999998</v>
      </c>
      <c r="V920" s="1">
        <v>1.1058000000000001</v>
      </c>
    </row>
    <row r="921" spans="12:22" x14ac:dyDescent="0.25">
      <c r="L921" s="1">
        <v>131.9</v>
      </c>
      <c r="M921" s="1">
        <v>0.53905000000000003</v>
      </c>
      <c r="N921" s="1">
        <v>0.66344999999999998</v>
      </c>
      <c r="O921" s="1">
        <v>0.51390000000000002</v>
      </c>
      <c r="P921" s="33">
        <v>0.54069999999999996</v>
      </c>
      <c r="Q921" s="1">
        <v>0.56420000000000003</v>
      </c>
      <c r="R921" s="1">
        <v>0.78620000000000001</v>
      </c>
      <c r="S921" s="1">
        <v>0.53905000000000003</v>
      </c>
      <c r="T921" s="1">
        <v>0.66344999999999998</v>
      </c>
      <c r="U921" s="1">
        <v>0.84899999999999998</v>
      </c>
      <c r="V921" s="1">
        <v>1.1044</v>
      </c>
    </row>
    <row r="922" spans="12:22" x14ac:dyDescent="0.25">
      <c r="L922" s="1">
        <v>132</v>
      </c>
      <c r="M922" s="1">
        <v>0.53835</v>
      </c>
      <c r="N922" s="1">
        <v>0.66335</v>
      </c>
      <c r="O922" s="1">
        <v>0.51259999999999994</v>
      </c>
      <c r="P922" s="33">
        <v>0.54059999999999997</v>
      </c>
      <c r="Q922" s="1">
        <v>0.56410000000000005</v>
      </c>
      <c r="R922" s="1">
        <v>0.78610000000000002</v>
      </c>
      <c r="S922" s="1">
        <v>0.53835</v>
      </c>
      <c r="T922" s="1">
        <v>0.66335</v>
      </c>
      <c r="U922" s="1">
        <v>0.84899999999999998</v>
      </c>
      <c r="V922" s="1">
        <v>1.103</v>
      </c>
    </row>
    <row r="923" spans="12:22" x14ac:dyDescent="0.25">
      <c r="L923" s="1">
        <v>132.1</v>
      </c>
      <c r="M923" s="1">
        <v>0.5382499999999999</v>
      </c>
      <c r="N923" s="1">
        <v>0.66325000000000001</v>
      </c>
      <c r="O923" s="1">
        <v>0.51249999999999996</v>
      </c>
      <c r="P923" s="33">
        <v>0.54049999999999998</v>
      </c>
      <c r="Q923" s="1">
        <v>0.56399999999999995</v>
      </c>
      <c r="R923" s="1">
        <v>0.78600000000000003</v>
      </c>
      <c r="S923" s="1">
        <v>0.5382499999999999</v>
      </c>
      <c r="T923" s="1">
        <v>0.66325000000000001</v>
      </c>
      <c r="U923" s="1">
        <v>0.84899999999999998</v>
      </c>
      <c r="V923" s="1">
        <v>1.1015999999999999</v>
      </c>
    </row>
    <row r="924" spans="12:22" x14ac:dyDescent="0.25">
      <c r="L924" s="1">
        <v>132.19999999999999</v>
      </c>
      <c r="M924" s="1">
        <v>0.53814999999999991</v>
      </c>
      <c r="N924" s="1">
        <v>0.66315000000000002</v>
      </c>
      <c r="O924" s="1">
        <v>0.51239999999999997</v>
      </c>
      <c r="P924" s="33">
        <v>0.54039999999999999</v>
      </c>
      <c r="Q924" s="1">
        <v>0.56389999999999996</v>
      </c>
      <c r="R924" s="1">
        <v>0.78590000000000004</v>
      </c>
      <c r="S924" s="1">
        <v>0.53814999999999991</v>
      </c>
      <c r="T924" s="1">
        <v>0.66315000000000002</v>
      </c>
      <c r="U924" s="1">
        <v>0.84899999999999998</v>
      </c>
      <c r="V924" s="1">
        <v>1.1002000000000001</v>
      </c>
    </row>
    <row r="925" spans="12:22" x14ac:dyDescent="0.25">
      <c r="L925" s="1">
        <v>132.30000000000001</v>
      </c>
      <c r="M925" s="1">
        <v>0.53804999999999992</v>
      </c>
      <c r="N925" s="1">
        <v>0.66300000000000003</v>
      </c>
      <c r="O925" s="1">
        <v>0.51219999999999999</v>
      </c>
      <c r="P925" s="33">
        <v>0.54020000000000001</v>
      </c>
      <c r="Q925" s="1">
        <v>0.56389999999999996</v>
      </c>
      <c r="R925" s="1">
        <v>0.78580000000000005</v>
      </c>
      <c r="S925" s="1">
        <v>0.53804999999999992</v>
      </c>
      <c r="T925" s="1">
        <v>0.66300000000000003</v>
      </c>
      <c r="U925" s="1">
        <v>0.8488</v>
      </c>
      <c r="V925" s="1">
        <v>1.0988</v>
      </c>
    </row>
    <row r="926" spans="12:22" x14ac:dyDescent="0.25">
      <c r="L926" s="1">
        <v>132.4</v>
      </c>
      <c r="M926" s="1">
        <v>0.53794999999999993</v>
      </c>
      <c r="N926" s="1">
        <v>0.66290000000000004</v>
      </c>
      <c r="O926" s="1">
        <v>0.5121</v>
      </c>
      <c r="P926" s="33">
        <v>0.54010000000000014</v>
      </c>
      <c r="Q926" s="1">
        <v>0.56379999999999997</v>
      </c>
      <c r="R926" s="1">
        <v>0.78569999999999995</v>
      </c>
      <c r="S926" s="1">
        <v>0.53794999999999993</v>
      </c>
      <c r="T926" s="1">
        <v>0.66290000000000004</v>
      </c>
      <c r="U926" s="1">
        <v>0.84839999999999993</v>
      </c>
      <c r="V926" s="1">
        <v>1.0974000000000002</v>
      </c>
    </row>
    <row r="927" spans="12:22" x14ac:dyDescent="0.25">
      <c r="L927" s="1">
        <v>132.5</v>
      </c>
      <c r="M927" s="1">
        <v>0.53784999999999994</v>
      </c>
      <c r="N927" s="1">
        <v>0.66279999999999994</v>
      </c>
      <c r="O927" s="1">
        <v>0.51200000000000001</v>
      </c>
      <c r="P927" s="33">
        <v>0.54</v>
      </c>
      <c r="Q927" s="1">
        <v>0.56369999999999998</v>
      </c>
      <c r="R927" s="1">
        <v>0.78559999999999997</v>
      </c>
      <c r="S927" s="1">
        <v>0.53784999999999994</v>
      </c>
      <c r="T927" s="1">
        <v>0.66279999999999994</v>
      </c>
      <c r="U927" s="1">
        <v>0.84799999999999998</v>
      </c>
      <c r="V927" s="1">
        <v>1.0960000000000001</v>
      </c>
    </row>
    <row r="928" spans="12:22" x14ac:dyDescent="0.25">
      <c r="L928" s="1">
        <v>132.6</v>
      </c>
      <c r="M928" s="1">
        <v>0.53774999999999995</v>
      </c>
      <c r="N928" s="1">
        <v>0.66269999999999996</v>
      </c>
      <c r="O928" s="1">
        <v>0.51190000000000002</v>
      </c>
      <c r="P928" s="33">
        <v>0.53989999999999994</v>
      </c>
      <c r="Q928" s="1">
        <v>0.56359999999999999</v>
      </c>
      <c r="R928" s="1">
        <v>0.78549999999999998</v>
      </c>
      <c r="S928" s="1">
        <v>0.53774999999999995</v>
      </c>
      <c r="T928" s="1">
        <v>0.66269999999999996</v>
      </c>
      <c r="U928" s="1">
        <v>0.84799999999999998</v>
      </c>
      <c r="V928" s="1">
        <v>1.0948</v>
      </c>
    </row>
    <row r="929" spans="12:22" x14ac:dyDescent="0.25">
      <c r="L929" s="1">
        <v>132.69999999999999</v>
      </c>
      <c r="M929" s="1">
        <v>0.53770000000000007</v>
      </c>
      <c r="N929" s="1">
        <v>0.66254999999999997</v>
      </c>
      <c r="O929" s="1">
        <v>0.51180000000000003</v>
      </c>
      <c r="P929" s="33">
        <v>0.53969999999999996</v>
      </c>
      <c r="Q929" s="1">
        <v>0.56359999999999999</v>
      </c>
      <c r="R929" s="1">
        <v>0.78539999999999999</v>
      </c>
      <c r="S929" s="1">
        <v>0.53770000000000007</v>
      </c>
      <c r="T929" s="1">
        <v>0.66254999999999997</v>
      </c>
      <c r="U929" s="1">
        <v>0.84799999999999998</v>
      </c>
      <c r="V929" s="1">
        <v>1.0936000000000001</v>
      </c>
    </row>
    <row r="930" spans="12:22" x14ac:dyDescent="0.25">
      <c r="L930" s="1">
        <v>132.80000000000001</v>
      </c>
      <c r="M930" s="1">
        <v>0.53754999999999997</v>
      </c>
      <c r="N930" s="1">
        <v>0.66244999999999998</v>
      </c>
      <c r="O930" s="1">
        <v>0.51160000000000005</v>
      </c>
      <c r="P930" s="33">
        <v>0.53959999999999997</v>
      </c>
      <c r="Q930" s="1">
        <v>0.5635</v>
      </c>
      <c r="R930" s="1">
        <v>0.7853</v>
      </c>
      <c r="S930" s="1">
        <v>0.53754999999999997</v>
      </c>
      <c r="T930" s="1">
        <v>0.66244999999999998</v>
      </c>
      <c r="U930" s="1">
        <v>0.84799999999999998</v>
      </c>
      <c r="V930" s="1">
        <v>1.0924</v>
      </c>
    </row>
    <row r="931" spans="12:22" x14ac:dyDescent="0.25">
      <c r="L931" s="1">
        <v>132.9</v>
      </c>
      <c r="M931" s="1">
        <v>0.53805000000000003</v>
      </c>
      <c r="N931" s="1">
        <v>0.66234999999999999</v>
      </c>
      <c r="O931" s="1">
        <v>0.51270000000000004</v>
      </c>
      <c r="P931" s="33">
        <v>0.53949999999999998</v>
      </c>
      <c r="Q931" s="1">
        <v>0.56340000000000001</v>
      </c>
      <c r="R931" s="1">
        <v>0.78520000000000001</v>
      </c>
      <c r="S931" s="1">
        <v>0.53805000000000003</v>
      </c>
      <c r="T931" s="1">
        <v>0.66234999999999999</v>
      </c>
      <c r="U931" s="1">
        <v>0.84799999999999998</v>
      </c>
      <c r="V931" s="1">
        <v>1.0912000000000002</v>
      </c>
    </row>
    <row r="932" spans="12:22" x14ac:dyDescent="0.25">
      <c r="L932" s="1">
        <v>133</v>
      </c>
      <c r="M932" s="1">
        <v>0.53739999999999999</v>
      </c>
      <c r="N932" s="1">
        <v>0.66220000000000001</v>
      </c>
      <c r="O932" s="1">
        <v>0.51139999999999997</v>
      </c>
      <c r="P932" s="33">
        <v>0.53939999999999999</v>
      </c>
      <c r="Q932" s="1">
        <v>0.56340000000000001</v>
      </c>
      <c r="R932" s="1">
        <v>0.78500000000000003</v>
      </c>
      <c r="S932" s="1">
        <v>0.53739999999999999</v>
      </c>
      <c r="T932" s="1">
        <v>0.66220000000000001</v>
      </c>
      <c r="U932" s="1">
        <v>0.84799999999999998</v>
      </c>
      <c r="V932" s="1">
        <v>1.0900000000000001</v>
      </c>
    </row>
    <row r="933" spans="12:22" x14ac:dyDescent="0.25">
      <c r="L933" s="1">
        <v>133.1</v>
      </c>
      <c r="M933" s="1">
        <v>0.5373</v>
      </c>
      <c r="N933" s="1">
        <v>0.66205000000000003</v>
      </c>
      <c r="O933" s="1">
        <v>0.51129999999999998</v>
      </c>
      <c r="P933" s="33">
        <v>0.53920000000000001</v>
      </c>
      <c r="Q933" s="1">
        <v>0.56330000000000002</v>
      </c>
      <c r="R933" s="1">
        <v>0.78490000000000004</v>
      </c>
      <c r="S933" s="1">
        <v>0.5373</v>
      </c>
      <c r="T933" s="1">
        <v>0.66205000000000003</v>
      </c>
      <c r="U933" s="1">
        <v>0.84799999999999998</v>
      </c>
      <c r="V933" s="1">
        <v>1.0888</v>
      </c>
    </row>
    <row r="934" spans="12:22" x14ac:dyDescent="0.25">
      <c r="L934" s="1">
        <v>133.19999999999999</v>
      </c>
      <c r="M934" s="1">
        <v>0.53720000000000001</v>
      </c>
      <c r="N934" s="1">
        <v>0.66195000000000004</v>
      </c>
      <c r="O934" s="1">
        <v>0.51119999999999999</v>
      </c>
      <c r="P934" s="33">
        <v>0.53910000000000002</v>
      </c>
      <c r="Q934" s="1">
        <v>0.56320000000000003</v>
      </c>
      <c r="R934" s="1">
        <v>0.78480000000000005</v>
      </c>
      <c r="S934" s="1">
        <v>0.53720000000000001</v>
      </c>
      <c r="T934" s="1">
        <v>0.66195000000000004</v>
      </c>
      <c r="U934" s="1">
        <v>0.84799999999999998</v>
      </c>
      <c r="V934" s="1">
        <v>1.0876000000000001</v>
      </c>
    </row>
    <row r="935" spans="12:22" x14ac:dyDescent="0.25">
      <c r="L935" s="1">
        <v>133.30000000000001</v>
      </c>
      <c r="M935" s="1">
        <v>0.53705000000000003</v>
      </c>
      <c r="N935" s="1">
        <v>0.68184999999999996</v>
      </c>
      <c r="O935" s="1">
        <v>0.51100000000000001</v>
      </c>
      <c r="P935" s="33">
        <v>0.57899999999999996</v>
      </c>
      <c r="Q935" s="1">
        <v>0.56310000000000004</v>
      </c>
      <c r="R935" s="1">
        <v>0.78469999999999995</v>
      </c>
      <c r="S935" s="1">
        <v>0.53705000000000003</v>
      </c>
      <c r="T935" s="1">
        <v>0.68184999999999996</v>
      </c>
      <c r="U935" s="1">
        <v>0.8478</v>
      </c>
      <c r="V935" s="1">
        <v>1.0864</v>
      </c>
    </row>
    <row r="936" spans="12:22" x14ac:dyDescent="0.25">
      <c r="L936" s="1">
        <v>133.4</v>
      </c>
      <c r="M936" s="1">
        <v>0.53700000000000003</v>
      </c>
      <c r="N936" s="1">
        <v>0.66174999999999995</v>
      </c>
      <c r="O936" s="1">
        <v>0.51090000000000002</v>
      </c>
      <c r="P936" s="33">
        <v>0.53889999999999993</v>
      </c>
      <c r="Q936" s="1">
        <v>0.56310000000000004</v>
      </c>
      <c r="R936" s="1">
        <v>0.78459999999999996</v>
      </c>
      <c r="S936" s="1">
        <v>0.53700000000000003</v>
      </c>
      <c r="T936" s="1">
        <v>0.66174999999999995</v>
      </c>
      <c r="U936" s="1">
        <v>0.84739999999999993</v>
      </c>
      <c r="V936" s="1">
        <v>1.0852000000000002</v>
      </c>
    </row>
    <row r="937" spans="12:22" x14ac:dyDescent="0.25">
      <c r="L937" s="1">
        <v>133.5</v>
      </c>
      <c r="M937" s="1">
        <v>0.53689999999999993</v>
      </c>
      <c r="N937" s="1">
        <v>0.66159999999999997</v>
      </c>
      <c r="O937" s="1">
        <v>0.51080000000000003</v>
      </c>
      <c r="P937" s="33">
        <v>0.53869999999999996</v>
      </c>
      <c r="Q937" s="1">
        <v>0.56299999999999994</v>
      </c>
      <c r="R937" s="1">
        <v>0.78449999999999998</v>
      </c>
      <c r="S937" s="1">
        <v>0.53689999999999993</v>
      </c>
      <c r="T937" s="1">
        <v>0.66159999999999997</v>
      </c>
      <c r="U937" s="1">
        <v>0.84699999999999998</v>
      </c>
      <c r="V937" s="1">
        <v>1.0840000000000001</v>
      </c>
    </row>
    <row r="938" spans="12:22" x14ac:dyDescent="0.25">
      <c r="L938" s="1">
        <v>133.6</v>
      </c>
      <c r="M938" s="1">
        <v>0.53679999999999994</v>
      </c>
      <c r="N938" s="1">
        <v>0.66149999999999998</v>
      </c>
      <c r="O938" s="1">
        <v>0.51070000000000004</v>
      </c>
      <c r="P938" s="33">
        <v>0.53859999999999997</v>
      </c>
      <c r="Q938" s="1">
        <v>0.56289999999999996</v>
      </c>
      <c r="R938" s="1">
        <v>0.78439999999999999</v>
      </c>
      <c r="S938" s="1">
        <v>0.53679999999999994</v>
      </c>
      <c r="T938" s="1">
        <v>0.66149999999999998</v>
      </c>
      <c r="U938" s="1">
        <v>0.84699999999999998</v>
      </c>
      <c r="V938" s="1">
        <v>1.0828</v>
      </c>
    </row>
    <row r="939" spans="12:22" x14ac:dyDescent="0.25">
      <c r="L939" s="1">
        <v>133.69999999999999</v>
      </c>
      <c r="M939" s="1">
        <v>0.53675000000000006</v>
      </c>
      <c r="N939" s="1">
        <v>0.66139999999999999</v>
      </c>
      <c r="O939" s="1">
        <v>0.51060000000000005</v>
      </c>
      <c r="P939" s="33">
        <v>0.53849999999999998</v>
      </c>
      <c r="Q939" s="1">
        <v>0.56289999999999996</v>
      </c>
      <c r="R939" s="1">
        <v>0.7843</v>
      </c>
      <c r="S939" s="1">
        <v>0.53675000000000006</v>
      </c>
      <c r="T939" s="1">
        <v>0.66139999999999999</v>
      </c>
      <c r="U939" s="1">
        <v>0.84699999999999998</v>
      </c>
      <c r="V939" s="1">
        <v>1.0816000000000001</v>
      </c>
    </row>
    <row r="940" spans="12:22" x14ac:dyDescent="0.25">
      <c r="L940" s="1">
        <v>133.80000000000001</v>
      </c>
      <c r="M940" s="1">
        <v>0.53659999999999997</v>
      </c>
      <c r="N940" s="1">
        <v>0.6613</v>
      </c>
      <c r="O940" s="1">
        <v>0.51039999999999996</v>
      </c>
      <c r="P940" s="33">
        <v>0.53839999999999999</v>
      </c>
      <c r="Q940" s="1">
        <v>0.56279999999999997</v>
      </c>
      <c r="R940" s="1">
        <v>0.78420000000000001</v>
      </c>
      <c r="S940" s="1">
        <v>0.53659999999999997</v>
      </c>
      <c r="T940" s="1">
        <v>0.6613</v>
      </c>
      <c r="U940" s="1">
        <v>0.84699999999999998</v>
      </c>
      <c r="V940" s="1">
        <v>1.0804</v>
      </c>
    </row>
    <row r="941" spans="12:22" x14ac:dyDescent="0.25">
      <c r="L941" s="1">
        <v>133.9</v>
      </c>
      <c r="M941" s="1">
        <v>0.53709999999999991</v>
      </c>
      <c r="N941" s="1">
        <v>0.66115000000000002</v>
      </c>
      <c r="O941" s="1">
        <v>0.51149999999999995</v>
      </c>
      <c r="P941" s="33">
        <v>0.53820000000000001</v>
      </c>
      <c r="Q941" s="1">
        <v>0.56269999999999998</v>
      </c>
      <c r="R941" s="1">
        <v>0.78410000000000002</v>
      </c>
      <c r="S941" s="1">
        <v>0.53709999999999991</v>
      </c>
      <c r="T941" s="1">
        <v>0.66115000000000002</v>
      </c>
      <c r="U941" s="1">
        <v>0.84699999999999998</v>
      </c>
      <c r="V941" s="1">
        <v>1.0792000000000002</v>
      </c>
    </row>
    <row r="942" spans="12:22" x14ac:dyDescent="0.25">
      <c r="L942" s="1">
        <v>134</v>
      </c>
      <c r="M942" s="1">
        <v>0.53644999999999998</v>
      </c>
      <c r="N942" s="1">
        <v>0.66105000000000003</v>
      </c>
      <c r="O942" s="1">
        <v>0.51019999999999999</v>
      </c>
      <c r="P942" s="33">
        <v>0.53810000000000002</v>
      </c>
      <c r="Q942" s="1">
        <v>0.56269999999999998</v>
      </c>
      <c r="R942" s="1">
        <v>0.78400000000000003</v>
      </c>
      <c r="S942" s="1">
        <v>0.53644999999999998</v>
      </c>
      <c r="T942" s="1">
        <v>0.66105000000000003</v>
      </c>
      <c r="U942" s="1">
        <v>0.84699999999999998</v>
      </c>
      <c r="V942" s="1">
        <v>1.0780000000000001</v>
      </c>
    </row>
    <row r="943" spans="12:22" x14ac:dyDescent="0.25">
      <c r="L943" s="1">
        <v>134.1</v>
      </c>
      <c r="M943" s="1">
        <v>0.53634999999999999</v>
      </c>
      <c r="N943" s="1">
        <v>0.66090000000000004</v>
      </c>
      <c r="O943" s="1">
        <v>0.5101</v>
      </c>
      <c r="P943" s="33">
        <v>0.53800000000000003</v>
      </c>
      <c r="Q943" s="1">
        <v>0.56259999999999999</v>
      </c>
      <c r="R943" s="1">
        <v>0.78380000000000005</v>
      </c>
      <c r="S943" s="1">
        <v>0.53634999999999999</v>
      </c>
      <c r="T943" s="1">
        <v>0.66090000000000004</v>
      </c>
      <c r="U943" s="1">
        <v>0.84699999999999998</v>
      </c>
      <c r="V943" s="1">
        <v>1.0768</v>
      </c>
    </row>
    <row r="944" spans="12:22" x14ac:dyDescent="0.25">
      <c r="L944" s="1">
        <v>134.19999999999999</v>
      </c>
      <c r="M944" s="1">
        <v>0.53625</v>
      </c>
      <c r="N944" s="1">
        <v>0.66080000000000005</v>
      </c>
      <c r="O944" s="1">
        <v>0.51</v>
      </c>
      <c r="P944" s="33">
        <v>0.53790000000000016</v>
      </c>
      <c r="Q944" s="1">
        <v>0.5625</v>
      </c>
      <c r="R944" s="1">
        <v>0.78369999999999995</v>
      </c>
      <c r="S944" s="1">
        <v>0.53625</v>
      </c>
      <c r="T944" s="1">
        <v>0.66080000000000005</v>
      </c>
      <c r="U944" s="1">
        <v>0.84699999999999998</v>
      </c>
      <c r="V944" s="1">
        <v>1.0756000000000001</v>
      </c>
    </row>
    <row r="945" spans="12:22" x14ac:dyDescent="0.25">
      <c r="L945" s="1">
        <v>134.30000000000001</v>
      </c>
      <c r="M945" s="1">
        <v>0.53610000000000002</v>
      </c>
      <c r="N945" s="1">
        <v>0.66069999999999995</v>
      </c>
      <c r="O945" s="1">
        <v>0.50980000000000003</v>
      </c>
      <c r="P945" s="33">
        <v>0.53779999999999994</v>
      </c>
      <c r="Q945" s="1">
        <v>0.56240000000000001</v>
      </c>
      <c r="R945" s="1">
        <v>0.78359999999999996</v>
      </c>
      <c r="S945" s="1">
        <v>0.53610000000000002</v>
      </c>
      <c r="T945" s="1">
        <v>0.66069999999999995</v>
      </c>
      <c r="U945" s="1">
        <v>0.84699999999999998</v>
      </c>
      <c r="V945" s="1">
        <v>1.0744</v>
      </c>
    </row>
    <row r="946" spans="12:22" x14ac:dyDescent="0.25">
      <c r="L946" s="1">
        <v>134.4</v>
      </c>
      <c r="M946" s="1">
        <v>0.53605000000000003</v>
      </c>
      <c r="N946" s="1">
        <v>0.66054999999999997</v>
      </c>
      <c r="O946" s="1">
        <v>0.50970000000000004</v>
      </c>
      <c r="P946" s="33">
        <v>0.53759999999999997</v>
      </c>
      <c r="Q946" s="1">
        <v>0.56240000000000001</v>
      </c>
      <c r="R946" s="1">
        <v>0.78349999999999997</v>
      </c>
      <c r="S946" s="1">
        <v>0.53605000000000003</v>
      </c>
      <c r="T946" s="1">
        <v>0.66054999999999997</v>
      </c>
      <c r="U946" s="1">
        <v>0.84699999999999998</v>
      </c>
      <c r="V946" s="1">
        <v>1.0732000000000002</v>
      </c>
    </row>
    <row r="947" spans="12:22" x14ac:dyDescent="0.25">
      <c r="L947" s="1">
        <v>134.5</v>
      </c>
      <c r="M947" s="1">
        <v>0.53595000000000004</v>
      </c>
      <c r="N947" s="1">
        <v>0.66044999999999998</v>
      </c>
      <c r="O947" s="1">
        <v>0.50960000000000005</v>
      </c>
      <c r="P947" s="33">
        <v>0.53749999999999998</v>
      </c>
      <c r="Q947" s="1">
        <v>0.56230000000000002</v>
      </c>
      <c r="R947" s="1">
        <v>0.78339999999999999</v>
      </c>
      <c r="S947" s="1">
        <v>0.53595000000000004</v>
      </c>
      <c r="T947" s="1">
        <v>0.66044999999999998</v>
      </c>
      <c r="U947" s="1">
        <v>0.84699999999999998</v>
      </c>
      <c r="V947" s="1">
        <v>1.0720000000000001</v>
      </c>
    </row>
    <row r="948" spans="12:22" x14ac:dyDescent="0.25">
      <c r="L948" s="1">
        <v>134.6</v>
      </c>
      <c r="M948" s="1">
        <v>0.53584999999999994</v>
      </c>
      <c r="N948" s="1">
        <v>0.66034999999999999</v>
      </c>
      <c r="O948" s="1">
        <v>0.50949999999999995</v>
      </c>
      <c r="P948" s="33">
        <v>0.53739999999999999</v>
      </c>
      <c r="Q948" s="1">
        <v>0.56220000000000003</v>
      </c>
      <c r="R948" s="1">
        <v>0.7833</v>
      </c>
      <c r="S948" s="1">
        <v>0.53584999999999994</v>
      </c>
      <c r="T948" s="1">
        <v>0.66034999999999999</v>
      </c>
      <c r="U948" s="1">
        <v>0.84660000000000002</v>
      </c>
      <c r="V948" s="1">
        <v>1.0708</v>
      </c>
    </row>
    <row r="949" spans="12:22" x14ac:dyDescent="0.25">
      <c r="L949" s="1">
        <v>134.69999999999999</v>
      </c>
      <c r="M949" s="1">
        <v>0.53580000000000005</v>
      </c>
      <c r="N949" s="1">
        <v>0.66025</v>
      </c>
      <c r="O949" s="1">
        <v>0.50939999999999996</v>
      </c>
      <c r="P949" s="33">
        <v>0.5373</v>
      </c>
      <c r="Q949" s="1">
        <v>0.56220000000000003</v>
      </c>
      <c r="R949" s="1">
        <v>0.78320000000000001</v>
      </c>
      <c r="S949" s="1">
        <v>0.53580000000000005</v>
      </c>
      <c r="T949" s="1">
        <v>0.66025</v>
      </c>
      <c r="U949" s="1">
        <v>0.84619999999999995</v>
      </c>
      <c r="V949" s="1">
        <v>1.0696000000000001</v>
      </c>
    </row>
    <row r="950" spans="12:22" x14ac:dyDescent="0.25">
      <c r="L950" s="1">
        <v>134.80000000000001</v>
      </c>
      <c r="M950" s="1">
        <v>0.53564999999999996</v>
      </c>
      <c r="N950" s="1">
        <v>0.66010000000000002</v>
      </c>
      <c r="O950" s="1">
        <v>0.50919999999999999</v>
      </c>
      <c r="P950" s="33">
        <v>0.53710000000000002</v>
      </c>
      <c r="Q950" s="1">
        <v>0.56210000000000004</v>
      </c>
      <c r="R950" s="1">
        <v>0.78310000000000002</v>
      </c>
      <c r="S950" s="1">
        <v>0.53564999999999996</v>
      </c>
      <c r="T950" s="1">
        <v>0.66010000000000002</v>
      </c>
      <c r="U950" s="1">
        <v>0.84599999999999997</v>
      </c>
      <c r="V950" s="1">
        <v>1.0684</v>
      </c>
    </row>
    <row r="951" spans="12:22" x14ac:dyDescent="0.25">
      <c r="L951" s="1">
        <v>134.9</v>
      </c>
      <c r="M951" s="1">
        <v>0.53615000000000002</v>
      </c>
      <c r="N951" s="1">
        <v>0.66</v>
      </c>
      <c r="O951" s="1">
        <v>0.51029999999999998</v>
      </c>
      <c r="P951" s="33">
        <v>0.53700000000000003</v>
      </c>
      <c r="Q951" s="1">
        <v>0.56200000000000006</v>
      </c>
      <c r="R951" s="1">
        <v>0.78300000000000003</v>
      </c>
      <c r="S951" s="1">
        <v>0.53615000000000002</v>
      </c>
      <c r="T951" s="1">
        <v>0.66</v>
      </c>
      <c r="U951" s="1">
        <v>0.84599999999999997</v>
      </c>
      <c r="V951" s="1">
        <v>1.0672000000000001</v>
      </c>
    </row>
    <row r="952" spans="12:22" x14ac:dyDescent="0.25">
      <c r="L952" s="1">
        <v>135</v>
      </c>
      <c r="M952" s="1">
        <v>0.53550000000000009</v>
      </c>
      <c r="N952" s="1">
        <v>0.65990000000000004</v>
      </c>
      <c r="O952" s="1">
        <v>0.50900000000000001</v>
      </c>
      <c r="P952" s="33">
        <v>0.53690000000000004</v>
      </c>
      <c r="Q952" s="1">
        <v>0.56200000000000006</v>
      </c>
      <c r="R952" s="1">
        <v>0.78290000000000004</v>
      </c>
      <c r="S952" s="1">
        <v>0.53550000000000009</v>
      </c>
      <c r="T952" s="1">
        <v>0.65990000000000004</v>
      </c>
      <c r="U952" s="1">
        <v>0.84599999999999997</v>
      </c>
      <c r="V952" s="1">
        <v>1.0660000000000001</v>
      </c>
    </row>
    <row r="953" spans="12:22" x14ac:dyDescent="0.25">
      <c r="L953" s="1">
        <v>135.1</v>
      </c>
      <c r="M953" s="1">
        <v>0.53539999999999999</v>
      </c>
      <c r="N953" s="1">
        <v>0.65980000000000005</v>
      </c>
      <c r="O953" s="1">
        <v>0.50890000000000002</v>
      </c>
      <c r="P953" s="33">
        <v>0.53680000000000005</v>
      </c>
      <c r="Q953" s="1">
        <v>0.56189999999999996</v>
      </c>
      <c r="R953" s="1">
        <v>0.78280000000000005</v>
      </c>
      <c r="S953" s="1">
        <v>0.53539999999999999</v>
      </c>
      <c r="T953" s="1">
        <v>0.65980000000000005</v>
      </c>
      <c r="U953" s="1">
        <v>0.84599999999999997</v>
      </c>
      <c r="V953" s="1">
        <v>1.0648</v>
      </c>
    </row>
    <row r="954" spans="12:22" x14ac:dyDescent="0.25">
      <c r="L954" s="1">
        <v>135.19999999999999</v>
      </c>
      <c r="M954" s="1">
        <v>0.5353</v>
      </c>
      <c r="N954" s="1">
        <v>0.65964999999999996</v>
      </c>
      <c r="O954" s="1">
        <v>0.50880000000000003</v>
      </c>
      <c r="P954" s="33">
        <v>0.53659999999999997</v>
      </c>
      <c r="Q954" s="1">
        <v>0.56179999999999997</v>
      </c>
      <c r="R954" s="1">
        <v>0.78269999999999995</v>
      </c>
      <c r="S954" s="1">
        <v>0.5353</v>
      </c>
      <c r="T954" s="1">
        <v>0.65964999999999996</v>
      </c>
      <c r="U954" s="1">
        <v>0.84599999999999997</v>
      </c>
      <c r="V954" s="1">
        <v>1.0636000000000001</v>
      </c>
    </row>
    <row r="955" spans="12:22" x14ac:dyDescent="0.25">
      <c r="L955" s="1">
        <v>135.30000000000001</v>
      </c>
      <c r="M955" s="1">
        <v>0.53520000000000001</v>
      </c>
      <c r="N955" s="1">
        <v>0.65949999999999998</v>
      </c>
      <c r="O955" s="1">
        <v>0.50860000000000005</v>
      </c>
      <c r="P955" s="33">
        <v>0.53649999999999998</v>
      </c>
      <c r="Q955" s="1">
        <v>0.56179999999999997</v>
      </c>
      <c r="R955" s="1">
        <v>0.78249999999999997</v>
      </c>
      <c r="S955" s="1">
        <v>0.53520000000000001</v>
      </c>
      <c r="T955" s="1">
        <v>0.65949999999999998</v>
      </c>
      <c r="U955" s="1">
        <v>0.8458</v>
      </c>
      <c r="V955" s="1">
        <v>1.0624</v>
      </c>
    </row>
    <row r="956" spans="12:22" x14ac:dyDescent="0.25">
      <c r="L956" s="1">
        <v>135.4</v>
      </c>
      <c r="M956" s="1">
        <v>0.53509999999999991</v>
      </c>
      <c r="N956" s="1">
        <v>0.65939999999999999</v>
      </c>
      <c r="O956" s="1">
        <v>0.50849999999999995</v>
      </c>
      <c r="P956" s="33">
        <v>0.53639999999999999</v>
      </c>
      <c r="Q956" s="1">
        <v>0.56169999999999998</v>
      </c>
      <c r="R956" s="1">
        <v>0.78239999999999998</v>
      </c>
      <c r="S956" s="1">
        <v>0.53509999999999991</v>
      </c>
      <c r="T956" s="1">
        <v>0.65939999999999999</v>
      </c>
      <c r="U956" s="1">
        <v>0.84539999999999993</v>
      </c>
      <c r="V956" s="1">
        <v>1.0612000000000001</v>
      </c>
    </row>
    <row r="957" spans="12:22" x14ac:dyDescent="0.25">
      <c r="L957" s="1">
        <v>135.5</v>
      </c>
      <c r="M957" s="1">
        <v>0.53500000000000003</v>
      </c>
      <c r="N957" s="1">
        <v>0.6593</v>
      </c>
      <c r="O957" s="1">
        <v>0.50839999999999996</v>
      </c>
      <c r="P957" s="33">
        <v>0.5363</v>
      </c>
      <c r="Q957" s="1">
        <v>0.56159999999999999</v>
      </c>
      <c r="R957" s="1">
        <v>0.7823</v>
      </c>
      <c r="S957" s="1">
        <v>0.53500000000000003</v>
      </c>
      <c r="T957" s="1">
        <v>0.6593</v>
      </c>
      <c r="U957" s="1">
        <v>0.84499999999999997</v>
      </c>
      <c r="V957" s="1">
        <v>1.06</v>
      </c>
    </row>
    <row r="958" spans="12:22" x14ac:dyDescent="0.25">
      <c r="L958" s="1">
        <v>135.6</v>
      </c>
      <c r="M958" s="1">
        <v>0.53495000000000004</v>
      </c>
      <c r="N958" s="1">
        <v>0.65915000000000001</v>
      </c>
      <c r="O958" s="1">
        <v>0.50829999999999997</v>
      </c>
      <c r="P958" s="33">
        <v>0.53610000000000002</v>
      </c>
      <c r="Q958" s="1">
        <v>0.56159999999999999</v>
      </c>
      <c r="R958" s="1">
        <v>0.78220000000000001</v>
      </c>
      <c r="S958" s="1">
        <v>0.53495000000000004</v>
      </c>
      <c r="T958" s="1">
        <v>0.65915000000000001</v>
      </c>
      <c r="U958" s="1">
        <v>0.84499999999999997</v>
      </c>
      <c r="V958" s="1">
        <v>1.0588</v>
      </c>
    </row>
    <row r="959" spans="12:22" x14ac:dyDescent="0.25">
      <c r="L959" s="1">
        <v>135.69999999999999</v>
      </c>
      <c r="M959" s="1">
        <v>0.53485000000000005</v>
      </c>
      <c r="N959" s="1">
        <v>0.65905000000000002</v>
      </c>
      <c r="O959" s="1">
        <v>0.50819999999999999</v>
      </c>
      <c r="P959" s="33">
        <v>0.53600000000000003</v>
      </c>
      <c r="Q959" s="1">
        <v>0.5615</v>
      </c>
      <c r="R959" s="1">
        <v>0.78210000000000002</v>
      </c>
      <c r="S959" s="1">
        <v>0.53485000000000005</v>
      </c>
      <c r="T959" s="1">
        <v>0.65905000000000002</v>
      </c>
      <c r="U959" s="1">
        <v>0.84499999999999997</v>
      </c>
      <c r="V959" s="1">
        <v>1.0576000000000001</v>
      </c>
    </row>
    <row r="960" spans="12:22" x14ac:dyDescent="0.25">
      <c r="L960" s="1">
        <v>135.80000000000001</v>
      </c>
      <c r="M960" s="1">
        <v>0.53469999999999995</v>
      </c>
      <c r="N960" s="1">
        <v>0.65895000000000004</v>
      </c>
      <c r="O960" s="1">
        <v>0.50800000000000001</v>
      </c>
      <c r="P960" s="33">
        <v>0.53590000000000004</v>
      </c>
      <c r="Q960" s="1">
        <v>0.56140000000000001</v>
      </c>
      <c r="R960" s="1">
        <v>0.78200000000000003</v>
      </c>
      <c r="S960" s="1">
        <v>0.53469999999999995</v>
      </c>
      <c r="T960" s="1">
        <v>0.65895000000000004</v>
      </c>
      <c r="U960" s="1">
        <v>0.84499999999999997</v>
      </c>
      <c r="V960" s="1">
        <v>1.0564</v>
      </c>
    </row>
    <row r="961" spans="12:22" x14ac:dyDescent="0.25">
      <c r="L961" s="1">
        <v>135.9</v>
      </c>
      <c r="M961" s="1">
        <v>0.53525</v>
      </c>
      <c r="N961" s="1">
        <v>0.65885000000000005</v>
      </c>
      <c r="O961" s="1">
        <v>0.5091</v>
      </c>
      <c r="P961" s="33">
        <v>0.53580000000000005</v>
      </c>
      <c r="Q961" s="1">
        <v>0.56140000000000001</v>
      </c>
      <c r="R961" s="1">
        <v>0.78190000000000004</v>
      </c>
      <c r="S961" s="1">
        <v>0.53525</v>
      </c>
      <c r="T961" s="1">
        <v>0.65885000000000005</v>
      </c>
      <c r="U961" s="1">
        <v>0.84499999999999997</v>
      </c>
      <c r="V961" s="1">
        <v>1.0552000000000001</v>
      </c>
    </row>
    <row r="962" spans="12:22" x14ac:dyDescent="0.25">
      <c r="L962" s="1">
        <v>136</v>
      </c>
      <c r="M962" s="1">
        <v>0.53455000000000008</v>
      </c>
      <c r="N962" s="1">
        <v>0.65874999999999995</v>
      </c>
      <c r="O962" s="1">
        <v>0.50780000000000003</v>
      </c>
      <c r="P962" s="33">
        <v>0.53569999999999984</v>
      </c>
      <c r="Q962" s="1">
        <v>0.56130000000000002</v>
      </c>
      <c r="R962" s="1">
        <v>0.78180000000000005</v>
      </c>
      <c r="S962" s="1">
        <v>0.53455000000000008</v>
      </c>
      <c r="T962" s="1">
        <v>0.65874999999999995</v>
      </c>
      <c r="U962" s="1">
        <v>0.84499999999999997</v>
      </c>
      <c r="V962" s="1">
        <v>1.054</v>
      </c>
    </row>
    <row r="963" spans="12:22" x14ac:dyDescent="0.25">
      <c r="L963" s="1">
        <v>136.1</v>
      </c>
      <c r="M963" s="1">
        <v>0.53445000000000009</v>
      </c>
      <c r="N963" s="1">
        <v>0.65859999999999996</v>
      </c>
      <c r="O963" s="1">
        <v>0.50770000000000004</v>
      </c>
      <c r="P963" s="33">
        <v>0.53549999999999998</v>
      </c>
      <c r="Q963" s="1">
        <v>0.56120000000000003</v>
      </c>
      <c r="R963" s="1">
        <v>0.78169999999999995</v>
      </c>
      <c r="S963" s="1">
        <v>0.53445000000000009</v>
      </c>
      <c r="T963" s="1">
        <v>0.65859999999999996</v>
      </c>
      <c r="U963" s="1">
        <v>0.84499999999999997</v>
      </c>
      <c r="V963" s="1">
        <v>1.0528</v>
      </c>
    </row>
    <row r="964" spans="12:22" x14ac:dyDescent="0.25">
      <c r="L964" s="1">
        <v>136.19999999999999</v>
      </c>
      <c r="M964" s="1">
        <v>0.53439999999999999</v>
      </c>
      <c r="N964" s="1">
        <v>0.65849999999999997</v>
      </c>
      <c r="O964" s="1">
        <v>0.50760000000000005</v>
      </c>
      <c r="P964" s="33">
        <v>0.53539999999999999</v>
      </c>
      <c r="Q964" s="1">
        <v>0.56120000000000003</v>
      </c>
      <c r="R964" s="1">
        <v>0.78159999999999996</v>
      </c>
      <c r="S964" s="1">
        <v>0.53439999999999999</v>
      </c>
      <c r="T964" s="1">
        <v>0.65849999999999997</v>
      </c>
      <c r="U964" s="1">
        <v>0.84499999999999997</v>
      </c>
      <c r="V964" s="1">
        <v>1.0516000000000001</v>
      </c>
    </row>
    <row r="965" spans="12:22" x14ac:dyDescent="0.25">
      <c r="L965" s="1">
        <v>136.30000000000001</v>
      </c>
      <c r="M965" s="1">
        <v>0.5343</v>
      </c>
      <c r="N965" s="1">
        <v>0.65839999999999999</v>
      </c>
      <c r="O965" s="1">
        <v>0.50749999999999995</v>
      </c>
      <c r="P965" s="33">
        <v>0.5353</v>
      </c>
      <c r="Q965" s="1">
        <v>0.56110000000000004</v>
      </c>
      <c r="R965" s="1">
        <v>0.78149999999999997</v>
      </c>
      <c r="S965" s="1">
        <v>0.5343</v>
      </c>
      <c r="T965" s="1">
        <v>0.65839999999999999</v>
      </c>
      <c r="U965" s="1">
        <v>0.8448</v>
      </c>
      <c r="V965" s="1">
        <v>1.0504</v>
      </c>
    </row>
    <row r="966" spans="12:22" x14ac:dyDescent="0.25">
      <c r="L966" s="1">
        <v>136.4</v>
      </c>
      <c r="M966" s="1">
        <v>0.53415000000000001</v>
      </c>
      <c r="N966" s="1">
        <v>0.6583</v>
      </c>
      <c r="O966" s="1">
        <v>0.50729999999999997</v>
      </c>
      <c r="P966" s="33">
        <v>0.53520000000000001</v>
      </c>
      <c r="Q966" s="1">
        <v>0.56100000000000005</v>
      </c>
      <c r="R966" s="1">
        <v>0.78139999999999998</v>
      </c>
      <c r="S966" s="1">
        <v>0.53415000000000001</v>
      </c>
      <c r="T966" s="1">
        <v>0.6583</v>
      </c>
      <c r="U966" s="1">
        <v>0.84439999999999993</v>
      </c>
      <c r="V966" s="1">
        <v>1.0492000000000001</v>
      </c>
    </row>
    <row r="967" spans="12:22" x14ac:dyDescent="0.25">
      <c r="L967" s="1">
        <v>136.5</v>
      </c>
      <c r="M967" s="1">
        <v>0.53410000000000002</v>
      </c>
      <c r="N967" s="1">
        <v>0.65815000000000001</v>
      </c>
      <c r="O967" s="1">
        <v>0.50719999999999998</v>
      </c>
      <c r="P967" s="33">
        <v>0.53500000000000003</v>
      </c>
      <c r="Q967" s="1">
        <v>0.56100000000000005</v>
      </c>
      <c r="R967" s="1">
        <v>0.78129999999999999</v>
      </c>
      <c r="S967" s="1">
        <v>0.53410000000000002</v>
      </c>
      <c r="T967" s="1">
        <v>0.65815000000000001</v>
      </c>
      <c r="U967" s="1">
        <v>0.84399999999999997</v>
      </c>
      <c r="V967" s="1">
        <v>1.048</v>
      </c>
    </row>
    <row r="968" spans="12:22" x14ac:dyDescent="0.25">
      <c r="L968" s="1">
        <v>136.6</v>
      </c>
      <c r="M968" s="1">
        <v>0.53400000000000003</v>
      </c>
      <c r="N968" s="1">
        <v>0.65805000000000002</v>
      </c>
      <c r="O968" s="1">
        <v>0.5071</v>
      </c>
      <c r="P968" s="33">
        <v>0.53490000000000004</v>
      </c>
      <c r="Q968" s="1">
        <v>0.56089999999999995</v>
      </c>
      <c r="R968" s="1">
        <v>0.78120000000000001</v>
      </c>
      <c r="S968" s="1">
        <v>0.53400000000000003</v>
      </c>
      <c r="T968" s="1">
        <v>0.65805000000000002</v>
      </c>
      <c r="U968" s="1">
        <v>0.84399999999999997</v>
      </c>
      <c r="V968" s="1">
        <v>1.0472000000000001</v>
      </c>
    </row>
    <row r="969" spans="12:22" x14ac:dyDescent="0.25">
      <c r="L969" s="1">
        <v>136.69999999999999</v>
      </c>
      <c r="M969" s="1">
        <v>0.53394999999999992</v>
      </c>
      <c r="N969" s="1">
        <v>0.65795000000000003</v>
      </c>
      <c r="O969" s="1">
        <v>0.50700000000000001</v>
      </c>
      <c r="P969" s="33">
        <v>0.53480000000000005</v>
      </c>
      <c r="Q969" s="1">
        <v>0.56089999999999995</v>
      </c>
      <c r="R969" s="1">
        <v>0.78110000000000002</v>
      </c>
      <c r="S969" s="1">
        <v>0.53394999999999992</v>
      </c>
      <c r="T969" s="1">
        <v>0.65795000000000003</v>
      </c>
      <c r="U969" s="1">
        <v>0.84399999999999997</v>
      </c>
      <c r="V969" s="1">
        <v>1.0464</v>
      </c>
    </row>
    <row r="970" spans="12:22" x14ac:dyDescent="0.25">
      <c r="L970" s="1">
        <v>136.80000000000001</v>
      </c>
      <c r="M970" s="1">
        <v>0.53384999999999994</v>
      </c>
      <c r="N970" s="1">
        <v>0.65780000000000005</v>
      </c>
      <c r="O970" s="1">
        <v>0.50690000000000002</v>
      </c>
      <c r="P970" s="33">
        <v>0.53470000000000006</v>
      </c>
      <c r="Q970" s="1">
        <v>0.56079999999999997</v>
      </c>
      <c r="R970" s="1">
        <v>0.78090000000000004</v>
      </c>
      <c r="S970" s="1">
        <v>0.53384999999999994</v>
      </c>
      <c r="T970" s="1">
        <v>0.65780000000000005</v>
      </c>
      <c r="U970" s="1">
        <v>0.84399999999999997</v>
      </c>
      <c r="V970" s="1">
        <v>1.0456000000000001</v>
      </c>
    </row>
    <row r="971" spans="12:22" x14ac:dyDescent="0.25">
      <c r="L971" s="1">
        <v>136.9</v>
      </c>
      <c r="M971" s="1">
        <v>0.5343</v>
      </c>
      <c r="N971" s="1">
        <v>0.65769999999999995</v>
      </c>
      <c r="O971" s="1">
        <v>0.50790000000000002</v>
      </c>
      <c r="P971" s="33">
        <v>0.53459999999999985</v>
      </c>
      <c r="Q971" s="1">
        <v>0.56069999999999998</v>
      </c>
      <c r="R971" s="1">
        <v>0.78080000000000005</v>
      </c>
      <c r="S971" s="1">
        <v>0.5343</v>
      </c>
      <c r="T971" s="1">
        <v>0.65769999999999995</v>
      </c>
      <c r="U971" s="1">
        <v>0.84399999999999997</v>
      </c>
      <c r="V971" s="1">
        <v>1.0448</v>
      </c>
    </row>
    <row r="972" spans="12:22" x14ac:dyDescent="0.25">
      <c r="L972" s="1">
        <v>137</v>
      </c>
      <c r="M972" s="1">
        <v>0.53370000000000006</v>
      </c>
      <c r="N972" s="1">
        <v>0.65754999999999997</v>
      </c>
      <c r="O972" s="1">
        <v>0.50670000000000004</v>
      </c>
      <c r="P972" s="33">
        <v>0.53439999999999999</v>
      </c>
      <c r="Q972" s="1">
        <v>0.56069999999999998</v>
      </c>
      <c r="R972" s="1">
        <v>0.78069999999999995</v>
      </c>
      <c r="S972" s="1">
        <v>0.53370000000000006</v>
      </c>
      <c r="T972" s="1">
        <v>0.65754999999999997</v>
      </c>
      <c r="U972" s="1">
        <v>0.84399999999999997</v>
      </c>
      <c r="V972" s="1">
        <v>1.044</v>
      </c>
    </row>
    <row r="973" spans="12:22" x14ac:dyDescent="0.25">
      <c r="L973" s="1">
        <v>137.1</v>
      </c>
      <c r="M973" s="1">
        <v>0.53360000000000007</v>
      </c>
      <c r="N973" s="1">
        <v>0.65744999999999998</v>
      </c>
      <c r="O973" s="1">
        <v>0.50660000000000005</v>
      </c>
      <c r="P973" s="33">
        <v>0.5343</v>
      </c>
      <c r="Q973" s="1">
        <v>0.56059999999999999</v>
      </c>
      <c r="R973" s="1">
        <v>0.78059999999999996</v>
      </c>
      <c r="S973" s="1">
        <v>0.53360000000000007</v>
      </c>
      <c r="T973" s="1">
        <v>0.65744999999999998</v>
      </c>
      <c r="U973" s="1">
        <v>0.84360000000000002</v>
      </c>
      <c r="V973" s="1">
        <v>1.0429999999999999</v>
      </c>
    </row>
    <row r="974" spans="12:22" x14ac:dyDescent="0.25">
      <c r="L974" s="1">
        <v>137.19999999999999</v>
      </c>
      <c r="M974" s="1">
        <v>0.53349999999999997</v>
      </c>
      <c r="N974" s="1">
        <v>0.65734999999999999</v>
      </c>
      <c r="O974" s="1">
        <v>0.50649999999999995</v>
      </c>
      <c r="P974" s="33">
        <v>0.53420000000000001</v>
      </c>
      <c r="Q974" s="1">
        <v>0.5605</v>
      </c>
      <c r="R974" s="1">
        <v>0.78049999999999997</v>
      </c>
      <c r="S974" s="1">
        <v>0.53349999999999997</v>
      </c>
      <c r="T974" s="1">
        <v>0.65734999999999999</v>
      </c>
      <c r="U974" s="1">
        <v>0.84319999999999995</v>
      </c>
      <c r="V974" s="1">
        <v>1.042</v>
      </c>
    </row>
    <row r="975" spans="12:22" x14ac:dyDescent="0.25">
      <c r="L975" s="1">
        <v>137.30000000000001</v>
      </c>
      <c r="M975" s="1">
        <v>0.53344999999999998</v>
      </c>
      <c r="N975" s="1">
        <v>0.65725</v>
      </c>
      <c r="O975" s="1">
        <v>0.50639999999999996</v>
      </c>
      <c r="P975" s="33">
        <v>0.53410000000000002</v>
      </c>
      <c r="Q975" s="1">
        <v>0.5605</v>
      </c>
      <c r="R975" s="1">
        <v>0.78039999999999998</v>
      </c>
      <c r="S975" s="1">
        <v>0.53344999999999998</v>
      </c>
      <c r="T975" s="1">
        <v>0.65725</v>
      </c>
      <c r="U975" s="1">
        <v>0.84299999999999997</v>
      </c>
      <c r="V975" s="1">
        <v>1.0409999999999999</v>
      </c>
    </row>
    <row r="976" spans="12:22" x14ac:dyDescent="0.25">
      <c r="L976" s="1">
        <v>137.4</v>
      </c>
      <c r="M976" s="1">
        <v>0.5333</v>
      </c>
      <c r="N976" s="1">
        <v>0.65710000000000002</v>
      </c>
      <c r="O976" s="1">
        <v>0.50619999999999998</v>
      </c>
      <c r="P976" s="33">
        <v>0.53390000000000004</v>
      </c>
      <c r="Q976" s="1">
        <v>0.56040000000000001</v>
      </c>
      <c r="R976" s="1">
        <v>0.78029999999999999</v>
      </c>
      <c r="S976" s="1">
        <v>0.5333</v>
      </c>
      <c r="T976" s="1">
        <v>0.65710000000000002</v>
      </c>
      <c r="U976" s="1">
        <v>0.84299999999999997</v>
      </c>
      <c r="V976" s="1">
        <v>1.04</v>
      </c>
    </row>
    <row r="977" spans="12:22" x14ac:dyDescent="0.25">
      <c r="L977" s="1">
        <v>137.5</v>
      </c>
      <c r="M977" s="1">
        <v>0.53320000000000001</v>
      </c>
      <c r="N977" s="1">
        <v>0.65700000000000003</v>
      </c>
      <c r="O977" s="1">
        <v>0.50609999999999999</v>
      </c>
      <c r="P977" s="33">
        <v>0.53380000000000005</v>
      </c>
      <c r="Q977" s="1">
        <v>0.56030000000000002</v>
      </c>
      <c r="R977" s="1">
        <v>0.7802</v>
      </c>
      <c r="S977" s="1">
        <v>0.53320000000000001</v>
      </c>
      <c r="T977" s="1">
        <v>0.65700000000000003</v>
      </c>
      <c r="U977" s="1">
        <v>0.84299999999999997</v>
      </c>
      <c r="V977" s="1">
        <v>1.0389999999999999</v>
      </c>
    </row>
    <row r="978" spans="12:22" x14ac:dyDescent="0.25">
      <c r="L978" s="1">
        <v>137.6</v>
      </c>
      <c r="M978" s="1">
        <v>0.53315000000000001</v>
      </c>
      <c r="N978" s="1">
        <v>0.65690000000000004</v>
      </c>
      <c r="O978" s="1">
        <v>0.50600000000000001</v>
      </c>
      <c r="P978" s="33">
        <v>0.53370000000000006</v>
      </c>
      <c r="Q978" s="1">
        <v>0.56030000000000002</v>
      </c>
      <c r="R978" s="1">
        <v>0.78010000000000002</v>
      </c>
      <c r="S978" s="1">
        <v>0.53315000000000001</v>
      </c>
      <c r="T978" s="1">
        <v>0.65690000000000004</v>
      </c>
      <c r="U978" s="1">
        <v>0.84299999999999997</v>
      </c>
      <c r="V978" s="1">
        <v>1.038</v>
      </c>
    </row>
    <row r="979" spans="12:22" x14ac:dyDescent="0.25">
      <c r="L979" s="1">
        <v>137.69999999999999</v>
      </c>
      <c r="M979" s="1">
        <v>0.53305000000000002</v>
      </c>
      <c r="N979" s="1">
        <v>0.65680000000000005</v>
      </c>
      <c r="O979" s="1">
        <v>0.50590000000000002</v>
      </c>
      <c r="P979" s="33">
        <v>0.53360000000000007</v>
      </c>
      <c r="Q979" s="1">
        <v>0.56020000000000003</v>
      </c>
      <c r="R979" s="1">
        <v>0.78</v>
      </c>
      <c r="S979" s="1">
        <v>0.53305000000000002</v>
      </c>
      <c r="T979" s="1">
        <v>0.65680000000000005</v>
      </c>
      <c r="U979" s="1">
        <v>0.84299999999999997</v>
      </c>
      <c r="V979" s="1">
        <v>1.0369999999999999</v>
      </c>
    </row>
    <row r="980" spans="12:22" x14ac:dyDescent="0.25">
      <c r="L980" s="1">
        <v>137.80000000000001</v>
      </c>
      <c r="M980" s="1">
        <v>0.53300000000000003</v>
      </c>
      <c r="N980" s="1">
        <v>0.65669999999999995</v>
      </c>
      <c r="O980" s="1">
        <v>0.50580000000000003</v>
      </c>
      <c r="P980" s="33">
        <v>0.53349999999999986</v>
      </c>
      <c r="Q980" s="1">
        <v>0.56020000000000003</v>
      </c>
      <c r="R980" s="1">
        <v>0.77990000000000004</v>
      </c>
      <c r="S980" s="1">
        <v>0.53300000000000003</v>
      </c>
      <c r="T980" s="1">
        <v>0.65669999999999995</v>
      </c>
      <c r="U980" s="1">
        <v>0.84279999999999999</v>
      </c>
      <c r="V980" s="1">
        <v>1.036</v>
      </c>
    </row>
    <row r="981" spans="12:22" x14ac:dyDescent="0.25">
      <c r="L981" s="1">
        <v>137.9</v>
      </c>
      <c r="M981" s="1">
        <v>0.53344999999999998</v>
      </c>
      <c r="N981" s="1">
        <v>0.65654999999999997</v>
      </c>
      <c r="O981" s="1">
        <v>0.50680000000000003</v>
      </c>
      <c r="P981" s="33">
        <v>0.53329999999999989</v>
      </c>
      <c r="Q981" s="1">
        <v>0.56010000000000004</v>
      </c>
      <c r="R981" s="1">
        <v>0.77980000000000005</v>
      </c>
      <c r="S981" s="1">
        <v>0.53344999999999998</v>
      </c>
      <c r="T981" s="1">
        <v>0.65654999999999997</v>
      </c>
      <c r="U981" s="1">
        <v>0.84239999999999993</v>
      </c>
      <c r="V981" s="1">
        <v>1.0349999999999999</v>
      </c>
    </row>
    <row r="982" spans="12:22" x14ac:dyDescent="0.25">
      <c r="L982" s="1">
        <v>138</v>
      </c>
      <c r="M982" s="1">
        <v>0.53280000000000005</v>
      </c>
      <c r="N982" s="1">
        <v>0.65644999999999998</v>
      </c>
      <c r="O982" s="1">
        <v>0.50560000000000005</v>
      </c>
      <c r="P982" s="33">
        <v>0.53320000000000001</v>
      </c>
      <c r="Q982" s="1">
        <v>0.56000000000000005</v>
      </c>
      <c r="R982" s="1">
        <v>0.77969999999999995</v>
      </c>
      <c r="S982" s="1">
        <v>0.53280000000000005</v>
      </c>
      <c r="T982" s="1">
        <v>0.65644999999999998</v>
      </c>
      <c r="U982" s="1">
        <v>0.84199999999999997</v>
      </c>
      <c r="V982" s="1">
        <v>1.034</v>
      </c>
    </row>
    <row r="983" spans="12:22" x14ac:dyDescent="0.25">
      <c r="L983" s="1">
        <v>138.1</v>
      </c>
      <c r="M983" s="1">
        <v>0.53275000000000006</v>
      </c>
      <c r="N983" s="1">
        <v>0.65634999999999999</v>
      </c>
      <c r="O983" s="1">
        <v>0.50549999999999995</v>
      </c>
      <c r="P983" s="33">
        <v>0.53310000000000002</v>
      </c>
      <c r="Q983" s="1">
        <v>0.56000000000000005</v>
      </c>
      <c r="R983" s="1">
        <v>0.77959999999999996</v>
      </c>
      <c r="S983" s="1">
        <v>0.53275000000000006</v>
      </c>
      <c r="T983" s="1">
        <v>0.65634999999999999</v>
      </c>
      <c r="U983" s="1">
        <v>0.84199999999999997</v>
      </c>
      <c r="V983" s="1">
        <v>1.0329999999999999</v>
      </c>
    </row>
    <row r="984" spans="12:22" x14ac:dyDescent="0.25">
      <c r="L984" s="1">
        <v>138.19999999999999</v>
      </c>
      <c r="M984" s="1">
        <v>0.53264999999999996</v>
      </c>
      <c r="N984" s="1">
        <v>0.65625</v>
      </c>
      <c r="O984" s="1">
        <v>0.50539999999999996</v>
      </c>
      <c r="P984" s="33">
        <v>0.53300000000000003</v>
      </c>
      <c r="Q984" s="1">
        <v>0.55989999999999995</v>
      </c>
      <c r="R984" s="1">
        <v>0.77949999999999997</v>
      </c>
      <c r="S984" s="1">
        <v>0.53264999999999996</v>
      </c>
      <c r="T984" s="1">
        <v>0.65625</v>
      </c>
      <c r="U984" s="1">
        <v>0.84199999999999997</v>
      </c>
      <c r="V984" s="1">
        <v>1.032</v>
      </c>
    </row>
    <row r="985" spans="12:22" x14ac:dyDescent="0.25">
      <c r="L985" s="1">
        <v>138.30000000000001</v>
      </c>
      <c r="M985" s="1">
        <v>0.53254999999999997</v>
      </c>
      <c r="N985" s="1">
        <v>0.65610000000000002</v>
      </c>
      <c r="O985" s="1">
        <v>0.50529999999999997</v>
      </c>
      <c r="P985" s="33">
        <v>0.53280000000000005</v>
      </c>
      <c r="Q985" s="1">
        <v>0.55979999999999996</v>
      </c>
      <c r="R985" s="1">
        <v>0.77939999999999998</v>
      </c>
      <c r="S985" s="1">
        <v>0.53254999999999997</v>
      </c>
      <c r="T985" s="1">
        <v>0.65610000000000002</v>
      </c>
      <c r="U985" s="1">
        <v>0.84199999999999997</v>
      </c>
      <c r="V985" s="1">
        <v>1.0309999999999999</v>
      </c>
    </row>
    <row r="986" spans="12:22" x14ac:dyDescent="0.25">
      <c r="L986" s="1">
        <v>138.4</v>
      </c>
      <c r="M986" s="1">
        <v>0.53244999999999998</v>
      </c>
      <c r="N986" s="1">
        <v>0.65600000000000003</v>
      </c>
      <c r="O986" s="1">
        <v>0.50509999999999999</v>
      </c>
      <c r="P986" s="33">
        <v>0.53270000000000006</v>
      </c>
      <c r="Q986" s="1">
        <v>0.55979999999999996</v>
      </c>
      <c r="R986" s="1">
        <v>0.77929999999999999</v>
      </c>
      <c r="S986" s="1">
        <v>0.53244999999999998</v>
      </c>
      <c r="T986" s="1">
        <v>0.65600000000000003</v>
      </c>
      <c r="U986" s="1">
        <v>0.84199999999999997</v>
      </c>
      <c r="V986" s="1">
        <v>1.03</v>
      </c>
    </row>
    <row r="987" spans="12:22" x14ac:dyDescent="0.25">
      <c r="L987" s="1">
        <v>138.5</v>
      </c>
      <c r="M987" s="1">
        <v>0.53234999999999999</v>
      </c>
      <c r="N987" s="1">
        <v>0.65590000000000004</v>
      </c>
      <c r="O987" s="1">
        <v>0.505</v>
      </c>
      <c r="P987" s="33">
        <v>0.53260000000000007</v>
      </c>
      <c r="Q987" s="1">
        <v>0.55969999999999998</v>
      </c>
      <c r="R987" s="1">
        <v>0.7792</v>
      </c>
      <c r="S987" s="1">
        <v>0.53234999999999999</v>
      </c>
      <c r="T987" s="1">
        <v>0.65590000000000004</v>
      </c>
      <c r="U987" s="1">
        <v>0.84199999999999997</v>
      </c>
      <c r="V987" s="1">
        <v>1.0289999999999999</v>
      </c>
    </row>
    <row r="988" spans="12:22" x14ac:dyDescent="0.25">
      <c r="L988" s="1">
        <v>138.6</v>
      </c>
      <c r="M988" s="1">
        <v>0.5323</v>
      </c>
      <c r="N988" s="1">
        <v>0.65580000000000005</v>
      </c>
      <c r="O988" s="1">
        <v>0.50490000000000002</v>
      </c>
      <c r="P988" s="33">
        <v>0.53249999999999997</v>
      </c>
      <c r="Q988" s="1">
        <v>0.55969999999999998</v>
      </c>
      <c r="R988" s="1">
        <v>0.77910000000000001</v>
      </c>
      <c r="S988" s="1">
        <v>0.5323</v>
      </c>
      <c r="T988" s="1">
        <v>0.65580000000000005</v>
      </c>
      <c r="U988" s="1">
        <v>0.84199999999999997</v>
      </c>
      <c r="V988" s="1">
        <v>1.028</v>
      </c>
    </row>
    <row r="989" spans="12:22" x14ac:dyDescent="0.25">
      <c r="L989" s="1">
        <v>138.69999999999999</v>
      </c>
      <c r="M989" s="1">
        <v>0.53220000000000001</v>
      </c>
      <c r="N989" s="1">
        <v>0.65569999999999995</v>
      </c>
      <c r="O989" s="1">
        <v>0.50480000000000003</v>
      </c>
      <c r="P989" s="33">
        <v>0.53239999999999987</v>
      </c>
      <c r="Q989" s="1">
        <v>0.55959999999999999</v>
      </c>
      <c r="R989" s="1">
        <v>0.77900000000000003</v>
      </c>
      <c r="S989" s="1">
        <v>0.53220000000000001</v>
      </c>
      <c r="T989" s="1">
        <v>0.65569999999999995</v>
      </c>
      <c r="U989" s="1">
        <v>0.84199999999999997</v>
      </c>
      <c r="V989" s="1">
        <v>1.0269999999999999</v>
      </c>
    </row>
    <row r="990" spans="12:22" x14ac:dyDescent="0.25">
      <c r="L990" s="1">
        <v>138.80000000000001</v>
      </c>
      <c r="M990" s="1">
        <v>0.53210000000000002</v>
      </c>
      <c r="N990" s="1">
        <v>0.65554999999999997</v>
      </c>
      <c r="O990" s="1">
        <v>0.50470000000000004</v>
      </c>
      <c r="P990" s="33">
        <v>0.5321999999999999</v>
      </c>
      <c r="Q990" s="1">
        <v>0.5595</v>
      </c>
      <c r="R990" s="1">
        <v>0.77890000000000004</v>
      </c>
      <c r="S990" s="1">
        <v>0.53210000000000002</v>
      </c>
      <c r="T990" s="1">
        <v>0.65554999999999997</v>
      </c>
      <c r="U990" s="1">
        <v>0.84179999999999999</v>
      </c>
      <c r="V990" s="1">
        <v>1.026</v>
      </c>
    </row>
    <row r="991" spans="12:22" x14ac:dyDescent="0.25">
      <c r="L991" s="1">
        <v>138.9</v>
      </c>
      <c r="M991" s="1">
        <v>0.53259999999999996</v>
      </c>
      <c r="N991" s="1">
        <v>0.65539999999999998</v>
      </c>
      <c r="O991" s="1">
        <v>0.50570000000000004</v>
      </c>
      <c r="P991" s="33">
        <v>0.53210000000000002</v>
      </c>
      <c r="Q991" s="1">
        <v>0.5595</v>
      </c>
      <c r="R991" s="1">
        <v>0.77869999999999995</v>
      </c>
      <c r="S991" s="1">
        <v>0.53259999999999996</v>
      </c>
      <c r="T991" s="1">
        <v>0.65539999999999998</v>
      </c>
      <c r="U991" s="1">
        <v>0.84139999999999993</v>
      </c>
      <c r="V991" s="1">
        <v>1.0249999999999999</v>
      </c>
    </row>
    <row r="992" spans="12:22" x14ac:dyDescent="0.25">
      <c r="L992" s="1">
        <v>139</v>
      </c>
      <c r="M992" s="1">
        <v>0.53194999999999992</v>
      </c>
      <c r="N992" s="1">
        <v>0.65529999999999999</v>
      </c>
      <c r="O992" s="1">
        <v>0.50449999999999995</v>
      </c>
      <c r="P992" s="33">
        <v>0.53200000000000003</v>
      </c>
      <c r="Q992" s="1">
        <v>0.55940000000000001</v>
      </c>
      <c r="R992" s="1">
        <v>0.77859999999999996</v>
      </c>
      <c r="S992" s="1">
        <v>0.53194999999999992</v>
      </c>
      <c r="T992" s="1">
        <v>0.65529999999999999</v>
      </c>
      <c r="U992" s="1">
        <v>0.84099999999999997</v>
      </c>
      <c r="V992" s="1">
        <v>1.024</v>
      </c>
    </row>
    <row r="993" spans="12:22" x14ac:dyDescent="0.25">
      <c r="L993" s="1">
        <v>139.1</v>
      </c>
      <c r="M993" s="1">
        <v>0.53184999999999993</v>
      </c>
      <c r="N993" s="1">
        <v>0.6552</v>
      </c>
      <c r="O993" s="1">
        <v>0.50439999999999996</v>
      </c>
      <c r="P993" s="33">
        <v>0.53190000000000004</v>
      </c>
      <c r="Q993" s="1">
        <v>0.55930000000000002</v>
      </c>
      <c r="R993" s="1">
        <v>0.77849999999999997</v>
      </c>
      <c r="S993" s="1">
        <v>0.53184999999999993</v>
      </c>
      <c r="T993" s="1">
        <v>0.6552</v>
      </c>
      <c r="U993" s="1">
        <v>0.84099999999999997</v>
      </c>
      <c r="V993" s="1">
        <v>1.0229999999999999</v>
      </c>
    </row>
    <row r="994" spans="12:22" x14ac:dyDescent="0.25">
      <c r="L994" s="1">
        <v>139.19999999999999</v>
      </c>
      <c r="M994" s="1">
        <v>0.53180000000000005</v>
      </c>
      <c r="N994" s="1">
        <v>0.65510000000000002</v>
      </c>
      <c r="O994" s="1">
        <v>0.50429999999999997</v>
      </c>
      <c r="P994" s="33">
        <v>0.53180000000000005</v>
      </c>
      <c r="Q994" s="1">
        <v>0.55930000000000002</v>
      </c>
      <c r="R994" s="1">
        <v>0.77839999999999998</v>
      </c>
      <c r="S994" s="1">
        <v>0.53180000000000005</v>
      </c>
      <c r="T994" s="1">
        <v>0.65510000000000002</v>
      </c>
      <c r="U994" s="1">
        <v>0.84099999999999997</v>
      </c>
      <c r="V994" s="1">
        <v>1.022</v>
      </c>
    </row>
    <row r="995" spans="12:22" x14ac:dyDescent="0.25">
      <c r="L995" s="1">
        <v>139.30000000000001</v>
      </c>
      <c r="M995" s="1">
        <v>0.53170000000000006</v>
      </c>
      <c r="N995" s="1">
        <v>0.65495000000000003</v>
      </c>
      <c r="O995" s="1">
        <v>0.50419999999999998</v>
      </c>
      <c r="P995" s="33">
        <v>0.53160000000000007</v>
      </c>
      <c r="Q995" s="1">
        <v>0.55920000000000003</v>
      </c>
      <c r="R995" s="1">
        <v>0.77829999999999999</v>
      </c>
      <c r="S995" s="1">
        <v>0.53170000000000006</v>
      </c>
      <c r="T995" s="1">
        <v>0.65495000000000003</v>
      </c>
      <c r="U995" s="1">
        <v>0.84099999999999997</v>
      </c>
      <c r="V995" s="1">
        <v>1.0209999999999999</v>
      </c>
    </row>
    <row r="996" spans="12:22" x14ac:dyDescent="0.25">
      <c r="L996" s="1">
        <v>139.4</v>
      </c>
      <c r="M996" s="1">
        <v>0.53160000000000007</v>
      </c>
      <c r="N996" s="1">
        <v>0.65485000000000004</v>
      </c>
      <c r="O996" s="1">
        <v>0.504</v>
      </c>
      <c r="P996" s="33">
        <v>0.53150000000000008</v>
      </c>
      <c r="Q996" s="1">
        <v>0.55920000000000003</v>
      </c>
      <c r="R996" s="1">
        <v>0.7782</v>
      </c>
      <c r="S996" s="1">
        <v>0.53160000000000007</v>
      </c>
      <c r="T996" s="1">
        <v>0.65485000000000004</v>
      </c>
      <c r="U996" s="1">
        <v>0.84099999999999997</v>
      </c>
      <c r="V996" s="1">
        <v>1.02</v>
      </c>
    </row>
    <row r="997" spans="12:22" x14ac:dyDescent="0.25">
      <c r="L997" s="1">
        <v>139.5</v>
      </c>
      <c r="M997" s="1">
        <v>0.53150000000000008</v>
      </c>
      <c r="N997" s="1">
        <v>0.65475000000000005</v>
      </c>
      <c r="O997" s="1">
        <v>0.50390000000000001</v>
      </c>
      <c r="P997" s="33">
        <v>0.53140000000000009</v>
      </c>
      <c r="Q997" s="1">
        <v>0.55910000000000004</v>
      </c>
      <c r="R997" s="1">
        <v>0.77810000000000001</v>
      </c>
      <c r="S997" s="1">
        <v>0.53150000000000008</v>
      </c>
      <c r="T997" s="1">
        <v>0.65475000000000005</v>
      </c>
      <c r="U997" s="1">
        <v>0.84099999999999997</v>
      </c>
      <c r="V997" s="1">
        <v>1.0189999999999999</v>
      </c>
    </row>
    <row r="998" spans="12:22" x14ac:dyDescent="0.25">
      <c r="L998" s="1">
        <v>139.6</v>
      </c>
      <c r="M998" s="1">
        <v>0.53140000000000009</v>
      </c>
      <c r="N998" s="1">
        <v>0.65464999999999995</v>
      </c>
      <c r="O998" s="1">
        <v>0.50380000000000003</v>
      </c>
      <c r="P998" s="33">
        <v>0.53129999999999988</v>
      </c>
      <c r="Q998" s="1">
        <v>0.55900000000000005</v>
      </c>
      <c r="R998" s="1">
        <v>0.77800000000000002</v>
      </c>
      <c r="S998" s="1">
        <v>0.53140000000000009</v>
      </c>
      <c r="T998" s="1">
        <v>0.65464999999999995</v>
      </c>
      <c r="U998" s="1">
        <v>0.84060000000000001</v>
      </c>
      <c r="V998" s="1">
        <v>1.0182</v>
      </c>
    </row>
    <row r="999" spans="12:22" x14ac:dyDescent="0.25">
      <c r="L999" s="1">
        <v>139.69999999999999</v>
      </c>
      <c r="M999" s="1">
        <v>0.53134999999999999</v>
      </c>
      <c r="N999" s="1">
        <v>0.65454999999999997</v>
      </c>
      <c r="O999" s="1">
        <v>0.50370000000000004</v>
      </c>
      <c r="P999" s="33">
        <v>0.53119999999999989</v>
      </c>
      <c r="Q999" s="1">
        <v>0.55900000000000005</v>
      </c>
      <c r="R999" s="1">
        <v>0.77790000000000004</v>
      </c>
      <c r="S999" s="1">
        <v>0.53134999999999999</v>
      </c>
      <c r="T999" s="1">
        <v>0.65454999999999997</v>
      </c>
      <c r="U999" s="1">
        <v>0.84019999999999995</v>
      </c>
      <c r="V999" s="1">
        <v>1.0173999999999999</v>
      </c>
    </row>
    <row r="1000" spans="12:22" x14ac:dyDescent="0.25">
      <c r="L1000" s="1">
        <v>139.80000000000001</v>
      </c>
      <c r="M1000" s="1">
        <v>0.53125</v>
      </c>
      <c r="N1000" s="1">
        <v>0.65439999999999998</v>
      </c>
      <c r="O1000" s="1">
        <v>0.50360000000000005</v>
      </c>
      <c r="P1000" s="33">
        <v>0.53099999999999992</v>
      </c>
      <c r="Q1000" s="1">
        <v>0.55889999999999995</v>
      </c>
      <c r="R1000" s="1">
        <v>0.77780000000000005</v>
      </c>
      <c r="S1000" s="1">
        <v>0.53125</v>
      </c>
      <c r="T1000" s="1">
        <v>0.65439999999999998</v>
      </c>
      <c r="U1000" s="1">
        <v>0.84</v>
      </c>
      <c r="V1000" s="1">
        <v>1.0165999999999999</v>
      </c>
    </row>
    <row r="1001" spans="12:22" x14ac:dyDescent="0.25">
      <c r="L1001" s="1">
        <v>139.9</v>
      </c>
      <c r="M1001" s="1">
        <v>0.53174999999999994</v>
      </c>
      <c r="N1001" s="1">
        <v>0.65429999999999999</v>
      </c>
      <c r="O1001" s="1">
        <v>0.50460000000000005</v>
      </c>
      <c r="P1001" s="33">
        <v>0.53090000000000004</v>
      </c>
      <c r="Q1001" s="1">
        <v>0.55889999999999995</v>
      </c>
      <c r="R1001" s="1">
        <v>0.77769999999999995</v>
      </c>
      <c r="S1001" s="1">
        <v>0.53174999999999994</v>
      </c>
      <c r="T1001" s="1">
        <v>0.65429999999999999</v>
      </c>
      <c r="U1001" s="1">
        <v>0.84</v>
      </c>
      <c r="V1001" s="1">
        <v>1.0157999999999998</v>
      </c>
    </row>
    <row r="1002" spans="12:22" x14ac:dyDescent="0.25">
      <c r="L1002" s="1">
        <v>140</v>
      </c>
      <c r="M1002" s="1">
        <v>0.53109999999999991</v>
      </c>
      <c r="N1002" s="1">
        <v>0.6542</v>
      </c>
      <c r="O1002" s="1">
        <v>0.50339999999999996</v>
      </c>
      <c r="P1002" s="33">
        <v>0.53080000000000005</v>
      </c>
      <c r="Q1002" s="1">
        <v>0.55879999999999996</v>
      </c>
      <c r="R1002" s="1">
        <v>0.77759999999999996</v>
      </c>
      <c r="S1002" s="1">
        <v>0.53109999999999991</v>
      </c>
      <c r="T1002" s="1">
        <v>0.6542</v>
      </c>
      <c r="U1002" s="1">
        <v>0.84</v>
      </c>
      <c r="V1002" s="1">
        <v>1.0149999999999999</v>
      </c>
    </row>
    <row r="1003" spans="12:22" x14ac:dyDescent="0.25">
      <c r="L1003" s="1">
        <v>140.1</v>
      </c>
      <c r="M1003" s="1">
        <v>0.53099999999999992</v>
      </c>
      <c r="N1003" s="1">
        <v>0.65414000000000005</v>
      </c>
      <c r="O1003" s="1">
        <v>0.50329999999999997</v>
      </c>
      <c r="P1003" s="33">
        <v>0.53078000000000014</v>
      </c>
      <c r="Q1003" s="1">
        <v>0.55869999999999997</v>
      </c>
      <c r="R1003" s="1">
        <v>0.77749999999999997</v>
      </c>
      <c r="S1003" s="1">
        <v>0.53099999999999992</v>
      </c>
      <c r="T1003" s="1">
        <v>0.65414000000000005</v>
      </c>
      <c r="U1003" s="1">
        <v>0.84</v>
      </c>
      <c r="V1003" s="1">
        <v>1.0142</v>
      </c>
    </row>
    <row r="1004" spans="12:22" x14ac:dyDescent="0.25">
      <c r="L1004" s="1">
        <v>140.19999999999999</v>
      </c>
      <c r="M1004" s="1">
        <v>0.53095000000000003</v>
      </c>
      <c r="N1004" s="1">
        <v>0.65403999999999995</v>
      </c>
      <c r="O1004" s="1">
        <v>0.50319999999999998</v>
      </c>
      <c r="P1004" s="33">
        <v>0.53067999999999993</v>
      </c>
      <c r="Q1004" s="1">
        <v>0.55869999999999997</v>
      </c>
      <c r="R1004" s="1">
        <v>0.77739999999999998</v>
      </c>
      <c r="S1004" s="1">
        <v>0.53095000000000003</v>
      </c>
      <c r="T1004" s="1">
        <v>0.65403999999999995</v>
      </c>
      <c r="U1004" s="1">
        <v>0.84</v>
      </c>
      <c r="V1004" s="1">
        <v>1.0133999999999999</v>
      </c>
    </row>
    <row r="1005" spans="12:22" x14ac:dyDescent="0.25">
      <c r="L1005" s="1">
        <v>140.30000000000001</v>
      </c>
      <c r="M1005" s="1">
        <v>0.53085000000000004</v>
      </c>
      <c r="N1005" s="1">
        <v>0.65393000000000001</v>
      </c>
      <c r="O1005" s="1">
        <v>0.50309999999999999</v>
      </c>
      <c r="P1005" s="33">
        <v>0.53056000000000003</v>
      </c>
      <c r="Q1005" s="1">
        <v>0.55859999999999999</v>
      </c>
      <c r="R1005" s="1">
        <v>0.77729999999999999</v>
      </c>
      <c r="S1005" s="1">
        <v>0.53085000000000004</v>
      </c>
      <c r="T1005" s="1">
        <v>0.65393000000000001</v>
      </c>
      <c r="U1005" s="1">
        <v>0.84</v>
      </c>
      <c r="V1005" s="1">
        <v>1.0125999999999999</v>
      </c>
    </row>
    <row r="1006" spans="12:22" x14ac:dyDescent="0.25">
      <c r="L1006" s="1">
        <v>140.4</v>
      </c>
      <c r="M1006" s="1">
        <v>0.53075000000000006</v>
      </c>
      <c r="N1006" s="1">
        <v>0.65383000000000002</v>
      </c>
      <c r="O1006" s="1">
        <v>0.50290000000000001</v>
      </c>
      <c r="P1006" s="33">
        <v>0.53046000000000004</v>
      </c>
      <c r="Q1006" s="1">
        <v>0.55859999999999999</v>
      </c>
      <c r="R1006" s="1">
        <v>0.7772</v>
      </c>
      <c r="S1006" s="1">
        <v>0.53075000000000006</v>
      </c>
      <c r="T1006" s="1">
        <v>0.65383000000000002</v>
      </c>
      <c r="U1006" s="1">
        <v>0.84</v>
      </c>
      <c r="V1006" s="1">
        <v>1.0117999999999998</v>
      </c>
    </row>
    <row r="1007" spans="12:22" x14ac:dyDescent="0.25">
      <c r="L1007" s="1">
        <v>140.5</v>
      </c>
      <c r="M1007" s="1">
        <v>0.53065000000000007</v>
      </c>
      <c r="N1007" s="1">
        <v>0.65371999999999997</v>
      </c>
      <c r="O1007" s="1">
        <v>0.50280000000000002</v>
      </c>
      <c r="P1007" s="33">
        <v>0.53033999999999992</v>
      </c>
      <c r="Q1007" s="1">
        <v>0.5585</v>
      </c>
      <c r="R1007" s="1">
        <v>0.77710000000000001</v>
      </c>
      <c r="S1007" s="1">
        <v>0.53065000000000007</v>
      </c>
      <c r="T1007" s="1">
        <v>0.65371999999999997</v>
      </c>
      <c r="U1007" s="1">
        <v>0.84</v>
      </c>
      <c r="V1007" s="1">
        <v>1.0109999999999999</v>
      </c>
    </row>
    <row r="1008" spans="12:22" x14ac:dyDescent="0.25">
      <c r="L1008" s="1">
        <v>140.6</v>
      </c>
      <c r="M1008" s="1">
        <v>0.53059999999999996</v>
      </c>
      <c r="N1008" s="1">
        <v>0.65361999999999998</v>
      </c>
      <c r="O1008" s="1">
        <v>0.50270000000000004</v>
      </c>
      <c r="P1008" s="33">
        <v>0.53023999999999993</v>
      </c>
      <c r="Q1008" s="1">
        <v>0.5585</v>
      </c>
      <c r="R1008" s="1">
        <v>0.77700000000000002</v>
      </c>
      <c r="S1008" s="1">
        <v>0.53059999999999996</v>
      </c>
      <c r="T1008" s="1">
        <v>0.65361999999999998</v>
      </c>
      <c r="U1008" s="1">
        <v>0.84</v>
      </c>
      <c r="V1008" s="1">
        <v>1.01</v>
      </c>
    </row>
    <row r="1009" spans="12:22" x14ac:dyDescent="0.25">
      <c r="L1009" s="1">
        <v>140.69999999999999</v>
      </c>
      <c r="M1009" s="1">
        <v>0.53049999999999997</v>
      </c>
      <c r="N1009" s="1">
        <v>0.65351000000000004</v>
      </c>
      <c r="O1009" s="1">
        <v>0.50260000000000005</v>
      </c>
      <c r="P1009" s="33">
        <v>0.53012000000000004</v>
      </c>
      <c r="Q1009" s="1">
        <v>0.55840000000000001</v>
      </c>
      <c r="R1009" s="1">
        <v>0.77690000000000003</v>
      </c>
      <c r="S1009" s="1">
        <v>0.53049999999999997</v>
      </c>
      <c r="T1009" s="1">
        <v>0.65351000000000004</v>
      </c>
      <c r="U1009" s="1">
        <v>0.84</v>
      </c>
      <c r="V1009" s="1">
        <v>1.0089999999999999</v>
      </c>
    </row>
    <row r="1010" spans="12:22" x14ac:dyDescent="0.25">
      <c r="L1010" s="1">
        <v>140.80000000000001</v>
      </c>
      <c r="M1010" s="1">
        <v>0.53039999999999998</v>
      </c>
      <c r="N1010" s="1">
        <v>0.65341000000000005</v>
      </c>
      <c r="O1010" s="1">
        <v>0.50249999999999995</v>
      </c>
      <c r="P1010" s="33">
        <v>0.53002000000000005</v>
      </c>
      <c r="Q1010" s="1">
        <v>0.55830000000000002</v>
      </c>
      <c r="R1010" s="1">
        <v>0.77680000000000005</v>
      </c>
      <c r="S1010" s="1">
        <v>0.53039999999999998</v>
      </c>
      <c r="T1010" s="1">
        <v>0.65341000000000005</v>
      </c>
      <c r="U1010" s="1">
        <v>0.83979999999999999</v>
      </c>
      <c r="V1010" s="1">
        <v>1.008</v>
      </c>
    </row>
    <row r="1011" spans="12:22" x14ac:dyDescent="0.25">
      <c r="L1011" s="1">
        <v>140.9</v>
      </c>
      <c r="M1011" s="1">
        <v>0.53089999999999993</v>
      </c>
      <c r="N1011" s="1">
        <v>0.65329999999999999</v>
      </c>
      <c r="O1011" s="1">
        <v>0.50349999999999995</v>
      </c>
      <c r="P1011" s="33">
        <v>0.52990000000000004</v>
      </c>
      <c r="Q1011" s="1">
        <v>0.55830000000000002</v>
      </c>
      <c r="R1011" s="1">
        <v>0.77669999999999995</v>
      </c>
      <c r="S1011" s="1">
        <v>0.53089999999999993</v>
      </c>
      <c r="T1011" s="1">
        <v>0.65329999999999999</v>
      </c>
      <c r="U1011" s="1">
        <v>0.83939999999999992</v>
      </c>
      <c r="V1011" s="1">
        <v>1.0069999999999999</v>
      </c>
    </row>
    <row r="1012" spans="12:22" x14ac:dyDescent="0.25">
      <c r="L1012" s="1">
        <v>141</v>
      </c>
      <c r="M1012" s="1">
        <v>0.53025</v>
      </c>
      <c r="N1012" s="1">
        <v>0.6532</v>
      </c>
      <c r="O1012" s="1">
        <v>0.50229999999999997</v>
      </c>
      <c r="P1012" s="33">
        <v>0.52980000000000005</v>
      </c>
      <c r="Q1012" s="1">
        <v>0.55820000000000003</v>
      </c>
      <c r="R1012" s="1">
        <v>0.77659999999999996</v>
      </c>
      <c r="S1012" s="1">
        <v>0.53025</v>
      </c>
      <c r="T1012" s="1">
        <v>0.6532</v>
      </c>
      <c r="U1012" s="1">
        <v>0.83899999999999997</v>
      </c>
      <c r="V1012" s="1">
        <v>1.006</v>
      </c>
    </row>
    <row r="1013" spans="12:22" x14ac:dyDescent="0.25">
      <c r="L1013" s="1">
        <v>141.1</v>
      </c>
      <c r="M1013" s="1">
        <v>0.5302</v>
      </c>
      <c r="N1013" s="1">
        <v>0.65308999999999995</v>
      </c>
      <c r="O1013" s="1">
        <v>0.50219999999999998</v>
      </c>
      <c r="P1013" s="33">
        <v>0.52967999999999993</v>
      </c>
      <c r="Q1013" s="1">
        <v>0.55820000000000003</v>
      </c>
      <c r="R1013" s="1">
        <v>0.77649999999999997</v>
      </c>
      <c r="S1013" s="1">
        <v>0.5302</v>
      </c>
      <c r="T1013" s="1">
        <v>0.65308999999999995</v>
      </c>
      <c r="U1013" s="1">
        <v>0.83899999999999997</v>
      </c>
      <c r="V1013" s="1">
        <v>1.0052000000000001</v>
      </c>
    </row>
    <row r="1014" spans="12:22" x14ac:dyDescent="0.25">
      <c r="L1014" s="1">
        <v>141.19999999999999</v>
      </c>
      <c r="M1014" s="1">
        <v>0.53010000000000002</v>
      </c>
      <c r="N1014" s="1">
        <v>0.65298999999999996</v>
      </c>
      <c r="O1014" s="1">
        <v>0.50209999999999999</v>
      </c>
      <c r="P1014" s="33">
        <v>0.52957999999999994</v>
      </c>
      <c r="Q1014" s="1">
        <v>0.55810000000000004</v>
      </c>
      <c r="R1014" s="1">
        <v>0.77639999999999998</v>
      </c>
      <c r="S1014" s="1">
        <v>0.53010000000000002</v>
      </c>
      <c r="T1014" s="1">
        <v>0.65298999999999996</v>
      </c>
      <c r="U1014" s="1">
        <v>0.83899999999999997</v>
      </c>
      <c r="V1014" s="1">
        <v>1.0044</v>
      </c>
    </row>
    <row r="1015" spans="12:22" x14ac:dyDescent="0.25">
      <c r="L1015" s="1">
        <v>141.30000000000001</v>
      </c>
      <c r="M1015" s="1">
        <v>0.53</v>
      </c>
      <c r="N1015" s="1">
        <v>0.65288000000000002</v>
      </c>
      <c r="O1015" s="1">
        <v>0.502</v>
      </c>
      <c r="P1015" s="33">
        <v>0.52946000000000004</v>
      </c>
      <c r="Q1015" s="1">
        <v>0.55800000000000005</v>
      </c>
      <c r="R1015" s="1">
        <v>0.77629999999999999</v>
      </c>
      <c r="S1015" s="1">
        <v>0.53</v>
      </c>
      <c r="T1015" s="1">
        <v>0.65288000000000002</v>
      </c>
      <c r="U1015" s="1">
        <v>0.83899999999999997</v>
      </c>
      <c r="V1015" s="1">
        <v>1.0036</v>
      </c>
    </row>
    <row r="1016" spans="12:22" x14ac:dyDescent="0.25">
      <c r="L1016" s="1">
        <v>141.4</v>
      </c>
      <c r="M1016" s="1">
        <v>0.52990000000000004</v>
      </c>
      <c r="N1016" s="1">
        <v>0.65278000000000003</v>
      </c>
      <c r="O1016" s="1">
        <v>0.50180000000000002</v>
      </c>
      <c r="P1016" s="33">
        <v>0.52936000000000005</v>
      </c>
      <c r="Q1016" s="1">
        <v>0.55800000000000005</v>
      </c>
      <c r="R1016" s="1">
        <v>0.7762</v>
      </c>
      <c r="S1016" s="1">
        <v>0.52990000000000004</v>
      </c>
      <c r="T1016" s="1">
        <v>0.65278000000000003</v>
      </c>
      <c r="U1016" s="1">
        <v>0.83899999999999997</v>
      </c>
      <c r="V1016" s="1">
        <v>1.0027999999999999</v>
      </c>
    </row>
    <row r="1017" spans="12:22" x14ac:dyDescent="0.25">
      <c r="L1017" s="1">
        <v>141.5</v>
      </c>
      <c r="M1017" s="1">
        <v>0.52980000000000005</v>
      </c>
      <c r="N1017" s="1">
        <v>0.65266999999999997</v>
      </c>
      <c r="O1017" s="1">
        <v>0.50170000000000003</v>
      </c>
      <c r="P1017" s="33">
        <v>0.52923999999999993</v>
      </c>
      <c r="Q1017" s="1">
        <v>0.55789999999999995</v>
      </c>
      <c r="R1017" s="1">
        <v>0.77610000000000001</v>
      </c>
      <c r="S1017" s="1">
        <v>0.52980000000000005</v>
      </c>
      <c r="T1017" s="1">
        <v>0.65266999999999997</v>
      </c>
      <c r="U1017" s="1">
        <v>0.83899999999999997</v>
      </c>
      <c r="V1017" s="1">
        <v>1.002</v>
      </c>
    </row>
    <row r="1018" spans="12:22" x14ac:dyDescent="0.25">
      <c r="L1018" s="1">
        <v>141.6</v>
      </c>
      <c r="M1018" s="1">
        <v>0.52974999999999994</v>
      </c>
      <c r="N1018" s="1">
        <v>0.65256999999999998</v>
      </c>
      <c r="O1018" s="1">
        <v>0.50160000000000005</v>
      </c>
      <c r="P1018" s="33">
        <v>0.52913999999999994</v>
      </c>
      <c r="Q1018" s="1">
        <v>0.55789999999999995</v>
      </c>
      <c r="R1018" s="1">
        <v>0.77600000000000002</v>
      </c>
      <c r="S1018" s="1">
        <v>0.52974999999999994</v>
      </c>
      <c r="T1018" s="1">
        <v>0.65256999999999998</v>
      </c>
      <c r="U1018" s="1">
        <v>0.83899999999999997</v>
      </c>
      <c r="V1018" s="1">
        <v>1.0012000000000001</v>
      </c>
    </row>
    <row r="1019" spans="12:22" x14ac:dyDescent="0.25">
      <c r="L1019" s="1">
        <v>141.69999999999999</v>
      </c>
      <c r="M1019" s="1">
        <v>0.52964999999999995</v>
      </c>
      <c r="N1019" s="1">
        <v>0.65246000000000004</v>
      </c>
      <c r="O1019" s="1">
        <v>0.50149999999999995</v>
      </c>
      <c r="P1019" s="33">
        <v>0.52902000000000005</v>
      </c>
      <c r="Q1019" s="1">
        <v>0.55779999999999996</v>
      </c>
      <c r="R1019" s="1">
        <v>0.77590000000000003</v>
      </c>
      <c r="S1019" s="1">
        <v>0.52964999999999995</v>
      </c>
      <c r="T1019" s="1">
        <v>0.65246000000000004</v>
      </c>
      <c r="U1019" s="1">
        <v>0.83899999999999997</v>
      </c>
      <c r="V1019" s="1">
        <v>1.0004</v>
      </c>
    </row>
    <row r="1020" spans="12:22" x14ac:dyDescent="0.25">
      <c r="L1020" s="1">
        <v>141.80000000000001</v>
      </c>
      <c r="M1020" s="1">
        <v>0.52959999999999996</v>
      </c>
      <c r="N1020" s="1">
        <v>0.65241000000000005</v>
      </c>
      <c r="O1020" s="1">
        <v>0.50139999999999996</v>
      </c>
      <c r="P1020" s="33">
        <v>0.52892000000000006</v>
      </c>
      <c r="Q1020" s="1">
        <v>0.55779999999999996</v>
      </c>
      <c r="R1020" s="1">
        <v>0.77590000000000003</v>
      </c>
      <c r="S1020" s="1">
        <v>0.52959999999999996</v>
      </c>
      <c r="T1020" s="1">
        <v>0.65241000000000005</v>
      </c>
      <c r="U1020" s="1">
        <v>0.83879999999999999</v>
      </c>
      <c r="V1020" s="1">
        <v>0.99960000000000004</v>
      </c>
    </row>
    <row r="1021" spans="12:22" x14ac:dyDescent="0.25">
      <c r="L1021" s="1">
        <v>141.9</v>
      </c>
      <c r="M1021" s="1">
        <v>0.53004999999999991</v>
      </c>
      <c r="N1021" s="1">
        <v>0.65229999999999999</v>
      </c>
      <c r="O1021" s="1">
        <v>0.50239999999999996</v>
      </c>
      <c r="P1021" s="33">
        <v>0.52879999999999994</v>
      </c>
      <c r="Q1021" s="1">
        <v>0.55769999999999997</v>
      </c>
      <c r="R1021" s="1">
        <v>0.77580000000000005</v>
      </c>
      <c r="S1021" s="1">
        <v>0.53004999999999991</v>
      </c>
      <c r="T1021" s="1">
        <v>0.65229999999999999</v>
      </c>
      <c r="U1021" s="1">
        <v>0.83839999999999992</v>
      </c>
      <c r="V1021" s="1">
        <v>0.99880000000000002</v>
      </c>
    </row>
    <row r="1022" spans="12:22" x14ac:dyDescent="0.25">
      <c r="L1022" s="1">
        <v>142</v>
      </c>
      <c r="M1022" s="1">
        <v>0.52939999999999998</v>
      </c>
      <c r="N1022" s="1">
        <v>0.6522</v>
      </c>
      <c r="O1022" s="1">
        <v>0.50119999999999998</v>
      </c>
      <c r="P1022" s="33">
        <v>0.52870000000000006</v>
      </c>
      <c r="Q1022" s="1">
        <v>0.55759999999999998</v>
      </c>
      <c r="R1022" s="1">
        <v>0.77569999999999995</v>
      </c>
      <c r="S1022" s="1">
        <v>0.52939999999999998</v>
      </c>
      <c r="T1022" s="1">
        <v>0.6522</v>
      </c>
      <c r="U1022" s="1">
        <v>0.83799999999999997</v>
      </c>
      <c r="V1022" s="1">
        <v>0.998</v>
      </c>
    </row>
    <row r="1023" spans="12:22" x14ac:dyDescent="0.25">
      <c r="L1023" s="1">
        <v>142.1</v>
      </c>
      <c r="M1023" s="1">
        <v>0.52934999999999999</v>
      </c>
      <c r="N1023" s="1">
        <v>0.65208999999999995</v>
      </c>
      <c r="O1023" s="1">
        <v>0.50109999999999999</v>
      </c>
      <c r="P1023" s="33">
        <v>0.52857999999999994</v>
      </c>
      <c r="Q1023" s="1">
        <v>0.55759999999999998</v>
      </c>
      <c r="R1023" s="1">
        <v>0.77559999999999996</v>
      </c>
      <c r="S1023" s="1">
        <v>0.52934999999999999</v>
      </c>
      <c r="T1023" s="1">
        <v>0.65208999999999995</v>
      </c>
      <c r="U1023" s="1">
        <v>0.83799999999999997</v>
      </c>
      <c r="V1023" s="1">
        <v>0.99719999999999998</v>
      </c>
    </row>
    <row r="1024" spans="12:22" x14ac:dyDescent="0.25">
      <c r="L1024" s="1">
        <v>142.19999999999999</v>
      </c>
      <c r="M1024" s="1">
        <v>0.52929999999999999</v>
      </c>
      <c r="N1024" s="1">
        <v>0.65198999999999996</v>
      </c>
      <c r="O1024" s="1">
        <v>0.50109999999999999</v>
      </c>
      <c r="P1024" s="33">
        <v>0.52847999999999995</v>
      </c>
      <c r="Q1024" s="1">
        <v>0.5575</v>
      </c>
      <c r="R1024" s="1">
        <v>0.77549999999999997</v>
      </c>
      <c r="S1024" s="1">
        <v>0.52929999999999999</v>
      </c>
      <c r="T1024" s="1">
        <v>0.65198999999999996</v>
      </c>
      <c r="U1024" s="1">
        <v>0.83799999999999997</v>
      </c>
      <c r="V1024" s="1">
        <v>0.99639999999999995</v>
      </c>
    </row>
    <row r="1025" spans="12:22" x14ac:dyDescent="0.25">
      <c r="L1025" s="1">
        <v>142.30000000000001</v>
      </c>
      <c r="M1025" s="1">
        <v>0.5292</v>
      </c>
      <c r="N1025" s="1">
        <v>0.65188000000000001</v>
      </c>
      <c r="O1025" s="1">
        <v>0.50090000000000001</v>
      </c>
      <c r="P1025" s="33">
        <v>0.52836000000000005</v>
      </c>
      <c r="Q1025" s="1">
        <v>0.5575</v>
      </c>
      <c r="R1025" s="1">
        <v>0.77539999999999998</v>
      </c>
      <c r="S1025" s="1">
        <v>0.5292</v>
      </c>
      <c r="T1025" s="1">
        <v>0.65188000000000001</v>
      </c>
      <c r="U1025" s="1">
        <v>0.83799999999999997</v>
      </c>
      <c r="V1025" s="1">
        <v>0.99560000000000004</v>
      </c>
    </row>
    <row r="1026" spans="12:22" x14ac:dyDescent="0.25">
      <c r="L1026" s="1">
        <v>142.4</v>
      </c>
      <c r="M1026" s="1">
        <v>0.52905000000000002</v>
      </c>
      <c r="N1026" s="1">
        <v>0.65178999999999998</v>
      </c>
      <c r="O1026" s="1">
        <v>0.50070000000000003</v>
      </c>
      <c r="P1026" s="33">
        <v>0.52827999999999997</v>
      </c>
      <c r="Q1026" s="1">
        <v>0.55740000000000001</v>
      </c>
      <c r="R1026" s="1">
        <v>0.77529999999999999</v>
      </c>
      <c r="S1026" s="1">
        <v>0.52905000000000002</v>
      </c>
      <c r="T1026" s="1">
        <v>0.65178999999999998</v>
      </c>
      <c r="U1026" s="1">
        <v>0.83799999999999997</v>
      </c>
      <c r="V1026" s="1">
        <v>0.99480000000000002</v>
      </c>
    </row>
    <row r="1027" spans="12:22" x14ac:dyDescent="0.25">
      <c r="L1027" s="1">
        <v>142.5</v>
      </c>
      <c r="M1027" s="1">
        <v>0.52895000000000003</v>
      </c>
      <c r="N1027" s="1">
        <v>0.65168000000000004</v>
      </c>
      <c r="O1027" s="1">
        <v>0.50060000000000004</v>
      </c>
      <c r="P1027" s="33">
        <v>0.52816000000000007</v>
      </c>
      <c r="Q1027" s="1">
        <v>0.55730000000000002</v>
      </c>
      <c r="R1027" s="1">
        <v>0.7752</v>
      </c>
      <c r="S1027" s="1">
        <v>0.52895000000000003</v>
      </c>
      <c r="T1027" s="1">
        <v>0.65168000000000004</v>
      </c>
      <c r="U1027" s="1">
        <v>0.83799999999999997</v>
      </c>
      <c r="V1027" s="1">
        <v>0.99399999999999999</v>
      </c>
    </row>
    <row r="1028" spans="12:22" x14ac:dyDescent="0.25">
      <c r="L1028" s="1">
        <v>142.6</v>
      </c>
      <c r="M1028" s="1">
        <v>0.52889999999999993</v>
      </c>
      <c r="N1028" s="1">
        <v>0.65158000000000005</v>
      </c>
      <c r="O1028" s="1">
        <v>0.50049999999999994</v>
      </c>
      <c r="P1028" s="33">
        <v>0.52806000000000008</v>
      </c>
      <c r="Q1028" s="1">
        <v>0.55730000000000002</v>
      </c>
      <c r="R1028" s="1">
        <v>0.77510000000000001</v>
      </c>
      <c r="S1028" s="1">
        <v>0.52889999999999993</v>
      </c>
      <c r="T1028" s="1">
        <v>0.65158000000000005</v>
      </c>
      <c r="U1028" s="1">
        <v>0.83799999999999997</v>
      </c>
      <c r="V1028" s="1">
        <v>0.99319999999999997</v>
      </c>
    </row>
    <row r="1029" spans="12:22" x14ac:dyDescent="0.25">
      <c r="L1029" s="1">
        <v>142.69999999999999</v>
      </c>
      <c r="M1029" s="1">
        <v>0.52879999999999994</v>
      </c>
      <c r="N1029" s="1">
        <v>0.65146999999999999</v>
      </c>
      <c r="O1029" s="1">
        <v>0.50039999999999996</v>
      </c>
      <c r="P1029" s="33">
        <v>0.52793999999999996</v>
      </c>
      <c r="Q1029" s="1">
        <v>0.55720000000000003</v>
      </c>
      <c r="R1029" s="1">
        <v>0.77500000000000002</v>
      </c>
      <c r="S1029" s="1">
        <v>0.52879999999999994</v>
      </c>
      <c r="T1029" s="1">
        <v>0.65146999999999999</v>
      </c>
      <c r="U1029" s="1">
        <v>0.83799999999999997</v>
      </c>
      <c r="V1029" s="1">
        <v>0.99239999999999995</v>
      </c>
    </row>
    <row r="1030" spans="12:22" x14ac:dyDescent="0.25">
      <c r="L1030" s="1">
        <v>142.80000000000001</v>
      </c>
      <c r="M1030" s="1">
        <v>0.52875000000000005</v>
      </c>
      <c r="N1030" s="1">
        <v>0.65137</v>
      </c>
      <c r="O1030" s="1">
        <v>0.50029999999999997</v>
      </c>
      <c r="P1030" s="33">
        <v>0.52783999999999998</v>
      </c>
      <c r="Q1030" s="1">
        <v>0.55720000000000003</v>
      </c>
      <c r="R1030" s="1">
        <v>0.77490000000000003</v>
      </c>
      <c r="S1030" s="1">
        <v>0.52875000000000005</v>
      </c>
      <c r="T1030" s="1">
        <v>0.65137</v>
      </c>
      <c r="U1030" s="1">
        <v>0.83779999999999999</v>
      </c>
      <c r="V1030" s="1">
        <v>0.99160000000000004</v>
      </c>
    </row>
    <row r="1031" spans="12:22" x14ac:dyDescent="0.25">
      <c r="L1031" s="1">
        <v>142.9</v>
      </c>
      <c r="M1031" s="1">
        <v>0.5292</v>
      </c>
      <c r="N1031" s="1">
        <v>0.65125999999999995</v>
      </c>
      <c r="O1031" s="1">
        <v>0.50129999999999997</v>
      </c>
      <c r="P1031" s="33">
        <v>0.52771999999999986</v>
      </c>
      <c r="Q1031" s="1">
        <v>0.55710000000000004</v>
      </c>
      <c r="R1031" s="1">
        <v>0.77480000000000004</v>
      </c>
      <c r="S1031" s="1">
        <v>0.5292</v>
      </c>
      <c r="T1031" s="1">
        <v>0.65125999999999995</v>
      </c>
      <c r="U1031" s="1">
        <v>0.83739999999999992</v>
      </c>
      <c r="V1031" s="1">
        <v>0.99080000000000001</v>
      </c>
    </row>
    <row r="1032" spans="12:22" x14ac:dyDescent="0.25">
      <c r="L1032" s="1">
        <v>143</v>
      </c>
      <c r="M1032" s="1">
        <v>0.52859999999999996</v>
      </c>
      <c r="N1032" s="1">
        <v>0.65115999999999996</v>
      </c>
      <c r="O1032" s="1">
        <v>0.50009999999999999</v>
      </c>
      <c r="P1032" s="33">
        <v>0.52761999999999987</v>
      </c>
      <c r="Q1032" s="1">
        <v>0.55710000000000004</v>
      </c>
      <c r="R1032" s="1">
        <v>0.77470000000000006</v>
      </c>
      <c r="S1032" s="1">
        <v>0.52859999999999996</v>
      </c>
      <c r="T1032" s="1">
        <v>0.65115999999999996</v>
      </c>
      <c r="U1032" s="1">
        <v>0.83699999999999997</v>
      </c>
      <c r="V1032" s="1">
        <v>0.99</v>
      </c>
    </row>
    <row r="1033" spans="12:22" x14ac:dyDescent="0.25">
      <c r="L1033" s="1">
        <v>143.1</v>
      </c>
      <c r="M1033" s="1">
        <v>0.52849999999999997</v>
      </c>
      <c r="N1033" s="1">
        <v>0.65105000000000002</v>
      </c>
      <c r="O1033" s="1">
        <v>0.5</v>
      </c>
      <c r="P1033" s="33">
        <v>0.52749999999999997</v>
      </c>
      <c r="Q1033" s="1">
        <v>0.55700000000000005</v>
      </c>
      <c r="R1033" s="1">
        <v>0.77459999999999996</v>
      </c>
      <c r="S1033" s="1">
        <v>0.52849999999999997</v>
      </c>
      <c r="T1033" s="1">
        <v>0.65105000000000002</v>
      </c>
      <c r="U1033" s="1">
        <v>0.83699999999999997</v>
      </c>
      <c r="V1033" s="1">
        <v>0.98939999999999995</v>
      </c>
    </row>
    <row r="1034" spans="12:22" x14ac:dyDescent="0.25">
      <c r="L1034" s="1">
        <v>143.19999999999999</v>
      </c>
      <c r="M1034" s="1">
        <v>0.52845000000000009</v>
      </c>
      <c r="N1034" s="1">
        <v>0.65095000000000003</v>
      </c>
      <c r="O1034" s="1">
        <v>0.49990000000000001</v>
      </c>
      <c r="P1034" s="33">
        <v>0.52740000000000009</v>
      </c>
      <c r="Q1034" s="1">
        <v>0.55700000000000005</v>
      </c>
      <c r="R1034" s="1">
        <v>0.77449999999999997</v>
      </c>
      <c r="S1034" s="1">
        <v>0.52845000000000009</v>
      </c>
      <c r="T1034" s="1">
        <v>0.65095000000000003</v>
      </c>
      <c r="U1034" s="1">
        <v>0.83699999999999997</v>
      </c>
      <c r="V1034" s="1">
        <v>0.98880000000000001</v>
      </c>
    </row>
    <row r="1035" spans="12:22" x14ac:dyDescent="0.25">
      <c r="L1035" s="1">
        <v>143.30000000000001</v>
      </c>
      <c r="M1035" s="1">
        <v>0.52834999999999999</v>
      </c>
      <c r="N1035" s="1">
        <v>0.65083999999999997</v>
      </c>
      <c r="O1035" s="1">
        <v>0.49980000000000002</v>
      </c>
      <c r="P1035" s="33">
        <v>0.52727999999999997</v>
      </c>
      <c r="Q1035" s="1">
        <v>0.55689999999999995</v>
      </c>
      <c r="R1035" s="1">
        <v>0.77439999999999998</v>
      </c>
      <c r="S1035" s="1">
        <v>0.52834999999999999</v>
      </c>
      <c r="T1035" s="1">
        <v>0.65083999999999997</v>
      </c>
      <c r="U1035" s="1">
        <v>0.83699999999999997</v>
      </c>
      <c r="V1035" s="1">
        <v>0.98819999999999997</v>
      </c>
    </row>
    <row r="1036" spans="12:22" x14ac:dyDescent="0.25">
      <c r="L1036" s="1">
        <v>143.4</v>
      </c>
      <c r="M1036" s="1">
        <v>0.52825</v>
      </c>
      <c r="N1036" s="1">
        <v>0.65076000000000001</v>
      </c>
      <c r="O1036" s="1">
        <v>0.49969999999999998</v>
      </c>
      <c r="P1036" s="33">
        <v>0.52712000000000003</v>
      </c>
      <c r="Q1036" s="1">
        <v>0.55679999999999996</v>
      </c>
      <c r="R1036" s="1">
        <v>0.77439999999999998</v>
      </c>
      <c r="S1036" s="1">
        <v>0.52825</v>
      </c>
      <c r="T1036" s="1">
        <v>0.65076000000000001</v>
      </c>
      <c r="U1036" s="1">
        <v>0.83699999999999997</v>
      </c>
      <c r="V1036" s="1">
        <v>0.98760000000000003</v>
      </c>
    </row>
    <row r="1037" spans="12:22" x14ac:dyDescent="0.25">
      <c r="L1037" s="1">
        <v>143.5</v>
      </c>
      <c r="M1037" s="1">
        <v>0.52815000000000001</v>
      </c>
      <c r="N1037" s="1">
        <v>0.65068000000000004</v>
      </c>
      <c r="O1037" s="1">
        <v>0.4995</v>
      </c>
      <c r="P1037" s="33">
        <v>0.52706000000000008</v>
      </c>
      <c r="Q1037" s="1">
        <v>0.55679999999999996</v>
      </c>
      <c r="R1037" s="1">
        <v>0.77429999999999999</v>
      </c>
      <c r="S1037" s="1">
        <v>0.52815000000000001</v>
      </c>
      <c r="T1037" s="1">
        <v>0.65068000000000004</v>
      </c>
      <c r="U1037" s="1">
        <v>0.83699999999999997</v>
      </c>
      <c r="V1037" s="1">
        <v>0.98699999999999999</v>
      </c>
    </row>
    <row r="1038" spans="12:22" x14ac:dyDescent="0.25">
      <c r="L1038" s="1">
        <v>143.6</v>
      </c>
      <c r="M1038" s="1">
        <v>0.52805000000000002</v>
      </c>
      <c r="N1038" s="1">
        <v>0.65058000000000005</v>
      </c>
      <c r="O1038" s="1">
        <v>0.49940000000000001</v>
      </c>
      <c r="P1038" s="33">
        <v>0.52696000000000009</v>
      </c>
      <c r="Q1038" s="1">
        <v>0.55669999999999997</v>
      </c>
      <c r="R1038" s="1">
        <v>0.7742</v>
      </c>
      <c r="S1038" s="1">
        <v>0.52805000000000002</v>
      </c>
      <c r="T1038" s="1">
        <v>0.65058000000000005</v>
      </c>
      <c r="U1038" s="1">
        <v>0.83699999999999997</v>
      </c>
      <c r="V1038" s="1">
        <v>0.98619999999999997</v>
      </c>
    </row>
    <row r="1039" spans="12:22" x14ac:dyDescent="0.25">
      <c r="L1039" s="1">
        <v>143.69999999999999</v>
      </c>
      <c r="M1039" s="1">
        <v>0.52800000000000002</v>
      </c>
      <c r="N1039" s="1">
        <v>0.65046999999999999</v>
      </c>
      <c r="O1039" s="1">
        <v>0.49930000000000002</v>
      </c>
      <c r="P1039" s="33">
        <v>0.52683999999999997</v>
      </c>
      <c r="Q1039" s="1">
        <v>0.55669999999999997</v>
      </c>
      <c r="R1039" s="1">
        <v>0.77410000000000001</v>
      </c>
      <c r="S1039" s="1">
        <v>0.52800000000000002</v>
      </c>
      <c r="T1039" s="1">
        <v>0.65046999999999999</v>
      </c>
      <c r="U1039" s="1">
        <v>0.83699999999999997</v>
      </c>
      <c r="V1039" s="1">
        <v>0.98539999999999994</v>
      </c>
    </row>
    <row r="1040" spans="12:22" x14ac:dyDescent="0.25">
      <c r="L1040" s="1">
        <v>143.80000000000001</v>
      </c>
      <c r="M1040" s="1">
        <v>0.52790000000000004</v>
      </c>
      <c r="N1040" s="1">
        <v>0.65037</v>
      </c>
      <c r="O1040" s="1">
        <v>0.49919999999999998</v>
      </c>
      <c r="P1040" s="33">
        <v>0.52673999999999999</v>
      </c>
      <c r="Q1040" s="1">
        <v>0.55659999999999998</v>
      </c>
      <c r="R1040" s="1">
        <v>0.77400000000000002</v>
      </c>
      <c r="S1040" s="1">
        <v>0.52790000000000004</v>
      </c>
      <c r="T1040" s="1">
        <v>0.65037</v>
      </c>
      <c r="U1040" s="1">
        <v>0.83679999999999999</v>
      </c>
      <c r="V1040" s="1">
        <v>0.98460000000000003</v>
      </c>
    </row>
    <row r="1041" spans="12:22" x14ac:dyDescent="0.25">
      <c r="L1041" s="1">
        <v>143.9</v>
      </c>
      <c r="M1041" s="1">
        <v>0.52839999999999998</v>
      </c>
      <c r="N1041" s="1">
        <v>0.65025999999999995</v>
      </c>
      <c r="O1041" s="1">
        <v>0.50019999999999998</v>
      </c>
      <c r="P1041" s="33">
        <v>0.52661999999999987</v>
      </c>
      <c r="Q1041" s="1">
        <v>0.55659999999999998</v>
      </c>
      <c r="R1041" s="1">
        <v>0.77390000000000003</v>
      </c>
      <c r="S1041" s="1">
        <v>0.52839999999999998</v>
      </c>
      <c r="T1041" s="1">
        <v>0.65025999999999995</v>
      </c>
      <c r="U1041" s="1">
        <v>0.83639999999999992</v>
      </c>
      <c r="V1041" s="1">
        <v>0.98380000000000001</v>
      </c>
    </row>
    <row r="1042" spans="12:22" x14ac:dyDescent="0.25">
      <c r="L1042" s="1">
        <v>144</v>
      </c>
      <c r="M1042" s="1">
        <v>0.52774999999999994</v>
      </c>
      <c r="N1042" s="1">
        <v>0.65015999999999996</v>
      </c>
      <c r="O1042" s="1">
        <v>0.499</v>
      </c>
      <c r="P1042" s="33">
        <v>0.52651999999999988</v>
      </c>
      <c r="Q1042" s="1">
        <v>0.55649999999999999</v>
      </c>
      <c r="R1042" s="1">
        <v>0.77380000000000004</v>
      </c>
      <c r="S1042" s="1">
        <v>0.52774999999999994</v>
      </c>
      <c r="T1042" s="1">
        <v>0.65015999999999996</v>
      </c>
      <c r="U1042" s="1">
        <v>0.83599999999999997</v>
      </c>
      <c r="V1042" s="1">
        <v>0.98299999999999998</v>
      </c>
    </row>
    <row r="1043" spans="12:22" x14ac:dyDescent="0.25">
      <c r="L1043" s="1">
        <v>144.1</v>
      </c>
      <c r="M1043" s="1">
        <v>0.52770000000000006</v>
      </c>
      <c r="N1043" s="1">
        <v>0.65005000000000002</v>
      </c>
      <c r="O1043" s="1">
        <v>0.49890000000000001</v>
      </c>
      <c r="P1043" s="33">
        <v>0.52639999999999998</v>
      </c>
      <c r="Q1043" s="1">
        <v>0.55649999999999999</v>
      </c>
      <c r="R1043" s="1">
        <v>0.77370000000000005</v>
      </c>
      <c r="S1043" s="1">
        <v>0.52770000000000006</v>
      </c>
      <c r="T1043" s="1">
        <v>0.65005000000000002</v>
      </c>
      <c r="U1043" s="1">
        <v>0.83599999999999997</v>
      </c>
      <c r="V1043" s="1">
        <v>0.98219999999999996</v>
      </c>
    </row>
    <row r="1044" spans="12:22" x14ac:dyDescent="0.25">
      <c r="L1044" s="1">
        <v>144.19999999999999</v>
      </c>
      <c r="M1044" s="1">
        <v>0.52760000000000007</v>
      </c>
      <c r="N1044" s="1">
        <v>0.64995000000000003</v>
      </c>
      <c r="O1044" s="1">
        <v>0.49880000000000002</v>
      </c>
      <c r="P1044" s="33">
        <v>0.5263000000000001</v>
      </c>
      <c r="Q1044" s="1">
        <v>0.55640000000000001</v>
      </c>
      <c r="R1044" s="1">
        <v>0.77359999999999995</v>
      </c>
      <c r="S1044" s="1">
        <v>0.52760000000000007</v>
      </c>
      <c r="T1044" s="1">
        <v>0.64995000000000003</v>
      </c>
      <c r="U1044" s="1">
        <v>0.83599999999999997</v>
      </c>
      <c r="V1044" s="1">
        <v>0.98139999999999994</v>
      </c>
    </row>
    <row r="1045" spans="12:22" x14ac:dyDescent="0.25">
      <c r="L1045" s="1">
        <v>144.30000000000001</v>
      </c>
      <c r="M1045" s="1">
        <v>0.52749999999999997</v>
      </c>
      <c r="N1045" s="1">
        <v>0.64988999999999997</v>
      </c>
      <c r="O1045" s="1">
        <v>0.49869999999999998</v>
      </c>
      <c r="P1045" s="33">
        <v>0.52617999999999998</v>
      </c>
      <c r="Q1045" s="1">
        <v>0.55630000000000002</v>
      </c>
      <c r="R1045" s="1">
        <v>0.77359999999999995</v>
      </c>
      <c r="S1045" s="1">
        <v>0.52749999999999997</v>
      </c>
      <c r="T1045" s="1">
        <v>0.64988999999999997</v>
      </c>
      <c r="U1045" s="1">
        <v>0.83599999999999997</v>
      </c>
      <c r="V1045" s="1">
        <v>0.98060000000000003</v>
      </c>
    </row>
    <row r="1046" spans="12:22" x14ac:dyDescent="0.25">
      <c r="L1046" s="1">
        <v>144.4</v>
      </c>
      <c r="M1046" s="1">
        <v>0.52744999999999997</v>
      </c>
      <c r="N1046" s="1">
        <v>0.64978999999999998</v>
      </c>
      <c r="O1046" s="1">
        <v>0.49859999999999999</v>
      </c>
      <c r="P1046" s="33">
        <v>0.52607999999999999</v>
      </c>
      <c r="Q1046" s="1">
        <v>0.55630000000000002</v>
      </c>
      <c r="R1046" s="1">
        <v>0.77349999999999997</v>
      </c>
      <c r="S1046" s="1">
        <v>0.52744999999999997</v>
      </c>
      <c r="T1046" s="1">
        <v>0.64978999999999998</v>
      </c>
      <c r="U1046" s="1">
        <v>0.83599999999999997</v>
      </c>
      <c r="V1046" s="1">
        <v>0.9798</v>
      </c>
    </row>
    <row r="1047" spans="12:22" x14ac:dyDescent="0.25">
      <c r="L1047" s="1">
        <v>144.5</v>
      </c>
      <c r="M1047" s="1">
        <v>0.52734999999999999</v>
      </c>
      <c r="N1047" s="1">
        <v>0.64968000000000004</v>
      </c>
      <c r="O1047" s="1">
        <v>0.4985</v>
      </c>
      <c r="P1047" s="33">
        <v>0.52596000000000009</v>
      </c>
      <c r="Q1047" s="1">
        <v>0.55620000000000003</v>
      </c>
      <c r="R1047" s="1">
        <v>0.77339999999999998</v>
      </c>
      <c r="S1047" s="1">
        <v>0.52734999999999999</v>
      </c>
      <c r="T1047" s="1">
        <v>0.64968000000000004</v>
      </c>
      <c r="U1047" s="1">
        <v>0.83599999999999997</v>
      </c>
      <c r="V1047" s="1">
        <v>0.97899999999999998</v>
      </c>
    </row>
    <row r="1048" spans="12:22" x14ac:dyDescent="0.25">
      <c r="L1048" s="1">
        <v>144.6</v>
      </c>
      <c r="M1048" s="1">
        <v>0.52725</v>
      </c>
      <c r="N1048" s="1">
        <v>0.64958000000000005</v>
      </c>
      <c r="O1048" s="1">
        <v>0.49830000000000002</v>
      </c>
      <c r="P1048" s="33">
        <v>0.52586000000000011</v>
      </c>
      <c r="Q1048" s="1">
        <v>0.55620000000000003</v>
      </c>
      <c r="R1048" s="1">
        <v>0.77329999999999999</v>
      </c>
      <c r="S1048" s="1">
        <v>0.52725</v>
      </c>
      <c r="T1048" s="1">
        <v>0.64958000000000005</v>
      </c>
      <c r="U1048" s="1">
        <v>0.83599999999999997</v>
      </c>
      <c r="V1048" s="1">
        <v>0.97839999999999994</v>
      </c>
    </row>
    <row r="1049" spans="12:22" x14ac:dyDescent="0.25">
      <c r="L1049" s="1">
        <v>144.69999999999999</v>
      </c>
      <c r="M1049" s="1">
        <v>0.52715000000000001</v>
      </c>
      <c r="N1049" s="1">
        <v>0.64946999999999999</v>
      </c>
      <c r="O1049" s="1">
        <v>0.49819999999999998</v>
      </c>
      <c r="P1049" s="33">
        <v>0.52573999999999999</v>
      </c>
      <c r="Q1049" s="1">
        <v>0.55610000000000004</v>
      </c>
      <c r="R1049" s="1">
        <v>0.7732</v>
      </c>
      <c r="S1049" s="1">
        <v>0.52715000000000001</v>
      </c>
      <c r="T1049" s="1">
        <v>0.64946999999999999</v>
      </c>
      <c r="U1049" s="1">
        <v>0.83599999999999997</v>
      </c>
      <c r="V1049" s="1">
        <v>0.9778</v>
      </c>
    </row>
    <row r="1050" spans="12:22" x14ac:dyDescent="0.25">
      <c r="L1050" s="1">
        <v>144.80000000000001</v>
      </c>
      <c r="M1050" s="1">
        <v>0.52710000000000001</v>
      </c>
      <c r="N1050" s="1">
        <v>0.64937</v>
      </c>
      <c r="O1050" s="1">
        <v>0.49809999999999999</v>
      </c>
      <c r="P1050" s="33">
        <v>0.52564</v>
      </c>
      <c r="Q1050" s="1">
        <v>0.55610000000000004</v>
      </c>
      <c r="R1050" s="1">
        <v>0.77310000000000001</v>
      </c>
      <c r="S1050" s="1">
        <v>0.52710000000000001</v>
      </c>
      <c r="T1050" s="1">
        <v>0.64937</v>
      </c>
      <c r="U1050" s="1">
        <v>0.83579999999999999</v>
      </c>
      <c r="V1050" s="1">
        <v>0.97719999999999996</v>
      </c>
    </row>
    <row r="1051" spans="12:22" x14ac:dyDescent="0.25">
      <c r="L1051" s="1">
        <v>144.9</v>
      </c>
      <c r="M1051" s="1">
        <v>0.52754999999999996</v>
      </c>
      <c r="N1051" s="1">
        <v>0.64925999999999995</v>
      </c>
      <c r="O1051" s="1">
        <v>0.49909999999999999</v>
      </c>
      <c r="P1051" s="33">
        <v>0.52551999999999988</v>
      </c>
      <c r="Q1051" s="1">
        <v>0.55600000000000005</v>
      </c>
      <c r="R1051" s="1">
        <v>0.77300000000000002</v>
      </c>
      <c r="S1051" s="1">
        <v>0.52754999999999996</v>
      </c>
      <c r="T1051" s="1">
        <v>0.64925999999999995</v>
      </c>
      <c r="U1051" s="1">
        <v>0.83539999999999992</v>
      </c>
      <c r="V1051" s="1">
        <v>0.97660000000000002</v>
      </c>
    </row>
    <row r="1052" spans="12:22" x14ac:dyDescent="0.25">
      <c r="L1052" s="1">
        <v>145</v>
      </c>
      <c r="M1052" s="1">
        <v>0.52695000000000003</v>
      </c>
      <c r="N1052" s="1">
        <v>0.64920999999999995</v>
      </c>
      <c r="O1052" s="1">
        <v>0.49790000000000001</v>
      </c>
      <c r="P1052" s="33">
        <v>0.52541999999999989</v>
      </c>
      <c r="Q1052" s="1">
        <v>0.55600000000000005</v>
      </c>
      <c r="R1052" s="1">
        <v>0.77300000000000002</v>
      </c>
      <c r="S1052" s="1">
        <v>0.52695000000000003</v>
      </c>
      <c r="T1052" s="1">
        <v>0.64920999999999995</v>
      </c>
      <c r="U1052" s="1">
        <v>0.83499999999999996</v>
      </c>
      <c r="V1052" s="1">
        <v>0.97599999999999998</v>
      </c>
    </row>
    <row r="1053" spans="12:22" x14ac:dyDescent="0.25">
      <c r="L1053" s="1">
        <v>145.1</v>
      </c>
      <c r="M1053" s="1">
        <v>0.52685000000000004</v>
      </c>
      <c r="N1053" s="1">
        <v>0.64910999999999996</v>
      </c>
      <c r="O1053" s="1">
        <v>0.49780000000000002</v>
      </c>
      <c r="P1053" s="33">
        <v>0.5253199999999999</v>
      </c>
      <c r="Q1053" s="1">
        <v>0.55589999999999995</v>
      </c>
      <c r="R1053" s="1">
        <v>0.77290000000000003</v>
      </c>
      <c r="S1053" s="1">
        <v>0.52685000000000004</v>
      </c>
      <c r="T1053" s="1">
        <v>0.64910999999999996</v>
      </c>
      <c r="U1053" s="1">
        <v>0.83499999999999996</v>
      </c>
      <c r="V1053" s="1">
        <v>0.97519999999999996</v>
      </c>
    </row>
    <row r="1054" spans="12:22" x14ac:dyDescent="0.25">
      <c r="L1054" s="1">
        <v>145.19999999999999</v>
      </c>
      <c r="M1054" s="1">
        <v>0.52674999999999994</v>
      </c>
      <c r="N1054" s="1">
        <v>0.64900999999999998</v>
      </c>
      <c r="O1054" s="1">
        <v>0.49769999999999998</v>
      </c>
      <c r="P1054" s="33">
        <v>0.52521999999999991</v>
      </c>
      <c r="Q1054" s="1">
        <v>0.55579999999999996</v>
      </c>
      <c r="R1054" s="1">
        <v>0.77280000000000004</v>
      </c>
      <c r="S1054" s="1">
        <v>0.52674999999999994</v>
      </c>
      <c r="T1054" s="1">
        <v>0.64900999999999998</v>
      </c>
      <c r="U1054" s="1">
        <v>0.83499999999999996</v>
      </c>
      <c r="V1054" s="1">
        <v>0.97439999999999993</v>
      </c>
    </row>
    <row r="1055" spans="12:22" x14ac:dyDescent="0.25">
      <c r="L1055" s="1">
        <v>145.30000000000001</v>
      </c>
      <c r="M1055" s="1">
        <v>0.52669999999999995</v>
      </c>
      <c r="N1055" s="1">
        <v>0.64890999999999999</v>
      </c>
      <c r="O1055" s="1">
        <v>0.49759999999999999</v>
      </c>
      <c r="P1055" s="33">
        <v>0.52511999999999992</v>
      </c>
      <c r="Q1055" s="1">
        <v>0.55579999999999996</v>
      </c>
      <c r="R1055" s="1">
        <v>0.77270000000000005</v>
      </c>
      <c r="S1055" s="1">
        <v>0.52669999999999995</v>
      </c>
      <c r="T1055" s="1">
        <v>0.64890999999999999</v>
      </c>
      <c r="U1055" s="1">
        <v>0.83499999999999996</v>
      </c>
      <c r="V1055" s="1">
        <v>0.97360000000000002</v>
      </c>
    </row>
    <row r="1056" spans="12:22" x14ac:dyDescent="0.25">
      <c r="L1056" s="1">
        <v>145.4</v>
      </c>
      <c r="M1056" s="1">
        <v>0.52659999999999996</v>
      </c>
      <c r="N1056" s="1">
        <v>0.64881</v>
      </c>
      <c r="O1056" s="1">
        <v>0.4975</v>
      </c>
      <c r="P1056" s="33">
        <v>0.52502000000000004</v>
      </c>
      <c r="Q1056" s="1">
        <v>0.55569999999999997</v>
      </c>
      <c r="R1056" s="1">
        <v>0.77259999999999995</v>
      </c>
      <c r="S1056" s="1">
        <v>0.52659999999999996</v>
      </c>
      <c r="T1056" s="1">
        <v>0.64881</v>
      </c>
      <c r="U1056" s="1">
        <v>0.83499999999999996</v>
      </c>
      <c r="V1056" s="1">
        <v>0.9728</v>
      </c>
    </row>
    <row r="1057" spans="12:22" x14ac:dyDescent="0.25">
      <c r="L1057" s="1">
        <v>145.5</v>
      </c>
      <c r="M1057" s="1">
        <v>0.52654999999999996</v>
      </c>
      <c r="N1057" s="1">
        <v>0.64871000000000001</v>
      </c>
      <c r="O1057" s="1">
        <v>0.49740000000000001</v>
      </c>
      <c r="P1057" s="33">
        <v>0.52492000000000005</v>
      </c>
      <c r="Q1057" s="1">
        <v>0.55569999999999997</v>
      </c>
      <c r="R1057" s="1">
        <v>0.77249999999999996</v>
      </c>
      <c r="S1057" s="1">
        <v>0.52654999999999996</v>
      </c>
      <c r="T1057" s="1">
        <v>0.64871000000000001</v>
      </c>
      <c r="U1057" s="1">
        <v>0.83499999999999996</v>
      </c>
      <c r="V1057" s="1">
        <v>0.97199999999999998</v>
      </c>
    </row>
    <row r="1058" spans="12:22" x14ac:dyDescent="0.25">
      <c r="L1058" s="1">
        <v>145.6</v>
      </c>
      <c r="M1058" s="1">
        <v>0.52644999999999997</v>
      </c>
      <c r="N1058" s="1">
        <v>0.64866000000000001</v>
      </c>
      <c r="O1058" s="1">
        <v>0.49730000000000002</v>
      </c>
      <c r="P1058" s="33">
        <v>0.52482000000000006</v>
      </c>
      <c r="Q1058" s="1">
        <v>0.55559999999999998</v>
      </c>
      <c r="R1058" s="1">
        <v>0.77249999999999996</v>
      </c>
      <c r="S1058" s="1">
        <v>0.52644999999999997</v>
      </c>
      <c r="T1058" s="1">
        <v>0.64866000000000001</v>
      </c>
      <c r="U1058" s="1">
        <v>0.83499999999999996</v>
      </c>
      <c r="V1058" s="1">
        <v>0.97139999999999993</v>
      </c>
    </row>
    <row r="1059" spans="12:22" x14ac:dyDescent="0.25">
      <c r="L1059" s="1">
        <v>145.69999999999999</v>
      </c>
      <c r="M1059" s="1">
        <v>0.52639999999999998</v>
      </c>
      <c r="N1059" s="1">
        <v>0.64856000000000003</v>
      </c>
      <c r="O1059" s="1">
        <v>0.49719999999999998</v>
      </c>
      <c r="P1059" s="33">
        <v>0.52472000000000008</v>
      </c>
      <c r="Q1059" s="1">
        <v>0.55559999999999998</v>
      </c>
      <c r="R1059" s="1">
        <v>0.77239999999999998</v>
      </c>
      <c r="S1059" s="1">
        <v>0.52639999999999998</v>
      </c>
      <c r="T1059" s="1">
        <v>0.64856000000000003</v>
      </c>
      <c r="U1059" s="1">
        <v>0.83499999999999996</v>
      </c>
      <c r="V1059" s="1">
        <v>0.9708</v>
      </c>
    </row>
    <row r="1060" spans="12:22" x14ac:dyDescent="0.25">
      <c r="L1060" s="1">
        <v>145.80000000000001</v>
      </c>
      <c r="M1060" s="1">
        <v>0.52629999999999999</v>
      </c>
      <c r="N1060" s="1">
        <v>0.64846000000000004</v>
      </c>
      <c r="O1060" s="1">
        <v>0.49709999999999999</v>
      </c>
      <c r="P1060" s="33">
        <v>0.52462000000000009</v>
      </c>
      <c r="Q1060" s="1">
        <v>0.55549999999999999</v>
      </c>
      <c r="R1060" s="1">
        <v>0.77229999999999999</v>
      </c>
      <c r="S1060" s="1">
        <v>0.52629999999999999</v>
      </c>
      <c r="T1060" s="1">
        <v>0.64846000000000004</v>
      </c>
      <c r="U1060" s="1">
        <v>0.83479999999999999</v>
      </c>
      <c r="V1060" s="1">
        <v>0.97019999999999995</v>
      </c>
    </row>
    <row r="1061" spans="12:22" x14ac:dyDescent="0.25">
      <c r="L1061" s="1">
        <v>145.9</v>
      </c>
      <c r="M1061" s="1">
        <v>0.52675000000000005</v>
      </c>
      <c r="N1061" s="1">
        <v>0.64825999999999995</v>
      </c>
      <c r="O1061" s="1">
        <v>0.498</v>
      </c>
      <c r="P1061" s="33">
        <v>0.5243199999999999</v>
      </c>
      <c r="Q1061" s="1">
        <v>0.55549999999999999</v>
      </c>
      <c r="R1061" s="1">
        <v>0.7722</v>
      </c>
      <c r="S1061" s="1">
        <v>0.52675000000000005</v>
      </c>
      <c r="T1061" s="1">
        <v>0.64825999999999995</v>
      </c>
      <c r="U1061" s="1">
        <v>0.83439999999999992</v>
      </c>
      <c r="V1061" s="1">
        <v>0.96960000000000002</v>
      </c>
    </row>
    <row r="1062" spans="12:22" x14ac:dyDescent="0.25">
      <c r="L1062" s="1">
        <v>146</v>
      </c>
      <c r="M1062" s="1">
        <v>0.52615000000000001</v>
      </c>
      <c r="N1062" s="1">
        <v>0.64825999999999995</v>
      </c>
      <c r="O1062" s="1">
        <v>0.49690000000000001</v>
      </c>
      <c r="P1062" s="33">
        <v>0.52441999999999989</v>
      </c>
      <c r="Q1062" s="1">
        <v>0.5554</v>
      </c>
      <c r="R1062" s="1">
        <v>0.77210000000000001</v>
      </c>
      <c r="S1062" s="1">
        <v>0.52615000000000001</v>
      </c>
      <c r="T1062" s="1">
        <v>0.64825999999999995</v>
      </c>
      <c r="U1062" s="1">
        <v>0.83399999999999996</v>
      </c>
      <c r="V1062" s="1">
        <v>0.96899999999999997</v>
      </c>
    </row>
    <row r="1063" spans="12:22" x14ac:dyDescent="0.25">
      <c r="L1063" s="1">
        <v>146.1</v>
      </c>
      <c r="M1063" s="1">
        <v>0.52610000000000001</v>
      </c>
      <c r="N1063" s="1">
        <v>0.64820999999999995</v>
      </c>
      <c r="O1063" s="1">
        <v>0.49680000000000002</v>
      </c>
      <c r="P1063" s="33">
        <v>0.5243199999999999</v>
      </c>
      <c r="Q1063" s="1">
        <v>0.5554</v>
      </c>
      <c r="R1063" s="1">
        <v>0.77210000000000001</v>
      </c>
      <c r="S1063" s="1">
        <v>0.52610000000000001</v>
      </c>
      <c r="T1063" s="1">
        <v>0.64820999999999995</v>
      </c>
      <c r="U1063" s="1">
        <v>0.83399999999999996</v>
      </c>
      <c r="V1063" s="1">
        <v>0.96819999999999995</v>
      </c>
    </row>
    <row r="1064" spans="12:22" x14ac:dyDescent="0.25">
      <c r="L1064" s="1">
        <v>146.19999999999999</v>
      </c>
      <c r="M1064" s="1">
        <v>0.52600000000000002</v>
      </c>
      <c r="N1064" s="1">
        <v>0.64810999999999996</v>
      </c>
      <c r="O1064" s="1">
        <v>0.49669999999999997</v>
      </c>
      <c r="P1064" s="33">
        <v>0.52421999999999991</v>
      </c>
      <c r="Q1064" s="1">
        <v>0.55530000000000002</v>
      </c>
      <c r="R1064" s="1">
        <v>0.77200000000000002</v>
      </c>
      <c r="S1064" s="1">
        <v>0.52600000000000002</v>
      </c>
      <c r="T1064" s="1">
        <v>0.64810999999999996</v>
      </c>
      <c r="U1064" s="1">
        <v>0.83399999999999996</v>
      </c>
      <c r="V1064" s="1">
        <v>0.96739999999999993</v>
      </c>
    </row>
    <row r="1065" spans="12:22" x14ac:dyDescent="0.25">
      <c r="L1065" s="1">
        <v>146.30000000000001</v>
      </c>
      <c r="M1065" s="1">
        <v>0.52590000000000003</v>
      </c>
      <c r="N1065" s="1">
        <v>0.64800999999999997</v>
      </c>
      <c r="O1065" s="1">
        <v>0.49659999999999999</v>
      </c>
      <c r="P1065" s="33">
        <v>0.52411999999999992</v>
      </c>
      <c r="Q1065" s="1">
        <v>0.55520000000000003</v>
      </c>
      <c r="R1065" s="1">
        <v>0.77190000000000003</v>
      </c>
      <c r="S1065" s="1">
        <v>0.52590000000000003</v>
      </c>
      <c r="T1065" s="1">
        <v>0.64800999999999997</v>
      </c>
      <c r="U1065" s="1">
        <v>0.83399999999999996</v>
      </c>
      <c r="V1065" s="1">
        <v>0.96660000000000001</v>
      </c>
    </row>
    <row r="1066" spans="12:22" x14ac:dyDescent="0.25">
      <c r="L1066" s="1">
        <v>146.4</v>
      </c>
      <c r="M1066" s="1">
        <v>0.52585000000000004</v>
      </c>
      <c r="N1066" s="1">
        <v>0.64790999999999999</v>
      </c>
      <c r="O1066" s="1">
        <v>0.4965</v>
      </c>
      <c r="P1066" s="33">
        <v>0.52401999999999993</v>
      </c>
      <c r="Q1066" s="1">
        <v>0.55520000000000003</v>
      </c>
      <c r="R1066" s="1">
        <v>0.77180000000000004</v>
      </c>
      <c r="S1066" s="1">
        <v>0.52585000000000004</v>
      </c>
      <c r="T1066" s="1">
        <v>0.64790999999999999</v>
      </c>
      <c r="U1066" s="1">
        <v>0.83399999999999996</v>
      </c>
      <c r="V1066" s="1">
        <v>0.96579999999999999</v>
      </c>
    </row>
    <row r="1067" spans="12:22" x14ac:dyDescent="0.25">
      <c r="L1067" s="1">
        <v>146.5</v>
      </c>
      <c r="M1067" s="1">
        <v>0.52575000000000005</v>
      </c>
      <c r="N1067" s="1">
        <v>0.64781</v>
      </c>
      <c r="O1067" s="1">
        <v>0.49640000000000001</v>
      </c>
      <c r="P1067" s="33">
        <v>0.52391999999999994</v>
      </c>
      <c r="Q1067" s="1">
        <v>0.55510000000000004</v>
      </c>
      <c r="R1067" s="1">
        <v>0.77170000000000005</v>
      </c>
      <c r="S1067" s="1">
        <v>0.52575000000000005</v>
      </c>
      <c r="T1067" s="1">
        <v>0.64781</v>
      </c>
      <c r="U1067" s="1">
        <v>0.83399999999999996</v>
      </c>
      <c r="V1067" s="1">
        <v>0.96499999999999997</v>
      </c>
    </row>
    <row r="1068" spans="12:22" x14ac:dyDescent="0.25">
      <c r="L1068" s="1">
        <v>146.6</v>
      </c>
      <c r="M1068" s="1">
        <v>0.52570000000000006</v>
      </c>
      <c r="N1068" s="1">
        <v>0.64776</v>
      </c>
      <c r="O1068" s="1">
        <v>0.49630000000000002</v>
      </c>
      <c r="P1068" s="33">
        <v>0.52381999999999995</v>
      </c>
      <c r="Q1068" s="1">
        <v>0.55510000000000004</v>
      </c>
      <c r="R1068" s="1">
        <v>0.77170000000000005</v>
      </c>
      <c r="S1068" s="1">
        <v>0.52570000000000006</v>
      </c>
      <c r="T1068" s="1">
        <v>0.64776</v>
      </c>
      <c r="U1068" s="1">
        <v>0.83399999999999996</v>
      </c>
      <c r="V1068" s="1">
        <v>0.96419999999999995</v>
      </c>
    </row>
    <row r="1069" spans="12:22" x14ac:dyDescent="0.25">
      <c r="L1069" s="1">
        <v>146.69999999999999</v>
      </c>
      <c r="M1069" s="1">
        <v>0.52560000000000007</v>
      </c>
      <c r="N1069" s="1">
        <v>0.64766000000000001</v>
      </c>
      <c r="O1069" s="1">
        <v>0.49619999999999997</v>
      </c>
      <c r="P1069" s="33">
        <v>0.52372000000000007</v>
      </c>
      <c r="Q1069" s="1">
        <v>0.55500000000000005</v>
      </c>
      <c r="R1069" s="1">
        <v>0.77159999999999995</v>
      </c>
      <c r="S1069" s="1">
        <v>0.52560000000000007</v>
      </c>
      <c r="T1069" s="1">
        <v>0.64766000000000001</v>
      </c>
      <c r="U1069" s="1">
        <v>0.83399999999999996</v>
      </c>
      <c r="V1069" s="1">
        <v>0.96339999999999992</v>
      </c>
    </row>
    <row r="1070" spans="12:22" x14ac:dyDescent="0.25">
      <c r="L1070" s="1">
        <v>146.80000000000001</v>
      </c>
      <c r="M1070" s="1">
        <v>0.52554999999999996</v>
      </c>
      <c r="N1070" s="1">
        <v>0.64756000000000002</v>
      </c>
      <c r="O1070" s="1">
        <v>0.49609999999999999</v>
      </c>
      <c r="P1070" s="33">
        <v>0.52362000000000009</v>
      </c>
      <c r="Q1070" s="1">
        <v>0.55500000000000005</v>
      </c>
      <c r="R1070" s="1">
        <v>0.77149999999999996</v>
      </c>
      <c r="S1070" s="1">
        <v>0.52554999999999996</v>
      </c>
      <c r="T1070" s="1">
        <v>0.64756000000000002</v>
      </c>
      <c r="U1070" s="1">
        <v>0.83379999999999999</v>
      </c>
      <c r="V1070" s="1">
        <v>0.96260000000000001</v>
      </c>
    </row>
    <row r="1071" spans="12:22" x14ac:dyDescent="0.25">
      <c r="L1071" s="1">
        <v>146.9</v>
      </c>
      <c r="M1071" s="1">
        <v>0.52594999999999992</v>
      </c>
      <c r="N1071" s="1">
        <v>0.64746000000000004</v>
      </c>
      <c r="O1071" s="1">
        <v>0.497</v>
      </c>
      <c r="P1071" s="33">
        <v>0.5235200000000001</v>
      </c>
      <c r="Q1071" s="1">
        <v>0.55489999999999995</v>
      </c>
      <c r="R1071" s="1">
        <v>0.77139999999999997</v>
      </c>
      <c r="S1071" s="1">
        <v>0.52594999999999992</v>
      </c>
      <c r="T1071" s="1">
        <v>0.64746000000000004</v>
      </c>
      <c r="U1071" s="1">
        <v>0.83339999999999992</v>
      </c>
      <c r="V1071" s="1">
        <v>0.96179999999999999</v>
      </c>
    </row>
    <row r="1072" spans="12:22" x14ac:dyDescent="0.25">
      <c r="L1072" s="1">
        <v>147</v>
      </c>
      <c r="M1072" s="1">
        <v>0.52539999999999998</v>
      </c>
      <c r="N1072" s="1">
        <v>0.64741000000000004</v>
      </c>
      <c r="O1072" s="1">
        <v>0.49590000000000001</v>
      </c>
      <c r="P1072" s="33">
        <v>0.52342000000000011</v>
      </c>
      <c r="Q1072" s="1">
        <v>0.55489999999999995</v>
      </c>
      <c r="R1072" s="1">
        <v>0.77139999999999997</v>
      </c>
      <c r="S1072" s="1">
        <v>0.52539999999999998</v>
      </c>
      <c r="T1072" s="1">
        <v>0.64741000000000004</v>
      </c>
      <c r="U1072" s="1">
        <v>0.83299999999999996</v>
      </c>
      <c r="V1072" s="1">
        <v>0.96099999999999997</v>
      </c>
    </row>
    <row r="1073" spans="12:22" x14ac:dyDescent="0.25">
      <c r="L1073" s="1">
        <v>147.1</v>
      </c>
      <c r="M1073" s="1">
        <v>0.52529999999999999</v>
      </c>
      <c r="N1073" s="1">
        <v>0.64731000000000005</v>
      </c>
      <c r="O1073" s="1">
        <v>0.49580000000000002</v>
      </c>
      <c r="P1073" s="33">
        <v>0.52332000000000012</v>
      </c>
      <c r="Q1073" s="1">
        <v>0.55479999999999996</v>
      </c>
      <c r="R1073" s="1">
        <v>0.77129999999999999</v>
      </c>
      <c r="S1073" s="1">
        <v>0.52529999999999999</v>
      </c>
      <c r="T1073" s="1">
        <v>0.64731000000000005</v>
      </c>
      <c r="U1073" s="1">
        <v>0.83299999999999996</v>
      </c>
      <c r="V1073" s="1">
        <v>0.96039999999999992</v>
      </c>
    </row>
    <row r="1074" spans="12:22" x14ac:dyDescent="0.25">
      <c r="L1074" s="1">
        <v>147.19999999999999</v>
      </c>
      <c r="M1074" s="1">
        <v>0.52524999999999999</v>
      </c>
      <c r="N1074" s="1">
        <v>0.64720999999999995</v>
      </c>
      <c r="O1074" s="1">
        <v>0.49569999999999997</v>
      </c>
      <c r="P1074" s="33">
        <v>0.52321999999999991</v>
      </c>
      <c r="Q1074" s="1">
        <v>0.55479999999999996</v>
      </c>
      <c r="R1074" s="1">
        <v>0.7712</v>
      </c>
      <c r="S1074" s="1">
        <v>0.52524999999999999</v>
      </c>
      <c r="T1074" s="1">
        <v>0.64720999999999995</v>
      </c>
      <c r="U1074" s="1">
        <v>0.83299999999999996</v>
      </c>
      <c r="V1074" s="1">
        <v>0.95979999999999999</v>
      </c>
    </row>
    <row r="1075" spans="12:22" x14ac:dyDescent="0.25">
      <c r="L1075" s="1">
        <v>147.30000000000001</v>
      </c>
      <c r="M1075" s="1">
        <v>0.52515000000000001</v>
      </c>
      <c r="N1075" s="1">
        <v>0.64715999999999996</v>
      </c>
      <c r="O1075" s="1">
        <v>0.49559999999999998</v>
      </c>
      <c r="P1075" s="33">
        <v>0.52311999999999992</v>
      </c>
      <c r="Q1075" s="1">
        <v>0.55469999999999997</v>
      </c>
      <c r="R1075" s="1">
        <v>0.7712</v>
      </c>
      <c r="S1075" s="1">
        <v>0.52515000000000001</v>
      </c>
      <c r="T1075" s="1">
        <v>0.64715999999999996</v>
      </c>
      <c r="U1075" s="1">
        <v>0.83299999999999996</v>
      </c>
      <c r="V1075" s="1">
        <v>0.95919999999999994</v>
      </c>
    </row>
    <row r="1076" spans="12:22" x14ac:dyDescent="0.25">
      <c r="L1076" s="1">
        <v>147.4</v>
      </c>
      <c r="M1076" s="1">
        <v>0.52510000000000001</v>
      </c>
      <c r="N1076" s="1">
        <v>0.64705999999999997</v>
      </c>
      <c r="O1076" s="1">
        <v>0.4955</v>
      </c>
      <c r="P1076" s="33">
        <v>0.52301999999999993</v>
      </c>
      <c r="Q1076" s="1">
        <v>0.55469999999999997</v>
      </c>
      <c r="R1076" s="1">
        <v>0.77110000000000001</v>
      </c>
      <c r="S1076" s="1">
        <v>0.52510000000000001</v>
      </c>
      <c r="T1076" s="1">
        <v>0.64705999999999997</v>
      </c>
      <c r="U1076" s="1">
        <v>0.83299999999999996</v>
      </c>
      <c r="V1076" s="1">
        <v>0.95860000000000001</v>
      </c>
    </row>
    <row r="1077" spans="12:22" x14ac:dyDescent="0.25">
      <c r="L1077" s="1">
        <v>147.5</v>
      </c>
      <c r="M1077" s="1">
        <v>0.52500000000000002</v>
      </c>
      <c r="N1077" s="1">
        <v>0.64695999999999998</v>
      </c>
      <c r="O1077" s="1">
        <v>0.49540000000000001</v>
      </c>
      <c r="P1077" s="33">
        <v>0.52291999999999994</v>
      </c>
      <c r="Q1077" s="1">
        <v>0.55459999999999998</v>
      </c>
      <c r="R1077" s="1">
        <v>0.77100000000000002</v>
      </c>
      <c r="S1077" s="1">
        <v>0.52500000000000002</v>
      </c>
      <c r="T1077" s="1">
        <v>0.64695999999999998</v>
      </c>
      <c r="U1077" s="1">
        <v>0.83299999999999996</v>
      </c>
      <c r="V1077" s="1">
        <v>0.95799999999999996</v>
      </c>
    </row>
    <row r="1078" spans="12:22" x14ac:dyDescent="0.25">
      <c r="L1078" s="1">
        <v>147.6</v>
      </c>
      <c r="M1078" s="1">
        <v>0.52495000000000003</v>
      </c>
      <c r="N1078" s="1">
        <v>0.64685999999999999</v>
      </c>
      <c r="O1078" s="1">
        <v>0.49530000000000002</v>
      </c>
      <c r="P1078" s="33">
        <v>0.52281999999999995</v>
      </c>
      <c r="Q1078" s="1">
        <v>0.55459999999999998</v>
      </c>
      <c r="R1078" s="1">
        <v>0.77090000000000003</v>
      </c>
      <c r="S1078" s="1">
        <v>0.52495000000000003</v>
      </c>
      <c r="T1078" s="1">
        <v>0.64685999999999999</v>
      </c>
      <c r="U1078" s="1">
        <v>0.83299999999999996</v>
      </c>
      <c r="V1078" s="1">
        <v>0.95719999999999994</v>
      </c>
    </row>
    <row r="1079" spans="12:22" x14ac:dyDescent="0.25">
      <c r="L1079" s="1">
        <v>147.69999999999999</v>
      </c>
      <c r="M1079" s="1">
        <v>0.52485000000000004</v>
      </c>
      <c r="N1079" s="1">
        <v>0.64681</v>
      </c>
      <c r="O1079" s="1">
        <v>0.49519999999999997</v>
      </c>
      <c r="P1079" s="33">
        <v>0.52271999999999996</v>
      </c>
      <c r="Q1079" s="1">
        <v>0.55449999999999999</v>
      </c>
      <c r="R1079" s="1">
        <v>0.77090000000000003</v>
      </c>
      <c r="S1079" s="1">
        <v>0.52485000000000004</v>
      </c>
      <c r="T1079" s="1">
        <v>0.64681</v>
      </c>
      <c r="U1079" s="1">
        <v>0.83299999999999996</v>
      </c>
      <c r="V1079" s="1">
        <v>0.95639999999999992</v>
      </c>
    </row>
    <row r="1080" spans="12:22" x14ac:dyDescent="0.25">
      <c r="L1080" s="1">
        <v>147.80000000000001</v>
      </c>
      <c r="M1080" s="1">
        <v>0.52475000000000005</v>
      </c>
      <c r="N1080" s="1">
        <v>0.64671000000000001</v>
      </c>
      <c r="O1080" s="1">
        <v>0.49509999999999998</v>
      </c>
      <c r="P1080" s="33">
        <v>0.52261999999999997</v>
      </c>
      <c r="Q1080" s="1">
        <v>0.5544</v>
      </c>
      <c r="R1080" s="1">
        <v>0.77080000000000004</v>
      </c>
      <c r="S1080" s="1">
        <v>0.52475000000000005</v>
      </c>
      <c r="T1080" s="1">
        <v>0.64671000000000001</v>
      </c>
      <c r="U1080" s="1">
        <v>0.83279999999999998</v>
      </c>
      <c r="V1080" s="1">
        <v>0.9556</v>
      </c>
    </row>
    <row r="1081" spans="12:22" x14ac:dyDescent="0.25">
      <c r="L1081" s="1">
        <v>147.9</v>
      </c>
      <c r="M1081" s="1">
        <v>0.5252</v>
      </c>
      <c r="N1081" s="1">
        <v>0.64661000000000002</v>
      </c>
      <c r="O1081" s="1">
        <v>0.496</v>
      </c>
      <c r="P1081" s="33">
        <v>0.52251999999999998</v>
      </c>
      <c r="Q1081" s="1">
        <v>0.5544</v>
      </c>
      <c r="R1081" s="1">
        <v>0.77070000000000005</v>
      </c>
      <c r="S1081" s="1">
        <v>0.5252</v>
      </c>
      <c r="T1081" s="1">
        <v>0.64661000000000002</v>
      </c>
      <c r="U1081" s="1">
        <v>0.83239999999999992</v>
      </c>
      <c r="V1081" s="1">
        <v>0.95479999999999998</v>
      </c>
    </row>
    <row r="1082" spans="12:22" x14ac:dyDescent="0.25">
      <c r="L1082" s="1">
        <v>148</v>
      </c>
      <c r="M1082" s="1">
        <v>0.52459999999999996</v>
      </c>
      <c r="N1082" s="1">
        <v>0.64656000000000002</v>
      </c>
      <c r="O1082" s="1">
        <v>0.49490000000000001</v>
      </c>
      <c r="P1082" s="33">
        <v>0.52242</v>
      </c>
      <c r="Q1082" s="1">
        <v>0.55430000000000001</v>
      </c>
      <c r="R1082" s="1">
        <v>0.77070000000000005</v>
      </c>
      <c r="S1082" s="1">
        <v>0.52459999999999996</v>
      </c>
      <c r="T1082" s="1">
        <v>0.64656000000000002</v>
      </c>
      <c r="U1082" s="1">
        <v>0.83199999999999996</v>
      </c>
      <c r="V1082" s="1">
        <v>0.95399999999999996</v>
      </c>
    </row>
    <row r="1083" spans="12:22" x14ac:dyDescent="0.25">
      <c r="L1083" s="1">
        <v>148.1</v>
      </c>
      <c r="M1083" s="1">
        <v>0.52455000000000007</v>
      </c>
      <c r="N1083" s="1">
        <v>0.64646000000000003</v>
      </c>
      <c r="O1083" s="1">
        <v>0.49480000000000002</v>
      </c>
      <c r="P1083" s="33">
        <v>0.52232000000000012</v>
      </c>
      <c r="Q1083" s="1">
        <v>0.55430000000000001</v>
      </c>
      <c r="R1083" s="1">
        <v>0.77059999999999995</v>
      </c>
      <c r="S1083" s="1">
        <v>0.52455000000000007</v>
      </c>
      <c r="T1083" s="1">
        <v>0.64646000000000003</v>
      </c>
      <c r="U1083" s="1">
        <v>0.83199999999999996</v>
      </c>
      <c r="V1083" s="1">
        <v>0.95339999999999991</v>
      </c>
    </row>
    <row r="1084" spans="12:22" x14ac:dyDescent="0.25">
      <c r="L1084" s="1">
        <v>148.19999999999999</v>
      </c>
      <c r="M1084" s="1">
        <v>0.52444999999999997</v>
      </c>
      <c r="N1084" s="1">
        <v>0.64636000000000005</v>
      </c>
      <c r="O1084" s="1">
        <v>0.49469999999999997</v>
      </c>
      <c r="P1084" s="33">
        <v>0.52222000000000013</v>
      </c>
      <c r="Q1084" s="1">
        <v>0.55420000000000003</v>
      </c>
      <c r="R1084" s="1">
        <v>0.77049999999999996</v>
      </c>
      <c r="S1084" s="1">
        <v>0.52444999999999997</v>
      </c>
      <c r="T1084" s="1">
        <v>0.64636000000000005</v>
      </c>
      <c r="U1084" s="1">
        <v>0.83199999999999996</v>
      </c>
      <c r="V1084" s="1">
        <v>0.95279999999999998</v>
      </c>
    </row>
    <row r="1085" spans="12:22" x14ac:dyDescent="0.25">
      <c r="L1085" s="1">
        <v>148.30000000000001</v>
      </c>
      <c r="M1085" s="1">
        <v>0.52439999999999998</v>
      </c>
      <c r="N1085" s="1">
        <v>0.64631000000000005</v>
      </c>
      <c r="O1085" s="1">
        <v>0.49459999999999998</v>
      </c>
      <c r="P1085" s="33">
        <v>0.52212000000000014</v>
      </c>
      <c r="Q1085" s="1">
        <v>0.55420000000000003</v>
      </c>
      <c r="R1085" s="1">
        <v>0.77049999999999996</v>
      </c>
      <c r="S1085" s="1">
        <v>0.52439999999999998</v>
      </c>
      <c r="T1085" s="1">
        <v>0.64631000000000005</v>
      </c>
      <c r="U1085" s="1">
        <v>0.83199999999999996</v>
      </c>
      <c r="V1085" s="1">
        <v>0.95219999999999994</v>
      </c>
    </row>
    <row r="1086" spans="12:22" x14ac:dyDescent="0.25">
      <c r="L1086" s="1">
        <v>148.4</v>
      </c>
      <c r="M1086" s="1">
        <v>0.52429999999999999</v>
      </c>
      <c r="N1086" s="1">
        <v>0.64620999999999995</v>
      </c>
      <c r="O1086" s="1">
        <v>0.4945</v>
      </c>
      <c r="P1086" s="33">
        <v>0.52201999999999993</v>
      </c>
      <c r="Q1086" s="1">
        <v>0.55410000000000004</v>
      </c>
      <c r="R1086" s="1">
        <v>0.77039999999999997</v>
      </c>
      <c r="S1086" s="1">
        <v>0.52429999999999999</v>
      </c>
      <c r="T1086" s="1">
        <v>0.64620999999999995</v>
      </c>
      <c r="U1086" s="1">
        <v>0.83199999999999996</v>
      </c>
      <c r="V1086" s="1">
        <v>0.9516</v>
      </c>
    </row>
    <row r="1087" spans="12:22" x14ac:dyDescent="0.25">
      <c r="L1087" s="1">
        <v>148.5</v>
      </c>
      <c r="M1087" s="1">
        <v>0.52424999999999999</v>
      </c>
      <c r="N1087" s="1">
        <v>0.64610999999999996</v>
      </c>
      <c r="O1087" s="1">
        <v>0.49440000000000001</v>
      </c>
      <c r="P1087" s="33">
        <v>0.52191999999999994</v>
      </c>
      <c r="Q1087" s="1">
        <v>0.55410000000000004</v>
      </c>
      <c r="R1087" s="1">
        <v>0.77029999999999998</v>
      </c>
      <c r="S1087" s="1">
        <v>0.52424999999999999</v>
      </c>
      <c r="T1087" s="1">
        <v>0.64610999999999996</v>
      </c>
      <c r="U1087" s="1">
        <v>0.83199999999999996</v>
      </c>
      <c r="V1087" s="1">
        <v>0.95099999999999996</v>
      </c>
    </row>
    <row r="1088" spans="12:22" x14ac:dyDescent="0.25">
      <c r="L1088" s="1">
        <v>148.6</v>
      </c>
      <c r="M1088" s="1">
        <v>0.52415</v>
      </c>
      <c r="N1088" s="1">
        <v>0.64605999999999997</v>
      </c>
      <c r="O1088" s="1">
        <v>0.49430000000000002</v>
      </c>
      <c r="P1088" s="33">
        <v>0.52181999999999995</v>
      </c>
      <c r="Q1088" s="1">
        <v>0.55400000000000005</v>
      </c>
      <c r="R1088" s="1">
        <v>0.77029999999999998</v>
      </c>
      <c r="S1088" s="1">
        <v>0.52415</v>
      </c>
      <c r="T1088" s="1">
        <v>0.64605999999999997</v>
      </c>
      <c r="U1088" s="1">
        <v>0.83199999999999996</v>
      </c>
      <c r="V1088" s="1">
        <v>0.95039999999999991</v>
      </c>
    </row>
    <row r="1089" spans="12:22" x14ac:dyDescent="0.25">
      <c r="L1089" s="1">
        <v>148.69999999999999</v>
      </c>
      <c r="M1089" s="1">
        <v>0.52410000000000001</v>
      </c>
      <c r="N1089" s="1">
        <v>0.64595999999999998</v>
      </c>
      <c r="O1089" s="1">
        <v>0.49419999999999997</v>
      </c>
      <c r="P1089" s="33">
        <v>0.52171999999999996</v>
      </c>
      <c r="Q1089" s="1">
        <v>0.55400000000000005</v>
      </c>
      <c r="R1089" s="1">
        <v>0.7702</v>
      </c>
      <c r="S1089" s="1">
        <v>0.52410000000000001</v>
      </c>
      <c r="T1089" s="1">
        <v>0.64595999999999998</v>
      </c>
      <c r="U1089" s="1">
        <v>0.83199999999999996</v>
      </c>
      <c r="V1089" s="1">
        <v>0.94979999999999998</v>
      </c>
    </row>
    <row r="1090" spans="12:22" x14ac:dyDescent="0.25">
      <c r="L1090" s="1">
        <v>148.80000000000001</v>
      </c>
      <c r="M1090" s="1">
        <v>0.52400000000000002</v>
      </c>
      <c r="N1090" s="1">
        <v>0.64590999999999998</v>
      </c>
      <c r="O1090" s="1">
        <v>0.49409999999999998</v>
      </c>
      <c r="P1090" s="33">
        <v>0.52161999999999997</v>
      </c>
      <c r="Q1090" s="1">
        <v>0.55389999999999995</v>
      </c>
      <c r="R1090" s="1">
        <v>0.7702</v>
      </c>
      <c r="S1090" s="1">
        <v>0.52400000000000002</v>
      </c>
      <c r="T1090" s="1">
        <v>0.64590999999999998</v>
      </c>
      <c r="U1090" s="1">
        <v>0.83179999999999998</v>
      </c>
      <c r="V1090" s="1">
        <v>0.94919999999999993</v>
      </c>
    </row>
    <row r="1091" spans="12:22" x14ac:dyDescent="0.25">
      <c r="L1091" s="1">
        <v>148.9</v>
      </c>
      <c r="M1091" s="1">
        <v>0.52444999999999997</v>
      </c>
      <c r="N1091" s="1">
        <v>0.64581</v>
      </c>
      <c r="O1091" s="1">
        <v>0.495</v>
      </c>
      <c r="P1091" s="33">
        <v>0.52151999999999998</v>
      </c>
      <c r="Q1091" s="1">
        <v>0.55389999999999995</v>
      </c>
      <c r="R1091" s="1">
        <v>0.77010000000000001</v>
      </c>
      <c r="S1091" s="1">
        <v>0.52444999999999997</v>
      </c>
      <c r="T1091" s="1">
        <v>0.64581</v>
      </c>
      <c r="U1091" s="1">
        <v>0.83139999999999992</v>
      </c>
      <c r="V1091" s="1">
        <v>0.9486</v>
      </c>
    </row>
    <row r="1092" spans="12:22" x14ac:dyDescent="0.25">
      <c r="L1092" s="1">
        <v>149</v>
      </c>
      <c r="M1092" s="1">
        <v>0.52384999999999993</v>
      </c>
      <c r="N1092" s="1">
        <v>0.64571000000000001</v>
      </c>
      <c r="O1092" s="1">
        <v>0.49390000000000001</v>
      </c>
      <c r="P1092" s="33">
        <v>0.52141999999999999</v>
      </c>
      <c r="Q1092" s="1">
        <v>0.55379999999999996</v>
      </c>
      <c r="R1092" s="1">
        <v>0.77</v>
      </c>
      <c r="S1092" s="1">
        <v>0.52384999999999993</v>
      </c>
      <c r="T1092" s="1">
        <v>0.64571000000000001</v>
      </c>
      <c r="U1092" s="1">
        <v>0.83099999999999996</v>
      </c>
      <c r="V1092" s="1">
        <v>0.94799999999999995</v>
      </c>
    </row>
    <row r="1093" spans="12:22" x14ac:dyDescent="0.25">
      <c r="L1093" s="1">
        <v>149.1</v>
      </c>
      <c r="M1093" s="1">
        <v>0.52380000000000004</v>
      </c>
      <c r="N1093" s="1">
        <v>0.64566000000000001</v>
      </c>
      <c r="O1093" s="1">
        <v>0.49380000000000002</v>
      </c>
      <c r="P1093" s="33">
        <v>0.52132000000000001</v>
      </c>
      <c r="Q1093" s="1">
        <v>0.55379999999999996</v>
      </c>
      <c r="R1093" s="1">
        <v>0.77</v>
      </c>
      <c r="S1093" s="1">
        <v>0.52380000000000004</v>
      </c>
      <c r="T1093" s="1">
        <v>0.64566000000000001</v>
      </c>
      <c r="U1093" s="1">
        <v>0.83099999999999996</v>
      </c>
      <c r="V1093" s="1">
        <v>0.94739999999999991</v>
      </c>
    </row>
    <row r="1094" spans="12:22" x14ac:dyDescent="0.25">
      <c r="L1094" s="1">
        <v>149.19999999999999</v>
      </c>
      <c r="M1094" s="1">
        <v>0.52370000000000005</v>
      </c>
      <c r="N1094" s="1">
        <v>0.64556000000000002</v>
      </c>
      <c r="O1094" s="1">
        <v>0.49370000000000003</v>
      </c>
      <c r="P1094" s="33">
        <v>0.52122000000000002</v>
      </c>
      <c r="Q1094" s="1">
        <v>0.55369999999999997</v>
      </c>
      <c r="R1094" s="1">
        <v>0.76990000000000003</v>
      </c>
      <c r="S1094" s="1">
        <v>0.52370000000000005</v>
      </c>
      <c r="T1094" s="1">
        <v>0.64556000000000002</v>
      </c>
      <c r="U1094" s="1">
        <v>0.83099999999999996</v>
      </c>
      <c r="V1094" s="1">
        <v>0.94679999999999997</v>
      </c>
    </row>
    <row r="1095" spans="12:22" x14ac:dyDescent="0.25">
      <c r="L1095" s="1">
        <v>149.30000000000001</v>
      </c>
      <c r="M1095" s="1">
        <v>0.52364999999999995</v>
      </c>
      <c r="N1095" s="1">
        <v>0.64551000000000003</v>
      </c>
      <c r="O1095" s="1">
        <v>0.49359999999999998</v>
      </c>
      <c r="P1095" s="33">
        <v>0.52112000000000003</v>
      </c>
      <c r="Q1095" s="1">
        <v>0.55369999999999997</v>
      </c>
      <c r="R1095" s="1">
        <v>0.76990000000000003</v>
      </c>
      <c r="S1095" s="1">
        <v>0.52364999999999995</v>
      </c>
      <c r="T1095" s="1">
        <v>0.64551000000000003</v>
      </c>
      <c r="U1095" s="1">
        <v>0.83099999999999996</v>
      </c>
      <c r="V1095" s="1">
        <v>0.94619999999999993</v>
      </c>
    </row>
    <row r="1096" spans="12:22" x14ac:dyDescent="0.25">
      <c r="L1096" s="1">
        <v>149.4</v>
      </c>
      <c r="M1096" s="1">
        <v>0.52354999999999996</v>
      </c>
      <c r="N1096" s="1">
        <v>0.64541000000000004</v>
      </c>
      <c r="O1096" s="1">
        <v>0.49349999999999999</v>
      </c>
      <c r="P1096" s="33">
        <v>0.52102000000000004</v>
      </c>
      <c r="Q1096" s="1">
        <v>0.55359999999999998</v>
      </c>
      <c r="R1096" s="1">
        <v>0.76980000000000004</v>
      </c>
      <c r="S1096" s="1">
        <v>0.52354999999999996</v>
      </c>
      <c r="T1096" s="1">
        <v>0.64541000000000004</v>
      </c>
      <c r="U1096" s="1">
        <v>0.83099999999999996</v>
      </c>
      <c r="V1096" s="1">
        <v>0.9456</v>
      </c>
    </row>
    <row r="1097" spans="12:22" x14ac:dyDescent="0.25">
      <c r="L1097" s="1">
        <v>149.5</v>
      </c>
      <c r="M1097" s="1">
        <v>0.52349999999999997</v>
      </c>
      <c r="N1097" s="1">
        <v>0.64585999999999999</v>
      </c>
      <c r="O1097" s="1">
        <v>0.49340000000000001</v>
      </c>
      <c r="P1097" s="33">
        <v>0.52191999999999994</v>
      </c>
      <c r="Q1097" s="1">
        <v>0.55359999999999998</v>
      </c>
      <c r="R1097" s="1">
        <v>0.76980000000000004</v>
      </c>
      <c r="S1097" s="1">
        <v>0.52349999999999997</v>
      </c>
      <c r="T1097" s="1">
        <v>0.64585999999999999</v>
      </c>
      <c r="U1097" s="1">
        <v>0.83099999999999996</v>
      </c>
      <c r="V1097" s="1">
        <v>0.94499999999999995</v>
      </c>
    </row>
    <row r="1098" spans="12:22" x14ac:dyDescent="0.25">
      <c r="L1098" s="1">
        <v>149.6</v>
      </c>
      <c r="M1098" s="1">
        <v>0.52339999999999998</v>
      </c>
      <c r="N1098" s="1">
        <v>0.64525999999999994</v>
      </c>
      <c r="O1098" s="1">
        <v>0.49330000000000002</v>
      </c>
      <c r="P1098" s="33">
        <v>0.52081999999999984</v>
      </c>
      <c r="Q1098" s="1">
        <v>0.55349999999999999</v>
      </c>
      <c r="R1098" s="1">
        <v>0.76970000000000005</v>
      </c>
      <c r="S1098" s="1">
        <v>0.52339999999999998</v>
      </c>
      <c r="T1098" s="1">
        <v>0.64525999999999994</v>
      </c>
      <c r="U1098" s="1">
        <v>0.83099999999999996</v>
      </c>
      <c r="V1098" s="1">
        <v>0.94439999999999991</v>
      </c>
    </row>
    <row r="1099" spans="12:22" x14ac:dyDescent="0.25">
      <c r="L1099" s="1">
        <v>149.69999999999999</v>
      </c>
      <c r="M1099" s="1">
        <v>0.52334999999999998</v>
      </c>
      <c r="N1099" s="1">
        <v>0.64515999999999996</v>
      </c>
      <c r="O1099" s="1">
        <v>0.49320000000000003</v>
      </c>
      <c r="P1099" s="33">
        <v>0.52071999999999996</v>
      </c>
      <c r="Q1099" s="1">
        <v>0.55349999999999999</v>
      </c>
      <c r="R1099" s="1">
        <v>0.76959999999999995</v>
      </c>
      <c r="S1099" s="1">
        <v>0.52334999999999998</v>
      </c>
      <c r="T1099" s="1">
        <v>0.64515999999999996</v>
      </c>
      <c r="U1099" s="1">
        <v>0.83099999999999996</v>
      </c>
      <c r="V1099" s="1">
        <v>0.94379999999999997</v>
      </c>
    </row>
    <row r="1100" spans="12:22" x14ac:dyDescent="0.25">
      <c r="L1100" s="1">
        <v>149.80000000000001</v>
      </c>
      <c r="M1100" s="1">
        <v>0.52324999999999999</v>
      </c>
      <c r="N1100" s="1">
        <v>0.64510999999999996</v>
      </c>
      <c r="O1100" s="1">
        <v>0.49309999999999998</v>
      </c>
      <c r="P1100" s="33">
        <v>0.52061999999999997</v>
      </c>
      <c r="Q1100" s="1">
        <v>0.5534</v>
      </c>
      <c r="R1100" s="1">
        <v>0.76959999999999995</v>
      </c>
      <c r="S1100" s="1">
        <v>0.52324999999999999</v>
      </c>
      <c r="T1100" s="1">
        <v>0.64510999999999996</v>
      </c>
      <c r="U1100" s="1">
        <v>0.83099999999999996</v>
      </c>
      <c r="V1100" s="1">
        <v>0.94319999999999993</v>
      </c>
    </row>
    <row r="1101" spans="12:22" x14ac:dyDescent="0.25">
      <c r="L1101" s="1">
        <v>149.9</v>
      </c>
      <c r="M1101" s="1">
        <v>0.52364999999999995</v>
      </c>
      <c r="N1101" s="1">
        <v>0.64500999999999997</v>
      </c>
      <c r="O1101" s="1">
        <v>0.49399999999999999</v>
      </c>
      <c r="P1101" s="33">
        <v>0.52051999999999998</v>
      </c>
      <c r="Q1101" s="1">
        <v>0.55330000000000001</v>
      </c>
      <c r="R1101" s="1">
        <v>0.76949999999999996</v>
      </c>
      <c r="S1101" s="1">
        <v>0.52364999999999995</v>
      </c>
      <c r="T1101" s="1">
        <v>0.64500999999999997</v>
      </c>
      <c r="U1101" s="1">
        <v>0.83099999999999996</v>
      </c>
      <c r="V1101" s="1">
        <v>0.94259999999999999</v>
      </c>
    </row>
    <row r="1102" spans="12:22" x14ac:dyDescent="0.25">
      <c r="L1102" s="1">
        <v>150</v>
      </c>
      <c r="M1102" s="1">
        <v>0.52310000000000001</v>
      </c>
      <c r="N1102" s="1">
        <v>0.64495999999999998</v>
      </c>
      <c r="O1102" s="1">
        <v>0.4929</v>
      </c>
      <c r="P1102" s="33">
        <v>0.52041999999999999</v>
      </c>
      <c r="Q1102" s="1">
        <v>0.55330000000000001</v>
      </c>
      <c r="R1102" s="1">
        <v>0.76949999999999996</v>
      </c>
      <c r="S1102" s="1">
        <v>0.52310000000000001</v>
      </c>
      <c r="T1102" s="1">
        <v>0.64495999999999998</v>
      </c>
      <c r="U1102" s="1">
        <v>0.83099999999999996</v>
      </c>
      <c r="V1102" s="1">
        <v>0.94199999999999995</v>
      </c>
    </row>
    <row r="1103" spans="12:22" x14ac:dyDescent="0.25">
      <c r="L1103" s="1">
        <v>150.1</v>
      </c>
      <c r="M1103" s="1">
        <v>0.52300000000000002</v>
      </c>
      <c r="N1103" s="1">
        <v>0.64485999999999999</v>
      </c>
      <c r="O1103" s="1">
        <v>0.49280000000000002</v>
      </c>
      <c r="P1103" s="33">
        <v>0.52032</v>
      </c>
      <c r="Q1103" s="1">
        <v>0.55320000000000003</v>
      </c>
      <c r="R1103" s="1">
        <v>0.76939999999999997</v>
      </c>
      <c r="S1103" s="1">
        <v>0.52300000000000002</v>
      </c>
      <c r="T1103" s="1">
        <v>0.64485999999999999</v>
      </c>
      <c r="U1103" s="1">
        <v>0.8306</v>
      </c>
      <c r="V1103" s="1">
        <v>0.9413999999999999</v>
      </c>
    </row>
    <row r="1104" spans="12:22" x14ac:dyDescent="0.25">
      <c r="L1104" s="1">
        <v>150.19999999999999</v>
      </c>
      <c r="M1104" s="1">
        <v>0.52295000000000003</v>
      </c>
      <c r="N1104" s="1">
        <v>0.64480999999999999</v>
      </c>
      <c r="O1104" s="1">
        <v>0.49270000000000003</v>
      </c>
      <c r="P1104" s="33">
        <v>0.52022000000000002</v>
      </c>
      <c r="Q1104" s="1">
        <v>0.55320000000000003</v>
      </c>
      <c r="R1104" s="1">
        <v>0.76939999999999997</v>
      </c>
      <c r="S1104" s="1">
        <v>0.52295000000000003</v>
      </c>
      <c r="T1104" s="1">
        <v>0.64480999999999999</v>
      </c>
      <c r="U1104" s="1">
        <v>0.83019999999999994</v>
      </c>
      <c r="V1104" s="1">
        <v>0.94079999999999997</v>
      </c>
    </row>
    <row r="1105" spans="12:22" x14ac:dyDescent="0.25">
      <c r="L1105" s="1">
        <v>150.30000000000001</v>
      </c>
      <c r="M1105" s="1">
        <v>0.52285000000000004</v>
      </c>
      <c r="N1105" s="1">
        <v>0.64471000000000001</v>
      </c>
      <c r="O1105" s="1">
        <v>0.49259999999999998</v>
      </c>
      <c r="P1105" s="33">
        <v>0.52012000000000003</v>
      </c>
      <c r="Q1105" s="1">
        <v>0.55310000000000004</v>
      </c>
      <c r="R1105" s="1">
        <v>0.76929999999999998</v>
      </c>
      <c r="S1105" s="1">
        <v>0.52285000000000004</v>
      </c>
      <c r="T1105" s="1">
        <v>0.64471000000000001</v>
      </c>
      <c r="U1105" s="1">
        <v>0.83</v>
      </c>
      <c r="V1105" s="1">
        <v>0.94019999999999992</v>
      </c>
    </row>
    <row r="1106" spans="12:22" x14ac:dyDescent="0.25">
      <c r="L1106" s="1">
        <v>150.4</v>
      </c>
      <c r="M1106" s="1">
        <v>0.52280000000000004</v>
      </c>
      <c r="N1106" s="1">
        <v>0.64466000000000001</v>
      </c>
      <c r="O1106" s="1">
        <v>0.49249999999999999</v>
      </c>
      <c r="P1106" s="33">
        <v>0.52002000000000004</v>
      </c>
      <c r="Q1106" s="1">
        <v>0.55310000000000004</v>
      </c>
      <c r="R1106" s="1">
        <v>0.76929999999999998</v>
      </c>
      <c r="S1106" s="1">
        <v>0.52280000000000004</v>
      </c>
      <c r="T1106" s="1">
        <v>0.64466000000000001</v>
      </c>
      <c r="U1106" s="1">
        <v>0.83</v>
      </c>
      <c r="V1106" s="1">
        <v>0.93959999999999999</v>
      </c>
    </row>
    <row r="1107" spans="12:22" x14ac:dyDescent="0.25">
      <c r="L1107" s="1">
        <v>150.5</v>
      </c>
      <c r="M1107" s="1">
        <v>0.52270000000000005</v>
      </c>
      <c r="N1107" s="1">
        <v>0.64456000000000002</v>
      </c>
      <c r="O1107" s="1">
        <v>0.4924</v>
      </c>
      <c r="P1107" s="33">
        <v>0.51992000000000005</v>
      </c>
      <c r="Q1107" s="1">
        <v>0.55300000000000005</v>
      </c>
      <c r="R1107" s="1">
        <v>0.76919999999999999</v>
      </c>
      <c r="S1107" s="1">
        <v>0.52270000000000005</v>
      </c>
      <c r="T1107" s="1">
        <v>0.64456000000000002</v>
      </c>
      <c r="U1107" s="1">
        <v>0.83</v>
      </c>
      <c r="V1107" s="1">
        <v>0.93899999999999995</v>
      </c>
    </row>
    <row r="1108" spans="12:22" x14ac:dyDescent="0.25">
      <c r="L1108" s="1">
        <v>150.6</v>
      </c>
      <c r="M1108" s="1">
        <v>0.52265000000000006</v>
      </c>
      <c r="N1108" s="1">
        <v>0.64451000000000003</v>
      </c>
      <c r="O1108" s="1">
        <v>0.49230000000000002</v>
      </c>
      <c r="P1108" s="33">
        <v>0.51982000000000006</v>
      </c>
      <c r="Q1108" s="1">
        <v>0.55300000000000005</v>
      </c>
      <c r="R1108" s="1">
        <v>0.76919999999999999</v>
      </c>
      <c r="S1108" s="1">
        <v>0.52265000000000006</v>
      </c>
      <c r="T1108" s="1">
        <v>0.64451000000000003</v>
      </c>
      <c r="U1108" s="1">
        <v>0.83</v>
      </c>
      <c r="V1108" s="1">
        <v>0.93859999999999999</v>
      </c>
    </row>
    <row r="1109" spans="12:22" x14ac:dyDescent="0.25">
      <c r="L1109" s="1">
        <v>150.69999999999999</v>
      </c>
      <c r="M1109" s="1">
        <v>0.52254999999999996</v>
      </c>
      <c r="N1109" s="1">
        <v>0.64441000000000004</v>
      </c>
      <c r="O1109" s="1">
        <v>0.49220000000000003</v>
      </c>
      <c r="P1109" s="33">
        <v>0.51972000000000007</v>
      </c>
      <c r="Q1109" s="1">
        <v>0.55289999999999995</v>
      </c>
      <c r="R1109" s="1">
        <v>0.76910000000000001</v>
      </c>
      <c r="S1109" s="1">
        <v>0.52254999999999996</v>
      </c>
      <c r="T1109" s="1">
        <v>0.64441000000000004</v>
      </c>
      <c r="U1109" s="1">
        <v>0.83</v>
      </c>
      <c r="V1109" s="1">
        <v>0.93820000000000003</v>
      </c>
    </row>
    <row r="1110" spans="12:22" x14ac:dyDescent="0.25">
      <c r="L1110" s="1">
        <v>150.80000000000001</v>
      </c>
      <c r="M1110" s="1">
        <v>0.52249999999999996</v>
      </c>
      <c r="N1110" s="1">
        <v>0.64436000000000004</v>
      </c>
      <c r="O1110" s="1">
        <v>0.49209999999999998</v>
      </c>
      <c r="P1110" s="33">
        <v>0.51962000000000008</v>
      </c>
      <c r="Q1110" s="1">
        <v>0.55289999999999995</v>
      </c>
      <c r="R1110" s="1">
        <v>0.76910000000000001</v>
      </c>
      <c r="S1110" s="1">
        <v>0.52249999999999996</v>
      </c>
      <c r="T1110" s="1">
        <v>0.64436000000000004</v>
      </c>
      <c r="U1110" s="1">
        <v>0.83</v>
      </c>
      <c r="V1110" s="1">
        <v>0.93779999999999997</v>
      </c>
    </row>
    <row r="1111" spans="12:22" x14ac:dyDescent="0.25">
      <c r="L1111" s="1">
        <v>150.9</v>
      </c>
      <c r="M1111" s="1">
        <v>0.52289999999999992</v>
      </c>
      <c r="N1111" s="1">
        <v>0.64431000000000005</v>
      </c>
      <c r="O1111" s="1">
        <v>0.49299999999999999</v>
      </c>
      <c r="P1111" s="33">
        <v>0.51952000000000009</v>
      </c>
      <c r="Q1111" s="1">
        <v>0.55279999999999996</v>
      </c>
      <c r="R1111" s="1">
        <v>0.76910000000000001</v>
      </c>
      <c r="S1111" s="1">
        <v>0.52289999999999992</v>
      </c>
      <c r="T1111" s="1">
        <v>0.64431000000000005</v>
      </c>
      <c r="U1111" s="1">
        <v>0.83</v>
      </c>
      <c r="V1111" s="1">
        <v>0.93740000000000001</v>
      </c>
    </row>
    <row r="1112" spans="12:22" x14ac:dyDescent="0.25">
      <c r="L1112" s="1">
        <v>151</v>
      </c>
      <c r="M1112" s="1">
        <v>0.52234999999999998</v>
      </c>
      <c r="N1112" s="1">
        <v>0.64420999999999995</v>
      </c>
      <c r="O1112" s="1">
        <v>0.4919</v>
      </c>
      <c r="P1112" s="33">
        <v>0.51931999999999989</v>
      </c>
      <c r="Q1112" s="1">
        <v>0.55279999999999996</v>
      </c>
      <c r="R1112" s="1">
        <v>0.76910000000000001</v>
      </c>
      <c r="S1112" s="1">
        <v>0.52234999999999998</v>
      </c>
      <c r="T1112" s="1">
        <v>0.64420999999999995</v>
      </c>
      <c r="U1112" s="1">
        <v>0.83</v>
      </c>
      <c r="V1112" s="1">
        <v>0.93700000000000006</v>
      </c>
    </row>
    <row r="1113" spans="12:22" x14ac:dyDescent="0.25">
      <c r="L1113" s="1">
        <v>151.1</v>
      </c>
      <c r="M1113" s="1">
        <v>0.52224999999999999</v>
      </c>
      <c r="N1113" s="1">
        <v>0.64412999999999998</v>
      </c>
      <c r="O1113" s="1">
        <v>0.49180000000000001</v>
      </c>
      <c r="P1113" s="33">
        <v>0.51915999999999995</v>
      </c>
      <c r="Q1113" s="1">
        <v>0.55269999999999997</v>
      </c>
      <c r="R1113" s="1">
        <v>0.76910000000000001</v>
      </c>
      <c r="S1113" s="1">
        <v>0.52224999999999999</v>
      </c>
      <c r="T1113" s="1">
        <v>0.64412999999999998</v>
      </c>
      <c r="U1113" s="1">
        <v>0.83</v>
      </c>
      <c r="V1113" s="1">
        <v>0.93640000000000001</v>
      </c>
    </row>
    <row r="1114" spans="12:22" x14ac:dyDescent="0.25">
      <c r="L1114" s="1">
        <v>151.19999999999999</v>
      </c>
      <c r="M1114" s="1">
        <v>0.5222</v>
      </c>
      <c r="N1114" s="1">
        <v>0.64405999999999997</v>
      </c>
      <c r="O1114" s="1">
        <v>0.49170000000000003</v>
      </c>
      <c r="P1114" s="33">
        <v>0.51901999999999993</v>
      </c>
      <c r="Q1114" s="1">
        <v>0.55269999999999997</v>
      </c>
      <c r="R1114" s="1">
        <v>0.76910000000000001</v>
      </c>
      <c r="S1114" s="1">
        <v>0.5222</v>
      </c>
      <c r="T1114" s="1">
        <v>0.64405999999999997</v>
      </c>
      <c r="U1114" s="1">
        <v>0.83</v>
      </c>
      <c r="V1114" s="1">
        <v>0.93580000000000008</v>
      </c>
    </row>
    <row r="1115" spans="12:22" x14ac:dyDescent="0.25">
      <c r="L1115" s="1">
        <v>151.30000000000001</v>
      </c>
      <c r="M1115" s="1">
        <v>0.52210000000000001</v>
      </c>
      <c r="N1115" s="1">
        <v>0.64398</v>
      </c>
      <c r="O1115" s="1">
        <v>0.49159999999999998</v>
      </c>
      <c r="P1115" s="33">
        <v>0.51885999999999999</v>
      </c>
      <c r="Q1115" s="1">
        <v>0.55259999999999998</v>
      </c>
      <c r="R1115" s="1">
        <v>0.76910000000000001</v>
      </c>
      <c r="S1115" s="1">
        <v>0.52210000000000001</v>
      </c>
      <c r="T1115" s="1">
        <v>0.64398</v>
      </c>
      <c r="U1115" s="1">
        <v>0.82979999999999998</v>
      </c>
      <c r="V1115" s="1">
        <v>0.93520000000000003</v>
      </c>
    </row>
    <row r="1116" spans="12:22" x14ac:dyDescent="0.25">
      <c r="L1116" s="1">
        <v>151.4</v>
      </c>
      <c r="M1116" s="1">
        <v>0.52205000000000001</v>
      </c>
      <c r="N1116" s="1">
        <v>0.64390999999999998</v>
      </c>
      <c r="O1116" s="1">
        <v>0.49149999999999999</v>
      </c>
      <c r="P1116" s="33">
        <v>0.51871999999999996</v>
      </c>
      <c r="Q1116" s="1">
        <v>0.55259999999999998</v>
      </c>
      <c r="R1116" s="1">
        <v>0.76910000000000001</v>
      </c>
      <c r="S1116" s="1">
        <v>0.52205000000000001</v>
      </c>
      <c r="T1116" s="1">
        <v>0.64390999999999998</v>
      </c>
      <c r="U1116" s="1">
        <v>0.82939999999999992</v>
      </c>
      <c r="V1116" s="1">
        <v>0.9346000000000001</v>
      </c>
    </row>
    <row r="1117" spans="12:22" x14ac:dyDescent="0.25">
      <c r="L1117" s="1">
        <v>151.5</v>
      </c>
      <c r="M1117" s="1">
        <v>0.52195000000000003</v>
      </c>
      <c r="N1117" s="1">
        <v>0.64383000000000001</v>
      </c>
      <c r="O1117" s="1">
        <v>0.4914</v>
      </c>
      <c r="P1117" s="33">
        <v>0.51856000000000002</v>
      </c>
      <c r="Q1117" s="1">
        <v>0.55249999999999999</v>
      </c>
      <c r="R1117" s="1">
        <v>0.76910000000000001</v>
      </c>
      <c r="S1117" s="1">
        <v>0.52195000000000003</v>
      </c>
      <c r="T1117" s="1">
        <v>0.64383000000000001</v>
      </c>
      <c r="U1117" s="1">
        <v>0.82899999999999996</v>
      </c>
      <c r="V1117" s="1">
        <v>0.93400000000000005</v>
      </c>
    </row>
    <row r="1118" spans="12:22" x14ac:dyDescent="0.25">
      <c r="L1118" s="1">
        <v>151.6</v>
      </c>
      <c r="M1118" s="1">
        <v>0.52190000000000003</v>
      </c>
      <c r="N1118" s="1">
        <v>0.64376</v>
      </c>
      <c r="O1118" s="1">
        <v>0.49130000000000001</v>
      </c>
      <c r="P1118" s="33">
        <v>0.51841999999999999</v>
      </c>
      <c r="Q1118" s="1">
        <v>0.55249999999999999</v>
      </c>
      <c r="R1118" s="1">
        <v>0.76910000000000001</v>
      </c>
      <c r="S1118" s="1">
        <v>0.52190000000000003</v>
      </c>
      <c r="T1118" s="1">
        <v>0.64376</v>
      </c>
      <c r="U1118" s="1">
        <v>0.82899999999999996</v>
      </c>
      <c r="V1118" s="1">
        <v>0.9336000000000001</v>
      </c>
    </row>
    <row r="1119" spans="12:22" x14ac:dyDescent="0.25">
      <c r="L1119" s="1">
        <v>151.69999999999999</v>
      </c>
      <c r="M1119" s="1">
        <v>0.52180000000000004</v>
      </c>
      <c r="N1119" s="1">
        <v>0.64368000000000003</v>
      </c>
      <c r="O1119" s="1">
        <v>0.49120000000000003</v>
      </c>
      <c r="P1119" s="33">
        <v>0.51826000000000005</v>
      </c>
      <c r="Q1119" s="1">
        <v>0.5524</v>
      </c>
      <c r="R1119" s="1">
        <v>0.76910000000000001</v>
      </c>
      <c r="S1119" s="1">
        <v>0.52180000000000004</v>
      </c>
      <c r="T1119" s="1">
        <v>0.64368000000000003</v>
      </c>
      <c r="U1119" s="1">
        <v>0.82899999999999996</v>
      </c>
      <c r="V1119" s="1">
        <v>0.93320000000000003</v>
      </c>
    </row>
    <row r="1120" spans="12:22" x14ac:dyDescent="0.25">
      <c r="L1120" s="1">
        <v>151.80000000000001</v>
      </c>
      <c r="M1120" s="1">
        <v>0.52174999999999994</v>
      </c>
      <c r="N1120" s="1">
        <v>0.64361000000000002</v>
      </c>
      <c r="O1120" s="1">
        <v>0.49109999999999998</v>
      </c>
      <c r="P1120" s="33">
        <v>0.51812000000000002</v>
      </c>
      <c r="Q1120" s="1">
        <v>0.5524</v>
      </c>
      <c r="R1120" s="1">
        <v>0.76910000000000001</v>
      </c>
      <c r="S1120" s="1">
        <v>0.52174999999999994</v>
      </c>
      <c r="T1120" s="1">
        <v>0.64361000000000002</v>
      </c>
      <c r="U1120" s="1">
        <v>0.82899999999999996</v>
      </c>
      <c r="V1120" s="1">
        <v>0.93280000000000007</v>
      </c>
    </row>
    <row r="1121" spans="12:22" x14ac:dyDescent="0.25">
      <c r="L1121" s="1">
        <v>151.9</v>
      </c>
      <c r="M1121" s="1">
        <v>0.52215</v>
      </c>
      <c r="N1121" s="1">
        <v>0.64353000000000005</v>
      </c>
      <c r="O1121" s="1">
        <v>0.49199999999999999</v>
      </c>
      <c r="P1121" s="33">
        <v>0.51796000000000009</v>
      </c>
      <c r="Q1121" s="1">
        <v>0.55230000000000001</v>
      </c>
      <c r="R1121" s="1">
        <v>0.76910000000000001</v>
      </c>
      <c r="S1121" s="1">
        <v>0.52215</v>
      </c>
      <c r="T1121" s="1">
        <v>0.64353000000000005</v>
      </c>
      <c r="U1121" s="1">
        <v>0.82899999999999996</v>
      </c>
      <c r="V1121" s="1">
        <v>0.93240000000000001</v>
      </c>
    </row>
    <row r="1122" spans="12:22" x14ac:dyDescent="0.25">
      <c r="L1122" s="1">
        <v>152</v>
      </c>
      <c r="M1122" s="1">
        <v>0.52160000000000006</v>
      </c>
      <c r="N1122" s="1">
        <v>0.64346000000000003</v>
      </c>
      <c r="O1122" s="1">
        <v>0.4909</v>
      </c>
      <c r="P1122" s="33">
        <v>0.51782000000000006</v>
      </c>
      <c r="Q1122" s="1">
        <v>0.55230000000000001</v>
      </c>
      <c r="R1122" s="1">
        <v>0.76910000000000001</v>
      </c>
      <c r="S1122" s="1">
        <v>0.52160000000000006</v>
      </c>
      <c r="T1122" s="1">
        <v>0.64346000000000003</v>
      </c>
      <c r="U1122" s="1">
        <v>0.82899999999999996</v>
      </c>
      <c r="V1122" s="1">
        <v>0.93200000000000005</v>
      </c>
    </row>
    <row r="1123" spans="12:22" x14ac:dyDescent="0.25">
      <c r="L1123" s="1">
        <v>152.1</v>
      </c>
      <c r="M1123" s="1">
        <v>0.52150000000000007</v>
      </c>
      <c r="N1123" s="1">
        <v>0.64337999999999995</v>
      </c>
      <c r="O1123" s="1">
        <v>0.49080000000000001</v>
      </c>
      <c r="P1123" s="33">
        <v>0.5176599999999999</v>
      </c>
      <c r="Q1123" s="1">
        <v>0.55220000000000002</v>
      </c>
      <c r="R1123" s="1">
        <v>0.76910000000000001</v>
      </c>
      <c r="S1123" s="1">
        <v>0.52150000000000007</v>
      </c>
      <c r="T1123" s="1">
        <v>0.64337999999999995</v>
      </c>
      <c r="U1123" s="1">
        <v>0.82899999999999996</v>
      </c>
      <c r="V1123" s="1">
        <v>0.93140000000000001</v>
      </c>
    </row>
    <row r="1124" spans="12:22" x14ac:dyDescent="0.25">
      <c r="L1124" s="1">
        <v>152.19999999999999</v>
      </c>
      <c r="M1124" s="1">
        <v>0.52144999999999997</v>
      </c>
      <c r="N1124" s="1">
        <v>0.64331000000000005</v>
      </c>
      <c r="O1124" s="1">
        <v>0.49070000000000003</v>
      </c>
      <c r="P1124" s="33">
        <v>0.51752000000000009</v>
      </c>
      <c r="Q1124" s="1">
        <v>0.55220000000000002</v>
      </c>
      <c r="R1124" s="1">
        <v>0.76910000000000001</v>
      </c>
      <c r="S1124" s="1">
        <v>0.52144999999999997</v>
      </c>
      <c r="T1124" s="1">
        <v>0.64331000000000005</v>
      </c>
      <c r="U1124" s="1">
        <v>0.82899999999999996</v>
      </c>
      <c r="V1124" s="1">
        <v>0.93080000000000007</v>
      </c>
    </row>
    <row r="1125" spans="12:22" x14ac:dyDescent="0.25">
      <c r="L1125" s="1">
        <v>152.30000000000001</v>
      </c>
      <c r="M1125" s="1">
        <v>0.52134999999999998</v>
      </c>
      <c r="N1125" s="1">
        <v>0.64322999999999997</v>
      </c>
      <c r="O1125" s="1">
        <v>0.49059999999999998</v>
      </c>
      <c r="P1125" s="33">
        <v>0.51735999999999993</v>
      </c>
      <c r="Q1125" s="1">
        <v>0.55210000000000004</v>
      </c>
      <c r="R1125" s="1">
        <v>0.76910000000000001</v>
      </c>
      <c r="S1125" s="1">
        <v>0.52134999999999998</v>
      </c>
      <c r="T1125" s="1">
        <v>0.64322999999999997</v>
      </c>
      <c r="U1125" s="1">
        <v>0.82899999999999996</v>
      </c>
      <c r="V1125" s="1">
        <v>0.93020000000000003</v>
      </c>
    </row>
    <row r="1126" spans="12:22" x14ac:dyDescent="0.25">
      <c r="L1126" s="1">
        <v>152.4</v>
      </c>
      <c r="M1126" s="1">
        <v>0.52129999999999999</v>
      </c>
      <c r="N1126" s="1">
        <v>0.64315999999999995</v>
      </c>
      <c r="O1126" s="1">
        <v>0.49049999999999999</v>
      </c>
      <c r="P1126" s="33">
        <v>0.5172199999999999</v>
      </c>
      <c r="Q1126" s="1">
        <v>0.55210000000000004</v>
      </c>
      <c r="R1126" s="1">
        <v>0.76910000000000001</v>
      </c>
      <c r="S1126" s="1">
        <v>0.52129999999999999</v>
      </c>
      <c r="T1126" s="1">
        <v>0.64315999999999995</v>
      </c>
      <c r="U1126" s="1">
        <v>0.82899999999999996</v>
      </c>
      <c r="V1126" s="1">
        <v>0.92960000000000009</v>
      </c>
    </row>
    <row r="1127" spans="12:22" x14ac:dyDescent="0.25">
      <c r="L1127" s="1">
        <v>152.5</v>
      </c>
      <c r="M1127" s="1">
        <v>0.5212</v>
      </c>
      <c r="N1127" s="1">
        <v>0.64307999999999998</v>
      </c>
      <c r="O1127" s="1">
        <v>0.4904</v>
      </c>
      <c r="P1127" s="33">
        <v>0.51705999999999996</v>
      </c>
      <c r="Q1127" s="1">
        <v>0.55200000000000005</v>
      </c>
      <c r="R1127" s="1">
        <v>0.76910000000000001</v>
      </c>
      <c r="S1127" s="1">
        <v>0.5212</v>
      </c>
      <c r="T1127" s="1">
        <v>0.64307999999999998</v>
      </c>
      <c r="U1127" s="1">
        <v>0.82899999999999996</v>
      </c>
      <c r="V1127" s="1">
        <v>0.92900000000000005</v>
      </c>
    </row>
    <row r="1128" spans="12:22" x14ac:dyDescent="0.25">
      <c r="L1128" s="1">
        <v>152.6</v>
      </c>
      <c r="M1128" s="1">
        <v>0.52115</v>
      </c>
      <c r="N1128" s="1">
        <v>0.64300999999999997</v>
      </c>
      <c r="O1128" s="1">
        <v>0.49030000000000001</v>
      </c>
      <c r="P1128" s="33">
        <v>0.51691999999999994</v>
      </c>
      <c r="Q1128" s="1">
        <v>0.55200000000000005</v>
      </c>
      <c r="R1128" s="1">
        <v>0.76910000000000001</v>
      </c>
      <c r="S1128" s="1">
        <v>0.52115</v>
      </c>
      <c r="T1128" s="1">
        <v>0.64300999999999997</v>
      </c>
      <c r="U1128" s="1">
        <v>0.8286</v>
      </c>
      <c r="V1128" s="1">
        <v>0.92860000000000009</v>
      </c>
    </row>
    <row r="1129" spans="12:22" x14ac:dyDescent="0.25">
      <c r="L1129" s="1">
        <v>152.69999999999999</v>
      </c>
      <c r="M1129" s="1">
        <v>0.52105000000000001</v>
      </c>
      <c r="N1129" s="1">
        <v>0.64293</v>
      </c>
      <c r="O1129" s="1">
        <v>0.49020000000000002</v>
      </c>
      <c r="P1129" s="33">
        <v>0.51676</v>
      </c>
      <c r="Q1129" s="1">
        <v>0.55189999999999995</v>
      </c>
      <c r="R1129" s="1">
        <v>0.76910000000000001</v>
      </c>
      <c r="S1129" s="1">
        <v>0.52105000000000001</v>
      </c>
      <c r="T1129" s="1">
        <v>0.64293</v>
      </c>
      <c r="U1129" s="1">
        <v>0.82819999999999994</v>
      </c>
      <c r="V1129" s="1">
        <v>0.92820000000000003</v>
      </c>
    </row>
    <row r="1130" spans="12:22" x14ac:dyDescent="0.25">
      <c r="L1130" s="1">
        <v>152.80000000000001</v>
      </c>
      <c r="M1130" s="1">
        <v>0.52099999999999991</v>
      </c>
      <c r="N1130" s="1">
        <v>0.64285999999999999</v>
      </c>
      <c r="O1130" s="1">
        <v>0.49009999999999998</v>
      </c>
      <c r="P1130" s="33">
        <v>0.51661999999999997</v>
      </c>
      <c r="Q1130" s="1">
        <v>0.55189999999999995</v>
      </c>
      <c r="R1130" s="1">
        <v>0.76910000000000001</v>
      </c>
      <c r="S1130" s="1">
        <v>0.52099999999999991</v>
      </c>
      <c r="T1130" s="1">
        <v>0.64285999999999999</v>
      </c>
      <c r="U1130" s="1">
        <v>0.82799999999999996</v>
      </c>
      <c r="V1130" s="1">
        <v>0.92780000000000007</v>
      </c>
    </row>
    <row r="1131" spans="12:22" x14ac:dyDescent="0.25">
      <c r="L1131" s="1">
        <v>152.9</v>
      </c>
      <c r="M1131" s="1">
        <v>0.52139999999999997</v>
      </c>
      <c r="N1131" s="1">
        <v>0.64278000000000002</v>
      </c>
      <c r="O1131" s="1">
        <v>0.49099999999999999</v>
      </c>
      <c r="P1131" s="33">
        <v>0.51646000000000003</v>
      </c>
      <c r="Q1131" s="1">
        <v>0.55179999999999996</v>
      </c>
      <c r="R1131" s="1">
        <v>0.76910000000000001</v>
      </c>
      <c r="S1131" s="1">
        <v>0.52139999999999997</v>
      </c>
      <c r="T1131" s="1">
        <v>0.64278000000000002</v>
      </c>
      <c r="U1131" s="1">
        <v>0.82799999999999996</v>
      </c>
      <c r="V1131" s="1">
        <v>0.9274</v>
      </c>
    </row>
    <row r="1132" spans="12:22" x14ac:dyDescent="0.25">
      <c r="L1132" s="1">
        <v>153</v>
      </c>
      <c r="M1132" s="1">
        <v>0.52085000000000004</v>
      </c>
      <c r="N1132" s="1">
        <v>0.64271</v>
      </c>
      <c r="O1132" s="1">
        <v>0.4899</v>
      </c>
      <c r="P1132" s="33">
        <v>0.51632</v>
      </c>
      <c r="Q1132" s="1">
        <v>0.55179999999999996</v>
      </c>
      <c r="R1132" s="1">
        <v>0.76910000000000001</v>
      </c>
      <c r="S1132" s="1">
        <v>0.52085000000000004</v>
      </c>
      <c r="T1132" s="1">
        <v>0.64271</v>
      </c>
      <c r="U1132" s="1">
        <v>0.82799999999999996</v>
      </c>
      <c r="V1132" s="1">
        <v>0.92700000000000005</v>
      </c>
    </row>
    <row r="1133" spans="12:22" x14ac:dyDescent="0.25">
      <c r="L1133" s="1">
        <v>153.1</v>
      </c>
      <c r="M1133" s="1">
        <v>0.52075000000000005</v>
      </c>
      <c r="N1133" s="1">
        <v>0.64263000000000003</v>
      </c>
      <c r="O1133" s="1">
        <v>0.48980000000000001</v>
      </c>
      <c r="P1133" s="33">
        <v>0.51616000000000006</v>
      </c>
      <c r="Q1133" s="1">
        <v>0.55169999999999997</v>
      </c>
      <c r="R1133" s="1">
        <v>0.76910000000000001</v>
      </c>
      <c r="S1133" s="1">
        <v>0.52075000000000005</v>
      </c>
      <c r="T1133" s="1">
        <v>0.64263000000000003</v>
      </c>
      <c r="U1133" s="1">
        <v>0.82799999999999996</v>
      </c>
      <c r="V1133" s="1">
        <v>0.92660000000000009</v>
      </c>
    </row>
    <row r="1134" spans="12:22" x14ac:dyDescent="0.25">
      <c r="L1134" s="1">
        <v>153.19999999999999</v>
      </c>
      <c r="M1134" s="1">
        <v>0.52069999999999994</v>
      </c>
      <c r="N1134" s="1">
        <v>0.64256000000000002</v>
      </c>
      <c r="O1134" s="1">
        <v>0.48970000000000002</v>
      </c>
      <c r="P1134" s="33">
        <v>0.51602000000000003</v>
      </c>
      <c r="Q1134" s="1">
        <v>0.55169999999999997</v>
      </c>
      <c r="R1134" s="1">
        <v>0.76910000000000001</v>
      </c>
      <c r="S1134" s="1">
        <v>0.52069999999999994</v>
      </c>
      <c r="T1134" s="1">
        <v>0.64256000000000002</v>
      </c>
      <c r="U1134" s="1">
        <v>0.82799999999999996</v>
      </c>
      <c r="V1134" s="1">
        <v>0.92620000000000002</v>
      </c>
    </row>
    <row r="1135" spans="12:22" x14ac:dyDescent="0.25">
      <c r="L1135" s="1">
        <v>153.30000000000001</v>
      </c>
      <c r="M1135" s="1">
        <v>0.52059999999999995</v>
      </c>
      <c r="N1135" s="1">
        <v>0.64248000000000005</v>
      </c>
      <c r="O1135" s="1">
        <v>0.48959999999999998</v>
      </c>
      <c r="P1135" s="33">
        <v>0.5158600000000001</v>
      </c>
      <c r="Q1135" s="1">
        <v>0.55159999999999998</v>
      </c>
      <c r="R1135" s="1">
        <v>0.76910000000000001</v>
      </c>
      <c r="S1135" s="1">
        <v>0.52059999999999995</v>
      </c>
      <c r="T1135" s="1">
        <v>0.64248000000000005</v>
      </c>
      <c r="U1135" s="1">
        <v>0.82799999999999996</v>
      </c>
      <c r="V1135" s="1">
        <v>0.92580000000000007</v>
      </c>
    </row>
    <row r="1136" spans="12:22" x14ac:dyDescent="0.25">
      <c r="L1136" s="1">
        <v>153.4</v>
      </c>
      <c r="M1136" s="1">
        <v>0.52049999999999996</v>
      </c>
      <c r="N1136" s="1">
        <v>0.64241000000000004</v>
      </c>
      <c r="O1136" s="1">
        <v>0.48949999999999999</v>
      </c>
      <c r="P1136" s="33">
        <v>0.51572000000000007</v>
      </c>
      <c r="Q1136" s="1">
        <v>0.55149999999999999</v>
      </c>
      <c r="R1136" s="1">
        <v>0.76910000000000001</v>
      </c>
      <c r="S1136" s="1">
        <v>0.52049999999999996</v>
      </c>
      <c r="T1136" s="1">
        <v>0.64241000000000004</v>
      </c>
      <c r="U1136" s="1">
        <v>0.82799999999999996</v>
      </c>
      <c r="V1136" s="1">
        <v>0.9254</v>
      </c>
    </row>
    <row r="1137" spans="12:22" x14ac:dyDescent="0.25">
      <c r="L1137" s="1">
        <v>153.5</v>
      </c>
      <c r="M1137" s="1">
        <v>0.52044999999999997</v>
      </c>
      <c r="N1137" s="1">
        <v>0.64232999999999996</v>
      </c>
      <c r="O1137" s="1">
        <v>0.4894</v>
      </c>
      <c r="P1137" s="33">
        <v>0.51555999999999991</v>
      </c>
      <c r="Q1137" s="1">
        <v>0.55149999999999999</v>
      </c>
      <c r="R1137" s="1">
        <v>0.76910000000000001</v>
      </c>
      <c r="S1137" s="1">
        <v>0.52044999999999997</v>
      </c>
      <c r="T1137" s="1">
        <v>0.64232999999999996</v>
      </c>
      <c r="U1137" s="1">
        <v>0.82799999999999996</v>
      </c>
      <c r="V1137" s="1">
        <v>0.92500000000000004</v>
      </c>
    </row>
    <row r="1138" spans="12:22" x14ac:dyDescent="0.25">
      <c r="L1138" s="1">
        <v>153.6</v>
      </c>
      <c r="M1138" s="1">
        <v>0.52034999999999998</v>
      </c>
      <c r="N1138" s="1">
        <v>0.64226000000000005</v>
      </c>
      <c r="O1138" s="1">
        <v>0.48930000000000001</v>
      </c>
      <c r="P1138" s="33">
        <v>0.5154200000000001</v>
      </c>
      <c r="Q1138" s="1">
        <v>0.5514</v>
      </c>
      <c r="R1138" s="1">
        <v>0.76910000000000001</v>
      </c>
      <c r="S1138" s="1">
        <v>0.52034999999999998</v>
      </c>
      <c r="T1138" s="1">
        <v>0.64226000000000005</v>
      </c>
      <c r="U1138" s="1">
        <v>0.82799999999999996</v>
      </c>
      <c r="V1138" s="1">
        <v>0.92460000000000009</v>
      </c>
    </row>
    <row r="1139" spans="12:22" x14ac:dyDescent="0.25">
      <c r="L1139" s="1">
        <v>153.69999999999999</v>
      </c>
      <c r="M1139" s="1">
        <v>0.52029999999999998</v>
      </c>
      <c r="N1139" s="1">
        <v>0.64217999999999997</v>
      </c>
      <c r="O1139" s="1">
        <v>0.48920000000000002</v>
      </c>
      <c r="P1139" s="33">
        <v>0.51525999999999994</v>
      </c>
      <c r="Q1139" s="1">
        <v>0.5514</v>
      </c>
      <c r="R1139" s="1">
        <v>0.76910000000000001</v>
      </c>
      <c r="S1139" s="1">
        <v>0.52029999999999998</v>
      </c>
      <c r="T1139" s="1">
        <v>0.64217999999999997</v>
      </c>
      <c r="U1139" s="1">
        <v>0.82799999999999996</v>
      </c>
      <c r="V1139" s="1">
        <v>0.92420000000000002</v>
      </c>
    </row>
    <row r="1140" spans="12:22" x14ac:dyDescent="0.25">
      <c r="L1140" s="1">
        <v>153.80000000000001</v>
      </c>
      <c r="M1140" s="1">
        <v>0.5202</v>
      </c>
      <c r="N1140" s="1">
        <v>0.64210999999999996</v>
      </c>
      <c r="O1140" s="1">
        <v>0.48909999999999998</v>
      </c>
      <c r="P1140" s="33">
        <v>0.51511999999999991</v>
      </c>
      <c r="Q1140" s="1">
        <v>0.55130000000000001</v>
      </c>
      <c r="R1140" s="1">
        <v>0.76910000000000001</v>
      </c>
      <c r="S1140" s="1">
        <v>0.5202</v>
      </c>
      <c r="T1140" s="1">
        <v>0.64210999999999996</v>
      </c>
      <c r="U1140" s="1">
        <v>0.82799999999999996</v>
      </c>
      <c r="V1140" s="1">
        <v>0.92380000000000007</v>
      </c>
    </row>
    <row r="1141" spans="12:22" x14ac:dyDescent="0.25">
      <c r="L1141" s="1">
        <v>153.9</v>
      </c>
      <c r="M1141" s="1">
        <v>0.52065000000000006</v>
      </c>
      <c r="N1141" s="1">
        <v>0.64202999999999999</v>
      </c>
      <c r="O1141" s="1">
        <v>0.49</v>
      </c>
      <c r="P1141" s="33">
        <v>0.51495999999999997</v>
      </c>
      <c r="Q1141" s="1">
        <v>0.55130000000000001</v>
      </c>
      <c r="R1141" s="1">
        <v>0.76910000000000001</v>
      </c>
      <c r="S1141" s="1">
        <v>0.52065000000000006</v>
      </c>
      <c r="T1141" s="1">
        <v>0.64202999999999999</v>
      </c>
      <c r="U1141" s="1">
        <v>0.82799999999999996</v>
      </c>
      <c r="V1141" s="1">
        <v>0.9234</v>
      </c>
    </row>
    <row r="1142" spans="12:22" x14ac:dyDescent="0.25">
      <c r="L1142" s="1">
        <v>154</v>
      </c>
      <c r="M1142" s="1">
        <v>0.52005000000000001</v>
      </c>
      <c r="N1142" s="1">
        <v>0.64195999999999998</v>
      </c>
      <c r="O1142" s="1">
        <v>0.4889</v>
      </c>
      <c r="P1142" s="33">
        <v>0.51481999999999994</v>
      </c>
      <c r="Q1142" s="1">
        <v>0.55120000000000002</v>
      </c>
      <c r="R1142" s="1">
        <v>0.76910000000000001</v>
      </c>
      <c r="S1142" s="1">
        <v>0.52005000000000001</v>
      </c>
      <c r="T1142" s="1">
        <v>0.64195999999999998</v>
      </c>
      <c r="U1142" s="1">
        <v>0.82799999999999996</v>
      </c>
      <c r="V1142" s="1">
        <v>0.92300000000000004</v>
      </c>
    </row>
    <row r="1143" spans="12:22" x14ac:dyDescent="0.25">
      <c r="L1143" s="1">
        <v>154.1</v>
      </c>
      <c r="M1143" s="1">
        <v>0.52</v>
      </c>
      <c r="N1143" s="1">
        <v>0.64188000000000001</v>
      </c>
      <c r="O1143" s="1">
        <v>0.48880000000000001</v>
      </c>
      <c r="P1143" s="33">
        <v>0.51466000000000001</v>
      </c>
      <c r="Q1143" s="1">
        <v>0.55120000000000002</v>
      </c>
      <c r="R1143" s="1">
        <v>0.76910000000000001</v>
      </c>
      <c r="S1143" s="1">
        <v>0.52</v>
      </c>
      <c r="T1143" s="1">
        <v>0.64188000000000001</v>
      </c>
      <c r="U1143" s="1">
        <v>0.8276</v>
      </c>
      <c r="V1143" s="1">
        <v>0.92260000000000009</v>
      </c>
    </row>
    <row r="1144" spans="12:22" x14ac:dyDescent="0.25">
      <c r="L1144" s="1">
        <v>154.19999999999999</v>
      </c>
      <c r="M1144" s="1">
        <v>0.51990000000000003</v>
      </c>
      <c r="N1144" s="1">
        <v>0.64180999999999999</v>
      </c>
      <c r="O1144" s="1">
        <v>0.48870000000000002</v>
      </c>
      <c r="P1144" s="33">
        <v>0.51451999999999998</v>
      </c>
      <c r="Q1144" s="1">
        <v>0.55110000000000003</v>
      </c>
      <c r="R1144" s="1">
        <v>0.76910000000000001</v>
      </c>
      <c r="S1144" s="1">
        <v>0.51990000000000003</v>
      </c>
      <c r="T1144" s="1">
        <v>0.64180999999999999</v>
      </c>
      <c r="U1144" s="1">
        <v>0.82719999999999994</v>
      </c>
      <c r="V1144" s="1">
        <v>0.92220000000000002</v>
      </c>
    </row>
    <row r="1145" spans="12:22" x14ac:dyDescent="0.25">
      <c r="L1145" s="1">
        <v>154.30000000000001</v>
      </c>
      <c r="M1145" s="1">
        <v>0.51985000000000003</v>
      </c>
      <c r="N1145" s="1">
        <v>0.64173000000000002</v>
      </c>
      <c r="O1145" s="1">
        <v>0.48859999999999998</v>
      </c>
      <c r="P1145" s="33">
        <v>0.51436000000000004</v>
      </c>
      <c r="Q1145" s="1">
        <v>0.55110000000000003</v>
      </c>
      <c r="R1145" s="1">
        <v>0.76910000000000001</v>
      </c>
      <c r="S1145" s="1">
        <v>0.51985000000000003</v>
      </c>
      <c r="T1145" s="1">
        <v>0.64173000000000002</v>
      </c>
      <c r="U1145" s="1">
        <v>0.82699999999999996</v>
      </c>
      <c r="V1145" s="1">
        <v>0.92180000000000006</v>
      </c>
    </row>
    <row r="1146" spans="12:22" x14ac:dyDescent="0.25">
      <c r="L1146" s="1">
        <v>154.4</v>
      </c>
      <c r="M1146" s="1">
        <v>0.51975000000000005</v>
      </c>
      <c r="N1146" s="1">
        <v>0.64166000000000001</v>
      </c>
      <c r="O1146" s="1">
        <v>0.48849999999999999</v>
      </c>
      <c r="P1146" s="33">
        <v>0.51422000000000001</v>
      </c>
      <c r="Q1146" s="1">
        <v>0.55100000000000005</v>
      </c>
      <c r="R1146" s="1">
        <v>0.76910000000000001</v>
      </c>
      <c r="S1146" s="1">
        <v>0.51975000000000005</v>
      </c>
      <c r="T1146" s="1">
        <v>0.64166000000000001</v>
      </c>
      <c r="U1146" s="1">
        <v>0.82699999999999996</v>
      </c>
      <c r="V1146" s="1">
        <v>0.9214</v>
      </c>
    </row>
    <row r="1147" spans="12:22" x14ac:dyDescent="0.25">
      <c r="L1147" s="1">
        <v>154.5</v>
      </c>
      <c r="M1147" s="1">
        <v>0.51970000000000005</v>
      </c>
      <c r="N1147" s="1">
        <v>0.64158000000000004</v>
      </c>
      <c r="O1147" s="1">
        <v>0.4884</v>
      </c>
      <c r="P1147" s="33">
        <v>0.51406000000000007</v>
      </c>
      <c r="Q1147" s="1">
        <v>0.55100000000000005</v>
      </c>
      <c r="R1147" s="1">
        <v>0.76910000000000001</v>
      </c>
      <c r="S1147" s="1">
        <v>0.51970000000000005</v>
      </c>
      <c r="T1147" s="1">
        <v>0.64158000000000004</v>
      </c>
      <c r="U1147" s="1">
        <v>0.82699999999999996</v>
      </c>
      <c r="V1147" s="1">
        <v>0.92100000000000004</v>
      </c>
    </row>
    <row r="1148" spans="12:22" x14ac:dyDescent="0.25">
      <c r="L1148" s="1">
        <v>154.6</v>
      </c>
      <c r="M1148" s="1">
        <v>0.51959999999999995</v>
      </c>
      <c r="N1148" s="1">
        <v>0.64151000000000002</v>
      </c>
      <c r="O1148" s="1">
        <v>0.48830000000000001</v>
      </c>
      <c r="P1148" s="33">
        <v>0.51392000000000004</v>
      </c>
      <c r="Q1148" s="1">
        <v>0.55089999999999995</v>
      </c>
      <c r="R1148" s="1">
        <v>0.76910000000000001</v>
      </c>
      <c r="S1148" s="1">
        <v>0.51959999999999995</v>
      </c>
      <c r="T1148" s="1">
        <v>0.64151000000000002</v>
      </c>
      <c r="U1148" s="1">
        <v>0.82699999999999996</v>
      </c>
      <c r="V1148" s="1">
        <v>0.92060000000000008</v>
      </c>
    </row>
    <row r="1149" spans="12:22" x14ac:dyDescent="0.25">
      <c r="L1149" s="1">
        <v>154.69999999999999</v>
      </c>
      <c r="M1149" s="1">
        <v>0.51954999999999996</v>
      </c>
      <c r="N1149" s="1">
        <v>0.64142999999999994</v>
      </c>
      <c r="O1149" s="1">
        <v>0.48820000000000002</v>
      </c>
      <c r="P1149" s="33">
        <v>0.51375999999999988</v>
      </c>
      <c r="Q1149" s="1">
        <v>0.55089999999999995</v>
      </c>
      <c r="R1149" s="1">
        <v>0.76910000000000001</v>
      </c>
      <c r="S1149" s="1">
        <v>0.51954999999999996</v>
      </c>
      <c r="T1149" s="1">
        <v>0.64142999999999994</v>
      </c>
      <c r="U1149" s="1">
        <v>0.82699999999999996</v>
      </c>
      <c r="V1149" s="1">
        <v>0.92020000000000002</v>
      </c>
    </row>
    <row r="1150" spans="12:22" x14ac:dyDescent="0.25">
      <c r="L1150" s="1">
        <v>154.80000000000001</v>
      </c>
      <c r="M1150" s="1">
        <v>0.51944999999999997</v>
      </c>
      <c r="N1150" s="1">
        <v>0.64136000000000004</v>
      </c>
      <c r="O1150" s="1">
        <v>0.48809999999999998</v>
      </c>
      <c r="P1150" s="33">
        <v>0.51362000000000008</v>
      </c>
      <c r="Q1150" s="1">
        <v>0.55079999999999996</v>
      </c>
      <c r="R1150" s="1">
        <v>0.76910000000000001</v>
      </c>
      <c r="S1150" s="1">
        <v>0.51944999999999997</v>
      </c>
      <c r="T1150" s="1">
        <v>0.64136000000000004</v>
      </c>
      <c r="U1150" s="1">
        <v>0.82699999999999996</v>
      </c>
      <c r="V1150" s="1">
        <v>0.91980000000000006</v>
      </c>
    </row>
    <row r="1151" spans="12:22" x14ac:dyDescent="0.25">
      <c r="L1151" s="1">
        <v>154.9</v>
      </c>
      <c r="M1151" s="1">
        <v>0.51990000000000003</v>
      </c>
      <c r="N1151" s="1">
        <v>0.64127999999999996</v>
      </c>
      <c r="O1151" s="1">
        <v>0.48899999999999999</v>
      </c>
      <c r="P1151" s="33">
        <v>0.51345999999999992</v>
      </c>
      <c r="Q1151" s="1">
        <v>0.55079999999999996</v>
      </c>
      <c r="R1151" s="1">
        <v>0.76910000000000001</v>
      </c>
      <c r="S1151" s="1">
        <v>0.51990000000000003</v>
      </c>
      <c r="T1151" s="1">
        <v>0.64127999999999996</v>
      </c>
      <c r="U1151" s="1">
        <v>0.82699999999999996</v>
      </c>
      <c r="V1151" s="1">
        <v>0.9194</v>
      </c>
    </row>
    <row r="1152" spans="12:22" x14ac:dyDescent="0.25">
      <c r="L1152" s="1">
        <v>155</v>
      </c>
      <c r="M1152" s="1">
        <v>0.51929999999999998</v>
      </c>
      <c r="N1152" s="1">
        <v>0.64120999999999995</v>
      </c>
      <c r="O1152" s="1">
        <v>0.4879</v>
      </c>
      <c r="P1152" s="33">
        <v>0.51331999999999989</v>
      </c>
      <c r="Q1152" s="1">
        <v>0.55069999999999997</v>
      </c>
      <c r="R1152" s="1">
        <v>0.76910000000000001</v>
      </c>
      <c r="S1152" s="1">
        <v>0.51929999999999998</v>
      </c>
      <c r="T1152" s="1">
        <v>0.64120999999999995</v>
      </c>
      <c r="U1152" s="1">
        <v>0.82699999999999996</v>
      </c>
      <c r="V1152" s="1">
        <v>0.91900000000000004</v>
      </c>
    </row>
    <row r="1153" spans="12:22" x14ac:dyDescent="0.25">
      <c r="L1153" s="1">
        <v>155.1</v>
      </c>
      <c r="M1153" s="1">
        <v>0.51924999999999999</v>
      </c>
      <c r="N1153" s="1">
        <v>0.64114000000000004</v>
      </c>
      <c r="O1153" s="1">
        <v>0.48780000000000001</v>
      </c>
      <c r="P1153" s="33">
        <v>0.51318000000000008</v>
      </c>
      <c r="Q1153" s="1">
        <v>0.55069999999999997</v>
      </c>
      <c r="R1153" s="1">
        <v>0.76910000000000001</v>
      </c>
      <c r="S1153" s="1">
        <v>0.51924999999999999</v>
      </c>
      <c r="T1153" s="1">
        <v>0.64114000000000004</v>
      </c>
      <c r="U1153" s="1">
        <v>0.82699999999999996</v>
      </c>
      <c r="V1153" s="1">
        <v>0.91860000000000008</v>
      </c>
    </row>
    <row r="1154" spans="12:22" x14ac:dyDescent="0.25">
      <c r="L1154" s="1">
        <v>155.19999999999999</v>
      </c>
      <c r="M1154" s="1">
        <v>0.51915</v>
      </c>
      <c r="N1154" s="1">
        <v>0.64107000000000003</v>
      </c>
      <c r="O1154" s="1">
        <v>0.48770000000000002</v>
      </c>
      <c r="P1154" s="33">
        <v>0.51304000000000005</v>
      </c>
      <c r="Q1154" s="1">
        <v>0.55059999999999998</v>
      </c>
      <c r="R1154" s="1">
        <v>0.76910000000000001</v>
      </c>
      <c r="S1154" s="1">
        <v>0.51915</v>
      </c>
      <c r="T1154" s="1">
        <v>0.64107000000000003</v>
      </c>
      <c r="U1154" s="1">
        <v>0.82699999999999996</v>
      </c>
      <c r="V1154" s="1">
        <v>0.91820000000000002</v>
      </c>
    </row>
    <row r="1155" spans="12:22" x14ac:dyDescent="0.25">
      <c r="L1155" s="1">
        <v>155.30000000000001</v>
      </c>
      <c r="M1155" s="1">
        <v>0.51910000000000001</v>
      </c>
      <c r="N1155" s="1">
        <v>0.64100000000000001</v>
      </c>
      <c r="O1155" s="1">
        <v>0.48759999999999998</v>
      </c>
      <c r="P1155" s="33">
        <v>0.51290000000000002</v>
      </c>
      <c r="Q1155" s="1">
        <v>0.55059999999999998</v>
      </c>
      <c r="R1155" s="1">
        <v>0.76910000000000001</v>
      </c>
      <c r="S1155" s="1">
        <v>0.51910000000000001</v>
      </c>
      <c r="T1155" s="1">
        <v>0.64100000000000001</v>
      </c>
      <c r="U1155" s="1">
        <v>0.82699999999999996</v>
      </c>
      <c r="V1155" s="1">
        <v>0.91780000000000006</v>
      </c>
    </row>
    <row r="1156" spans="12:22" x14ac:dyDescent="0.25">
      <c r="L1156" s="1">
        <v>155.4</v>
      </c>
      <c r="M1156" s="1">
        <v>0.51900000000000002</v>
      </c>
      <c r="N1156" s="1">
        <v>0.64093</v>
      </c>
      <c r="O1156" s="1">
        <v>0.48749999999999999</v>
      </c>
      <c r="P1156" s="33">
        <v>0.51275999999999999</v>
      </c>
      <c r="Q1156" s="1">
        <v>0.55049999999999999</v>
      </c>
      <c r="R1156" s="1">
        <v>0.76910000000000001</v>
      </c>
      <c r="S1156" s="1">
        <v>0.51900000000000002</v>
      </c>
      <c r="T1156" s="1">
        <v>0.64093</v>
      </c>
      <c r="U1156" s="1">
        <v>0.82699999999999996</v>
      </c>
      <c r="V1156" s="1">
        <v>0.91739999999999999</v>
      </c>
    </row>
    <row r="1157" spans="12:22" x14ac:dyDescent="0.25">
      <c r="L1157" s="1">
        <v>155.5</v>
      </c>
      <c r="M1157" s="1">
        <v>0.51895000000000002</v>
      </c>
      <c r="N1157" s="1">
        <v>0.64085999999999999</v>
      </c>
      <c r="O1157" s="1">
        <v>0.4874</v>
      </c>
      <c r="P1157" s="33">
        <v>0.51261999999999996</v>
      </c>
      <c r="Q1157" s="1">
        <v>0.55049999999999999</v>
      </c>
      <c r="R1157" s="1">
        <v>0.76910000000000001</v>
      </c>
      <c r="S1157" s="1">
        <v>0.51895000000000002</v>
      </c>
      <c r="T1157" s="1">
        <v>0.64085999999999999</v>
      </c>
      <c r="U1157" s="1">
        <v>0.82699999999999996</v>
      </c>
      <c r="V1157" s="1">
        <v>0.91700000000000004</v>
      </c>
    </row>
    <row r="1158" spans="12:22" x14ac:dyDescent="0.25">
      <c r="L1158" s="1">
        <v>155.6</v>
      </c>
      <c r="M1158" s="1">
        <v>0.51890000000000003</v>
      </c>
      <c r="N1158" s="1">
        <v>0.64078999999999997</v>
      </c>
      <c r="O1158" s="1">
        <v>0.4874</v>
      </c>
      <c r="P1158" s="33">
        <v>0.51247999999999994</v>
      </c>
      <c r="Q1158" s="1">
        <v>0.5504</v>
      </c>
      <c r="R1158" s="1">
        <v>0.76910000000000001</v>
      </c>
      <c r="S1158" s="1">
        <v>0.51890000000000003</v>
      </c>
      <c r="T1158" s="1">
        <v>0.64078999999999997</v>
      </c>
      <c r="U1158" s="1">
        <v>0.8266</v>
      </c>
      <c r="V1158" s="1">
        <v>0.91660000000000008</v>
      </c>
    </row>
    <row r="1159" spans="12:22" x14ac:dyDescent="0.25">
      <c r="L1159" s="1">
        <v>155.69999999999999</v>
      </c>
      <c r="M1159" s="1">
        <v>0.51885000000000003</v>
      </c>
      <c r="N1159" s="1">
        <v>0.64071</v>
      </c>
      <c r="O1159" s="1">
        <v>0.48730000000000001</v>
      </c>
      <c r="P1159" s="33">
        <v>0.51232</v>
      </c>
      <c r="Q1159" s="1">
        <v>0.5504</v>
      </c>
      <c r="R1159" s="1">
        <v>0.76910000000000001</v>
      </c>
      <c r="S1159" s="1">
        <v>0.51885000000000003</v>
      </c>
      <c r="T1159" s="1">
        <v>0.64071</v>
      </c>
      <c r="U1159" s="1">
        <v>0.82619999999999993</v>
      </c>
      <c r="V1159" s="1">
        <v>0.91620000000000001</v>
      </c>
    </row>
    <row r="1160" spans="12:22" x14ac:dyDescent="0.25">
      <c r="L1160" s="1">
        <v>155.80000000000001</v>
      </c>
      <c r="M1160" s="1">
        <v>0.51875000000000004</v>
      </c>
      <c r="N1160" s="1">
        <v>0.64065000000000005</v>
      </c>
      <c r="O1160" s="1">
        <v>0.48720000000000002</v>
      </c>
      <c r="P1160" s="33">
        <v>0.5122000000000001</v>
      </c>
      <c r="Q1160" s="1">
        <v>0.55030000000000001</v>
      </c>
      <c r="R1160" s="1">
        <v>0.76910000000000001</v>
      </c>
      <c r="S1160" s="1">
        <v>0.51875000000000004</v>
      </c>
      <c r="T1160" s="1">
        <v>0.64065000000000005</v>
      </c>
      <c r="U1160" s="1">
        <v>0.82599999999999996</v>
      </c>
      <c r="V1160" s="1">
        <v>0.91580000000000006</v>
      </c>
    </row>
    <row r="1161" spans="12:22" x14ac:dyDescent="0.25">
      <c r="L1161" s="1">
        <v>155.9</v>
      </c>
      <c r="M1161" s="1">
        <v>0.51915</v>
      </c>
      <c r="N1161" s="1">
        <v>0.64058000000000004</v>
      </c>
      <c r="O1161" s="1">
        <v>0.48799999999999999</v>
      </c>
      <c r="P1161" s="33">
        <v>0.51206000000000007</v>
      </c>
      <c r="Q1161" s="1">
        <v>0.55030000000000001</v>
      </c>
      <c r="R1161" s="1">
        <v>0.76910000000000001</v>
      </c>
      <c r="S1161" s="1">
        <v>0.51915</v>
      </c>
      <c r="T1161" s="1">
        <v>0.64058000000000004</v>
      </c>
      <c r="U1161" s="1">
        <v>0.82599999999999996</v>
      </c>
      <c r="V1161" s="1">
        <v>0.91539999999999999</v>
      </c>
    </row>
    <row r="1162" spans="12:22" x14ac:dyDescent="0.25">
      <c r="L1162" s="1">
        <v>156</v>
      </c>
      <c r="M1162" s="1">
        <v>0.51859999999999995</v>
      </c>
      <c r="N1162" s="1">
        <v>0.64051000000000002</v>
      </c>
      <c r="O1162" s="1">
        <v>0.48699999999999999</v>
      </c>
      <c r="P1162" s="33">
        <v>0.51192000000000004</v>
      </c>
      <c r="Q1162" s="1">
        <v>0.55020000000000002</v>
      </c>
      <c r="R1162" s="1">
        <v>0.76910000000000001</v>
      </c>
      <c r="S1162" s="1">
        <v>0.51859999999999995</v>
      </c>
      <c r="T1162" s="1">
        <v>0.64051000000000002</v>
      </c>
      <c r="U1162" s="1">
        <v>0.82599999999999996</v>
      </c>
      <c r="V1162" s="1">
        <v>0.91500000000000004</v>
      </c>
    </row>
    <row r="1163" spans="12:22" x14ac:dyDescent="0.25">
      <c r="L1163" s="1">
        <v>156.1</v>
      </c>
      <c r="M1163" s="1">
        <v>0.51855000000000007</v>
      </c>
      <c r="N1163" s="1">
        <v>0.64044000000000001</v>
      </c>
      <c r="O1163" s="1">
        <v>0.4869</v>
      </c>
      <c r="P1163" s="33">
        <v>0.51178000000000001</v>
      </c>
      <c r="Q1163" s="1">
        <v>0.55020000000000002</v>
      </c>
      <c r="R1163" s="1">
        <v>0.76910000000000001</v>
      </c>
      <c r="S1163" s="1">
        <v>0.51855000000000007</v>
      </c>
      <c r="T1163" s="1">
        <v>0.64044000000000001</v>
      </c>
      <c r="U1163" s="1">
        <v>0.82599999999999996</v>
      </c>
      <c r="V1163" s="1">
        <v>0.91460000000000008</v>
      </c>
    </row>
    <row r="1164" spans="12:22" x14ac:dyDescent="0.25">
      <c r="L1164" s="1">
        <v>156.19999999999999</v>
      </c>
      <c r="M1164" s="1">
        <v>0.51845000000000008</v>
      </c>
      <c r="N1164" s="1">
        <v>0.64036999999999999</v>
      </c>
      <c r="O1164" s="1">
        <v>0.48680000000000001</v>
      </c>
      <c r="P1164" s="33">
        <v>0.51163999999999998</v>
      </c>
      <c r="Q1164" s="1">
        <v>0.55010000000000003</v>
      </c>
      <c r="R1164" s="1">
        <v>0.76910000000000001</v>
      </c>
      <c r="S1164" s="1">
        <v>0.51845000000000008</v>
      </c>
      <c r="T1164" s="1">
        <v>0.64036999999999999</v>
      </c>
      <c r="U1164" s="1">
        <v>0.82599999999999996</v>
      </c>
      <c r="V1164" s="1">
        <v>0.91420000000000001</v>
      </c>
    </row>
    <row r="1165" spans="12:22" x14ac:dyDescent="0.25">
      <c r="L1165" s="1">
        <v>156.30000000000001</v>
      </c>
      <c r="M1165" s="1">
        <v>0.51845000000000008</v>
      </c>
      <c r="N1165" s="1">
        <v>0.64029999999999998</v>
      </c>
      <c r="O1165" s="1">
        <v>0.48680000000000001</v>
      </c>
      <c r="P1165" s="33">
        <v>0.51149999999999995</v>
      </c>
      <c r="Q1165" s="1">
        <v>0.55010000000000003</v>
      </c>
      <c r="R1165" s="1">
        <v>0.76910000000000001</v>
      </c>
      <c r="S1165" s="1">
        <v>0.51845000000000008</v>
      </c>
      <c r="T1165" s="1">
        <v>0.64029999999999998</v>
      </c>
      <c r="U1165" s="1">
        <v>0.82599999999999996</v>
      </c>
      <c r="V1165" s="1">
        <v>0.91380000000000006</v>
      </c>
    </row>
    <row r="1166" spans="12:22" x14ac:dyDescent="0.25">
      <c r="L1166" s="1">
        <v>156.4</v>
      </c>
      <c r="M1166" s="1">
        <v>0.51835000000000009</v>
      </c>
      <c r="N1166" s="1">
        <v>0.64022999999999997</v>
      </c>
      <c r="O1166" s="1">
        <v>0.48670000000000002</v>
      </c>
      <c r="P1166" s="33">
        <v>0.51135999999999993</v>
      </c>
      <c r="Q1166" s="1">
        <v>0.55000000000000004</v>
      </c>
      <c r="R1166" s="1">
        <v>0.76910000000000001</v>
      </c>
      <c r="S1166" s="1">
        <v>0.51835000000000009</v>
      </c>
      <c r="T1166" s="1">
        <v>0.64022999999999997</v>
      </c>
      <c r="U1166" s="1">
        <v>0.82599999999999996</v>
      </c>
      <c r="V1166" s="1">
        <v>0.91339999999999999</v>
      </c>
    </row>
    <row r="1167" spans="12:22" x14ac:dyDescent="0.25">
      <c r="L1167" s="1">
        <v>156.5</v>
      </c>
      <c r="M1167" s="1">
        <v>0.51829999999999998</v>
      </c>
      <c r="N1167" s="1">
        <v>0.64015999999999995</v>
      </c>
      <c r="O1167" s="1">
        <v>0.48659999999999998</v>
      </c>
      <c r="P1167" s="33">
        <v>0.5112199999999999</v>
      </c>
      <c r="Q1167" s="1">
        <v>0.55000000000000004</v>
      </c>
      <c r="R1167" s="1">
        <v>0.76910000000000001</v>
      </c>
      <c r="S1167" s="1">
        <v>0.51829999999999998</v>
      </c>
      <c r="T1167" s="1">
        <v>0.64015999999999995</v>
      </c>
      <c r="U1167" s="1">
        <v>0.82599999999999996</v>
      </c>
      <c r="V1167" s="1">
        <v>0.91300000000000003</v>
      </c>
    </row>
    <row r="1168" spans="12:22" x14ac:dyDescent="0.25">
      <c r="L1168" s="1">
        <v>156.6</v>
      </c>
      <c r="M1168" s="1">
        <v>0.51819999999999999</v>
      </c>
      <c r="N1168" s="1">
        <v>0.64009000000000005</v>
      </c>
      <c r="O1168" s="1">
        <v>0.48649999999999999</v>
      </c>
      <c r="P1168" s="33">
        <v>0.51108000000000009</v>
      </c>
      <c r="Q1168" s="1">
        <v>0.54990000000000006</v>
      </c>
      <c r="R1168" s="1">
        <v>0.76910000000000001</v>
      </c>
      <c r="S1168" s="1">
        <v>0.51819999999999999</v>
      </c>
      <c r="T1168" s="1">
        <v>0.64009000000000005</v>
      </c>
      <c r="U1168" s="1">
        <v>0.82599999999999996</v>
      </c>
      <c r="V1168" s="1">
        <v>0.91260000000000008</v>
      </c>
    </row>
    <row r="1169" spans="12:22" x14ac:dyDescent="0.25">
      <c r="L1169" s="1">
        <v>156.69999999999999</v>
      </c>
      <c r="M1169" s="1">
        <v>0.51815</v>
      </c>
      <c r="N1169" s="1">
        <v>0.64002000000000003</v>
      </c>
      <c r="O1169" s="1">
        <v>0.4864</v>
      </c>
      <c r="P1169" s="33">
        <v>0.51094000000000006</v>
      </c>
      <c r="Q1169" s="1">
        <v>0.54990000000000006</v>
      </c>
      <c r="R1169" s="1">
        <v>0.76910000000000001</v>
      </c>
      <c r="S1169" s="1">
        <v>0.51815</v>
      </c>
      <c r="T1169" s="1">
        <v>0.64002000000000003</v>
      </c>
      <c r="U1169" s="1">
        <v>0.82599999999999996</v>
      </c>
      <c r="V1169" s="1">
        <v>0.91220000000000001</v>
      </c>
    </row>
    <row r="1170" spans="12:22" x14ac:dyDescent="0.25">
      <c r="L1170" s="1">
        <v>156.80000000000001</v>
      </c>
      <c r="M1170" s="1">
        <v>0.51805000000000001</v>
      </c>
      <c r="N1170" s="1">
        <v>0.63995000000000002</v>
      </c>
      <c r="O1170" s="1">
        <v>0.48630000000000001</v>
      </c>
      <c r="P1170" s="33">
        <v>0.51080000000000003</v>
      </c>
      <c r="Q1170" s="1">
        <v>0.54979999999999996</v>
      </c>
      <c r="R1170" s="1">
        <v>0.76910000000000001</v>
      </c>
      <c r="S1170" s="1">
        <v>0.51805000000000001</v>
      </c>
      <c r="T1170" s="1">
        <v>0.63995000000000002</v>
      </c>
      <c r="U1170" s="1">
        <v>0.82599999999999996</v>
      </c>
      <c r="V1170" s="1">
        <v>0.91180000000000005</v>
      </c>
    </row>
    <row r="1171" spans="12:22" x14ac:dyDescent="0.25">
      <c r="L1171" s="1">
        <v>156.9</v>
      </c>
      <c r="M1171" s="1">
        <v>0.51844999999999997</v>
      </c>
      <c r="N1171" s="1">
        <v>0.63988</v>
      </c>
      <c r="O1171" s="1">
        <v>0.48709999999999998</v>
      </c>
      <c r="P1171" s="33">
        <v>0.51066</v>
      </c>
      <c r="Q1171" s="1">
        <v>0.54979999999999996</v>
      </c>
      <c r="R1171" s="1">
        <v>0.76910000000000001</v>
      </c>
      <c r="S1171" s="1">
        <v>0.51844999999999997</v>
      </c>
      <c r="T1171" s="1">
        <v>0.63988</v>
      </c>
      <c r="U1171" s="1">
        <v>0.82599999999999996</v>
      </c>
      <c r="V1171" s="1">
        <v>0.91139999999999999</v>
      </c>
    </row>
    <row r="1172" spans="12:22" x14ac:dyDescent="0.25">
      <c r="L1172" s="1">
        <v>157</v>
      </c>
      <c r="M1172" s="1">
        <v>0.51790000000000003</v>
      </c>
      <c r="N1172" s="1">
        <v>0.63980999999999999</v>
      </c>
      <c r="O1172" s="1">
        <v>0.48609999999999998</v>
      </c>
      <c r="P1172" s="33">
        <v>0.51051999999999997</v>
      </c>
      <c r="Q1172" s="1">
        <v>0.54969999999999997</v>
      </c>
      <c r="R1172" s="1">
        <v>0.76910000000000001</v>
      </c>
      <c r="S1172" s="1">
        <v>0.51790000000000003</v>
      </c>
      <c r="T1172" s="1">
        <v>0.63980999999999999</v>
      </c>
      <c r="U1172" s="1">
        <v>0.82599999999999996</v>
      </c>
      <c r="V1172" s="1">
        <v>0.91100000000000003</v>
      </c>
    </row>
    <row r="1173" spans="12:22" x14ac:dyDescent="0.25">
      <c r="L1173" s="1">
        <v>157.1</v>
      </c>
      <c r="M1173" s="1">
        <v>0.51784999999999992</v>
      </c>
      <c r="N1173" s="1">
        <v>0.63973999999999998</v>
      </c>
      <c r="O1173" s="1">
        <v>0.48599999999999999</v>
      </c>
      <c r="P1173" s="33">
        <v>0.51037999999999994</v>
      </c>
      <c r="Q1173" s="1">
        <v>0.54969999999999997</v>
      </c>
      <c r="R1173" s="1">
        <v>0.76910000000000001</v>
      </c>
      <c r="S1173" s="1">
        <v>0.51784999999999992</v>
      </c>
      <c r="T1173" s="1">
        <v>0.63973999999999998</v>
      </c>
      <c r="U1173" s="1">
        <v>0.8256</v>
      </c>
      <c r="V1173" s="1">
        <v>0.91060000000000008</v>
      </c>
    </row>
    <row r="1174" spans="12:22" x14ac:dyDescent="0.25">
      <c r="L1174" s="1">
        <v>157.19999999999999</v>
      </c>
      <c r="M1174" s="1">
        <v>0.51774999999999993</v>
      </c>
      <c r="N1174" s="1">
        <v>0.63966999999999996</v>
      </c>
      <c r="O1174" s="1">
        <v>0.4859</v>
      </c>
      <c r="P1174" s="33">
        <v>0.51023999999999992</v>
      </c>
      <c r="Q1174" s="1">
        <v>0.54959999999999998</v>
      </c>
      <c r="R1174" s="1">
        <v>0.76910000000000001</v>
      </c>
      <c r="S1174" s="1">
        <v>0.51774999999999993</v>
      </c>
      <c r="T1174" s="1">
        <v>0.63966999999999996</v>
      </c>
      <c r="U1174" s="1">
        <v>0.82519999999999993</v>
      </c>
      <c r="V1174" s="1">
        <v>0.91020000000000001</v>
      </c>
    </row>
    <row r="1175" spans="12:22" x14ac:dyDescent="0.25">
      <c r="L1175" s="1">
        <v>157.30000000000001</v>
      </c>
      <c r="M1175" s="1">
        <v>0.51774999999999993</v>
      </c>
      <c r="N1175" s="1">
        <v>0.63959999999999995</v>
      </c>
      <c r="O1175" s="1">
        <v>0.4859</v>
      </c>
      <c r="P1175" s="33">
        <v>0.51009999999999989</v>
      </c>
      <c r="Q1175" s="1">
        <v>0.54959999999999998</v>
      </c>
      <c r="R1175" s="1">
        <v>0.76910000000000001</v>
      </c>
      <c r="S1175" s="1">
        <v>0.51774999999999993</v>
      </c>
      <c r="T1175" s="1">
        <v>0.63959999999999995</v>
      </c>
      <c r="U1175" s="1">
        <v>0.82499999999999996</v>
      </c>
      <c r="V1175" s="1">
        <v>0.90980000000000005</v>
      </c>
    </row>
    <row r="1176" spans="12:22" x14ac:dyDescent="0.25">
      <c r="L1176" s="1">
        <v>157.4</v>
      </c>
      <c r="M1176" s="1">
        <v>0.51764999999999994</v>
      </c>
      <c r="N1176" s="1">
        <v>0.63953000000000004</v>
      </c>
      <c r="O1176" s="1">
        <v>0.48580000000000001</v>
      </c>
      <c r="P1176" s="33">
        <v>0.50996000000000008</v>
      </c>
      <c r="Q1176" s="1">
        <v>0.54949999999999999</v>
      </c>
      <c r="R1176" s="1">
        <v>0.76910000000000001</v>
      </c>
      <c r="S1176" s="1">
        <v>0.51764999999999994</v>
      </c>
      <c r="T1176" s="1">
        <v>0.63953000000000004</v>
      </c>
      <c r="U1176" s="1">
        <v>0.82499999999999996</v>
      </c>
      <c r="V1176" s="1">
        <v>0.90939999999999999</v>
      </c>
    </row>
    <row r="1177" spans="12:22" x14ac:dyDescent="0.25">
      <c r="L1177" s="1">
        <v>157.5</v>
      </c>
      <c r="M1177" s="1">
        <v>0.51760000000000006</v>
      </c>
      <c r="N1177" s="1">
        <v>0.63946000000000003</v>
      </c>
      <c r="O1177" s="1">
        <v>0.48570000000000002</v>
      </c>
      <c r="P1177" s="33">
        <v>0.50982000000000005</v>
      </c>
      <c r="Q1177" s="1">
        <v>0.54949999999999999</v>
      </c>
      <c r="R1177" s="1">
        <v>0.76910000000000001</v>
      </c>
      <c r="S1177" s="1">
        <v>0.51760000000000006</v>
      </c>
      <c r="T1177" s="1">
        <v>0.63946000000000003</v>
      </c>
      <c r="U1177" s="1">
        <v>0.82499999999999996</v>
      </c>
      <c r="V1177" s="1">
        <v>0.90900000000000003</v>
      </c>
    </row>
    <row r="1178" spans="12:22" x14ac:dyDescent="0.25">
      <c r="L1178" s="1">
        <v>157.6</v>
      </c>
      <c r="M1178" s="1">
        <v>0.51749999999999996</v>
      </c>
      <c r="N1178" s="1">
        <v>0.63939000000000001</v>
      </c>
      <c r="O1178" s="1">
        <v>0.48559999999999998</v>
      </c>
      <c r="P1178" s="33">
        <v>0.50968000000000002</v>
      </c>
      <c r="Q1178" s="1">
        <v>0.5494</v>
      </c>
      <c r="R1178" s="1">
        <v>0.76910000000000001</v>
      </c>
      <c r="S1178" s="1">
        <v>0.51749999999999996</v>
      </c>
      <c r="T1178" s="1">
        <v>0.63939000000000001</v>
      </c>
      <c r="U1178" s="1">
        <v>0.82499999999999996</v>
      </c>
      <c r="V1178" s="1">
        <v>0.90880000000000005</v>
      </c>
    </row>
    <row r="1179" spans="12:22" x14ac:dyDescent="0.25">
      <c r="L1179" s="1">
        <v>157.69999999999999</v>
      </c>
      <c r="M1179" s="1">
        <v>0.51744999999999997</v>
      </c>
      <c r="N1179" s="1">
        <v>0.63932</v>
      </c>
      <c r="O1179" s="1">
        <v>0.48549999999999999</v>
      </c>
      <c r="P1179" s="33">
        <v>0.50953999999999999</v>
      </c>
      <c r="Q1179" s="1">
        <v>0.5494</v>
      </c>
      <c r="R1179" s="1">
        <v>0.76910000000000001</v>
      </c>
      <c r="S1179" s="1">
        <v>0.51744999999999997</v>
      </c>
      <c r="T1179" s="1">
        <v>0.63932</v>
      </c>
      <c r="U1179" s="1">
        <v>0.82499999999999996</v>
      </c>
      <c r="V1179" s="1">
        <v>0.90860000000000007</v>
      </c>
    </row>
    <row r="1180" spans="12:22" x14ac:dyDescent="0.25">
      <c r="L1180" s="1">
        <v>157.80000000000001</v>
      </c>
      <c r="M1180" s="1">
        <v>0.51734999999999998</v>
      </c>
      <c r="N1180" s="1">
        <v>0.63924999999999998</v>
      </c>
      <c r="O1180" s="1">
        <v>0.4854</v>
      </c>
      <c r="P1180" s="33">
        <v>0.50939999999999996</v>
      </c>
      <c r="Q1180" s="1">
        <v>0.54930000000000001</v>
      </c>
      <c r="R1180" s="1">
        <v>0.76910000000000001</v>
      </c>
      <c r="S1180" s="1">
        <v>0.51734999999999998</v>
      </c>
      <c r="T1180" s="1">
        <v>0.63924999999999998</v>
      </c>
      <c r="U1180" s="1">
        <v>0.82499999999999996</v>
      </c>
      <c r="V1180" s="1">
        <v>0.90839999999999999</v>
      </c>
    </row>
    <row r="1181" spans="12:22" x14ac:dyDescent="0.25">
      <c r="L1181" s="1">
        <v>157.9</v>
      </c>
      <c r="M1181" s="1">
        <v>0.51775000000000004</v>
      </c>
      <c r="N1181" s="1">
        <v>0.63917999999999997</v>
      </c>
      <c r="O1181" s="1">
        <v>0.48620000000000002</v>
      </c>
      <c r="P1181" s="33">
        <v>0.50925999999999993</v>
      </c>
      <c r="Q1181" s="1">
        <v>0.54930000000000001</v>
      </c>
      <c r="R1181" s="1">
        <v>0.76910000000000001</v>
      </c>
      <c r="S1181" s="1">
        <v>0.51775000000000004</v>
      </c>
      <c r="T1181" s="1">
        <v>0.63917999999999997</v>
      </c>
      <c r="U1181" s="1">
        <v>0.82499999999999996</v>
      </c>
      <c r="V1181" s="1">
        <v>0.90820000000000001</v>
      </c>
    </row>
    <row r="1182" spans="12:22" x14ac:dyDescent="0.25">
      <c r="L1182" s="1">
        <v>158</v>
      </c>
      <c r="M1182" s="1">
        <v>0.51719999999999999</v>
      </c>
      <c r="N1182" s="1">
        <v>0.63910999999999996</v>
      </c>
      <c r="O1182" s="1">
        <v>0.48520000000000002</v>
      </c>
      <c r="P1182" s="33">
        <v>0.50911999999999991</v>
      </c>
      <c r="Q1182" s="1">
        <v>0.54920000000000002</v>
      </c>
      <c r="R1182" s="1">
        <v>0.76910000000000001</v>
      </c>
      <c r="S1182" s="1">
        <v>0.51719999999999999</v>
      </c>
      <c r="T1182" s="1">
        <v>0.63910999999999996</v>
      </c>
      <c r="U1182" s="1">
        <v>0.82499999999999996</v>
      </c>
      <c r="V1182" s="1">
        <v>0.90800000000000003</v>
      </c>
    </row>
    <row r="1183" spans="12:22" x14ac:dyDescent="0.25">
      <c r="L1183" s="1">
        <v>158.1</v>
      </c>
      <c r="M1183" s="1">
        <v>0.51715</v>
      </c>
      <c r="N1183" s="1">
        <v>0.63904000000000005</v>
      </c>
      <c r="O1183" s="1">
        <v>0.48509999999999998</v>
      </c>
      <c r="P1183" s="33">
        <v>0.5089800000000001</v>
      </c>
      <c r="Q1183" s="1">
        <v>0.54920000000000002</v>
      </c>
      <c r="R1183" s="1">
        <v>0.76910000000000001</v>
      </c>
      <c r="S1183" s="1">
        <v>0.51715</v>
      </c>
      <c r="T1183" s="1">
        <v>0.63904000000000005</v>
      </c>
      <c r="U1183" s="1">
        <v>0.82499999999999996</v>
      </c>
      <c r="V1183" s="1">
        <v>0.90760000000000007</v>
      </c>
    </row>
    <row r="1184" spans="12:22" x14ac:dyDescent="0.25">
      <c r="L1184" s="1">
        <v>158.19999999999999</v>
      </c>
      <c r="M1184" s="1">
        <v>0.51705000000000001</v>
      </c>
      <c r="N1184" s="1">
        <v>0.63897000000000004</v>
      </c>
      <c r="O1184" s="1">
        <v>0.48499999999999999</v>
      </c>
      <c r="P1184" s="33">
        <v>0.50884000000000007</v>
      </c>
      <c r="Q1184" s="1">
        <v>0.54910000000000003</v>
      </c>
      <c r="R1184" s="1">
        <v>0.76910000000000001</v>
      </c>
      <c r="S1184" s="1">
        <v>0.51705000000000001</v>
      </c>
      <c r="T1184" s="1">
        <v>0.63897000000000004</v>
      </c>
      <c r="U1184" s="1">
        <v>0.82499999999999996</v>
      </c>
      <c r="V1184" s="1">
        <v>0.90720000000000001</v>
      </c>
    </row>
    <row r="1185" spans="12:22" x14ac:dyDescent="0.25">
      <c r="L1185" s="1">
        <v>158.30000000000001</v>
      </c>
      <c r="M1185" s="1">
        <v>0.51705000000000001</v>
      </c>
      <c r="N1185" s="1">
        <v>0.63890000000000002</v>
      </c>
      <c r="O1185" s="1">
        <v>0.48499999999999999</v>
      </c>
      <c r="P1185" s="33">
        <v>0.50870000000000004</v>
      </c>
      <c r="Q1185" s="1">
        <v>0.54910000000000003</v>
      </c>
      <c r="R1185" s="1">
        <v>0.76910000000000001</v>
      </c>
      <c r="S1185" s="1">
        <v>0.51705000000000001</v>
      </c>
      <c r="T1185" s="1">
        <v>0.63890000000000002</v>
      </c>
      <c r="U1185" s="1">
        <v>0.82499999999999996</v>
      </c>
      <c r="V1185" s="1">
        <v>0.90680000000000005</v>
      </c>
    </row>
    <row r="1186" spans="12:22" x14ac:dyDescent="0.25">
      <c r="L1186" s="1">
        <v>158.4</v>
      </c>
      <c r="M1186" s="1">
        <v>0.51695000000000002</v>
      </c>
      <c r="N1186" s="1">
        <v>0.63883000000000001</v>
      </c>
      <c r="O1186" s="1">
        <v>0.4849</v>
      </c>
      <c r="P1186" s="33">
        <v>0.50856000000000001</v>
      </c>
      <c r="Q1186" s="1">
        <v>0.54900000000000004</v>
      </c>
      <c r="R1186" s="1">
        <v>0.76910000000000001</v>
      </c>
      <c r="S1186" s="1">
        <v>0.51695000000000002</v>
      </c>
      <c r="T1186" s="1">
        <v>0.63883000000000001</v>
      </c>
      <c r="U1186" s="1">
        <v>0.82499999999999996</v>
      </c>
      <c r="V1186" s="1">
        <v>0.90639999999999998</v>
      </c>
    </row>
    <row r="1187" spans="12:22" x14ac:dyDescent="0.25">
      <c r="L1187" s="1">
        <v>158.5</v>
      </c>
      <c r="M1187" s="1">
        <v>0.51690000000000003</v>
      </c>
      <c r="N1187" s="1">
        <v>0.63875999999999999</v>
      </c>
      <c r="O1187" s="1">
        <v>0.48480000000000001</v>
      </c>
      <c r="P1187" s="33">
        <v>0.50841999999999998</v>
      </c>
      <c r="Q1187" s="1">
        <v>0.54900000000000004</v>
      </c>
      <c r="R1187" s="1">
        <v>0.76910000000000001</v>
      </c>
      <c r="S1187" s="1">
        <v>0.51690000000000003</v>
      </c>
      <c r="T1187" s="1">
        <v>0.63875999999999999</v>
      </c>
      <c r="U1187" s="1">
        <v>0.82499999999999996</v>
      </c>
      <c r="V1187" s="1">
        <v>0.90600000000000003</v>
      </c>
    </row>
    <row r="1188" spans="12:22" x14ac:dyDescent="0.25">
      <c r="L1188" s="1">
        <v>158.6</v>
      </c>
      <c r="M1188" s="1">
        <v>0.51680000000000004</v>
      </c>
      <c r="N1188" s="1">
        <v>0.63868999999999998</v>
      </c>
      <c r="O1188" s="1">
        <v>0.48470000000000002</v>
      </c>
      <c r="P1188" s="33">
        <v>0.50827999999999995</v>
      </c>
      <c r="Q1188" s="1">
        <v>0.54890000000000005</v>
      </c>
      <c r="R1188" s="1">
        <v>0.76910000000000001</v>
      </c>
      <c r="S1188" s="1">
        <v>0.51680000000000004</v>
      </c>
      <c r="T1188" s="1">
        <v>0.63868999999999998</v>
      </c>
      <c r="U1188" s="1">
        <v>0.82499999999999996</v>
      </c>
      <c r="V1188" s="1">
        <v>0.90560000000000007</v>
      </c>
    </row>
    <row r="1189" spans="12:22" x14ac:dyDescent="0.25">
      <c r="L1189" s="1">
        <v>158.69999999999999</v>
      </c>
      <c r="M1189" s="1">
        <v>0.51675000000000004</v>
      </c>
      <c r="N1189" s="1">
        <v>0.63861999999999997</v>
      </c>
      <c r="O1189" s="1">
        <v>0.48459999999999998</v>
      </c>
      <c r="P1189" s="33">
        <v>0.50813999999999993</v>
      </c>
      <c r="Q1189" s="1">
        <v>0.54890000000000005</v>
      </c>
      <c r="R1189" s="1">
        <v>0.76910000000000001</v>
      </c>
      <c r="S1189" s="1">
        <v>0.51675000000000004</v>
      </c>
      <c r="T1189" s="1">
        <v>0.63861999999999997</v>
      </c>
      <c r="U1189" s="1">
        <v>0.82499999999999996</v>
      </c>
      <c r="V1189" s="1">
        <v>0.9052</v>
      </c>
    </row>
    <row r="1190" spans="12:22" x14ac:dyDescent="0.25">
      <c r="L1190" s="1">
        <v>158.80000000000001</v>
      </c>
      <c r="M1190" s="1">
        <v>0.51664999999999994</v>
      </c>
      <c r="N1190" s="1">
        <v>0.63854999999999995</v>
      </c>
      <c r="O1190" s="1">
        <v>0.48449999999999999</v>
      </c>
      <c r="P1190" s="33">
        <v>0.5079999999999999</v>
      </c>
      <c r="Q1190" s="1">
        <v>0.54879999999999995</v>
      </c>
      <c r="R1190" s="1">
        <v>0.76910000000000001</v>
      </c>
      <c r="S1190" s="1">
        <v>0.51664999999999994</v>
      </c>
      <c r="T1190" s="1">
        <v>0.63854999999999995</v>
      </c>
      <c r="U1190" s="1">
        <v>0.82479999999999998</v>
      </c>
      <c r="V1190" s="1">
        <v>0.90480000000000005</v>
      </c>
    </row>
    <row r="1191" spans="12:22" x14ac:dyDescent="0.25">
      <c r="L1191" s="1">
        <v>158.9</v>
      </c>
      <c r="M1191" s="1">
        <v>0.51705000000000001</v>
      </c>
      <c r="N1191" s="1">
        <v>0.63848000000000005</v>
      </c>
      <c r="O1191" s="1">
        <v>0.48530000000000001</v>
      </c>
      <c r="P1191" s="33">
        <v>0.50786000000000009</v>
      </c>
      <c r="Q1191" s="1">
        <v>0.54879999999999995</v>
      </c>
      <c r="R1191" s="1">
        <v>0.76910000000000001</v>
      </c>
      <c r="S1191" s="1">
        <v>0.51705000000000001</v>
      </c>
      <c r="T1191" s="1">
        <v>0.63848000000000005</v>
      </c>
      <c r="U1191" s="1">
        <v>0.82439999999999991</v>
      </c>
      <c r="V1191" s="1">
        <v>0.90439999999999998</v>
      </c>
    </row>
    <row r="1192" spans="12:22" x14ac:dyDescent="0.25">
      <c r="L1192" s="1">
        <v>159</v>
      </c>
      <c r="M1192" s="1">
        <v>0.51649999999999996</v>
      </c>
      <c r="N1192" s="1">
        <v>0.63841000000000003</v>
      </c>
      <c r="O1192" s="1">
        <v>0.48430000000000001</v>
      </c>
      <c r="P1192" s="33">
        <v>0.50772000000000006</v>
      </c>
      <c r="Q1192" s="1">
        <v>0.54869999999999997</v>
      </c>
      <c r="R1192" s="1">
        <v>0.76910000000000001</v>
      </c>
      <c r="S1192" s="1">
        <v>0.51649999999999996</v>
      </c>
      <c r="T1192" s="1">
        <v>0.63841000000000003</v>
      </c>
      <c r="U1192" s="1">
        <v>0.82399999999999995</v>
      </c>
      <c r="V1192" s="1">
        <v>0.90400000000000003</v>
      </c>
    </row>
    <row r="1193" spans="12:22" x14ac:dyDescent="0.25">
      <c r="L1193" s="1">
        <v>159.1</v>
      </c>
      <c r="M1193" s="1">
        <v>0.51644999999999996</v>
      </c>
      <c r="N1193" s="1">
        <v>0.63834000000000002</v>
      </c>
      <c r="O1193" s="1">
        <v>0.48420000000000002</v>
      </c>
      <c r="P1193" s="33">
        <v>0.50758000000000003</v>
      </c>
      <c r="Q1193" s="1">
        <v>0.54869999999999997</v>
      </c>
      <c r="R1193" s="1">
        <v>0.76910000000000001</v>
      </c>
      <c r="S1193" s="1">
        <v>0.51644999999999996</v>
      </c>
      <c r="T1193" s="1">
        <v>0.63834000000000002</v>
      </c>
      <c r="U1193" s="1">
        <v>0.82399999999999995</v>
      </c>
      <c r="V1193" s="1">
        <v>0.90380000000000005</v>
      </c>
    </row>
    <row r="1194" spans="12:22" x14ac:dyDescent="0.25">
      <c r="L1194" s="1">
        <v>159.19999999999999</v>
      </c>
      <c r="M1194" s="1">
        <v>0.51634999999999998</v>
      </c>
      <c r="N1194" s="1">
        <v>0.63827</v>
      </c>
      <c r="O1194" s="1">
        <v>0.48409999999999997</v>
      </c>
      <c r="P1194" s="33">
        <v>0.50744</v>
      </c>
      <c r="Q1194" s="1">
        <v>0.54859999999999998</v>
      </c>
      <c r="R1194" s="1">
        <v>0.76910000000000001</v>
      </c>
      <c r="S1194" s="1">
        <v>0.51634999999999998</v>
      </c>
      <c r="T1194" s="1">
        <v>0.63827</v>
      </c>
      <c r="U1194" s="1">
        <v>0.82399999999999995</v>
      </c>
      <c r="V1194" s="1">
        <v>0.90360000000000007</v>
      </c>
    </row>
    <row r="1195" spans="12:22" x14ac:dyDescent="0.25">
      <c r="L1195" s="1">
        <v>159.30000000000001</v>
      </c>
      <c r="M1195" s="1">
        <v>0.51634999999999998</v>
      </c>
      <c r="N1195" s="1">
        <v>0.63819999999999999</v>
      </c>
      <c r="O1195" s="1">
        <v>0.48409999999999997</v>
      </c>
      <c r="P1195" s="33">
        <v>0.50729999999999997</v>
      </c>
      <c r="Q1195" s="1">
        <v>0.54859999999999998</v>
      </c>
      <c r="R1195" s="1">
        <v>0.76910000000000001</v>
      </c>
      <c r="S1195" s="1">
        <v>0.51634999999999998</v>
      </c>
      <c r="T1195" s="1">
        <v>0.63819999999999999</v>
      </c>
      <c r="U1195" s="1">
        <v>0.82399999999999995</v>
      </c>
      <c r="V1195" s="1">
        <v>0.90339999999999998</v>
      </c>
    </row>
    <row r="1196" spans="12:22" x14ac:dyDescent="0.25">
      <c r="L1196" s="1">
        <v>159.4</v>
      </c>
      <c r="M1196" s="1">
        <v>0.51624999999999999</v>
      </c>
      <c r="N1196" s="1">
        <v>0.63812999999999998</v>
      </c>
      <c r="O1196" s="1">
        <v>0.48399999999999999</v>
      </c>
      <c r="P1196" s="33">
        <v>0.50715999999999994</v>
      </c>
      <c r="Q1196" s="1">
        <v>0.54849999999999999</v>
      </c>
      <c r="R1196" s="1">
        <v>0.76910000000000001</v>
      </c>
      <c r="S1196" s="1">
        <v>0.51624999999999999</v>
      </c>
      <c r="T1196" s="1">
        <v>0.63812999999999998</v>
      </c>
      <c r="U1196" s="1">
        <v>0.82399999999999995</v>
      </c>
      <c r="V1196" s="1">
        <v>0.9032</v>
      </c>
    </row>
    <row r="1197" spans="12:22" x14ac:dyDescent="0.25">
      <c r="L1197" s="1">
        <v>159.5</v>
      </c>
      <c r="M1197" s="1">
        <v>0.51619999999999999</v>
      </c>
      <c r="N1197" s="1">
        <v>0.63805999999999996</v>
      </c>
      <c r="O1197" s="1">
        <v>0.4839</v>
      </c>
      <c r="P1197" s="33">
        <v>0.50701999999999992</v>
      </c>
      <c r="Q1197" s="1">
        <v>0.54849999999999999</v>
      </c>
      <c r="R1197" s="1">
        <v>0.76910000000000001</v>
      </c>
      <c r="S1197" s="1">
        <v>0.51619999999999999</v>
      </c>
      <c r="T1197" s="1">
        <v>0.63805999999999996</v>
      </c>
      <c r="U1197" s="1">
        <v>0.82399999999999995</v>
      </c>
      <c r="V1197" s="1">
        <v>0.90300000000000002</v>
      </c>
    </row>
    <row r="1198" spans="12:22" x14ac:dyDescent="0.25">
      <c r="L1198" s="1">
        <v>159.6</v>
      </c>
      <c r="M1198" s="1">
        <v>0.5161</v>
      </c>
      <c r="N1198" s="1">
        <v>0.63798999999999995</v>
      </c>
      <c r="O1198" s="1">
        <v>0.48380000000000001</v>
      </c>
      <c r="P1198" s="33">
        <v>0.50687999999999989</v>
      </c>
      <c r="Q1198" s="1">
        <v>0.5484</v>
      </c>
      <c r="R1198" s="1">
        <v>0.76910000000000001</v>
      </c>
      <c r="S1198" s="1">
        <v>0.5161</v>
      </c>
      <c r="T1198" s="1">
        <v>0.63798999999999995</v>
      </c>
      <c r="U1198" s="1">
        <v>0.82399999999999995</v>
      </c>
      <c r="V1198" s="1">
        <v>0.90260000000000007</v>
      </c>
    </row>
    <row r="1199" spans="12:22" x14ac:dyDescent="0.25">
      <c r="L1199" s="1">
        <v>159.69999999999999</v>
      </c>
      <c r="M1199" s="1">
        <v>0.51605000000000001</v>
      </c>
      <c r="N1199" s="1">
        <v>0.63792000000000004</v>
      </c>
      <c r="O1199" s="1">
        <v>0.48370000000000002</v>
      </c>
      <c r="P1199" s="33">
        <v>0.50674000000000008</v>
      </c>
      <c r="Q1199" s="1">
        <v>0.5484</v>
      </c>
      <c r="R1199" s="1">
        <v>0.76910000000000001</v>
      </c>
      <c r="S1199" s="1">
        <v>0.51605000000000001</v>
      </c>
      <c r="T1199" s="1">
        <v>0.63792000000000004</v>
      </c>
      <c r="U1199" s="1">
        <v>0.82399999999999995</v>
      </c>
      <c r="V1199" s="1">
        <v>0.9022</v>
      </c>
    </row>
    <row r="1200" spans="12:22" x14ac:dyDescent="0.25">
      <c r="L1200" s="1">
        <v>159.80000000000001</v>
      </c>
      <c r="M1200" s="1">
        <v>0.51595000000000002</v>
      </c>
      <c r="N1200" s="1">
        <v>0.63785000000000003</v>
      </c>
      <c r="O1200" s="1">
        <v>0.48359999999999997</v>
      </c>
      <c r="P1200" s="33">
        <v>0.50660000000000005</v>
      </c>
      <c r="Q1200" s="1">
        <v>0.54830000000000001</v>
      </c>
      <c r="R1200" s="1">
        <v>0.76910000000000001</v>
      </c>
      <c r="S1200" s="1">
        <v>0.51595000000000002</v>
      </c>
      <c r="T1200" s="1">
        <v>0.63785000000000003</v>
      </c>
      <c r="U1200" s="1">
        <v>0.82399999999999995</v>
      </c>
      <c r="V1200" s="1">
        <v>0.90180000000000005</v>
      </c>
    </row>
    <row r="1201" spans="12:22" x14ac:dyDescent="0.25">
      <c r="L1201" s="1">
        <v>159.9</v>
      </c>
      <c r="M1201" s="1">
        <v>0.51634999999999998</v>
      </c>
      <c r="N1201" s="1">
        <v>0.63778000000000001</v>
      </c>
      <c r="O1201" s="1">
        <v>0.4844</v>
      </c>
      <c r="P1201" s="33">
        <v>0.50646000000000002</v>
      </c>
      <c r="Q1201" s="1">
        <v>0.54830000000000001</v>
      </c>
      <c r="R1201" s="1">
        <v>0.76910000000000001</v>
      </c>
      <c r="S1201" s="1">
        <v>0.51634999999999998</v>
      </c>
      <c r="T1201" s="1">
        <v>0.63778000000000001</v>
      </c>
      <c r="U1201" s="1">
        <v>0.82399999999999995</v>
      </c>
      <c r="V1201" s="1">
        <v>0.90139999999999998</v>
      </c>
    </row>
    <row r="1202" spans="12:22" x14ac:dyDescent="0.25">
      <c r="L1202" s="1">
        <v>160</v>
      </c>
      <c r="M1202" s="1">
        <v>0.51580000000000004</v>
      </c>
      <c r="N1202" s="1">
        <v>0.63771</v>
      </c>
      <c r="O1202" s="1">
        <v>0.4834</v>
      </c>
      <c r="P1202" s="33">
        <v>0.50631999999999999</v>
      </c>
      <c r="Q1202" s="1">
        <v>0.54820000000000002</v>
      </c>
      <c r="R1202" s="1">
        <v>0.76910000000000001</v>
      </c>
      <c r="S1202" s="1">
        <v>0.51580000000000004</v>
      </c>
      <c r="T1202" s="1">
        <v>0.63771</v>
      </c>
      <c r="U1202" s="1">
        <v>0.82399999999999995</v>
      </c>
      <c r="V1202" s="1">
        <v>0.90100000000000002</v>
      </c>
    </row>
    <row r="1203" spans="12:22" x14ac:dyDescent="0.25">
      <c r="L1203" s="1">
        <v>160.1</v>
      </c>
      <c r="M1203" s="1">
        <v>0.51575000000000004</v>
      </c>
      <c r="N1203" s="1">
        <v>0.63763999999999998</v>
      </c>
      <c r="O1203" s="1">
        <v>0.48330000000000001</v>
      </c>
      <c r="P1203" s="33">
        <v>0.50617999999999996</v>
      </c>
      <c r="Q1203" s="1">
        <v>0.54820000000000002</v>
      </c>
      <c r="R1203" s="1">
        <v>0.76910000000000001</v>
      </c>
      <c r="S1203" s="1">
        <v>0.51575000000000004</v>
      </c>
      <c r="T1203" s="1">
        <v>0.63763999999999998</v>
      </c>
      <c r="U1203" s="1">
        <v>0.82399999999999995</v>
      </c>
    </row>
    <row r="1204" spans="12:22" x14ac:dyDescent="0.25">
      <c r="L1204" s="1">
        <v>160.19999999999999</v>
      </c>
      <c r="M1204" s="1">
        <v>0.51565000000000005</v>
      </c>
      <c r="N1204" s="1">
        <v>0.63756999999999997</v>
      </c>
      <c r="O1204" s="1">
        <v>0.48320000000000002</v>
      </c>
      <c r="P1204" s="33">
        <v>0.50603999999999993</v>
      </c>
      <c r="Q1204" s="1">
        <v>0.54810000000000003</v>
      </c>
      <c r="R1204" s="1">
        <v>0.76910000000000001</v>
      </c>
      <c r="S1204" s="1">
        <v>0.51565000000000005</v>
      </c>
      <c r="T1204" s="1">
        <v>0.63756999999999997</v>
      </c>
      <c r="U1204" s="1">
        <v>0.82399999999999995</v>
      </c>
    </row>
    <row r="1205" spans="12:22" x14ac:dyDescent="0.25">
      <c r="L1205" s="1">
        <v>160.30000000000001</v>
      </c>
      <c r="M1205" s="1">
        <v>0.51565000000000005</v>
      </c>
      <c r="N1205" s="1">
        <v>0.63749999999999996</v>
      </c>
      <c r="O1205" s="1">
        <v>0.48320000000000002</v>
      </c>
      <c r="P1205" s="33">
        <v>0.50589999999999991</v>
      </c>
      <c r="Q1205" s="1">
        <v>0.54810000000000003</v>
      </c>
      <c r="R1205" s="1">
        <v>0.76910000000000001</v>
      </c>
      <c r="S1205" s="1">
        <v>0.51565000000000005</v>
      </c>
      <c r="T1205" s="1">
        <v>0.63749999999999996</v>
      </c>
      <c r="U1205" s="1">
        <v>0.82399999999999995</v>
      </c>
    </row>
    <row r="1206" spans="12:22" x14ac:dyDescent="0.25">
      <c r="L1206" s="1">
        <v>160.4</v>
      </c>
      <c r="M1206" s="1">
        <v>0.51554999999999995</v>
      </c>
      <c r="N1206" s="1">
        <v>0.63743000000000005</v>
      </c>
      <c r="O1206" s="1">
        <v>0.48309999999999997</v>
      </c>
      <c r="P1206" s="33">
        <v>0.5057600000000001</v>
      </c>
      <c r="Q1206" s="1">
        <v>0.54800000000000004</v>
      </c>
      <c r="R1206" s="1">
        <v>0.76910000000000001</v>
      </c>
      <c r="S1206" s="1">
        <v>0.51554999999999995</v>
      </c>
      <c r="T1206" s="1">
        <v>0.63743000000000005</v>
      </c>
      <c r="U1206" s="1">
        <v>0.82399999999999995</v>
      </c>
    </row>
    <row r="1207" spans="12:22" x14ac:dyDescent="0.25">
      <c r="L1207" s="1">
        <v>160.5</v>
      </c>
      <c r="M1207" s="1">
        <v>0.51550000000000007</v>
      </c>
      <c r="N1207" s="1">
        <v>0.63736000000000004</v>
      </c>
      <c r="O1207" s="1">
        <v>0.48299999999999998</v>
      </c>
      <c r="P1207" s="33">
        <v>0.50562000000000007</v>
      </c>
      <c r="Q1207" s="1">
        <v>0.54800000000000004</v>
      </c>
      <c r="R1207" s="1">
        <v>0.76910000000000001</v>
      </c>
      <c r="S1207" s="1">
        <v>0.51550000000000007</v>
      </c>
      <c r="T1207" s="1">
        <v>0.63736000000000004</v>
      </c>
      <c r="U1207" s="1">
        <v>0.82399999999999995</v>
      </c>
    </row>
    <row r="1208" spans="12:22" x14ac:dyDescent="0.25">
      <c r="L1208" s="1">
        <v>160.6</v>
      </c>
      <c r="M1208" s="1">
        <v>0.51540000000000008</v>
      </c>
      <c r="N1208" s="1">
        <v>0.63729000000000002</v>
      </c>
      <c r="O1208" s="1">
        <v>0.4829</v>
      </c>
      <c r="P1208" s="33">
        <v>0.50548000000000004</v>
      </c>
      <c r="Q1208" s="1">
        <v>0.54790000000000005</v>
      </c>
      <c r="R1208" s="1">
        <v>0.76910000000000001</v>
      </c>
      <c r="S1208" s="1">
        <v>0.51540000000000008</v>
      </c>
      <c r="T1208" s="1">
        <v>0.63729000000000002</v>
      </c>
      <c r="U1208" s="1">
        <v>0.8236</v>
      </c>
    </row>
    <row r="1209" spans="12:22" x14ac:dyDescent="0.25">
      <c r="L1209" s="1">
        <v>160.69999999999999</v>
      </c>
      <c r="M1209" s="1">
        <v>0.51534999999999997</v>
      </c>
      <c r="N1209" s="1">
        <v>0.63722000000000001</v>
      </c>
      <c r="O1209" s="1">
        <v>0.48280000000000001</v>
      </c>
      <c r="P1209" s="33">
        <v>0.50534000000000001</v>
      </c>
      <c r="Q1209" s="1">
        <v>0.54790000000000005</v>
      </c>
      <c r="R1209" s="1">
        <v>0.76910000000000001</v>
      </c>
      <c r="S1209" s="1">
        <v>0.51534999999999997</v>
      </c>
      <c r="T1209" s="1">
        <v>0.63722000000000001</v>
      </c>
      <c r="U1209" s="1">
        <v>0.82319999999999993</v>
      </c>
    </row>
    <row r="1210" spans="12:22" x14ac:dyDescent="0.25">
      <c r="L1210" s="1">
        <v>160.80000000000001</v>
      </c>
      <c r="M1210" s="1">
        <v>0.51524999999999999</v>
      </c>
      <c r="N1210" s="1">
        <v>0.63714999999999999</v>
      </c>
      <c r="O1210" s="1">
        <v>0.48270000000000002</v>
      </c>
      <c r="P1210" s="33">
        <v>0.50519999999999998</v>
      </c>
      <c r="Q1210" s="1">
        <v>0.54779999999999995</v>
      </c>
      <c r="R1210" s="1">
        <v>0.76910000000000001</v>
      </c>
      <c r="S1210" s="1">
        <v>0.51524999999999999</v>
      </c>
      <c r="T1210" s="1">
        <v>0.63714999999999999</v>
      </c>
      <c r="U1210" s="1">
        <v>0.82299999999999995</v>
      </c>
    </row>
    <row r="1211" spans="12:22" x14ac:dyDescent="0.25">
      <c r="L1211" s="1">
        <v>160.9</v>
      </c>
      <c r="M1211" s="1">
        <v>0.51564999999999994</v>
      </c>
      <c r="N1211" s="1">
        <v>0.63707999999999998</v>
      </c>
      <c r="O1211" s="1">
        <v>0.48349999999999999</v>
      </c>
      <c r="P1211" s="33">
        <v>0.50505999999999995</v>
      </c>
      <c r="Q1211" s="1">
        <v>0.54779999999999995</v>
      </c>
      <c r="R1211" s="1">
        <v>0.76910000000000001</v>
      </c>
      <c r="S1211" s="1">
        <v>0.51564999999999994</v>
      </c>
      <c r="T1211" s="1">
        <v>0.63707999999999998</v>
      </c>
      <c r="U1211" s="1">
        <v>0.82299999999999995</v>
      </c>
    </row>
    <row r="1212" spans="12:22" x14ac:dyDescent="0.25">
      <c r="L1212" s="1">
        <v>161</v>
      </c>
      <c r="M1212" s="1">
        <v>0.5151</v>
      </c>
      <c r="N1212" s="1">
        <v>0.63700999999999997</v>
      </c>
      <c r="O1212" s="1">
        <v>0.48249999999999998</v>
      </c>
      <c r="P1212" s="33">
        <v>0.50491999999999992</v>
      </c>
      <c r="Q1212" s="1">
        <v>0.54769999999999996</v>
      </c>
      <c r="R1212" s="1">
        <v>0.76910000000000001</v>
      </c>
      <c r="S1212" s="1">
        <v>0.5151</v>
      </c>
      <c r="T1212" s="1">
        <v>0.63700999999999997</v>
      </c>
      <c r="U1212" s="1">
        <v>0.82299999999999995</v>
      </c>
    </row>
    <row r="1213" spans="12:22" x14ac:dyDescent="0.25">
      <c r="L1213" s="1">
        <v>161.1</v>
      </c>
      <c r="M1213" s="1">
        <v>0.51505000000000001</v>
      </c>
      <c r="N1213" s="1">
        <v>0.63693999999999995</v>
      </c>
      <c r="O1213" s="1">
        <v>0.4824</v>
      </c>
      <c r="P1213" s="33">
        <v>0.5047799999999999</v>
      </c>
      <c r="Q1213" s="1">
        <v>0.54769999999999996</v>
      </c>
      <c r="R1213" s="1">
        <v>0.76910000000000001</v>
      </c>
      <c r="S1213" s="1">
        <v>0.51505000000000001</v>
      </c>
      <c r="T1213" s="1">
        <v>0.63693999999999995</v>
      </c>
      <c r="U1213" s="1">
        <v>0.82299999999999995</v>
      </c>
    </row>
    <row r="1214" spans="12:22" x14ac:dyDescent="0.25">
      <c r="L1214" s="1">
        <v>161.19999999999999</v>
      </c>
      <c r="M1214" s="1">
        <v>0.51495000000000002</v>
      </c>
      <c r="N1214" s="1">
        <v>0.63687000000000005</v>
      </c>
      <c r="O1214" s="1">
        <v>0.48230000000000001</v>
      </c>
      <c r="P1214" s="33">
        <v>0.50464000000000009</v>
      </c>
      <c r="Q1214" s="1">
        <v>0.54759999999999998</v>
      </c>
      <c r="R1214" s="1">
        <v>0.76910000000000001</v>
      </c>
      <c r="S1214" s="1">
        <v>0.51495000000000002</v>
      </c>
      <c r="T1214" s="1">
        <v>0.63687000000000005</v>
      </c>
      <c r="U1214" s="1">
        <v>0.82299999999999995</v>
      </c>
    </row>
    <row r="1215" spans="12:22" x14ac:dyDescent="0.25">
      <c r="L1215" s="1">
        <v>161.30000000000001</v>
      </c>
      <c r="M1215" s="1">
        <v>0.51495000000000002</v>
      </c>
      <c r="N1215" s="1">
        <v>0.63680000000000003</v>
      </c>
      <c r="O1215" s="1">
        <v>0.48230000000000001</v>
      </c>
      <c r="P1215" s="33">
        <v>0.50450000000000006</v>
      </c>
      <c r="Q1215" s="1">
        <v>0.54759999999999998</v>
      </c>
      <c r="R1215" s="1">
        <v>0.76910000000000001</v>
      </c>
      <c r="S1215" s="1">
        <v>0.51495000000000002</v>
      </c>
      <c r="T1215" s="1">
        <v>0.63680000000000003</v>
      </c>
      <c r="U1215" s="1">
        <v>0.82299999999999995</v>
      </c>
    </row>
    <row r="1216" spans="12:22" x14ac:dyDescent="0.25">
      <c r="L1216" s="1">
        <v>161.4</v>
      </c>
      <c r="M1216" s="1">
        <v>0.51485000000000003</v>
      </c>
      <c r="N1216" s="1">
        <v>0.63673000000000002</v>
      </c>
      <c r="O1216" s="1">
        <v>0.48220000000000002</v>
      </c>
      <c r="P1216" s="33">
        <v>0.50436000000000003</v>
      </c>
      <c r="Q1216" s="1">
        <v>0.54749999999999999</v>
      </c>
      <c r="R1216" s="1">
        <v>0.76910000000000001</v>
      </c>
      <c r="S1216" s="1">
        <v>0.51485000000000003</v>
      </c>
      <c r="T1216" s="1">
        <v>0.63673000000000002</v>
      </c>
      <c r="U1216" s="1">
        <v>0.82299999999999995</v>
      </c>
    </row>
    <row r="1217" spans="12:21" x14ac:dyDescent="0.25">
      <c r="L1217" s="1">
        <v>161.5</v>
      </c>
      <c r="M1217" s="1">
        <v>0.51479999999999992</v>
      </c>
      <c r="N1217" s="1">
        <v>0.63666</v>
      </c>
      <c r="O1217" s="1">
        <v>0.48209999999999997</v>
      </c>
      <c r="P1217" s="33">
        <v>0.50422</v>
      </c>
      <c r="Q1217" s="1">
        <v>0.54749999999999999</v>
      </c>
      <c r="R1217" s="1">
        <v>0.76910000000000001</v>
      </c>
      <c r="S1217" s="1">
        <v>0.51479999999999992</v>
      </c>
      <c r="T1217" s="1">
        <v>0.63666</v>
      </c>
      <c r="U1217" s="1">
        <v>0.82299999999999995</v>
      </c>
    </row>
    <row r="1218" spans="12:21" x14ac:dyDescent="0.25">
      <c r="L1218" s="1">
        <v>161.6</v>
      </c>
      <c r="M1218" s="1">
        <v>0.51469999999999994</v>
      </c>
      <c r="N1218" s="1">
        <v>0.63658999999999999</v>
      </c>
      <c r="O1218" s="1">
        <v>0.48199999999999998</v>
      </c>
      <c r="P1218" s="33">
        <v>0.50407999999999997</v>
      </c>
      <c r="Q1218" s="1">
        <v>0.5474</v>
      </c>
      <c r="R1218" s="1">
        <v>0.76910000000000001</v>
      </c>
      <c r="S1218" s="1">
        <v>0.51469999999999994</v>
      </c>
      <c r="T1218" s="1">
        <v>0.63658999999999999</v>
      </c>
      <c r="U1218" s="1">
        <v>0.82299999999999995</v>
      </c>
    </row>
    <row r="1219" spans="12:21" x14ac:dyDescent="0.25">
      <c r="L1219" s="1">
        <v>161.69999999999999</v>
      </c>
      <c r="M1219" s="1">
        <v>0.51465000000000005</v>
      </c>
      <c r="N1219" s="1">
        <v>0.63651999999999997</v>
      </c>
      <c r="O1219" s="1">
        <v>0.4819</v>
      </c>
      <c r="P1219" s="33">
        <v>0.50393999999999994</v>
      </c>
      <c r="Q1219" s="1">
        <v>0.5474</v>
      </c>
      <c r="R1219" s="1">
        <v>0.76910000000000001</v>
      </c>
      <c r="S1219" s="1">
        <v>0.51465000000000005</v>
      </c>
      <c r="T1219" s="1">
        <v>0.63651999999999997</v>
      </c>
      <c r="U1219" s="1">
        <v>0.82299999999999995</v>
      </c>
    </row>
    <row r="1220" spans="12:21" x14ac:dyDescent="0.25">
      <c r="L1220" s="1">
        <v>161.80000000000001</v>
      </c>
      <c r="M1220" s="1">
        <v>0.51455000000000006</v>
      </c>
      <c r="N1220" s="1">
        <v>0.63644999999999996</v>
      </c>
      <c r="O1220" s="1">
        <v>0.48180000000000001</v>
      </c>
      <c r="P1220" s="33">
        <v>0.50379999999999991</v>
      </c>
      <c r="Q1220" s="1">
        <v>0.54730000000000001</v>
      </c>
      <c r="R1220" s="1">
        <v>0.76910000000000001</v>
      </c>
      <c r="S1220" s="1">
        <v>0.51455000000000006</v>
      </c>
      <c r="T1220" s="1">
        <v>0.63644999999999996</v>
      </c>
      <c r="U1220" s="1">
        <v>0.82299999999999995</v>
      </c>
    </row>
    <row r="1221" spans="12:21" x14ac:dyDescent="0.25">
      <c r="L1221" s="1">
        <v>161.9</v>
      </c>
      <c r="M1221" s="1">
        <v>0.51495000000000002</v>
      </c>
      <c r="N1221" s="1">
        <v>0.63634999999999997</v>
      </c>
      <c r="O1221" s="1">
        <v>0.48259999999999997</v>
      </c>
      <c r="P1221" s="33">
        <v>0.50359999999999994</v>
      </c>
      <c r="Q1221" s="1">
        <v>0.54730000000000001</v>
      </c>
      <c r="R1221" s="1">
        <v>0.76910000000000001</v>
      </c>
      <c r="S1221" s="1">
        <v>0.51495000000000002</v>
      </c>
      <c r="T1221" s="1">
        <v>0.63634999999999997</v>
      </c>
      <c r="U1221" s="1">
        <v>0.82299999999999995</v>
      </c>
    </row>
    <row r="1222" spans="12:21" x14ac:dyDescent="0.25">
      <c r="L1222" s="1">
        <v>162</v>
      </c>
      <c r="M1222" s="1">
        <v>0.51439999999999997</v>
      </c>
      <c r="N1222" s="1">
        <v>0.63627999999999996</v>
      </c>
      <c r="O1222" s="1">
        <v>0.48159999999999997</v>
      </c>
      <c r="P1222" s="33">
        <v>0.50345999999999991</v>
      </c>
      <c r="Q1222" s="1">
        <v>0.54720000000000002</v>
      </c>
      <c r="R1222" s="1">
        <v>0.76910000000000001</v>
      </c>
      <c r="S1222" s="1">
        <v>0.51439999999999997</v>
      </c>
      <c r="T1222" s="1">
        <v>0.63627999999999996</v>
      </c>
      <c r="U1222" s="1">
        <v>0.82299999999999995</v>
      </c>
    </row>
    <row r="1223" spans="12:21" x14ac:dyDescent="0.25">
      <c r="L1223" s="1">
        <v>162.1</v>
      </c>
      <c r="M1223" s="1">
        <v>0.51429999999999998</v>
      </c>
      <c r="N1223" s="1">
        <v>0.63621000000000005</v>
      </c>
      <c r="O1223" s="1">
        <v>0.48149999999999998</v>
      </c>
      <c r="P1223" s="33">
        <v>0.5033200000000001</v>
      </c>
      <c r="Q1223" s="1">
        <v>0.54710000000000003</v>
      </c>
      <c r="R1223" s="1">
        <v>0.76910000000000001</v>
      </c>
      <c r="S1223" s="1">
        <v>0.51429999999999998</v>
      </c>
      <c r="T1223" s="1">
        <v>0.63621000000000005</v>
      </c>
      <c r="U1223" s="1">
        <v>0.82299999999999995</v>
      </c>
    </row>
    <row r="1224" spans="12:21" x14ac:dyDescent="0.25">
      <c r="L1224" s="1">
        <v>162.19999999999999</v>
      </c>
      <c r="M1224" s="1">
        <v>0.51424999999999998</v>
      </c>
      <c r="N1224" s="1">
        <v>0.63614000000000004</v>
      </c>
      <c r="O1224" s="1">
        <v>0.48139999999999999</v>
      </c>
      <c r="P1224" s="33">
        <v>0.50318000000000007</v>
      </c>
      <c r="Q1224" s="1">
        <v>0.54710000000000003</v>
      </c>
      <c r="R1224" s="1">
        <v>0.76910000000000001</v>
      </c>
      <c r="S1224" s="1">
        <v>0.51424999999999998</v>
      </c>
      <c r="T1224" s="1">
        <v>0.63614000000000004</v>
      </c>
      <c r="U1224" s="1">
        <v>0.82299999999999995</v>
      </c>
    </row>
    <row r="1225" spans="12:21" x14ac:dyDescent="0.25">
      <c r="L1225" s="1">
        <v>162.30000000000001</v>
      </c>
      <c r="M1225" s="1">
        <v>0.51419999999999999</v>
      </c>
      <c r="N1225" s="1">
        <v>0.63607000000000002</v>
      </c>
      <c r="O1225" s="1">
        <v>0.48139999999999999</v>
      </c>
      <c r="P1225" s="33">
        <v>0.50304000000000004</v>
      </c>
      <c r="Q1225" s="1">
        <v>0.54700000000000004</v>
      </c>
      <c r="R1225" s="1">
        <v>0.76910000000000001</v>
      </c>
      <c r="S1225" s="1">
        <v>0.51419999999999999</v>
      </c>
      <c r="T1225" s="1">
        <v>0.63607000000000002</v>
      </c>
      <c r="U1225" s="1">
        <v>0.82279999999999998</v>
      </c>
    </row>
    <row r="1226" spans="12:21" x14ac:dyDescent="0.25">
      <c r="L1226" s="1">
        <v>162.4</v>
      </c>
      <c r="M1226" s="1">
        <v>0.51415</v>
      </c>
      <c r="N1226" s="1">
        <v>0.63600000000000001</v>
      </c>
      <c r="O1226" s="1">
        <v>0.48130000000000001</v>
      </c>
      <c r="P1226" s="33">
        <v>0.50290000000000001</v>
      </c>
      <c r="Q1226" s="1">
        <v>0.54700000000000004</v>
      </c>
      <c r="R1226" s="1">
        <v>0.76910000000000001</v>
      </c>
      <c r="S1226" s="1">
        <v>0.51415</v>
      </c>
      <c r="T1226" s="1">
        <v>0.63600000000000001</v>
      </c>
      <c r="U1226" s="1">
        <v>0.82239999999999991</v>
      </c>
    </row>
    <row r="1227" spans="12:21" x14ac:dyDescent="0.25">
      <c r="L1227" s="1">
        <v>162.5</v>
      </c>
      <c r="M1227" s="1">
        <v>0.51405000000000001</v>
      </c>
      <c r="N1227" s="1">
        <v>0.63593</v>
      </c>
      <c r="O1227" s="1">
        <v>0.48120000000000002</v>
      </c>
      <c r="P1227" s="33">
        <v>0.50275999999999998</v>
      </c>
      <c r="Q1227" s="1">
        <v>0.54690000000000005</v>
      </c>
      <c r="R1227" s="1">
        <v>0.76910000000000001</v>
      </c>
      <c r="S1227" s="1">
        <v>0.51405000000000001</v>
      </c>
      <c r="T1227" s="1">
        <v>0.63593</v>
      </c>
      <c r="U1227" s="1">
        <v>0.82199999999999995</v>
      </c>
    </row>
    <row r="1228" spans="12:21" x14ac:dyDescent="0.25">
      <c r="L1228" s="1">
        <v>162.6</v>
      </c>
      <c r="M1228" s="1">
        <v>0.51400000000000001</v>
      </c>
      <c r="N1228" s="1">
        <v>0.63585999999999998</v>
      </c>
      <c r="O1228" s="1">
        <v>0.48110000000000003</v>
      </c>
      <c r="P1228" s="33">
        <v>0.50261999999999996</v>
      </c>
      <c r="Q1228" s="1">
        <v>0.54690000000000005</v>
      </c>
      <c r="R1228" s="1">
        <v>0.76910000000000001</v>
      </c>
      <c r="S1228" s="1">
        <v>0.51400000000000001</v>
      </c>
      <c r="T1228" s="1">
        <v>0.63585999999999998</v>
      </c>
      <c r="U1228" s="1">
        <v>0.82199999999999995</v>
      </c>
    </row>
    <row r="1229" spans="12:21" x14ac:dyDescent="0.25">
      <c r="L1229" s="1">
        <v>162.69999999999999</v>
      </c>
      <c r="M1229" s="1">
        <v>0.51390000000000002</v>
      </c>
      <c r="N1229" s="1">
        <v>0.63578999999999997</v>
      </c>
      <c r="O1229" s="1">
        <v>0.48099999999999998</v>
      </c>
      <c r="P1229" s="33">
        <v>0.50247999999999993</v>
      </c>
      <c r="Q1229" s="1">
        <v>0.54679999999999995</v>
      </c>
      <c r="R1229" s="1">
        <v>0.76910000000000001</v>
      </c>
      <c r="S1229" s="1">
        <v>0.51390000000000002</v>
      </c>
      <c r="T1229" s="1">
        <v>0.63578999999999997</v>
      </c>
      <c r="U1229" s="1">
        <v>0.82199999999999995</v>
      </c>
    </row>
    <row r="1230" spans="12:21" x14ac:dyDescent="0.25">
      <c r="L1230" s="1">
        <v>162.80000000000001</v>
      </c>
      <c r="M1230" s="1">
        <v>0.51384999999999992</v>
      </c>
      <c r="N1230" s="1">
        <v>0.63571999999999995</v>
      </c>
      <c r="O1230" s="1">
        <v>0.48089999999999999</v>
      </c>
      <c r="P1230" s="33">
        <v>0.5023399999999999</v>
      </c>
      <c r="Q1230" s="1">
        <v>0.54679999999999995</v>
      </c>
      <c r="R1230" s="1">
        <v>0.76910000000000001</v>
      </c>
      <c r="S1230" s="1">
        <v>0.51384999999999992</v>
      </c>
      <c r="T1230" s="1">
        <v>0.63571999999999995</v>
      </c>
      <c r="U1230" s="1">
        <v>0.82199999999999995</v>
      </c>
    </row>
    <row r="1231" spans="12:21" x14ac:dyDescent="0.25">
      <c r="L1231" s="1">
        <v>162.9</v>
      </c>
      <c r="M1231" s="1">
        <v>0.51419999999999999</v>
      </c>
      <c r="N1231" s="1">
        <v>0.63565000000000005</v>
      </c>
      <c r="O1231" s="1">
        <v>0.48170000000000002</v>
      </c>
      <c r="P1231" s="33">
        <v>0.50220000000000009</v>
      </c>
      <c r="Q1231" s="1">
        <v>0.54669999999999996</v>
      </c>
      <c r="R1231" s="1">
        <v>0.76910000000000001</v>
      </c>
      <c r="S1231" s="1">
        <v>0.51419999999999999</v>
      </c>
      <c r="T1231" s="1">
        <v>0.63565000000000005</v>
      </c>
      <c r="U1231" s="1">
        <v>0.82199999999999995</v>
      </c>
    </row>
    <row r="1232" spans="12:21" x14ac:dyDescent="0.25">
      <c r="L1232" s="1">
        <v>163</v>
      </c>
      <c r="M1232" s="1">
        <v>0.51370000000000005</v>
      </c>
      <c r="N1232" s="1">
        <v>0.63558000000000003</v>
      </c>
      <c r="O1232" s="1">
        <v>0.48070000000000002</v>
      </c>
      <c r="P1232" s="33">
        <v>0.50206000000000006</v>
      </c>
      <c r="Q1232" s="1">
        <v>0.54669999999999996</v>
      </c>
      <c r="R1232" s="1">
        <v>0.76910000000000001</v>
      </c>
      <c r="S1232" s="1">
        <v>0.51370000000000005</v>
      </c>
      <c r="T1232" s="1">
        <v>0.63558000000000003</v>
      </c>
      <c r="U1232" s="1">
        <v>0.82199999999999995</v>
      </c>
    </row>
    <row r="1233" spans="12:21" x14ac:dyDescent="0.25">
      <c r="L1233" s="1">
        <v>163.1</v>
      </c>
      <c r="M1233" s="1">
        <v>0.51360000000000006</v>
      </c>
      <c r="N1233" s="1">
        <v>0.63551000000000002</v>
      </c>
      <c r="O1233" s="1">
        <v>0.48060000000000003</v>
      </c>
      <c r="P1233" s="33">
        <v>0.50192000000000003</v>
      </c>
      <c r="Q1233" s="1">
        <v>0.54659999999999997</v>
      </c>
      <c r="R1233" s="1">
        <v>0.76910000000000001</v>
      </c>
      <c r="S1233" s="1">
        <v>0.51360000000000006</v>
      </c>
      <c r="T1233" s="1">
        <v>0.63551000000000002</v>
      </c>
      <c r="U1233" s="1">
        <v>0.82199999999999995</v>
      </c>
    </row>
    <row r="1234" spans="12:21" x14ac:dyDescent="0.25">
      <c r="L1234" s="1">
        <v>163.19999999999999</v>
      </c>
      <c r="M1234" s="1">
        <v>0.51354999999999995</v>
      </c>
      <c r="N1234" s="1">
        <v>0.63544</v>
      </c>
      <c r="O1234" s="1">
        <v>0.48049999999999998</v>
      </c>
      <c r="P1234" s="33">
        <v>0.50178</v>
      </c>
      <c r="Q1234" s="1">
        <v>0.54659999999999997</v>
      </c>
      <c r="R1234" s="1">
        <v>0.76910000000000001</v>
      </c>
      <c r="S1234" s="1">
        <v>0.51354999999999995</v>
      </c>
      <c r="T1234" s="1">
        <v>0.63544</v>
      </c>
      <c r="U1234" s="1">
        <v>0.82199999999999995</v>
      </c>
    </row>
    <row r="1235" spans="12:21" x14ac:dyDescent="0.25">
      <c r="L1235" s="1">
        <v>163.30000000000001</v>
      </c>
      <c r="M1235" s="1">
        <v>0.51349999999999996</v>
      </c>
      <c r="N1235" s="1">
        <v>0.63536999999999999</v>
      </c>
      <c r="O1235" s="1">
        <v>0.48049999999999998</v>
      </c>
      <c r="P1235" s="33">
        <v>0.50163999999999997</v>
      </c>
      <c r="Q1235" s="1">
        <v>0.54649999999999999</v>
      </c>
      <c r="R1235" s="1">
        <v>0.76910000000000001</v>
      </c>
      <c r="S1235" s="1">
        <v>0.51349999999999996</v>
      </c>
      <c r="T1235" s="1">
        <v>0.63536999999999999</v>
      </c>
      <c r="U1235" s="1">
        <v>0.82199999999999995</v>
      </c>
    </row>
    <row r="1236" spans="12:21" x14ac:dyDescent="0.25">
      <c r="L1236" s="1">
        <v>163.4</v>
      </c>
      <c r="M1236" s="1">
        <v>0.51344999999999996</v>
      </c>
      <c r="N1236" s="1">
        <v>0.63529999999999998</v>
      </c>
      <c r="O1236" s="1">
        <v>0.48039999999999999</v>
      </c>
      <c r="P1236" s="33">
        <v>0.50149999999999995</v>
      </c>
      <c r="Q1236" s="1">
        <v>0.54649999999999999</v>
      </c>
      <c r="R1236" s="1">
        <v>0.76910000000000001</v>
      </c>
      <c r="S1236" s="1">
        <v>0.51344999999999996</v>
      </c>
      <c r="T1236" s="1">
        <v>0.63529999999999998</v>
      </c>
      <c r="U1236" s="1">
        <v>0.82199999999999995</v>
      </c>
    </row>
    <row r="1237" spans="12:21" x14ac:dyDescent="0.25">
      <c r="L1237" s="1">
        <v>163.5</v>
      </c>
      <c r="M1237" s="1">
        <v>0.51334999999999997</v>
      </c>
      <c r="N1237" s="1">
        <v>0.63522999999999996</v>
      </c>
      <c r="O1237" s="1">
        <v>0.4803</v>
      </c>
      <c r="P1237" s="33">
        <v>0.50135999999999992</v>
      </c>
      <c r="Q1237" s="1">
        <v>0.5464</v>
      </c>
      <c r="R1237" s="1">
        <v>0.76910000000000001</v>
      </c>
      <c r="S1237" s="1">
        <v>0.51334999999999997</v>
      </c>
      <c r="T1237" s="1">
        <v>0.63522999999999996</v>
      </c>
      <c r="U1237" s="1">
        <v>0.82199999999999995</v>
      </c>
    </row>
    <row r="1238" spans="12:21" x14ac:dyDescent="0.25">
      <c r="L1238" s="1">
        <v>163.6</v>
      </c>
      <c r="M1238" s="1">
        <v>0.51329999999999998</v>
      </c>
      <c r="N1238" s="1">
        <v>0.63515999999999995</v>
      </c>
      <c r="O1238" s="1">
        <v>0.48020000000000002</v>
      </c>
      <c r="P1238" s="33">
        <v>0.50121999999999989</v>
      </c>
      <c r="Q1238" s="1">
        <v>0.5464</v>
      </c>
      <c r="R1238" s="1">
        <v>0.76910000000000001</v>
      </c>
      <c r="S1238" s="1">
        <v>0.51329999999999998</v>
      </c>
      <c r="T1238" s="1">
        <v>0.63515999999999995</v>
      </c>
      <c r="U1238" s="1">
        <v>0.82199999999999995</v>
      </c>
    </row>
    <row r="1239" spans="12:21" x14ac:dyDescent="0.25">
      <c r="L1239" s="1">
        <v>163.69999999999999</v>
      </c>
      <c r="M1239" s="1">
        <v>0.51319999999999999</v>
      </c>
      <c r="N1239" s="1">
        <v>0.63509000000000004</v>
      </c>
      <c r="O1239" s="1">
        <v>0.48010000000000003</v>
      </c>
      <c r="P1239" s="33">
        <v>0.50108000000000008</v>
      </c>
      <c r="Q1239" s="1">
        <v>0.54630000000000001</v>
      </c>
      <c r="R1239" s="1">
        <v>0.76910000000000001</v>
      </c>
      <c r="S1239" s="1">
        <v>0.51319999999999999</v>
      </c>
      <c r="T1239" s="1">
        <v>0.63509000000000004</v>
      </c>
      <c r="U1239" s="1">
        <v>0.82199999999999995</v>
      </c>
    </row>
    <row r="1240" spans="12:21" x14ac:dyDescent="0.25">
      <c r="L1240" s="1">
        <v>163.80000000000001</v>
      </c>
      <c r="M1240" s="1">
        <v>0.51315</v>
      </c>
      <c r="N1240" s="1">
        <v>0.63502000000000003</v>
      </c>
      <c r="O1240" s="1">
        <v>0.48</v>
      </c>
      <c r="P1240" s="33">
        <v>0.50094000000000005</v>
      </c>
      <c r="Q1240" s="1">
        <v>0.54630000000000001</v>
      </c>
      <c r="R1240" s="1">
        <v>0.76910000000000001</v>
      </c>
      <c r="S1240" s="1">
        <v>0.51315</v>
      </c>
      <c r="T1240" s="1">
        <v>0.63502000000000003</v>
      </c>
      <c r="U1240" s="1">
        <v>0.82199999999999995</v>
      </c>
    </row>
    <row r="1241" spans="12:21" x14ac:dyDescent="0.25">
      <c r="L1241" s="1">
        <v>163.9</v>
      </c>
      <c r="M1241" s="1">
        <v>0.51350000000000007</v>
      </c>
      <c r="N1241" s="1">
        <v>0.63495000000000001</v>
      </c>
      <c r="O1241" s="1">
        <v>0.48080000000000001</v>
      </c>
      <c r="P1241" s="33">
        <v>0.50080000000000002</v>
      </c>
      <c r="Q1241" s="1">
        <v>0.54620000000000002</v>
      </c>
      <c r="R1241" s="1">
        <v>0.76910000000000001</v>
      </c>
      <c r="S1241" s="1">
        <v>0.51350000000000007</v>
      </c>
      <c r="T1241" s="1">
        <v>0.63495000000000001</v>
      </c>
      <c r="U1241" s="1">
        <v>0.82199999999999995</v>
      </c>
    </row>
    <row r="1242" spans="12:21" x14ac:dyDescent="0.25">
      <c r="L1242" s="1">
        <v>164</v>
      </c>
      <c r="M1242" s="1">
        <v>0.51300000000000001</v>
      </c>
      <c r="N1242" s="1">
        <v>0.63488</v>
      </c>
      <c r="O1242" s="1">
        <v>0.4798</v>
      </c>
      <c r="P1242" s="33">
        <v>0.50065999999999999</v>
      </c>
      <c r="Q1242" s="1">
        <v>0.54620000000000002</v>
      </c>
      <c r="R1242" s="1">
        <v>0.76910000000000001</v>
      </c>
      <c r="S1242" s="1">
        <v>0.51300000000000001</v>
      </c>
      <c r="T1242" s="1">
        <v>0.63488</v>
      </c>
      <c r="U1242" s="1">
        <v>0.82199999999999995</v>
      </c>
    </row>
    <row r="1243" spans="12:21" x14ac:dyDescent="0.25">
      <c r="L1243" s="1">
        <v>164.1</v>
      </c>
      <c r="M1243" s="1">
        <v>0.51290000000000002</v>
      </c>
      <c r="N1243" s="1">
        <v>0.63480999999999999</v>
      </c>
      <c r="O1243" s="1">
        <v>0.47970000000000002</v>
      </c>
      <c r="P1243" s="33">
        <v>0.50051999999999996</v>
      </c>
      <c r="Q1243" s="1">
        <v>0.54610000000000003</v>
      </c>
      <c r="R1243" s="1">
        <v>0.76910000000000001</v>
      </c>
      <c r="S1243" s="1">
        <v>0.51290000000000002</v>
      </c>
      <c r="T1243" s="1">
        <v>0.63480999999999999</v>
      </c>
      <c r="U1243" s="1">
        <v>0.8216</v>
      </c>
    </row>
    <row r="1244" spans="12:21" x14ac:dyDescent="0.25">
      <c r="L1244" s="1">
        <v>164.2</v>
      </c>
      <c r="M1244" s="1">
        <v>0.51285000000000003</v>
      </c>
      <c r="N1244" s="1">
        <v>0.63473999999999997</v>
      </c>
      <c r="O1244" s="1">
        <v>0.47960000000000003</v>
      </c>
      <c r="P1244" s="33">
        <v>0.50037999999999994</v>
      </c>
      <c r="Q1244" s="1">
        <v>0.54610000000000003</v>
      </c>
      <c r="R1244" s="1">
        <v>0.76910000000000001</v>
      </c>
      <c r="S1244" s="1">
        <v>0.51285000000000003</v>
      </c>
      <c r="T1244" s="1">
        <v>0.63473999999999997</v>
      </c>
      <c r="U1244" s="1">
        <v>0.82119999999999993</v>
      </c>
    </row>
    <row r="1245" spans="12:21" x14ac:dyDescent="0.25">
      <c r="L1245" s="1">
        <v>164.3</v>
      </c>
      <c r="M1245" s="1">
        <v>0.51280000000000003</v>
      </c>
      <c r="N1245" s="1">
        <v>0.63466999999999996</v>
      </c>
      <c r="O1245" s="1">
        <v>0.47960000000000003</v>
      </c>
      <c r="P1245" s="33">
        <v>0.50023999999999991</v>
      </c>
      <c r="Q1245" s="1">
        <v>0.54600000000000004</v>
      </c>
      <c r="R1245" s="1">
        <v>0.76910000000000001</v>
      </c>
      <c r="S1245" s="1">
        <v>0.51280000000000003</v>
      </c>
      <c r="T1245" s="1">
        <v>0.63466999999999996</v>
      </c>
      <c r="U1245" s="1">
        <v>0.82099999999999995</v>
      </c>
    </row>
    <row r="1246" spans="12:21" x14ac:dyDescent="0.25">
      <c r="L1246" s="1">
        <v>164.4</v>
      </c>
      <c r="M1246" s="1">
        <v>0.51275000000000004</v>
      </c>
      <c r="N1246" s="1">
        <v>0.63460000000000005</v>
      </c>
      <c r="O1246" s="1">
        <v>0.47949999999999998</v>
      </c>
      <c r="P1246" s="33">
        <v>0.5001000000000001</v>
      </c>
      <c r="Q1246" s="1">
        <v>0.54600000000000004</v>
      </c>
      <c r="R1246" s="1">
        <v>0.76910000000000001</v>
      </c>
      <c r="S1246" s="1">
        <v>0.51275000000000004</v>
      </c>
      <c r="T1246" s="1">
        <v>0.63460000000000005</v>
      </c>
      <c r="U1246" s="1">
        <v>0.82099999999999995</v>
      </c>
    </row>
    <row r="1247" spans="12:21" x14ac:dyDescent="0.25">
      <c r="L1247" s="1">
        <v>164.5</v>
      </c>
      <c r="M1247" s="1">
        <v>0.51265000000000005</v>
      </c>
      <c r="N1247" s="1">
        <v>0.63453000000000004</v>
      </c>
      <c r="O1247" s="1">
        <v>0.47939999999999999</v>
      </c>
      <c r="P1247" s="33">
        <v>0.49996000000000007</v>
      </c>
      <c r="Q1247" s="1">
        <v>0.54590000000000005</v>
      </c>
      <c r="R1247" s="1">
        <v>0.76910000000000001</v>
      </c>
      <c r="S1247" s="1">
        <v>0.51265000000000005</v>
      </c>
      <c r="T1247" s="1">
        <v>0.63453000000000004</v>
      </c>
      <c r="U1247" s="1">
        <v>0.82099999999999995</v>
      </c>
    </row>
    <row r="1248" spans="12:21" x14ac:dyDescent="0.25">
      <c r="L1248" s="1">
        <v>164.6</v>
      </c>
      <c r="M1248" s="1">
        <v>0.51260000000000006</v>
      </c>
      <c r="N1248" s="1">
        <v>0.63446000000000002</v>
      </c>
      <c r="O1248" s="1">
        <v>0.4793</v>
      </c>
      <c r="P1248" s="33">
        <v>0.49982000000000004</v>
      </c>
      <c r="Q1248" s="1">
        <v>0.54590000000000005</v>
      </c>
      <c r="R1248" s="1">
        <v>0.76910000000000001</v>
      </c>
      <c r="S1248" s="1">
        <v>0.51260000000000006</v>
      </c>
      <c r="T1248" s="1">
        <v>0.63446000000000002</v>
      </c>
      <c r="U1248" s="1">
        <v>0.82099999999999995</v>
      </c>
    </row>
    <row r="1249" spans="12:21" x14ac:dyDescent="0.25">
      <c r="L1249" s="1">
        <v>164.7</v>
      </c>
      <c r="M1249" s="1">
        <v>0.51249999999999996</v>
      </c>
      <c r="N1249" s="1">
        <v>0.63439000000000001</v>
      </c>
      <c r="O1249" s="1">
        <v>0.47920000000000001</v>
      </c>
      <c r="P1249" s="33">
        <v>0.49968000000000001</v>
      </c>
      <c r="Q1249" s="1">
        <v>0.54579999999999995</v>
      </c>
      <c r="R1249" s="1">
        <v>0.76910000000000001</v>
      </c>
      <c r="S1249" s="1">
        <v>0.51249999999999996</v>
      </c>
      <c r="T1249" s="1">
        <v>0.63439000000000001</v>
      </c>
      <c r="U1249" s="1">
        <v>0.82099999999999995</v>
      </c>
    </row>
    <row r="1250" spans="12:21" x14ac:dyDescent="0.25">
      <c r="L1250" s="1">
        <v>164.8</v>
      </c>
      <c r="M1250" s="1">
        <v>0.51244999999999996</v>
      </c>
      <c r="N1250" s="1">
        <v>0.63431999999999999</v>
      </c>
      <c r="O1250" s="1">
        <v>0.47910000000000003</v>
      </c>
      <c r="P1250" s="33">
        <v>0.49953999999999998</v>
      </c>
      <c r="Q1250" s="1">
        <v>0.54579999999999995</v>
      </c>
      <c r="R1250" s="1">
        <v>0.76910000000000001</v>
      </c>
      <c r="S1250" s="1">
        <v>0.51244999999999996</v>
      </c>
      <c r="T1250" s="1">
        <v>0.63431999999999999</v>
      </c>
      <c r="U1250" s="1">
        <v>0.82099999999999995</v>
      </c>
    </row>
    <row r="1251" spans="12:21" x14ac:dyDescent="0.25">
      <c r="L1251" s="1">
        <v>164.9</v>
      </c>
      <c r="M1251" s="1">
        <v>0.51279999999999992</v>
      </c>
      <c r="N1251" s="1">
        <v>0.63424999999999998</v>
      </c>
      <c r="O1251" s="1">
        <v>0.47989999999999999</v>
      </c>
      <c r="P1251" s="33">
        <v>0.49939999999999996</v>
      </c>
      <c r="Q1251" s="1">
        <v>0.54569999999999996</v>
      </c>
      <c r="R1251" s="1">
        <v>0.76910000000000001</v>
      </c>
      <c r="S1251" s="1">
        <v>0.51279999999999992</v>
      </c>
      <c r="T1251" s="1">
        <v>0.63424999999999998</v>
      </c>
      <c r="U1251" s="1">
        <v>0.82099999999999995</v>
      </c>
    </row>
    <row r="1252" spans="12:21" x14ac:dyDescent="0.25">
      <c r="L1252" s="1">
        <v>165</v>
      </c>
      <c r="M1252" s="1">
        <v>0.51229999999999998</v>
      </c>
      <c r="N1252" s="1">
        <v>0.63419000000000003</v>
      </c>
      <c r="O1252" s="1">
        <v>0.47889999999999999</v>
      </c>
      <c r="P1252" s="33">
        <v>0.49928000000000006</v>
      </c>
      <c r="Q1252" s="1">
        <v>0.54569999999999996</v>
      </c>
      <c r="R1252" s="1">
        <v>0.76910000000000001</v>
      </c>
      <c r="S1252" s="1">
        <v>0.51229999999999998</v>
      </c>
      <c r="T1252" s="1">
        <v>0.63419000000000003</v>
      </c>
      <c r="U1252" s="1">
        <v>0.82099999999999995</v>
      </c>
    </row>
    <row r="1253" spans="12:21" x14ac:dyDescent="0.25">
      <c r="L1253" s="1">
        <v>165.1</v>
      </c>
      <c r="M1253" s="1">
        <v>0.51219999999999999</v>
      </c>
      <c r="N1253" s="1">
        <v>0.63412000000000002</v>
      </c>
      <c r="O1253" s="1">
        <v>0.4788</v>
      </c>
      <c r="P1253" s="33">
        <v>0.49914000000000003</v>
      </c>
      <c r="Q1253" s="1">
        <v>0.54559999999999997</v>
      </c>
      <c r="R1253" s="1">
        <v>0.76910000000000001</v>
      </c>
      <c r="S1253" s="1">
        <v>0.51219999999999999</v>
      </c>
      <c r="T1253" s="1">
        <v>0.63412000000000002</v>
      </c>
      <c r="U1253" s="1">
        <v>0.82099999999999995</v>
      </c>
    </row>
    <row r="1254" spans="12:21" x14ac:dyDescent="0.25">
      <c r="L1254" s="1">
        <v>165.2</v>
      </c>
      <c r="M1254" s="1">
        <v>0.51214999999999999</v>
      </c>
      <c r="N1254" s="1">
        <v>0.63405999999999996</v>
      </c>
      <c r="O1254" s="1">
        <v>0.47870000000000001</v>
      </c>
      <c r="P1254" s="33">
        <v>0.49901999999999991</v>
      </c>
      <c r="Q1254" s="1">
        <v>0.54559999999999997</v>
      </c>
      <c r="R1254" s="1">
        <v>0.76910000000000001</v>
      </c>
      <c r="S1254" s="1">
        <v>0.51214999999999999</v>
      </c>
      <c r="T1254" s="1">
        <v>0.63405999999999996</v>
      </c>
      <c r="U1254" s="1">
        <v>0.82099999999999995</v>
      </c>
    </row>
    <row r="1255" spans="12:21" x14ac:dyDescent="0.25">
      <c r="L1255" s="1">
        <v>165.3</v>
      </c>
      <c r="M1255" s="1">
        <v>0.5121</v>
      </c>
      <c r="N1255" s="1">
        <v>0.63399000000000005</v>
      </c>
      <c r="O1255" s="1">
        <v>0.47870000000000001</v>
      </c>
      <c r="P1255" s="33">
        <v>0.4988800000000001</v>
      </c>
      <c r="Q1255" s="1">
        <v>0.54549999999999998</v>
      </c>
      <c r="R1255" s="1">
        <v>0.76910000000000001</v>
      </c>
      <c r="S1255" s="1">
        <v>0.5121</v>
      </c>
      <c r="T1255" s="1">
        <v>0.63399000000000005</v>
      </c>
      <c r="U1255" s="1">
        <v>0.82099999999999995</v>
      </c>
    </row>
    <row r="1256" spans="12:21" x14ac:dyDescent="0.25">
      <c r="L1256" s="1">
        <v>165.4</v>
      </c>
      <c r="M1256" s="1">
        <v>0.51205000000000001</v>
      </c>
      <c r="N1256" s="1">
        <v>0.63392999999999999</v>
      </c>
      <c r="O1256" s="1">
        <v>0.47860000000000003</v>
      </c>
      <c r="P1256" s="33">
        <v>0.49875999999999998</v>
      </c>
      <c r="Q1256" s="1">
        <v>0.54549999999999998</v>
      </c>
      <c r="R1256" s="1">
        <v>0.76910000000000001</v>
      </c>
      <c r="S1256" s="1">
        <v>0.51205000000000001</v>
      </c>
      <c r="T1256" s="1">
        <v>0.63392999999999999</v>
      </c>
      <c r="U1256" s="1">
        <v>0.82099999999999995</v>
      </c>
    </row>
    <row r="1257" spans="12:21" x14ac:dyDescent="0.25">
      <c r="L1257" s="1">
        <v>165.5</v>
      </c>
      <c r="M1257" s="1">
        <v>0.51195000000000002</v>
      </c>
      <c r="N1257" s="1">
        <v>0.63385999999999998</v>
      </c>
      <c r="O1257" s="1">
        <v>0.47849999999999998</v>
      </c>
      <c r="P1257" s="33">
        <v>0.49861999999999995</v>
      </c>
      <c r="Q1257" s="1">
        <v>0.5454</v>
      </c>
      <c r="R1257" s="1">
        <v>0.76910000000000001</v>
      </c>
      <c r="S1257" s="1">
        <v>0.51195000000000002</v>
      </c>
      <c r="T1257" s="1">
        <v>0.63385999999999998</v>
      </c>
      <c r="U1257" s="1">
        <v>0.82099999999999995</v>
      </c>
    </row>
    <row r="1258" spans="12:21" x14ac:dyDescent="0.25">
      <c r="L1258" s="1">
        <v>165.6</v>
      </c>
      <c r="M1258" s="1">
        <v>0.51190000000000002</v>
      </c>
      <c r="N1258" s="1">
        <v>0.63380000000000003</v>
      </c>
      <c r="O1258" s="1">
        <v>0.47839999999999999</v>
      </c>
      <c r="P1258" s="33">
        <v>0.49850000000000005</v>
      </c>
      <c r="Q1258" s="1">
        <v>0.5454</v>
      </c>
      <c r="R1258" s="1">
        <v>0.76910000000000001</v>
      </c>
      <c r="S1258" s="1">
        <v>0.51190000000000002</v>
      </c>
      <c r="T1258" s="1">
        <v>0.63380000000000003</v>
      </c>
      <c r="U1258" s="1">
        <v>0.82099999999999995</v>
      </c>
    </row>
    <row r="1259" spans="12:21" x14ac:dyDescent="0.25">
      <c r="L1259" s="1">
        <v>165.7</v>
      </c>
      <c r="M1259" s="1">
        <v>0.51180000000000003</v>
      </c>
      <c r="N1259" s="1">
        <v>0.63373000000000002</v>
      </c>
      <c r="O1259" s="1">
        <v>0.4783</v>
      </c>
      <c r="P1259" s="33">
        <v>0.49836000000000003</v>
      </c>
      <c r="Q1259" s="1">
        <v>0.54530000000000001</v>
      </c>
      <c r="R1259" s="1">
        <v>0.76910000000000001</v>
      </c>
      <c r="S1259" s="1">
        <v>0.51180000000000003</v>
      </c>
      <c r="T1259" s="1">
        <v>0.63373000000000002</v>
      </c>
      <c r="U1259" s="1">
        <v>0.82099999999999995</v>
      </c>
    </row>
    <row r="1260" spans="12:21" x14ac:dyDescent="0.25">
      <c r="L1260" s="1">
        <v>165.8</v>
      </c>
      <c r="M1260" s="1">
        <v>0.51175000000000004</v>
      </c>
      <c r="N1260" s="1">
        <v>0.63366999999999996</v>
      </c>
      <c r="O1260" s="1">
        <v>0.47820000000000001</v>
      </c>
      <c r="P1260" s="33">
        <v>0.49823999999999991</v>
      </c>
      <c r="Q1260" s="1">
        <v>0.54530000000000001</v>
      </c>
      <c r="R1260" s="1">
        <v>0.76910000000000001</v>
      </c>
      <c r="S1260" s="1">
        <v>0.51175000000000004</v>
      </c>
      <c r="T1260" s="1">
        <v>0.63366999999999996</v>
      </c>
      <c r="U1260" s="1">
        <v>0.82079999999999997</v>
      </c>
    </row>
    <row r="1261" spans="12:21" x14ac:dyDescent="0.25">
      <c r="L1261" s="1">
        <v>165.9</v>
      </c>
      <c r="M1261" s="1">
        <v>0.5121</v>
      </c>
      <c r="N1261" s="1">
        <v>0.63360000000000005</v>
      </c>
      <c r="O1261" s="1">
        <v>0.47899999999999998</v>
      </c>
      <c r="P1261" s="33">
        <v>0.4981000000000001</v>
      </c>
      <c r="Q1261" s="1">
        <v>0.54520000000000002</v>
      </c>
      <c r="R1261" s="1">
        <v>0.76910000000000001</v>
      </c>
      <c r="S1261" s="1">
        <v>0.5121</v>
      </c>
      <c r="T1261" s="1">
        <v>0.63360000000000005</v>
      </c>
      <c r="U1261" s="1">
        <v>0.82039999999999991</v>
      </c>
    </row>
    <row r="1262" spans="12:21" x14ac:dyDescent="0.25">
      <c r="L1262" s="1">
        <v>166</v>
      </c>
      <c r="M1262" s="1">
        <v>0.51172499999999999</v>
      </c>
      <c r="N1262" s="1">
        <v>0.63353999999999999</v>
      </c>
      <c r="O1262" s="1">
        <v>0.47824999999999995</v>
      </c>
      <c r="P1262" s="33">
        <v>0.49797999999999998</v>
      </c>
      <c r="Q1262" s="1">
        <v>0.54520000000000002</v>
      </c>
      <c r="R1262" s="1">
        <v>0.76910000000000001</v>
      </c>
      <c r="S1262" s="1">
        <v>0.51172499999999999</v>
      </c>
      <c r="T1262" s="1">
        <v>0.63353999999999999</v>
      </c>
      <c r="U1262" s="1">
        <v>0.82</v>
      </c>
    </row>
    <row r="1263" spans="12:21" x14ac:dyDescent="0.25">
      <c r="L1263" s="1">
        <v>166.1</v>
      </c>
      <c r="M1263" s="1">
        <v>0.51163499999999995</v>
      </c>
      <c r="N1263" s="1">
        <v>0.63346999999999998</v>
      </c>
      <c r="O1263" s="1">
        <v>0.47816999999999987</v>
      </c>
      <c r="P1263" s="33">
        <v>0.49783999999999995</v>
      </c>
      <c r="Q1263" s="1">
        <v>0.54510000000000003</v>
      </c>
      <c r="R1263" s="1">
        <v>0.76910000000000001</v>
      </c>
      <c r="S1263" s="1">
        <v>0.51163499999999995</v>
      </c>
      <c r="T1263" s="1">
        <v>0.63346999999999998</v>
      </c>
      <c r="U1263" s="1">
        <v>0.82</v>
      </c>
    </row>
    <row r="1264" spans="12:21" x14ac:dyDescent="0.25">
      <c r="L1264" s="1">
        <v>166.2</v>
      </c>
      <c r="M1264" s="1">
        <v>0.51159500000000002</v>
      </c>
      <c r="N1264" s="1">
        <v>0.63341000000000003</v>
      </c>
      <c r="O1264" s="1">
        <v>0.47809000000000001</v>
      </c>
      <c r="P1264" s="33">
        <v>0.49772000000000005</v>
      </c>
      <c r="Q1264" s="1">
        <v>0.54510000000000003</v>
      </c>
      <c r="R1264" s="1">
        <v>0.76910000000000001</v>
      </c>
      <c r="S1264" s="1">
        <v>0.51159500000000002</v>
      </c>
      <c r="T1264" s="1">
        <v>0.63341000000000003</v>
      </c>
      <c r="U1264" s="1">
        <v>0.82</v>
      </c>
    </row>
    <row r="1265" spans="12:21" x14ac:dyDescent="0.25">
      <c r="L1265" s="1">
        <v>166.3</v>
      </c>
      <c r="M1265" s="1">
        <v>0.51150499999999999</v>
      </c>
      <c r="N1265" s="1">
        <v>0.63334000000000001</v>
      </c>
      <c r="O1265" s="1">
        <v>0.47800999999999993</v>
      </c>
      <c r="P1265" s="33">
        <v>0.49758000000000002</v>
      </c>
      <c r="Q1265" s="1">
        <v>0.54500000000000004</v>
      </c>
      <c r="R1265" s="1">
        <v>0.76910000000000001</v>
      </c>
      <c r="S1265" s="1">
        <v>0.51150499999999999</v>
      </c>
      <c r="T1265" s="1">
        <v>0.63334000000000001</v>
      </c>
      <c r="U1265" s="1">
        <v>0.82</v>
      </c>
    </row>
    <row r="1266" spans="12:21" x14ac:dyDescent="0.25">
      <c r="L1266" s="1">
        <v>166.4</v>
      </c>
      <c r="M1266" s="1">
        <v>0.51146499999999995</v>
      </c>
      <c r="N1266" s="1">
        <v>0.63327999999999995</v>
      </c>
      <c r="O1266" s="1">
        <v>0.47792999999999985</v>
      </c>
      <c r="P1266" s="33">
        <v>0.4974599999999999</v>
      </c>
      <c r="Q1266" s="1">
        <v>0.54500000000000004</v>
      </c>
      <c r="R1266" s="1">
        <v>0.76910000000000001</v>
      </c>
      <c r="S1266" s="1">
        <v>0.51146499999999995</v>
      </c>
      <c r="T1266" s="1">
        <v>0.63327999999999995</v>
      </c>
      <c r="U1266" s="1">
        <v>0.82</v>
      </c>
    </row>
    <row r="1267" spans="12:21" x14ac:dyDescent="0.25">
      <c r="L1267" s="1">
        <v>166.5</v>
      </c>
      <c r="M1267" s="1">
        <v>0.51137500000000002</v>
      </c>
      <c r="N1267" s="1">
        <v>0.63321000000000005</v>
      </c>
      <c r="O1267" s="1">
        <v>0.47785</v>
      </c>
      <c r="P1267" s="33">
        <v>0.4973200000000001</v>
      </c>
      <c r="Q1267" s="1">
        <v>0.54490000000000005</v>
      </c>
      <c r="R1267" s="1">
        <v>0.76910000000000001</v>
      </c>
      <c r="S1267" s="1">
        <v>0.51137500000000002</v>
      </c>
      <c r="T1267" s="1">
        <v>0.63321000000000005</v>
      </c>
      <c r="U1267" s="1">
        <v>0.82</v>
      </c>
    </row>
    <row r="1268" spans="12:21" x14ac:dyDescent="0.25">
      <c r="L1268" s="1">
        <v>166.6</v>
      </c>
      <c r="M1268" s="1">
        <v>0.51133499999999998</v>
      </c>
      <c r="N1268" s="1">
        <v>0.63314999999999999</v>
      </c>
      <c r="O1268" s="1">
        <v>0.47776999999999992</v>
      </c>
      <c r="P1268" s="33">
        <v>0.49719999999999998</v>
      </c>
      <c r="Q1268" s="1">
        <v>0.54490000000000005</v>
      </c>
      <c r="R1268" s="1">
        <v>0.76910000000000001</v>
      </c>
      <c r="S1268" s="1">
        <v>0.51133499999999998</v>
      </c>
      <c r="T1268" s="1">
        <v>0.63314999999999999</v>
      </c>
      <c r="U1268" s="1">
        <v>0.82</v>
      </c>
    </row>
    <row r="1269" spans="12:21" x14ac:dyDescent="0.25">
      <c r="L1269" s="1">
        <v>166.7</v>
      </c>
      <c r="M1269" s="1">
        <v>0.51124499999999995</v>
      </c>
      <c r="N1269" s="1">
        <v>0.63307999999999998</v>
      </c>
      <c r="O1269" s="1">
        <v>0.47768999999999995</v>
      </c>
      <c r="P1269" s="33">
        <v>0.49705999999999995</v>
      </c>
      <c r="Q1269" s="1">
        <v>0.54479999999999995</v>
      </c>
      <c r="R1269" s="1">
        <v>0.76910000000000001</v>
      </c>
      <c r="S1269" s="1">
        <v>0.51124499999999995</v>
      </c>
      <c r="T1269" s="1">
        <v>0.63307999999999998</v>
      </c>
      <c r="U1269" s="1">
        <v>0.82</v>
      </c>
    </row>
    <row r="1270" spans="12:21" x14ac:dyDescent="0.25">
      <c r="L1270" s="1">
        <v>166.8</v>
      </c>
      <c r="M1270" s="1">
        <v>0.51120500000000002</v>
      </c>
      <c r="N1270" s="1">
        <v>0.63302000000000003</v>
      </c>
      <c r="O1270" s="1">
        <v>0.47761000000000009</v>
      </c>
      <c r="P1270" s="33">
        <v>0.49694000000000005</v>
      </c>
      <c r="Q1270" s="1">
        <v>0.54479999999999995</v>
      </c>
      <c r="R1270" s="1">
        <v>0.76910000000000001</v>
      </c>
      <c r="S1270" s="1">
        <v>0.51120500000000002</v>
      </c>
      <c r="T1270" s="1">
        <v>0.63302000000000003</v>
      </c>
      <c r="U1270" s="1">
        <v>0.82</v>
      </c>
    </row>
    <row r="1271" spans="12:21" x14ac:dyDescent="0.25">
      <c r="L1271" s="1">
        <v>166.9</v>
      </c>
      <c r="M1271" s="1">
        <v>0.51111499999999999</v>
      </c>
      <c r="N1271" s="1">
        <v>0.63295000000000001</v>
      </c>
      <c r="O1271" s="1">
        <v>0.47753000000000001</v>
      </c>
      <c r="P1271" s="33">
        <v>0.49680000000000002</v>
      </c>
      <c r="Q1271" s="1">
        <v>0.54469999999999996</v>
      </c>
      <c r="R1271" s="1">
        <v>0.76910000000000001</v>
      </c>
      <c r="S1271" s="1">
        <v>0.51111499999999999</v>
      </c>
      <c r="T1271" s="1">
        <v>0.63295000000000001</v>
      </c>
      <c r="U1271" s="1">
        <v>0.82</v>
      </c>
    </row>
    <row r="1272" spans="12:21" x14ac:dyDescent="0.25">
      <c r="L1272" s="1">
        <v>167</v>
      </c>
      <c r="M1272" s="1">
        <v>0.51107499999999995</v>
      </c>
      <c r="N1272" s="1">
        <v>0.63292000000000004</v>
      </c>
      <c r="O1272" s="1">
        <v>0.47744999999999993</v>
      </c>
      <c r="P1272" s="33">
        <v>0.49674000000000007</v>
      </c>
      <c r="Q1272" s="1">
        <v>0.54469999999999996</v>
      </c>
      <c r="R1272" s="1">
        <v>0.76910000000000001</v>
      </c>
      <c r="S1272" s="1">
        <v>0.51107499999999995</v>
      </c>
      <c r="T1272" s="1">
        <v>0.63292000000000004</v>
      </c>
      <c r="U1272" s="1">
        <v>0.82</v>
      </c>
    </row>
    <row r="1273" spans="12:21" x14ac:dyDescent="0.25">
      <c r="L1273" s="1">
        <v>167.1</v>
      </c>
      <c r="M1273" s="1">
        <v>0.51098500000000002</v>
      </c>
      <c r="N1273" s="1">
        <v>0.63292000000000004</v>
      </c>
      <c r="O1273" s="1">
        <v>0.47737000000000007</v>
      </c>
      <c r="P1273" s="33">
        <v>0.49674000000000007</v>
      </c>
      <c r="Q1273" s="1">
        <v>0.54459999999999997</v>
      </c>
      <c r="R1273" s="1">
        <v>0.76910000000000001</v>
      </c>
      <c r="S1273" s="1">
        <v>0.51098500000000002</v>
      </c>
      <c r="T1273" s="1">
        <v>0.63292000000000004</v>
      </c>
      <c r="U1273" s="1">
        <v>0.82</v>
      </c>
    </row>
    <row r="1274" spans="12:21" x14ac:dyDescent="0.25">
      <c r="L1274" s="1">
        <v>167.2</v>
      </c>
      <c r="M1274" s="1">
        <v>0.51094499999999998</v>
      </c>
      <c r="N1274" s="1">
        <v>0.63292000000000004</v>
      </c>
      <c r="O1274" s="1">
        <v>0.47728999999999999</v>
      </c>
      <c r="P1274" s="33">
        <v>0.49674000000000007</v>
      </c>
      <c r="Q1274" s="1">
        <v>0.54459999999999997</v>
      </c>
      <c r="R1274" s="1">
        <v>0.76910000000000001</v>
      </c>
      <c r="S1274" s="1">
        <v>0.51094499999999998</v>
      </c>
      <c r="T1274" s="1">
        <v>0.63292000000000004</v>
      </c>
      <c r="U1274" s="1">
        <v>0.82</v>
      </c>
    </row>
    <row r="1275" spans="12:21" x14ac:dyDescent="0.25">
      <c r="L1275" s="1">
        <v>167.3</v>
      </c>
      <c r="M1275" s="1">
        <v>0.51085499999999995</v>
      </c>
      <c r="N1275" s="1">
        <v>0.63268999999999997</v>
      </c>
      <c r="O1275" s="1">
        <v>0.47720999999999991</v>
      </c>
      <c r="P1275" s="33">
        <v>0.49627999999999994</v>
      </c>
      <c r="Q1275" s="1">
        <v>0.54449999999999998</v>
      </c>
      <c r="R1275" s="1">
        <v>0.76910000000000001</v>
      </c>
      <c r="S1275" s="1">
        <v>0.51085499999999995</v>
      </c>
      <c r="T1275" s="1">
        <v>0.63268999999999997</v>
      </c>
      <c r="U1275" s="1">
        <v>0.82</v>
      </c>
    </row>
    <row r="1276" spans="12:21" x14ac:dyDescent="0.25">
      <c r="L1276" s="1">
        <v>167.4</v>
      </c>
      <c r="M1276" s="1">
        <v>0.51081500000000002</v>
      </c>
      <c r="N1276" s="1">
        <v>0.63263000000000003</v>
      </c>
      <c r="O1276" s="1">
        <v>0.47713000000000005</v>
      </c>
      <c r="P1276" s="33">
        <v>0.49616000000000005</v>
      </c>
      <c r="Q1276" s="1">
        <v>0.54449999999999998</v>
      </c>
      <c r="R1276" s="1">
        <v>0.76910000000000001</v>
      </c>
      <c r="S1276" s="1">
        <v>0.51081500000000002</v>
      </c>
      <c r="T1276" s="1">
        <v>0.63263000000000003</v>
      </c>
      <c r="U1276" s="1">
        <v>0.82</v>
      </c>
    </row>
    <row r="1277" spans="12:21" x14ac:dyDescent="0.25">
      <c r="L1277" s="1">
        <v>167.5</v>
      </c>
      <c r="M1277" s="1">
        <v>0.51072499999999998</v>
      </c>
      <c r="N1277" s="1">
        <v>0.63256000000000001</v>
      </c>
      <c r="O1277" s="1">
        <v>0.47704999999999997</v>
      </c>
      <c r="P1277" s="33">
        <v>0.49602000000000002</v>
      </c>
      <c r="Q1277" s="1">
        <v>0.5444</v>
      </c>
      <c r="R1277" s="1">
        <v>0.76910000000000001</v>
      </c>
      <c r="S1277" s="1">
        <v>0.51072499999999998</v>
      </c>
      <c r="T1277" s="1">
        <v>0.63256000000000001</v>
      </c>
      <c r="U1277" s="1">
        <v>0.82</v>
      </c>
    </row>
    <row r="1278" spans="12:21" x14ac:dyDescent="0.25">
      <c r="L1278" s="1">
        <v>167.6</v>
      </c>
      <c r="M1278" s="1">
        <v>0.51068499999999994</v>
      </c>
      <c r="N1278" s="1">
        <v>0.63249999999999995</v>
      </c>
      <c r="O1278" s="1">
        <v>0.47696999999999989</v>
      </c>
      <c r="P1278" s="33">
        <v>0.4958999999999999</v>
      </c>
      <c r="Q1278" s="1">
        <v>0.5444</v>
      </c>
      <c r="R1278" s="1">
        <v>0.76910000000000001</v>
      </c>
      <c r="S1278" s="1">
        <v>0.51068499999999994</v>
      </c>
      <c r="T1278" s="1">
        <v>0.63249999999999995</v>
      </c>
      <c r="U1278" s="1">
        <v>0.8196</v>
      </c>
    </row>
    <row r="1279" spans="12:21" x14ac:dyDescent="0.25">
      <c r="L1279" s="1">
        <v>167.7</v>
      </c>
      <c r="M1279" s="1">
        <v>0.51059500000000002</v>
      </c>
      <c r="N1279" s="1">
        <v>0.63243000000000005</v>
      </c>
      <c r="O1279" s="1">
        <v>0.47689000000000004</v>
      </c>
      <c r="P1279" s="33">
        <v>0.49576000000000009</v>
      </c>
      <c r="Q1279" s="1">
        <v>0.54430000000000001</v>
      </c>
      <c r="R1279" s="1">
        <v>0.76910000000000001</v>
      </c>
      <c r="S1279" s="1">
        <v>0.51059500000000002</v>
      </c>
      <c r="T1279" s="1">
        <v>0.63243000000000005</v>
      </c>
      <c r="U1279" s="1">
        <v>0.81919999999999993</v>
      </c>
    </row>
    <row r="1280" spans="12:21" x14ac:dyDescent="0.25">
      <c r="L1280" s="1">
        <v>167.8</v>
      </c>
      <c r="M1280" s="1">
        <v>0.51055499999999998</v>
      </c>
      <c r="N1280" s="1">
        <v>0.63236999999999999</v>
      </c>
      <c r="O1280" s="1">
        <v>0.47680999999999996</v>
      </c>
      <c r="P1280" s="33">
        <v>0.49563999999999997</v>
      </c>
      <c r="Q1280" s="1">
        <v>0.54430000000000001</v>
      </c>
      <c r="R1280" s="1">
        <v>0.76910000000000001</v>
      </c>
      <c r="S1280" s="1">
        <v>0.51055499999999998</v>
      </c>
      <c r="T1280" s="1">
        <v>0.63236999999999999</v>
      </c>
      <c r="U1280" s="1">
        <v>0.81899999999999995</v>
      </c>
    </row>
    <row r="1281" spans="12:21" x14ac:dyDescent="0.25">
      <c r="L1281" s="1">
        <v>167.9</v>
      </c>
      <c r="M1281" s="1">
        <v>0.51046499999999995</v>
      </c>
      <c r="N1281" s="1">
        <v>0.63229999999999997</v>
      </c>
      <c r="O1281" s="1">
        <v>0.47672999999999988</v>
      </c>
      <c r="P1281" s="33">
        <v>0.49549999999999994</v>
      </c>
      <c r="Q1281" s="1">
        <v>0.54420000000000002</v>
      </c>
      <c r="R1281" s="1">
        <v>0.76910000000000001</v>
      </c>
      <c r="S1281" s="1">
        <v>0.51046499999999995</v>
      </c>
      <c r="T1281" s="1">
        <v>0.63229999999999997</v>
      </c>
      <c r="U1281" s="1">
        <v>0.81899999999999995</v>
      </c>
    </row>
    <row r="1282" spans="12:21" x14ac:dyDescent="0.25">
      <c r="L1282" s="1">
        <v>168.00000000000099</v>
      </c>
      <c r="M1282" s="1">
        <v>0.51042500000000002</v>
      </c>
      <c r="N1282" s="1">
        <v>0.63224000000000002</v>
      </c>
      <c r="O1282" s="1">
        <v>0.47665000000000002</v>
      </c>
      <c r="P1282" s="33">
        <v>0.49538000000000004</v>
      </c>
      <c r="Q1282" s="1">
        <v>0.54420000000000002</v>
      </c>
      <c r="R1282" s="1">
        <v>0.76910000000000001</v>
      </c>
      <c r="S1282" s="1">
        <v>0.51042500000000002</v>
      </c>
      <c r="T1282" s="1">
        <v>0.63224000000000002</v>
      </c>
      <c r="U1282" s="1">
        <v>0.81899999999999995</v>
      </c>
    </row>
    <row r="1283" spans="12:21" x14ac:dyDescent="0.25">
      <c r="L1283" s="1">
        <v>168.10000000000099</v>
      </c>
      <c r="M1283" s="1">
        <v>0.51033499999999998</v>
      </c>
      <c r="N1283" s="1">
        <v>0.63217000000000001</v>
      </c>
      <c r="O1283" s="1">
        <v>0.47656999999999994</v>
      </c>
      <c r="P1283" s="33">
        <v>0.49524000000000001</v>
      </c>
      <c r="Q1283" s="1">
        <v>0.54410000000000003</v>
      </c>
      <c r="R1283" s="1">
        <v>0.76910000000000001</v>
      </c>
      <c r="S1283" s="1">
        <v>0.51033499999999998</v>
      </c>
      <c r="T1283" s="1">
        <v>0.63217000000000001</v>
      </c>
      <c r="U1283" s="1">
        <v>0.81899999999999995</v>
      </c>
    </row>
    <row r="1284" spans="12:21" x14ac:dyDescent="0.25">
      <c r="L1284" s="1">
        <v>168.20000000000101</v>
      </c>
      <c r="M1284" s="1">
        <v>0.51029500000000005</v>
      </c>
      <c r="N1284" s="1">
        <v>0.63210999999999995</v>
      </c>
      <c r="O1284" s="1">
        <v>0.47649000000000008</v>
      </c>
      <c r="P1284" s="33">
        <v>0.49511999999999989</v>
      </c>
      <c r="Q1284" s="1">
        <v>0.54410000000000003</v>
      </c>
      <c r="R1284" s="1">
        <v>0.76910000000000001</v>
      </c>
      <c r="S1284" s="1">
        <v>0.51029500000000005</v>
      </c>
      <c r="T1284" s="1">
        <v>0.63210999999999995</v>
      </c>
      <c r="U1284" s="1">
        <v>0.81899999999999995</v>
      </c>
    </row>
    <row r="1285" spans="12:21" x14ac:dyDescent="0.25">
      <c r="L1285" s="1">
        <v>168.30000000000101</v>
      </c>
      <c r="M1285" s="1">
        <v>0.51020500000000002</v>
      </c>
      <c r="N1285" s="1">
        <v>0.63204000000000005</v>
      </c>
      <c r="O1285" s="1">
        <v>0.47641</v>
      </c>
      <c r="P1285" s="33">
        <v>0.49498000000000009</v>
      </c>
      <c r="Q1285" s="1">
        <v>0.54400000000000004</v>
      </c>
      <c r="R1285" s="1">
        <v>0.76910000000000001</v>
      </c>
      <c r="S1285" s="1">
        <v>0.51020500000000002</v>
      </c>
      <c r="T1285" s="1">
        <v>0.63204000000000005</v>
      </c>
      <c r="U1285" s="1">
        <v>0.81899999999999995</v>
      </c>
    </row>
    <row r="1286" spans="12:21" x14ac:dyDescent="0.25">
      <c r="L1286" s="1">
        <v>168.400000000001</v>
      </c>
      <c r="M1286" s="1">
        <v>0.51016499999999998</v>
      </c>
      <c r="N1286" s="1">
        <v>0.63197999999999999</v>
      </c>
      <c r="O1286" s="1">
        <v>0.47632999999999992</v>
      </c>
      <c r="P1286" s="33">
        <v>0.49485999999999997</v>
      </c>
      <c r="Q1286" s="1">
        <v>0.54400000000000004</v>
      </c>
      <c r="R1286" s="1">
        <v>0.76910000000000001</v>
      </c>
      <c r="S1286" s="1">
        <v>0.51016499999999998</v>
      </c>
      <c r="T1286" s="1">
        <v>0.63197999999999999</v>
      </c>
      <c r="U1286" s="1">
        <v>0.81899999999999995</v>
      </c>
    </row>
    <row r="1287" spans="12:21" x14ac:dyDescent="0.25">
      <c r="L1287" s="1">
        <v>168.50000000000099</v>
      </c>
      <c r="M1287" s="1">
        <v>0.51007499999999995</v>
      </c>
      <c r="N1287" s="1">
        <v>0.63192000000000004</v>
      </c>
      <c r="O1287" s="1">
        <v>0.47625000000000001</v>
      </c>
      <c r="P1287" s="33">
        <v>0.49474000000000007</v>
      </c>
      <c r="Q1287" s="1">
        <v>0.54390000000000005</v>
      </c>
      <c r="R1287" s="1">
        <v>0.76910000000000001</v>
      </c>
      <c r="S1287" s="1">
        <v>0.51007499999999995</v>
      </c>
      <c r="T1287" s="1">
        <v>0.63192000000000004</v>
      </c>
      <c r="U1287" s="1">
        <v>0.81899999999999995</v>
      </c>
    </row>
    <row r="1288" spans="12:21" x14ac:dyDescent="0.25">
      <c r="L1288" s="1">
        <v>168.60000000000099</v>
      </c>
      <c r="M1288" s="1">
        <v>0.51003500000000002</v>
      </c>
      <c r="N1288" s="1">
        <v>0.63185000000000002</v>
      </c>
      <c r="O1288" s="1">
        <v>0.47616999999999998</v>
      </c>
      <c r="P1288" s="33">
        <v>0.49460000000000004</v>
      </c>
      <c r="Q1288" s="1">
        <v>0.54390000000000005</v>
      </c>
      <c r="R1288" s="1">
        <v>0.76910000000000001</v>
      </c>
      <c r="S1288" s="1">
        <v>0.51003500000000002</v>
      </c>
      <c r="T1288" s="1">
        <v>0.63185000000000002</v>
      </c>
      <c r="U1288" s="1">
        <v>0.81899999999999995</v>
      </c>
    </row>
    <row r="1289" spans="12:21" x14ac:dyDescent="0.25">
      <c r="L1289" s="1">
        <v>168.70000000000101</v>
      </c>
      <c r="M1289" s="1">
        <v>0.50994499999999998</v>
      </c>
      <c r="N1289" s="1">
        <v>0.63178999999999996</v>
      </c>
      <c r="O1289" s="1">
        <v>0.47609000000000001</v>
      </c>
      <c r="P1289" s="33">
        <v>0.49447999999999992</v>
      </c>
      <c r="Q1289" s="1">
        <v>0.54379999999999995</v>
      </c>
      <c r="R1289" s="1">
        <v>0.76910000000000001</v>
      </c>
      <c r="S1289" s="1">
        <v>0.50994499999999998</v>
      </c>
      <c r="T1289" s="1">
        <v>0.63178999999999996</v>
      </c>
      <c r="U1289" s="1">
        <v>0.81899999999999995</v>
      </c>
    </row>
    <row r="1290" spans="12:21" x14ac:dyDescent="0.25">
      <c r="L1290" s="1">
        <v>168.80000000000101</v>
      </c>
      <c r="M1290" s="1">
        <v>0.50990500000000005</v>
      </c>
      <c r="N1290" s="1">
        <v>0.63171999999999995</v>
      </c>
      <c r="O1290" s="1">
        <v>0.47601000000000016</v>
      </c>
      <c r="P1290" s="33">
        <v>0.49433999999999989</v>
      </c>
      <c r="Q1290" s="1">
        <v>0.54379999999999995</v>
      </c>
      <c r="R1290" s="1">
        <v>0.76910000000000001</v>
      </c>
      <c r="S1290" s="1">
        <v>0.50990500000000005</v>
      </c>
      <c r="T1290" s="1">
        <v>0.63171999999999995</v>
      </c>
      <c r="U1290" s="1">
        <v>0.81899999999999995</v>
      </c>
    </row>
    <row r="1291" spans="12:21" x14ac:dyDescent="0.25">
      <c r="L1291" s="1">
        <v>168.900000000001</v>
      </c>
      <c r="M1291" s="1">
        <v>0.50981500000000002</v>
      </c>
      <c r="N1291" s="1">
        <v>0.63166</v>
      </c>
      <c r="O1291" s="1">
        <v>0.47593000000000008</v>
      </c>
      <c r="P1291" s="33">
        <v>0.49421999999999999</v>
      </c>
      <c r="Q1291" s="1">
        <v>0.54369999999999996</v>
      </c>
      <c r="R1291" s="1">
        <v>0.76910000000000001</v>
      </c>
      <c r="S1291" s="1">
        <v>0.50981500000000002</v>
      </c>
      <c r="T1291" s="1">
        <v>0.63166</v>
      </c>
      <c r="U1291" s="1">
        <v>0.81899999999999995</v>
      </c>
    </row>
    <row r="1292" spans="12:21" x14ac:dyDescent="0.25">
      <c r="L1292" s="1">
        <v>169.00000000000099</v>
      </c>
      <c r="M1292" s="1">
        <v>0.50972499999999998</v>
      </c>
      <c r="N1292" s="1">
        <v>0.63158999999999998</v>
      </c>
      <c r="O1292" s="1">
        <v>0.47585</v>
      </c>
      <c r="P1292" s="33">
        <v>0.49407999999999996</v>
      </c>
      <c r="Q1292" s="1">
        <v>0.54359999999999997</v>
      </c>
      <c r="R1292" s="1">
        <v>0.76910000000000001</v>
      </c>
      <c r="S1292" s="1">
        <v>0.50972499999999998</v>
      </c>
      <c r="T1292" s="1">
        <v>0.63158999999999998</v>
      </c>
      <c r="U1292" s="1">
        <v>0.81899999999999995</v>
      </c>
    </row>
    <row r="1293" spans="12:21" x14ac:dyDescent="0.25">
      <c r="L1293" s="1">
        <v>169.10000000000099</v>
      </c>
      <c r="M1293" s="1">
        <v>0.50968500000000005</v>
      </c>
      <c r="N1293" s="1">
        <v>0.63153000000000004</v>
      </c>
      <c r="O1293" s="1">
        <v>0.47577000000000014</v>
      </c>
      <c r="P1293" s="33">
        <v>0.49396000000000007</v>
      </c>
      <c r="Q1293" s="1">
        <v>0.54359999999999997</v>
      </c>
      <c r="R1293" s="1">
        <v>0.76910000000000001</v>
      </c>
      <c r="S1293" s="1">
        <v>0.50968500000000005</v>
      </c>
      <c r="T1293" s="1">
        <v>0.63153000000000004</v>
      </c>
      <c r="U1293" s="1">
        <v>0.81899999999999995</v>
      </c>
    </row>
    <row r="1294" spans="12:21" x14ac:dyDescent="0.25">
      <c r="L1294" s="1">
        <v>169.20000000000101</v>
      </c>
      <c r="M1294" s="1">
        <v>0.50959500000000002</v>
      </c>
      <c r="N1294" s="1">
        <v>0.63146000000000002</v>
      </c>
      <c r="O1294" s="1">
        <v>0.47569000000000006</v>
      </c>
      <c r="P1294" s="33">
        <v>0.49382000000000004</v>
      </c>
      <c r="Q1294" s="1">
        <v>0.54349999999999998</v>
      </c>
      <c r="R1294" s="1">
        <v>0.76910000000000001</v>
      </c>
      <c r="S1294" s="1">
        <v>0.50959500000000002</v>
      </c>
      <c r="T1294" s="1">
        <v>0.63146000000000002</v>
      </c>
      <c r="U1294" s="1">
        <v>0.81899999999999995</v>
      </c>
    </row>
    <row r="1295" spans="12:21" x14ac:dyDescent="0.25">
      <c r="L1295" s="1">
        <v>169.30000000000101</v>
      </c>
      <c r="M1295" s="1">
        <v>0.50955499999999998</v>
      </c>
      <c r="N1295" s="1">
        <v>0.63139999999999996</v>
      </c>
      <c r="O1295" s="1">
        <v>0.47560999999999998</v>
      </c>
      <c r="P1295" s="33">
        <v>0.49369999999999992</v>
      </c>
      <c r="Q1295" s="1">
        <v>0.54349999999999998</v>
      </c>
      <c r="R1295" s="1">
        <v>0.76910000000000001</v>
      </c>
      <c r="S1295" s="1">
        <v>0.50955499999999998</v>
      </c>
      <c r="T1295" s="1">
        <v>0.63139999999999996</v>
      </c>
      <c r="U1295" s="1">
        <v>0.81879999999999997</v>
      </c>
    </row>
    <row r="1296" spans="12:21" x14ac:dyDescent="0.25">
      <c r="L1296" s="1">
        <v>169.400000000001</v>
      </c>
      <c r="M1296" s="1">
        <v>0.50946499999999995</v>
      </c>
      <c r="N1296" s="1">
        <v>0.63132999999999995</v>
      </c>
      <c r="O1296" s="1">
        <v>0.4755299999999999</v>
      </c>
      <c r="P1296" s="33">
        <v>0.49355999999999989</v>
      </c>
      <c r="Q1296" s="1">
        <v>0.54339999999999999</v>
      </c>
      <c r="R1296" s="1">
        <v>0.76910000000000001</v>
      </c>
      <c r="S1296" s="1">
        <v>0.50946499999999995</v>
      </c>
      <c r="T1296" s="1">
        <v>0.63132999999999995</v>
      </c>
      <c r="U1296" s="1">
        <v>0.81839999999999991</v>
      </c>
    </row>
    <row r="1297" spans="12:21" x14ac:dyDescent="0.25">
      <c r="L1297" s="1">
        <v>169.50000000000099</v>
      </c>
      <c r="M1297" s="1">
        <v>0.50942500000000002</v>
      </c>
      <c r="N1297" s="1">
        <v>0.63127</v>
      </c>
      <c r="O1297" s="1">
        <v>0.47545000000000004</v>
      </c>
      <c r="P1297" s="33">
        <v>0.49343999999999999</v>
      </c>
      <c r="Q1297" s="1">
        <v>0.54339999999999999</v>
      </c>
      <c r="R1297" s="1">
        <v>0.76910000000000001</v>
      </c>
      <c r="S1297" s="1">
        <v>0.50942500000000002</v>
      </c>
      <c r="T1297" s="1">
        <v>0.63127</v>
      </c>
      <c r="U1297" s="1">
        <v>0.81799999999999995</v>
      </c>
    </row>
    <row r="1298" spans="12:21" x14ac:dyDescent="0.25">
      <c r="L1298" s="1">
        <v>169.60000000000099</v>
      </c>
      <c r="M1298" s="1">
        <v>0.50933499999999998</v>
      </c>
      <c r="N1298" s="1">
        <v>0.63119999999999998</v>
      </c>
      <c r="O1298" s="1">
        <v>0.47536999999999996</v>
      </c>
      <c r="P1298" s="33">
        <v>0.49329999999999996</v>
      </c>
      <c r="Q1298" s="1">
        <v>0.54330000000000001</v>
      </c>
      <c r="R1298" s="1">
        <v>0.76910000000000001</v>
      </c>
      <c r="S1298" s="1">
        <v>0.50933499999999998</v>
      </c>
      <c r="T1298" s="1">
        <v>0.63119999999999998</v>
      </c>
      <c r="U1298" s="1">
        <v>0.81799999999999995</v>
      </c>
    </row>
    <row r="1299" spans="12:21" x14ac:dyDescent="0.25">
      <c r="L1299" s="1">
        <v>169.70000000000101</v>
      </c>
      <c r="M1299" s="1">
        <v>0.50929500000000005</v>
      </c>
      <c r="N1299" s="1">
        <v>0.63114000000000003</v>
      </c>
      <c r="O1299" s="1">
        <v>0.4752900000000001</v>
      </c>
      <c r="P1299" s="33">
        <v>0.49318000000000006</v>
      </c>
      <c r="Q1299" s="1">
        <v>0.54330000000000001</v>
      </c>
      <c r="R1299" s="1">
        <v>0.76910000000000001</v>
      </c>
      <c r="S1299" s="1">
        <v>0.50929500000000005</v>
      </c>
      <c r="T1299" s="1">
        <v>0.63114000000000003</v>
      </c>
      <c r="U1299" s="1">
        <v>0.81799999999999995</v>
      </c>
    </row>
    <row r="1300" spans="12:21" x14ac:dyDescent="0.25">
      <c r="L1300" s="1">
        <v>169.80000000000101</v>
      </c>
      <c r="M1300" s="1">
        <v>0.50920500000000002</v>
      </c>
      <c r="N1300" s="1">
        <v>0.63107000000000002</v>
      </c>
      <c r="O1300" s="1">
        <v>0.47521000000000002</v>
      </c>
      <c r="P1300" s="33">
        <v>0.49304000000000003</v>
      </c>
      <c r="Q1300" s="1">
        <v>0.54320000000000002</v>
      </c>
      <c r="R1300" s="1">
        <v>0.76910000000000001</v>
      </c>
      <c r="S1300" s="1">
        <v>0.50920500000000002</v>
      </c>
      <c r="T1300" s="1">
        <v>0.63107000000000002</v>
      </c>
      <c r="U1300" s="1">
        <v>0.81799999999999995</v>
      </c>
    </row>
    <row r="1301" spans="12:21" x14ac:dyDescent="0.25">
      <c r="L1301" s="1">
        <v>169.900000000001</v>
      </c>
      <c r="M1301" s="1">
        <v>0.50916499999999998</v>
      </c>
      <c r="N1301" s="1">
        <v>0.63100999999999996</v>
      </c>
      <c r="O1301" s="1">
        <v>0.47512999999999994</v>
      </c>
      <c r="P1301" s="33">
        <v>0.49291999999999991</v>
      </c>
      <c r="Q1301" s="1">
        <v>0.54320000000000002</v>
      </c>
      <c r="R1301" s="1">
        <v>0.76910000000000001</v>
      </c>
      <c r="S1301" s="1">
        <v>0.50916499999999998</v>
      </c>
      <c r="T1301" s="1">
        <v>0.63100999999999996</v>
      </c>
      <c r="U1301" s="1">
        <v>0.81799999999999995</v>
      </c>
    </row>
    <row r="1302" spans="12:21" x14ac:dyDescent="0.25">
      <c r="L1302" s="1">
        <v>170.00000000000099</v>
      </c>
      <c r="M1302" s="1">
        <v>0.50907500000000006</v>
      </c>
      <c r="N1302" s="1">
        <v>0.63093999999999995</v>
      </c>
      <c r="O1302" s="1">
        <v>0.47505000000000008</v>
      </c>
      <c r="P1302" s="33">
        <v>0.49277999999999988</v>
      </c>
      <c r="Q1302" s="1">
        <v>0.54310000000000003</v>
      </c>
      <c r="R1302" s="1">
        <v>0.76910000000000001</v>
      </c>
      <c r="S1302" s="1">
        <v>0.50907500000000006</v>
      </c>
      <c r="T1302" s="1">
        <v>0.63093999999999995</v>
      </c>
      <c r="U1302" s="1">
        <v>0.81799999999999995</v>
      </c>
    </row>
    <row r="1303" spans="12:21" x14ac:dyDescent="0.25">
      <c r="L1303" s="1">
        <v>170.10000000000099</v>
      </c>
      <c r="M1303" s="1">
        <v>0.50903500000000002</v>
      </c>
      <c r="N1303" s="1">
        <v>0.63081500000000001</v>
      </c>
      <c r="O1303" s="1">
        <v>0.47497</v>
      </c>
      <c r="P1303" s="33">
        <v>0.49253000000000002</v>
      </c>
      <c r="Q1303" s="1">
        <v>0.54310000000000003</v>
      </c>
      <c r="R1303" s="1">
        <v>0.76910000000000001</v>
      </c>
      <c r="S1303" s="1">
        <v>0.50903500000000002</v>
      </c>
      <c r="T1303" s="1">
        <v>0.63081500000000001</v>
      </c>
      <c r="U1303" s="1">
        <v>0.81799999999999995</v>
      </c>
    </row>
    <row r="1304" spans="12:21" x14ac:dyDescent="0.25">
      <c r="L1304" s="1">
        <v>170.20000000000101</v>
      </c>
      <c r="M1304" s="1">
        <v>0.50894499999999998</v>
      </c>
      <c r="N1304" s="1">
        <v>0.63068500000000005</v>
      </c>
      <c r="O1304" s="1">
        <v>0.47488999999999992</v>
      </c>
      <c r="P1304" s="33">
        <v>0.4922700000000001</v>
      </c>
      <c r="Q1304" s="1">
        <v>0.54300000000000004</v>
      </c>
      <c r="R1304" s="1">
        <v>0.76910000000000001</v>
      </c>
      <c r="S1304" s="1">
        <v>0.50894499999999998</v>
      </c>
      <c r="T1304" s="1">
        <v>0.63068500000000005</v>
      </c>
      <c r="U1304" s="1">
        <v>0.81799999999999995</v>
      </c>
    </row>
    <row r="1305" spans="12:21" x14ac:dyDescent="0.25">
      <c r="L1305" s="1">
        <v>170.30000000000101</v>
      </c>
      <c r="M1305" s="1">
        <v>0.50890500000000005</v>
      </c>
      <c r="N1305" s="1">
        <v>0.63055500000000009</v>
      </c>
      <c r="O1305" s="1">
        <v>0.47481000000000007</v>
      </c>
      <c r="P1305" s="33">
        <v>0.49201000000000017</v>
      </c>
      <c r="Q1305" s="1">
        <v>0.54300000000000004</v>
      </c>
      <c r="R1305" s="1">
        <v>0.76910000000000001</v>
      </c>
      <c r="S1305" s="1">
        <v>0.50890500000000005</v>
      </c>
      <c r="T1305" s="1">
        <v>0.63055500000000009</v>
      </c>
      <c r="U1305" s="1">
        <v>0.81799999999999995</v>
      </c>
    </row>
    <row r="1306" spans="12:21" x14ac:dyDescent="0.25">
      <c r="L1306" s="1">
        <v>170.400000000001</v>
      </c>
      <c r="M1306" s="1">
        <v>0.50881500000000002</v>
      </c>
      <c r="N1306" s="1">
        <v>0.63042500000000012</v>
      </c>
      <c r="O1306" s="1">
        <v>0.47472999999999999</v>
      </c>
      <c r="P1306" s="33">
        <v>0.49175000000000024</v>
      </c>
      <c r="Q1306" s="1">
        <v>0.54290000000000005</v>
      </c>
      <c r="R1306" s="1">
        <v>0.76910000000000001</v>
      </c>
      <c r="S1306" s="1">
        <v>0.50881500000000002</v>
      </c>
      <c r="T1306" s="1">
        <v>0.63042500000000012</v>
      </c>
      <c r="U1306" s="1">
        <v>0.81799999999999995</v>
      </c>
    </row>
    <row r="1307" spans="12:21" x14ac:dyDescent="0.25">
      <c r="L1307" s="1">
        <v>170.50000000000099</v>
      </c>
      <c r="M1307" s="1">
        <v>0.50877499999999998</v>
      </c>
      <c r="N1307" s="1">
        <v>0.63029500000000016</v>
      </c>
      <c r="O1307" s="1">
        <v>0.47464999999999991</v>
      </c>
      <c r="P1307" s="33">
        <v>0.49149000000000032</v>
      </c>
      <c r="Q1307" s="1">
        <v>0.54290000000000005</v>
      </c>
      <c r="R1307" s="1">
        <v>0.76910000000000001</v>
      </c>
      <c r="S1307" s="1">
        <v>0.50877499999999998</v>
      </c>
      <c r="T1307" s="1">
        <v>0.63029500000000016</v>
      </c>
      <c r="U1307" s="1">
        <v>0.81799999999999995</v>
      </c>
    </row>
    <row r="1308" spans="12:21" x14ac:dyDescent="0.25">
      <c r="L1308" s="1">
        <v>170.60000000000099</v>
      </c>
      <c r="M1308" s="1">
        <v>0.50868500000000005</v>
      </c>
      <c r="N1308" s="1">
        <v>0.6301650000000002</v>
      </c>
      <c r="O1308" s="1">
        <v>0.47457000000000016</v>
      </c>
      <c r="P1308" s="33">
        <v>0.49123000000000039</v>
      </c>
      <c r="Q1308" s="1">
        <v>0.54279999999999995</v>
      </c>
      <c r="R1308" s="1">
        <v>0.76910000000000001</v>
      </c>
      <c r="S1308" s="1">
        <v>0.50868500000000005</v>
      </c>
      <c r="T1308" s="1">
        <v>0.6301650000000002</v>
      </c>
      <c r="U1308" s="1">
        <v>0.81799999999999995</v>
      </c>
    </row>
    <row r="1309" spans="12:21" x14ac:dyDescent="0.25">
      <c r="L1309" s="1">
        <v>170.70000000000101</v>
      </c>
      <c r="M1309" s="1">
        <v>0.50864500000000001</v>
      </c>
      <c r="N1309" s="1">
        <v>0.63003500000000023</v>
      </c>
      <c r="O1309" s="1">
        <v>0.47449000000000008</v>
      </c>
      <c r="P1309" s="33">
        <v>0.49097000000000046</v>
      </c>
      <c r="Q1309" s="1">
        <v>0.54279999999999995</v>
      </c>
      <c r="R1309" s="1">
        <v>0.76910000000000001</v>
      </c>
      <c r="S1309" s="1">
        <v>0.50864500000000001</v>
      </c>
      <c r="T1309" s="1">
        <v>0.63003500000000023</v>
      </c>
      <c r="U1309" s="1">
        <v>0.81799999999999995</v>
      </c>
    </row>
    <row r="1310" spans="12:21" x14ac:dyDescent="0.25">
      <c r="L1310" s="1">
        <v>170.80000000000101</v>
      </c>
      <c r="M1310" s="1">
        <v>0.50855499999999998</v>
      </c>
      <c r="N1310" s="1">
        <v>0.62990500000000027</v>
      </c>
      <c r="O1310" s="1">
        <v>0.47441</v>
      </c>
      <c r="P1310" s="33">
        <v>0.49071000000000053</v>
      </c>
      <c r="Q1310" s="1">
        <v>0.54269999999999996</v>
      </c>
      <c r="R1310" s="1">
        <v>0.76910000000000001</v>
      </c>
      <c r="S1310" s="1">
        <v>0.50855499999999998</v>
      </c>
      <c r="T1310" s="1">
        <v>0.62990500000000027</v>
      </c>
      <c r="U1310" s="1">
        <v>0.81799999999999995</v>
      </c>
    </row>
    <row r="1311" spans="12:21" x14ac:dyDescent="0.25">
      <c r="L1311" s="1">
        <v>170.900000000001</v>
      </c>
      <c r="M1311" s="1">
        <v>0.50851500000000005</v>
      </c>
      <c r="N1311" s="1">
        <v>0.62977500000000031</v>
      </c>
      <c r="O1311" s="1">
        <v>0.47433000000000014</v>
      </c>
      <c r="P1311" s="33">
        <v>0.49045000000000061</v>
      </c>
      <c r="Q1311" s="1">
        <v>0.54269999999999996</v>
      </c>
      <c r="R1311" s="1">
        <v>0.76910000000000001</v>
      </c>
      <c r="S1311" s="1">
        <v>0.50851500000000005</v>
      </c>
      <c r="T1311" s="1">
        <v>0.62977500000000031</v>
      </c>
      <c r="U1311" s="1">
        <v>0.81799999999999995</v>
      </c>
    </row>
    <row r="1312" spans="12:21" x14ac:dyDescent="0.25">
      <c r="L1312" s="1">
        <v>171.00000000000099</v>
      </c>
      <c r="M1312" s="1">
        <v>0.50842500000000002</v>
      </c>
      <c r="N1312" s="1">
        <v>0.62964500000000034</v>
      </c>
      <c r="O1312" s="1">
        <v>0.47425000000000006</v>
      </c>
      <c r="P1312" s="33">
        <v>0.49019000000000068</v>
      </c>
      <c r="Q1312" s="1">
        <v>0.54259999999999997</v>
      </c>
      <c r="R1312" s="1">
        <v>0.76910000000000001</v>
      </c>
      <c r="S1312" s="1">
        <v>0.50842500000000002</v>
      </c>
      <c r="T1312" s="1">
        <v>0.62964500000000034</v>
      </c>
      <c r="U1312" s="1">
        <v>0.81799999999999995</v>
      </c>
    </row>
    <row r="1313" spans="12:21" x14ac:dyDescent="0.25">
      <c r="L1313" s="1">
        <v>171.10000000000099</v>
      </c>
      <c r="M1313" s="1">
        <v>0.50838499999999998</v>
      </c>
      <c r="N1313" s="1">
        <v>0.62951500000000038</v>
      </c>
      <c r="O1313" s="1">
        <v>0.47416999999999998</v>
      </c>
      <c r="P1313" s="33">
        <v>0.48993000000000075</v>
      </c>
      <c r="Q1313" s="1">
        <v>0.54259999999999997</v>
      </c>
      <c r="R1313" s="1">
        <v>0.76910000000000001</v>
      </c>
      <c r="S1313" s="1">
        <v>0.50838499999999998</v>
      </c>
      <c r="T1313" s="1">
        <v>0.62951500000000038</v>
      </c>
      <c r="U1313" s="1">
        <v>0.81799999999999995</v>
      </c>
    </row>
    <row r="1314" spans="12:21" x14ac:dyDescent="0.25">
      <c r="L1314" s="1">
        <v>171.20000000000101</v>
      </c>
      <c r="M1314" s="1">
        <v>0.50829500000000005</v>
      </c>
      <c r="N1314" s="1">
        <v>0.62938500000000042</v>
      </c>
      <c r="O1314" s="1">
        <v>0.47409000000000012</v>
      </c>
      <c r="P1314" s="33">
        <v>0.48967000000000083</v>
      </c>
      <c r="Q1314" s="1">
        <v>0.54249999999999998</v>
      </c>
      <c r="R1314" s="1">
        <v>0.76910000000000001</v>
      </c>
      <c r="S1314" s="1">
        <v>0.50829500000000005</v>
      </c>
      <c r="T1314" s="1">
        <v>0.62938500000000042</v>
      </c>
      <c r="U1314" s="1">
        <v>0.81799999999999995</v>
      </c>
    </row>
    <row r="1315" spans="12:21" x14ac:dyDescent="0.25">
      <c r="L1315" s="1">
        <v>171.30000000000101</v>
      </c>
      <c r="M1315" s="1">
        <v>0.50825500000000001</v>
      </c>
      <c r="N1315" s="1">
        <v>0.62925500000000045</v>
      </c>
      <c r="O1315" s="1">
        <v>0.47401000000000004</v>
      </c>
      <c r="P1315" s="33">
        <v>0.4894100000000009</v>
      </c>
      <c r="Q1315" s="1">
        <v>0.54249999999999998</v>
      </c>
      <c r="R1315" s="1">
        <v>0.76910000000000001</v>
      </c>
      <c r="S1315" s="1">
        <v>0.50825500000000001</v>
      </c>
      <c r="T1315" s="1">
        <v>0.62925500000000045</v>
      </c>
      <c r="U1315" s="1">
        <v>0.81779999999999997</v>
      </c>
    </row>
    <row r="1316" spans="12:21" x14ac:dyDescent="0.25">
      <c r="L1316" s="1">
        <v>171.400000000001</v>
      </c>
      <c r="M1316" s="1">
        <v>0.50816499999999998</v>
      </c>
      <c r="N1316" s="1">
        <v>0.62912500000000049</v>
      </c>
      <c r="O1316" s="1">
        <v>0.47392999999999996</v>
      </c>
      <c r="P1316" s="33">
        <v>0.48915000000000097</v>
      </c>
      <c r="Q1316" s="1">
        <v>0.54239999999999999</v>
      </c>
      <c r="R1316" s="1">
        <v>0.76910000000000001</v>
      </c>
      <c r="S1316" s="1">
        <v>0.50816499999999998</v>
      </c>
      <c r="T1316" s="1">
        <v>0.62912500000000049</v>
      </c>
      <c r="U1316" s="1">
        <v>0.8173999999999999</v>
      </c>
    </row>
    <row r="1317" spans="12:21" x14ac:dyDescent="0.25">
      <c r="L1317" s="1">
        <v>171.50000000000099</v>
      </c>
      <c r="M1317" s="1">
        <v>0.50812500000000005</v>
      </c>
      <c r="N1317" s="1">
        <v>0.62899500000000053</v>
      </c>
      <c r="O1317" s="1">
        <v>0.4738500000000001</v>
      </c>
      <c r="P1317" s="33">
        <v>0.48889000000000105</v>
      </c>
      <c r="Q1317" s="1">
        <v>0.54239999999999999</v>
      </c>
      <c r="R1317" s="1">
        <v>0.76910000000000001</v>
      </c>
      <c r="S1317" s="1">
        <v>0.50812500000000005</v>
      </c>
      <c r="T1317" s="1">
        <v>0.62899500000000053</v>
      </c>
      <c r="U1317" s="1">
        <v>0.81699999999999995</v>
      </c>
    </row>
    <row r="1318" spans="12:21" x14ac:dyDescent="0.25">
      <c r="L1318" s="1">
        <v>171.60000000000099</v>
      </c>
      <c r="M1318" s="1">
        <v>0.50803500000000001</v>
      </c>
      <c r="N1318" s="1">
        <v>0.62886500000000056</v>
      </c>
      <c r="O1318" s="1">
        <v>0.47377000000000002</v>
      </c>
      <c r="P1318" s="33">
        <v>0.48863000000000112</v>
      </c>
      <c r="Q1318" s="1">
        <v>0.5423</v>
      </c>
      <c r="R1318" s="1">
        <v>0.76910000000000001</v>
      </c>
      <c r="S1318" s="1">
        <v>0.50803500000000001</v>
      </c>
      <c r="T1318" s="1">
        <v>0.62886500000000056</v>
      </c>
      <c r="U1318" s="1">
        <v>0.81699999999999995</v>
      </c>
    </row>
    <row r="1319" spans="12:21" x14ac:dyDescent="0.25">
      <c r="L1319" s="1">
        <v>171.70000000000101</v>
      </c>
      <c r="M1319" s="1">
        <v>0.50799499999999997</v>
      </c>
      <c r="N1319" s="1">
        <v>0.6287350000000006</v>
      </c>
      <c r="O1319" s="1">
        <v>0.47368999999999994</v>
      </c>
      <c r="P1319" s="33">
        <v>0.48837000000000119</v>
      </c>
      <c r="Q1319" s="1">
        <v>0.5423</v>
      </c>
      <c r="R1319" s="1">
        <v>0.76910000000000001</v>
      </c>
      <c r="S1319" s="1">
        <v>0.50799499999999997</v>
      </c>
      <c r="T1319" s="1">
        <v>0.6287350000000006</v>
      </c>
      <c r="U1319" s="1">
        <v>0.81699999999999995</v>
      </c>
    </row>
    <row r="1320" spans="12:21" x14ac:dyDescent="0.25">
      <c r="L1320" s="1">
        <v>171.80000000000101</v>
      </c>
      <c r="M1320" s="1">
        <v>0.50790500000000005</v>
      </c>
      <c r="N1320" s="1">
        <v>0.62860500000000064</v>
      </c>
      <c r="O1320" s="1">
        <v>0.47361000000000009</v>
      </c>
      <c r="P1320" s="33">
        <v>0.48811000000000127</v>
      </c>
      <c r="Q1320" s="1">
        <v>0.54220000000000002</v>
      </c>
      <c r="R1320" s="1">
        <v>0.76910000000000001</v>
      </c>
      <c r="S1320" s="1">
        <v>0.50790500000000005</v>
      </c>
      <c r="T1320" s="1">
        <v>0.62860500000000064</v>
      </c>
      <c r="U1320" s="1">
        <v>0.81699999999999995</v>
      </c>
    </row>
    <row r="1321" spans="12:21" x14ac:dyDescent="0.25">
      <c r="L1321" s="1">
        <v>171.900000000001</v>
      </c>
      <c r="M1321" s="1">
        <v>0.50786500000000001</v>
      </c>
      <c r="N1321" s="1">
        <v>0.62847500000000067</v>
      </c>
      <c r="O1321" s="1">
        <v>0.47353000000000001</v>
      </c>
      <c r="P1321" s="33">
        <v>0.48785000000000134</v>
      </c>
      <c r="Q1321" s="1">
        <v>0.54220000000000002</v>
      </c>
      <c r="R1321" s="1">
        <v>0.76910000000000001</v>
      </c>
      <c r="S1321" s="1">
        <v>0.50786500000000001</v>
      </c>
      <c r="T1321" s="1">
        <v>0.62847500000000067</v>
      </c>
      <c r="U1321" s="1">
        <v>0.81699999999999995</v>
      </c>
    </row>
    <row r="1322" spans="12:21" x14ac:dyDescent="0.25">
      <c r="L1322" s="1">
        <v>172.00000000000099</v>
      </c>
      <c r="M1322" s="1">
        <v>0.50777499999999998</v>
      </c>
      <c r="N1322" s="1">
        <v>0.62834500000000071</v>
      </c>
      <c r="O1322" s="1">
        <v>0.47344999999999993</v>
      </c>
      <c r="P1322" s="33">
        <v>0.48759000000000141</v>
      </c>
      <c r="Q1322" s="1">
        <v>0.54210000000000003</v>
      </c>
      <c r="R1322" s="1">
        <v>0.76910000000000001</v>
      </c>
      <c r="S1322" s="1">
        <v>0.50777499999999998</v>
      </c>
      <c r="T1322" s="1">
        <v>0.62834500000000071</v>
      </c>
      <c r="U1322" s="1">
        <v>0.81699999999999995</v>
      </c>
    </row>
    <row r="1323" spans="12:21" x14ac:dyDescent="0.25">
      <c r="L1323" s="1">
        <v>172.10000000000099</v>
      </c>
      <c r="M1323" s="1">
        <v>0.50773500000000005</v>
      </c>
      <c r="N1323" s="1">
        <v>0.62821500000000075</v>
      </c>
      <c r="O1323" s="1">
        <v>0.47337000000000007</v>
      </c>
      <c r="P1323" s="33">
        <v>0.48733000000000148</v>
      </c>
      <c r="Q1323" s="1">
        <v>0.54210000000000003</v>
      </c>
      <c r="R1323" s="1">
        <v>0.76910000000000001</v>
      </c>
      <c r="S1323" s="1">
        <v>0.50773500000000005</v>
      </c>
      <c r="T1323" s="1">
        <v>0.62821500000000075</v>
      </c>
      <c r="U1323" s="1">
        <v>0.81699999999999995</v>
      </c>
    </row>
    <row r="1324" spans="12:21" x14ac:dyDescent="0.25">
      <c r="L1324" s="1">
        <v>172.20000000000101</v>
      </c>
      <c r="M1324" s="1">
        <v>0.50764500000000001</v>
      </c>
      <c r="N1324" s="1">
        <v>0.62808500000000078</v>
      </c>
      <c r="O1324" s="1">
        <v>0.47328999999999999</v>
      </c>
      <c r="P1324" s="33">
        <v>0.48707000000000156</v>
      </c>
      <c r="Q1324" s="1">
        <v>0.54200000000000004</v>
      </c>
      <c r="R1324" s="1">
        <v>0.76910000000000001</v>
      </c>
      <c r="S1324" s="1">
        <v>0.50764500000000001</v>
      </c>
      <c r="T1324" s="1">
        <v>0.62808500000000078</v>
      </c>
      <c r="U1324" s="1">
        <v>0.81699999999999995</v>
      </c>
    </row>
    <row r="1325" spans="12:21" x14ac:dyDescent="0.25">
      <c r="L1325" s="1">
        <v>172.30000000000101</v>
      </c>
      <c r="M1325" s="1">
        <v>0.50760499999999997</v>
      </c>
      <c r="N1325" s="1">
        <v>0.62795500000000082</v>
      </c>
      <c r="O1325" s="1">
        <v>0.47320999999999991</v>
      </c>
      <c r="P1325" s="33">
        <v>0.48681000000000163</v>
      </c>
      <c r="Q1325" s="1">
        <v>0.54200000000000004</v>
      </c>
      <c r="R1325" s="1">
        <v>0.76910000000000001</v>
      </c>
      <c r="S1325" s="1">
        <v>0.50760499999999997</v>
      </c>
      <c r="T1325" s="1">
        <v>0.62795500000000082</v>
      </c>
      <c r="U1325" s="1">
        <v>0.81699999999999995</v>
      </c>
    </row>
    <row r="1326" spans="12:21" x14ac:dyDescent="0.25">
      <c r="L1326" s="1">
        <v>172.400000000002</v>
      </c>
      <c r="M1326" s="1">
        <v>0.50751500000000005</v>
      </c>
      <c r="N1326" s="1">
        <v>0.62782500000000085</v>
      </c>
      <c r="O1326" s="1">
        <v>0.47313000000000005</v>
      </c>
      <c r="P1326" s="33">
        <v>0.4865500000000017</v>
      </c>
      <c r="Q1326" s="1">
        <v>0.54190000000000005</v>
      </c>
      <c r="R1326" s="1">
        <v>0.76910000000000001</v>
      </c>
      <c r="S1326" s="1">
        <v>0.50751500000000005</v>
      </c>
      <c r="T1326" s="1">
        <v>0.62782500000000085</v>
      </c>
      <c r="U1326" s="1">
        <v>0.81699999999999995</v>
      </c>
    </row>
    <row r="1327" spans="12:21" x14ac:dyDescent="0.25">
      <c r="L1327" s="1">
        <v>172.50000000000199</v>
      </c>
      <c r="M1327" s="1">
        <v>0.50747500000000001</v>
      </c>
      <c r="N1327" s="1">
        <v>0.62769500000000089</v>
      </c>
      <c r="O1327" s="1">
        <v>0.47304999999999997</v>
      </c>
      <c r="P1327" s="33">
        <v>0.48629000000000178</v>
      </c>
      <c r="Q1327" s="1">
        <v>0.54190000000000005</v>
      </c>
      <c r="R1327" s="1">
        <v>0.76910000000000001</v>
      </c>
      <c r="S1327" s="1">
        <v>0.50747500000000001</v>
      </c>
      <c r="T1327" s="1">
        <v>0.62769500000000089</v>
      </c>
      <c r="U1327" s="1">
        <v>0.81699999999999995</v>
      </c>
    </row>
    <row r="1328" spans="12:21" x14ac:dyDescent="0.25">
      <c r="L1328" s="1">
        <v>172.60000000000201</v>
      </c>
      <c r="M1328" s="1">
        <v>0.50738499999999997</v>
      </c>
      <c r="N1328" s="1">
        <v>0.62756500000000093</v>
      </c>
      <c r="O1328" s="1">
        <v>0.47297</v>
      </c>
      <c r="P1328" s="33">
        <v>0.48603000000000185</v>
      </c>
      <c r="Q1328" s="1">
        <v>0.54179999999999995</v>
      </c>
      <c r="R1328" s="1">
        <v>0.76910000000000001</v>
      </c>
      <c r="S1328" s="1">
        <v>0.50738499999999997</v>
      </c>
      <c r="T1328" s="1">
        <v>0.62756500000000093</v>
      </c>
      <c r="U1328" s="1">
        <v>0.81699999999999995</v>
      </c>
    </row>
    <row r="1329" spans="12:21" x14ac:dyDescent="0.25">
      <c r="L1329" s="1">
        <v>172.70000000000201</v>
      </c>
      <c r="M1329" s="1">
        <v>0.50734500000000005</v>
      </c>
      <c r="N1329" s="1">
        <v>0.62743500000000096</v>
      </c>
      <c r="O1329" s="1">
        <v>0.47289000000000014</v>
      </c>
      <c r="P1329" s="33">
        <v>0.48577000000000192</v>
      </c>
      <c r="Q1329" s="1">
        <v>0.54179999999999995</v>
      </c>
      <c r="R1329" s="1">
        <v>0.76910000000000001</v>
      </c>
      <c r="S1329" s="1">
        <v>0.50734500000000005</v>
      </c>
      <c r="T1329" s="1">
        <v>0.62743500000000096</v>
      </c>
      <c r="U1329" s="1">
        <v>0.81699999999999995</v>
      </c>
    </row>
    <row r="1330" spans="12:21" x14ac:dyDescent="0.25">
      <c r="L1330" s="1">
        <v>172.800000000002</v>
      </c>
      <c r="M1330" s="1">
        <v>0.50725500000000001</v>
      </c>
      <c r="N1330" s="1">
        <v>0.627305000000001</v>
      </c>
      <c r="O1330" s="1">
        <v>0.47281000000000006</v>
      </c>
      <c r="P1330" s="33">
        <v>0.485510000000002</v>
      </c>
      <c r="Q1330" s="1">
        <v>0.54169999999999996</v>
      </c>
      <c r="R1330" s="1">
        <v>0.76910000000000001</v>
      </c>
      <c r="S1330" s="1">
        <v>0.50725500000000001</v>
      </c>
      <c r="T1330" s="1">
        <v>0.627305000000001</v>
      </c>
      <c r="U1330" s="1">
        <v>0.81699999999999995</v>
      </c>
    </row>
    <row r="1331" spans="12:21" x14ac:dyDescent="0.25">
      <c r="L1331" s="1">
        <v>172.900000000002</v>
      </c>
      <c r="M1331" s="1">
        <v>0.50721499999999997</v>
      </c>
      <c r="N1331" s="1">
        <v>0.62717500000000104</v>
      </c>
      <c r="O1331" s="1">
        <v>0.47272999999999998</v>
      </c>
      <c r="P1331" s="33">
        <v>0.48525000000000207</v>
      </c>
      <c r="Q1331" s="1">
        <v>0.54169999999999996</v>
      </c>
      <c r="R1331" s="1">
        <v>0.76910000000000001</v>
      </c>
      <c r="S1331" s="1">
        <v>0.50721499999999997</v>
      </c>
      <c r="T1331" s="1">
        <v>0.62717500000000104</v>
      </c>
      <c r="U1331" s="1">
        <v>0.81699999999999995</v>
      </c>
    </row>
    <row r="1332" spans="12:21" x14ac:dyDescent="0.25">
      <c r="L1332" s="1">
        <v>173.00000000000199</v>
      </c>
      <c r="M1332" s="1">
        <v>0.50712500000000005</v>
      </c>
      <c r="N1332" s="1">
        <v>0.62704500000000107</v>
      </c>
      <c r="O1332" s="1">
        <v>0.47265000000000013</v>
      </c>
      <c r="P1332" s="33">
        <v>0.48499000000000214</v>
      </c>
      <c r="Q1332" s="1">
        <v>0.54159999999999997</v>
      </c>
      <c r="R1332" s="1">
        <v>0.76910000000000001</v>
      </c>
      <c r="S1332" s="1">
        <v>0.50712500000000005</v>
      </c>
      <c r="T1332" s="1">
        <v>0.62704500000000107</v>
      </c>
      <c r="U1332" s="1">
        <v>0.81699999999999995</v>
      </c>
    </row>
    <row r="1333" spans="12:21" x14ac:dyDescent="0.25">
      <c r="L1333" s="1">
        <v>173.10000000000201</v>
      </c>
      <c r="M1333" s="1">
        <v>0.50708500000000001</v>
      </c>
      <c r="N1333" s="1">
        <v>0.62691500000000111</v>
      </c>
      <c r="O1333" s="1">
        <v>0.47257000000000005</v>
      </c>
      <c r="P1333" s="33">
        <v>0.48473000000000221</v>
      </c>
      <c r="Q1333" s="1">
        <v>0.54159999999999997</v>
      </c>
      <c r="R1333" s="1">
        <v>0.76910000000000001</v>
      </c>
      <c r="S1333" s="1">
        <v>0.50708500000000001</v>
      </c>
      <c r="T1333" s="1">
        <v>0.62691500000000111</v>
      </c>
      <c r="U1333" s="1">
        <v>0.81699999999999995</v>
      </c>
    </row>
    <row r="1334" spans="12:21" x14ac:dyDescent="0.25">
      <c r="L1334" s="1">
        <v>173.20000000000201</v>
      </c>
      <c r="M1334" s="1">
        <v>0.50699499999999997</v>
      </c>
      <c r="N1334" s="1">
        <v>0.62678500000000115</v>
      </c>
      <c r="O1334" s="1">
        <v>0.47248999999999997</v>
      </c>
      <c r="P1334" s="33">
        <v>0.48447000000000229</v>
      </c>
      <c r="Q1334" s="1">
        <v>0.54149999999999998</v>
      </c>
      <c r="R1334" s="1">
        <v>0.76910000000000001</v>
      </c>
      <c r="S1334" s="1">
        <v>0.50699499999999997</v>
      </c>
      <c r="T1334" s="1">
        <v>0.62678500000000115</v>
      </c>
      <c r="U1334" s="1">
        <v>0.81699999999999995</v>
      </c>
    </row>
    <row r="1335" spans="12:21" x14ac:dyDescent="0.25">
      <c r="L1335" s="1">
        <v>173.300000000002</v>
      </c>
      <c r="M1335" s="1">
        <v>0.50695500000000004</v>
      </c>
      <c r="N1335" s="1">
        <v>0.62665500000000118</v>
      </c>
      <c r="O1335" s="1">
        <v>0.47241000000000011</v>
      </c>
      <c r="P1335" s="33">
        <v>0.48421000000000236</v>
      </c>
      <c r="Q1335" s="1">
        <v>0.54149999999999998</v>
      </c>
      <c r="R1335" s="1">
        <v>0.76910000000000001</v>
      </c>
      <c r="S1335" s="1">
        <v>0.50695500000000004</v>
      </c>
      <c r="T1335" s="1">
        <v>0.62665500000000118</v>
      </c>
      <c r="U1335" s="1">
        <v>0.81679999999999997</v>
      </c>
    </row>
    <row r="1336" spans="12:21" x14ac:dyDescent="0.25">
      <c r="L1336" s="1">
        <v>173.400000000002</v>
      </c>
      <c r="M1336" s="1">
        <v>0.50686500000000001</v>
      </c>
      <c r="N1336" s="1">
        <v>0.62652500000000122</v>
      </c>
      <c r="O1336" s="1">
        <v>0.47233000000000003</v>
      </c>
      <c r="P1336" s="33">
        <v>0.48395000000000243</v>
      </c>
      <c r="Q1336" s="1">
        <v>0.54139999999999999</v>
      </c>
      <c r="R1336" s="1">
        <v>0.76910000000000001</v>
      </c>
      <c r="S1336" s="1">
        <v>0.50686500000000001</v>
      </c>
      <c r="T1336" s="1">
        <v>0.62652500000000122</v>
      </c>
      <c r="U1336" s="1">
        <v>0.8163999999999999</v>
      </c>
    </row>
    <row r="1337" spans="12:21" x14ac:dyDescent="0.25">
      <c r="L1337" s="1">
        <v>173.50000000000199</v>
      </c>
      <c r="M1337" s="1">
        <v>0.50682499999999997</v>
      </c>
      <c r="N1337" s="1">
        <v>0.62639500000000126</v>
      </c>
      <c r="O1337" s="1">
        <v>0.47224999999999995</v>
      </c>
      <c r="P1337" s="33">
        <v>0.48369000000000251</v>
      </c>
      <c r="Q1337" s="1">
        <v>0.54139999999999999</v>
      </c>
      <c r="R1337" s="1">
        <v>0.76910000000000001</v>
      </c>
      <c r="S1337" s="1">
        <v>0.50682499999999997</v>
      </c>
      <c r="T1337" s="1">
        <v>0.62639500000000126</v>
      </c>
      <c r="U1337" s="1">
        <v>0.81599999999999995</v>
      </c>
    </row>
    <row r="1338" spans="12:21" x14ac:dyDescent="0.25">
      <c r="L1338" s="1">
        <v>173.60000000000201</v>
      </c>
      <c r="M1338" s="1">
        <v>0.50673500000000005</v>
      </c>
      <c r="N1338" s="1">
        <v>0.62626500000000129</v>
      </c>
      <c r="O1338" s="1">
        <v>0.47217000000000009</v>
      </c>
      <c r="P1338" s="33">
        <v>0.48343000000000258</v>
      </c>
      <c r="Q1338" s="1">
        <v>0.5413</v>
      </c>
      <c r="R1338" s="1">
        <v>0.76910000000000001</v>
      </c>
      <c r="S1338" s="1">
        <v>0.50673500000000005</v>
      </c>
      <c r="T1338" s="1">
        <v>0.62626500000000129</v>
      </c>
      <c r="U1338" s="1">
        <v>0.81599999999999995</v>
      </c>
    </row>
    <row r="1339" spans="12:21" x14ac:dyDescent="0.25">
      <c r="L1339" s="1">
        <v>173.70000000000201</v>
      </c>
      <c r="M1339" s="1">
        <v>0.50669500000000001</v>
      </c>
      <c r="N1339" s="1">
        <v>0.62613500000000133</v>
      </c>
      <c r="O1339" s="1">
        <v>0.47209000000000001</v>
      </c>
      <c r="P1339" s="33">
        <v>0.48317000000000265</v>
      </c>
      <c r="Q1339" s="1">
        <v>0.5413</v>
      </c>
      <c r="R1339" s="1">
        <v>0.76910000000000001</v>
      </c>
      <c r="S1339" s="1">
        <v>0.50669500000000001</v>
      </c>
      <c r="T1339" s="1">
        <v>0.62613500000000133</v>
      </c>
      <c r="U1339" s="1">
        <v>0.81599999999999995</v>
      </c>
    </row>
    <row r="1340" spans="12:21" x14ac:dyDescent="0.25">
      <c r="L1340" s="1">
        <v>173.800000000002</v>
      </c>
      <c r="M1340" s="1">
        <v>0.50660499999999997</v>
      </c>
      <c r="N1340" s="1">
        <v>0.62600500000000137</v>
      </c>
      <c r="O1340" s="1">
        <v>0.47200999999999993</v>
      </c>
      <c r="P1340" s="33">
        <v>0.48291000000000273</v>
      </c>
      <c r="Q1340" s="1">
        <v>0.54120000000000001</v>
      </c>
      <c r="R1340" s="1">
        <v>0.76910000000000001</v>
      </c>
      <c r="S1340" s="1">
        <v>0.50660499999999997</v>
      </c>
      <c r="T1340" s="1">
        <v>0.62600500000000137</v>
      </c>
      <c r="U1340" s="1">
        <v>0.81599999999999995</v>
      </c>
    </row>
    <row r="1341" spans="12:21" x14ac:dyDescent="0.25">
      <c r="L1341" s="1">
        <v>173.900000000002</v>
      </c>
      <c r="M1341" s="1">
        <v>0.50656500000000004</v>
      </c>
      <c r="N1341" s="1">
        <v>0.6258750000000014</v>
      </c>
      <c r="O1341" s="1">
        <v>0.47193000000000007</v>
      </c>
      <c r="P1341" s="33">
        <v>0.4826500000000028</v>
      </c>
      <c r="Q1341" s="1">
        <v>0.54120000000000001</v>
      </c>
      <c r="R1341" s="1">
        <v>0.76910000000000001</v>
      </c>
      <c r="S1341" s="1">
        <v>0.50656500000000004</v>
      </c>
      <c r="T1341" s="1">
        <v>0.6258750000000014</v>
      </c>
      <c r="U1341" s="1">
        <v>0.81599999999999995</v>
      </c>
    </row>
    <row r="1342" spans="12:21" x14ac:dyDescent="0.25">
      <c r="L1342" s="1">
        <v>174.00000000000199</v>
      </c>
      <c r="M1342" s="1">
        <v>0.50647500000000001</v>
      </c>
      <c r="N1342" s="1">
        <v>0.62574500000000144</v>
      </c>
      <c r="O1342" s="1">
        <v>0.47184999999999999</v>
      </c>
      <c r="P1342" s="33">
        <v>0.48239000000000287</v>
      </c>
      <c r="Q1342" s="1">
        <v>0.54110000000000003</v>
      </c>
      <c r="R1342" s="1">
        <v>0.76910000000000001</v>
      </c>
      <c r="S1342" s="1">
        <v>0.50647500000000001</v>
      </c>
      <c r="T1342" s="1">
        <v>0.62574500000000144</v>
      </c>
      <c r="U1342" s="1">
        <v>0.81599999999999995</v>
      </c>
    </row>
    <row r="1343" spans="12:21" x14ac:dyDescent="0.25">
      <c r="L1343" s="1">
        <v>174.10000000000201</v>
      </c>
      <c r="M1343" s="1">
        <v>0.50643499999999997</v>
      </c>
      <c r="N1343" s="1">
        <v>0.62561500000000148</v>
      </c>
      <c r="O1343" s="1">
        <v>0.47176999999999991</v>
      </c>
      <c r="P1343" s="33">
        <v>0.48213000000000295</v>
      </c>
      <c r="Q1343" s="1">
        <v>0.54110000000000003</v>
      </c>
      <c r="R1343" s="1">
        <v>0.76910000000000001</v>
      </c>
      <c r="S1343" s="1">
        <v>0.50643499999999997</v>
      </c>
      <c r="T1343" s="1">
        <v>0.62561500000000148</v>
      </c>
      <c r="U1343" s="1">
        <v>0.81599999999999995</v>
      </c>
    </row>
    <row r="1344" spans="12:21" x14ac:dyDescent="0.25">
      <c r="L1344" s="1">
        <v>174.20000000000201</v>
      </c>
      <c r="M1344" s="1">
        <v>0.50634500000000005</v>
      </c>
      <c r="N1344" s="1">
        <v>0.62548500000000151</v>
      </c>
      <c r="O1344" s="1">
        <v>0.47169000000000005</v>
      </c>
      <c r="P1344" s="33">
        <v>0.48187000000000302</v>
      </c>
      <c r="Q1344" s="1">
        <v>0.54100000000000004</v>
      </c>
      <c r="R1344" s="1">
        <v>0.76910000000000001</v>
      </c>
      <c r="S1344" s="1">
        <v>0.50634500000000005</v>
      </c>
      <c r="T1344" s="1">
        <v>0.62548500000000151</v>
      </c>
      <c r="U1344" s="1">
        <v>0.81599999999999995</v>
      </c>
    </row>
    <row r="1345" spans="12:21" x14ac:dyDescent="0.25">
      <c r="L1345" s="1">
        <v>174.300000000002</v>
      </c>
      <c r="M1345" s="1">
        <v>0.50630500000000001</v>
      </c>
      <c r="N1345" s="1">
        <v>0.62535500000000155</v>
      </c>
      <c r="O1345" s="1">
        <v>0.47160999999999997</v>
      </c>
      <c r="P1345" s="33">
        <v>0.48161000000000309</v>
      </c>
      <c r="Q1345" s="1">
        <v>0.54100000000000004</v>
      </c>
      <c r="R1345" s="1">
        <v>0.76910000000000001</v>
      </c>
      <c r="S1345" s="1">
        <v>0.50630500000000001</v>
      </c>
      <c r="T1345" s="1">
        <v>0.62535500000000155</v>
      </c>
      <c r="U1345" s="1">
        <v>0.81599999999999995</v>
      </c>
    </row>
    <row r="1346" spans="12:21" x14ac:dyDescent="0.25">
      <c r="L1346" s="1">
        <v>174.400000000002</v>
      </c>
      <c r="M1346" s="1">
        <v>0.50621499999999997</v>
      </c>
      <c r="N1346" s="1">
        <v>0.62522500000000159</v>
      </c>
      <c r="O1346" s="1">
        <v>0.47152999999999989</v>
      </c>
      <c r="P1346" s="33">
        <v>0.48135000000000316</v>
      </c>
      <c r="Q1346" s="1">
        <v>0.54090000000000005</v>
      </c>
      <c r="R1346" s="1">
        <v>0.76910000000000001</v>
      </c>
      <c r="S1346" s="1">
        <v>0.50621499999999997</v>
      </c>
      <c r="T1346" s="1">
        <v>0.62522500000000159</v>
      </c>
      <c r="U1346" s="1">
        <v>0.81599999999999995</v>
      </c>
    </row>
    <row r="1347" spans="12:21" x14ac:dyDescent="0.25">
      <c r="L1347" s="1">
        <v>174.50000000000199</v>
      </c>
      <c r="M1347" s="1">
        <v>0.50617500000000004</v>
      </c>
      <c r="N1347" s="1">
        <v>0.62509500000000162</v>
      </c>
      <c r="O1347" s="1">
        <v>0.47145000000000004</v>
      </c>
      <c r="P1347" s="33">
        <v>0.48109000000000324</v>
      </c>
      <c r="Q1347" s="1">
        <v>0.54090000000000005</v>
      </c>
      <c r="R1347" s="1">
        <v>0.76910000000000001</v>
      </c>
      <c r="S1347" s="1">
        <v>0.50617500000000004</v>
      </c>
      <c r="T1347" s="1">
        <v>0.62509500000000162</v>
      </c>
      <c r="U1347" s="1">
        <v>0.81599999999999995</v>
      </c>
    </row>
    <row r="1348" spans="12:21" x14ac:dyDescent="0.25">
      <c r="L1348" s="1">
        <v>174.60000000000201</v>
      </c>
      <c r="M1348" s="1">
        <v>0.50608500000000001</v>
      </c>
      <c r="N1348" s="1">
        <v>0.62496500000000166</v>
      </c>
      <c r="O1348" s="1">
        <v>0.47137000000000007</v>
      </c>
      <c r="P1348" s="33">
        <v>0.48083000000000331</v>
      </c>
      <c r="Q1348" s="1">
        <v>0.54079999999999995</v>
      </c>
      <c r="R1348" s="1">
        <v>0.76910000000000001</v>
      </c>
      <c r="S1348" s="1">
        <v>0.50608500000000001</v>
      </c>
      <c r="T1348" s="1">
        <v>0.62496500000000166</v>
      </c>
      <c r="U1348" s="1">
        <v>0.81599999999999995</v>
      </c>
    </row>
    <row r="1349" spans="12:21" x14ac:dyDescent="0.25">
      <c r="L1349" s="1">
        <v>174.70000000000201</v>
      </c>
      <c r="M1349" s="1">
        <v>0.50604499999999997</v>
      </c>
      <c r="N1349" s="1">
        <v>0.62483500000000169</v>
      </c>
      <c r="O1349" s="1">
        <v>0.47128999999999999</v>
      </c>
      <c r="P1349" s="33">
        <v>0.48057000000000338</v>
      </c>
      <c r="Q1349" s="1">
        <v>0.54079999999999995</v>
      </c>
      <c r="R1349" s="1">
        <v>0.76910000000000001</v>
      </c>
      <c r="S1349" s="1">
        <v>0.50604499999999997</v>
      </c>
      <c r="T1349" s="1">
        <v>0.62483500000000169</v>
      </c>
      <c r="U1349" s="1">
        <v>0.81599999999999995</v>
      </c>
    </row>
    <row r="1350" spans="12:21" x14ac:dyDescent="0.25">
      <c r="L1350" s="1">
        <v>174.800000000002</v>
      </c>
      <c r="M1350" s="1">
        <v>0.50595500000000004</v>
      </c>
      <c r="N1350" s="1">
        <v>0.62470500000000173</v>
      </c>
      <c r="O1350" s="1">
        <v>0.47121000000000013</v>
      </c>
      <c r="P1350" s="33">
        <v>0.48031000000000346</v>
      </c>
      <c r="Q1350" s="1">
        <v>0.54069999999999996</v>
      </c>
      <c r="R1350" s="1">
        <v>0.76910000000000001</v>
      </c>
      <c r="S1350" s="1">
        <v>0.50595500000000004</v>
      </c>
      <c r="T1350" s="1">
        <v>0.62470500000000173</v>
      </c>
      <c r="U1350" s="1">
        <v>0.81599999999999995</v>
      </c>
    </row>
    <row r="1351" spans="12:21" x14ac:dyDescent="0.25">
      <c r="L1351" s="1">
        <v>174.900000000002</v>
      </c>
      <c r="M1351" s="1">
        <v>0.505915</v>
      </c>
      <c r="N1351" s="1">
        <v>0.62457500000000177</v>
      </c>
      <c r="O1351" s="1">
        <v>0.47113000000000005</v>
      </c>
      <c r="P1351" s="33">
        <v>0.48005000000000353</v>
      </c>
      <c r="Q1351" s="1">
        <v>0.54069999999999996</v>
      </c>
      <c r="R1351" s="1">
        <v>0.76910000000000001</v>
      </c>
      <c r="S1351" s="1">
        <v>0.505915</v>
      </c>
      <c r="T1351" s="1">
        <v>0.62457500000000177</v>
      </c>
      <c r="U1351" s="1">
        <v>0.81599999999999995</v>
      </c>
    </row>
    <row r="1352" spans="12:21" x14ac:dyDescent="0.25">
      <c r="L1352" s="1">
        <v>175.00000000000199</v>
      </c>
      <c r="M1352" s="1">
        <v>0.50583500000000003</v>
      </c>
      <c r="N1352" s="1">
        <v>0.6244450000000018</v>
      </c>
      <c r="O1352" s="1">
        <v>0.4710700000000001</v>
      </c>
      <c r="P1352" s="33">
        <v>0.4797900000000036</v>
      </c>
      <c r="Q1352" s="1">
        <v>0.54059999999999997</v>
      </c>
      <c r="R1352" s="1">
        <v>0.76910000000000001</v>
      </c>
      <c r="S1352" s="1">
        <v>0.50583500000000003</v>
      </c>
      <c r="T1352" s="1">
        <v>0.6244450000000018</v>
      </c>
    </row>
    <row r="1353" spans="12:21" x14ac:dyDescent="0.25">
      <c r="L1353" s="1">
        <v>175.10000000000201</v>
      </c>
      <c r="M1353" s="1">
        <v>0.50576500000000002</v>
      </c>
      <c r="N1353" s="1">
        <v>0.62431500000000184</v>
      </c>
      <c r="O1353" s="1">
        <v>0.47093000000000007</v>
      </c>
      <c r="P1353" s="33">
        <v>0.47953000000000368</v>
      </c>
      <c r="Q1353" s="1">
        <v>0.54059999999999997</v>
      </c>
      <c r="R1353" s="1">
        <v>0.76910000000000001</v>
      </c>
      <c r="S1353" s="1">
        <v>0.50576500000000002</v>
      </c>
      <c r="T1353" s="1">
        <v>0.62431500000000184</v>
      </c>
    </row>
    <row r="1354" spans="12:21" x14ac:dyDescent="0.25">
      <c r="L1354" s="1">
        <v>175.20000000000201</v>
      </c>
      <c r="M1354" s="1">
        <v>0.50569500000000001</v>
      </c>
      <c r="N1354" s="1">
        <v>0.62418500000000188</v>
      </c>
      <c r="O1354" s="1">
        <v>0.47089000000000003</v>
      </c>
      <c r="P1354" s="33">
        <v>0.47927000000000375</v>
      </c>
      <c r="Q1354" s="1">
        <v>0.54049999999999998</v>
      </c>
      <c r="R1354" s="1">
        <v>0.76910000000000001</v>
      </c>
      <c r="S1354" s="1">
        <v>0.50569500000000001</v>
      </c>
      <c r="T1354" s="1">
        <v>0.62418500000000188</v>
      </c>
    </row>
    <row r="1355" spans="12:21" x14ac:dyDescent="0.25">
      <c r="L1355" s="1">
        <v>175.300000000002</v>
      </c>
      <c r="M1355" s="1">
        <v>0.50562499999999999</v>
      </c>
      <c r="N1355" s="1">
        <v>0.62405500000000191</v>
      </c>
      <c r="O1355" s="1">
        <v>0.47075</v>
      </c>
      <c r="P1355" s="33">
        <v>0.47901000000000382</v>
      </c>
      <c r="Q1355" s="1">
        <v>0.54049999999999998</v>
      </c>
      <c r="R1355" s="1">
        <v>0.76910000000000001</v>
      </c>
      <c r="S1355" s="1">
        <v>0.50562499999999999</v>
      </c>
      <c r="T1355" s="1">
        <v>0.62405500000000191</v>
      </c>
    </row>
    <row r="1356" spans="12:21" x14ac:dyDescent="0.25">
      <c r="L1356" s="1">
        <v>175.400000000002</v>
      </c>
      <c r="M1356" s="1">
        <v>0.50555499999999998</v>
      </c>
      <c r="N1356" s="1">
        <v>0.62392500000000195</v>
      </c>
      <c r="O1356" s="1">
        <v>0.47070999999999996</v>
      </c>
      <c r="P1356" s="33">
        <v>0.47875000000000389</v>
      </c>
      <c r="Q1356" s="1">
        <v>0.54039999999999999</v>
      </c>
      <c r="R1356" s="1">
        <v>0.76910000000000001</v>
      </c>
      <c r="S1356" s="1">
        <v>0.50555499999999998</v>
      </c>
      <c r="T1356" s="1">
        <v>0.62392500000000195</v>
      </c>
    </row>
    <row r="1357" spans="12:21" x14ac:dyDescent="0.25">
      <c r="L1357" s="1">
        <v>175.50000000000199</v>
      </c>
      <c r="M1357" s="1">
        <v>0.50548499999999996</v>
      </c>
      <c r="N1357" s="1">
        <v>0.62379500000000199</v>
      </c>
      <c r="O1357" s="1">
        <v>0.47056999999999993</v>
      </c>
      <c r="P1357" s="33">
        <v>0.47849000000000397</v>
      </c>
      <c r="Q1357" s="1">
        <v>0.54039999999999999</v>
      </c>
      <c r="R1357" s="1">
        <v>0.76910000000000001</v>
      </c>
      <c r="S1357" s="1">
        <v>0.50548499999999996</v>
      </c>
      <c r="T1357" s="1">
        <v>0.62379500000000199</v>
      </c>
    </row>
    <row r="1358" spans="12:21" x14ac:dyDescent="0.25">
      <c r="L1358" s="1">
        <v>175.60000000000201</v>
      </c>
      <c r="M1358" s="1">
        <v>0.50541499999999995</v>
      </c>
      <c r="N1358" s="1">
        <v>0.62366500000000202</v>
      </c>
      <c r="O1358" s="1">
        <v>0.47052999999999989</v>
      </c>
      <c r="P1358" s="33">
        <v>0.47823000000000404</v>
      </c>
      <c r="Q1358" s="1">
        <v>0.5403</v>
      </c>
      <c r="R1358" s="1">
        <v>0.76910000000000001</v>
      </c>
      <c r="S1358" s="1">
        <v>0.50541499999999995</v>
      </c>
      <c r="T1358" s="1">
        <v>0.62366500000000202</v>
      </c>
    </row>
    <row r="1359" spans="12:21" x14ac:dyDescent="0.25">
      <c r="L1359" s="1">
        <v>175.70000000000201</v>
      </c>
      <c r="M1359" s="1">
        <v>0.50534500000000004</v>
      </c>
      <c r="N1359" s="1">
        <v>0.62353500000000206</v>
      </c>
      <c r="O1359" s="1">
        <v>0.47039000000000009</v>
      </c>
      <c r="P1359" s="33">
        <v>0.47797000000000411</v>
      </c>
      <c r="Q1359" s="1">
        <v>0.5403</v>
      </c>
      <c r="R1359" s="1">
        <v>0.76910000000000001</v>
      </c>
      <c r="S1359" s="1">
        <v>0.50534500000000004</v>
      </c>
      <c r="T1359" s="1">
        <v>0.62353500000000206</v>
      </c>
    </row>
    <row r="1360" spans="12:21" x14ac:dyDescent="0.25">
      <c r="L1360" s="1">
        <v>175.800000000002</v>
      </c>
      <c r="M1360" s="1">
        <v>0.50527500000000003</v>
      </c>
      <c r="N1360" s="1">
        <v>0.6234050000000021</v>
      </c>
      <c r="O1360" s="1">
        <v>0.47035000000000005</v>
      </c>
      <c r="P1360" s="33">
        <v>0.47771000000000419</v>
      </c>
      <c r="Q1360" s="1">
        <v>0.54020000000000001</v>
      </c>
      <c r="R1360" s="1">
        <v>0.76910000000000001</v>
      </c>
      <c r="S1360" s="1">
        <v>0.50527500000000003</v>
      </c>
      <c r="T1360" s="1">
        <v>0.6234050000000021</v>
      </c>
    </row>
    <row r="1361" spans="12:20" x14ac:dyDescent="0.25">
      <c r="L1361" s="1">
        <v>175.900000000002</v>
      </c>
      <c r="M1361" s="1">
        <v>0.50520500000000002</v>
      </c>
      <c r="N1361" s="1">
        <v>0.62327500000000213</v>
      </c>
      <c r="O1361" s="1">
        <v>0.47021000000000002</v>
      </c>
      <c r="P1361" s="33">
        <v>0.47745000000000426</v>
      </c>
      <c r="Q1361" s="1">
        <v>0.54020000000000001</v>
      </c>
      <c r="R1361" s="1">
        <v>0.76910000000000001</v>
      </c>
      <c r="S1361" s="1">
        <v>0.50520500000000002</v>
      </c>
      <c r="T1361" s="1">
        <v>0.62327500000000213</v>
      </c>
    </row>
    <row r="1362" spans="12:20" x14ac:dyDescent="0.25">
      <c r="L1362" s="1">
        <v>176.00000000000199</v>
      </c>
      <c r="M1362" s="1">
        <v>0.505135</v>
      </c>
      <c r="N1362" s="1">
        <v>0.62314500000000217</v>
      </c>
      <c r="O1362" s="1">
        <v>0.47016999999999998</v>
      </c>
      <c r="P1362" s="33">
        <v>0.47719000000000433</v>
      </c>
      <c r="Q1362" s="1">
        <v>0.54010000000000002</v>
      </c>
      <c r="R1362" s="1">
        <v>0.76910000000000001</v>
      </c>
      <c r="S1362" s="1">
        <v>0.505135</v>
      </c>
      <c r="T1362" s="1">
        <v>0.62314500000000217</v>
      </c>
    </row>
    <row r="1363" spans="12:20" x14ac:dyDescent="0.25">
      <c r="L1363" s="1">
        <v>176.10000000000201</v>
      </c>
      <c r="M1363" s="1">
        <v>0.50506499999999999</v>
      </c>
      <c r="N1363" s="1">
        <v>0.62301500000000221</v>
      </c>
      <c r="O1363" s="1">
        <v>0.47002999999999995</v>
      </c>
      <c r="P1363" s="33">
        <v>0.47693000000000441</v>
      </c>
      <c r="Q1363" s="1">
        <v>0.54010000000000002</v>
      </c>
      <c r="R1363" s="1">
        <v>0.76910000000000001</v>
      </c>
      <c r="S1363" s="1">
        <v>0.50506499999999999</v>
      </c>
      <c r="T1363" s="1">
        <v>0.62301500000000221</v>
      </c>
    </row>
    <row r="1364" spans="12:20" x14ac:dyDescent="0.25">
      <c r="L1364" s="1">
        <v>176.20000000000201</v>
      </c>
      <c r="M1364" s="1">
        <v>0.50499499999999997</v>
      </c>
      <c r="N1364" s="1">
        <v>0.62288500000000224</v>
      </c>
      <c r="O1364" s="1">
        <v>0.46998999999999991</v>
      </c>
      <c r="P1364" s="33">
        <v>0.47667000000000448</v>
      </c>
      <c r="Q1364" s="1">
        <v>0.54</v>
      </c>
      <c r="R1364" s="1">
        <v>0.76910000000000001</v>
      </c>
      <c r="S1364" s="1">
        <v>0.50499499999999997</v>
      </c>
      <c r="T1364" s="1">
        <v>0.62288500000000224</v>
      </c>
    </row>
    <row r="1365" spans="12:20" x14ac:dyDescent="0.25">
      <c r="L1365" s="1">
        <v>176.300000000002</v>
      </c>
      <c r="M1365" s="1">
        <v>0.50492499999999996</v>
      </c>
      <c r="N1365" s="1">
        <v>0.62275500000000228</v>
      </c>
      <c r="O1365" s="1">
        <v>0.46984999999999988</v>
      </c>
      <c r="P1365" s="33">
        <v>0.47641000000000455</v>
      </c>
      <c r="Q1365" s="1">
        <v>0.54</v>
      </c>
      <c r="R1365" s="1">
        <v>0.76910000000000001</v>
      </c>
      <c r="S1365" s="1">
        <v>0.50492499999999996</v>
      </c>
      <c r="T1365" s="1">
        <v>0.62275500000000228</v>
      </c>
    </row>
    <row r="1366" spans="12:20" x14ac:dyDescent="0.25">
      <c r="L1366" s="1">
        <v>176.400000000002</v>
      </c>
      <c r="M1366" s="1">
        <v>0.50485500000000005</v>
      </c>
      <c r="N1366" s="1">
        <v>0.62262500000000232</v>
      </c>
      <c r="O1366" s="1">
        <v>0.46981000000000006</v>
      </c>
      <c r="P1366" s="33">
        <v>0.47615000000000463</v>
      </c>
      <c r="Q1366" s="1">
        <v>0.53990000000000005</v>
      </c>
      <c r="R1366" s="1">
        <v>0.76910000000000001</v>
      </c>
      <c r="S1366" s="1">
        <v>0.50485500000000005</v>
      </c>
      <c r="T1366" s="1">
        <v>0.62262500000000232</v>
      </c>
    </row>
    <row r="1367" spans="12:20" x14ac:dyDescent="0.25">
      <c r="L1367" s="1">
        <v>176.50000000000301</v>
      </c>
      <c r="M1367" s="1">
        <v>0.50478500000000004</v>
      </c>
      <c r="N1367" s="1">
        <v>0.62249500000000235</v>
      </c>
      <c r="O1367" s="1">
        <v>0.46967000000000003</v>
      </c>
      <c r="P1367" s="33">
        <v>0.4758900000000047</v>
      </c>
      <c r="Q1367" s="1">
        <v>0.53990000000000005</v>
      </c>
      <c r="R1367" s="1">
        <v>0.76910000000000001</v>
      </c>
      <c r="S1367" s="1">
        <v>0.50478500000000004</v>
      </c>
      <c r="T1367" s="1">
        <v>0.62249500000000235</v>
      </c>
    </row>
    <row r="1368" spans="12:20" x14ac:dyDescent="0.25">
      <c r="L1368" s="1">
        <v>176.60000000000201</v>
      </c>
      <c r="M1368" s="1">
        <v>0.50471500000000002</v>
      </c>
      <c r="N1368" s="1">
        <v>0.62236500000000239</v>
      </c>
      <c r="O1368" s="1">
        <v>0.4696300000000001</v>
      </c>
      <c r="P1368" s="33">
        <v>0.47563000000000477</v>
      </c>
      <c r="Q1368" s="1">
        <v>0.53979999999999995</v>
      </c>
      <c r="R1368" s="1">
        <v>0.76910000000000001</v>
      </c>
      <c r="S1368" s="1">
        <v>0.50471500000000002</v>
      </c>
      <c r="T1368" s="1">
        <v>0.62236500000000239</v>
      </c>
    </row>
    <row r="1369" spans="12:20" x14ac:dyDescent="0.25">
      <c r="L1369" s="1">
        <v>176.70000000000201</v>
      </c>
      <c r="M1369" s="1">
        <v>0.50464500000000001</v>
      </c>
      <c r="N1369" s="1">
        <v>0.62223500000000243</v>
      </c>
      <c r="O1369" s="1">
        <v>0.46949000000000007</v>
      </c>
      <c r="P1369" s="33">
        <v>0.47537000000000484</v>
      </c>
      <c r="Q1369" s="1">
        <v>0.53979999999999995</v>
      </c>
      <c r="R1369" s="1">
        <v>0.76910000000000001</v>
      </c>
      <c r="S1369" s="1">
        <v>0.50464500000000001</v>
      </c>
      <c r="T1369" s="1">
        <v>0.62223500000000243</v>
      </c>
    </row>
    <row r="1370" spans="12:20" x14ac:dyDescent="0.25">
      <c r="L1370" s="1">
        <v>176.800000000002</v>
      </c>
      <c r="M1370" s="1">
        <v>0.504575</v>
      </c>
      <c r="N1370" s="1">
        <v>0.62210500000000246</v>
      </c>
      <c r="O1370" s="1">
        <v>0.46945000000000003</v>
      </c>
      <c r="P1370" s="33">
        <v>0.47511000000000492</v>
      </c>
      <c r="Q1370" s="1">
        <v>0.53969999999999996</v>
      </c>
      <c r="R1370" s="1">
        <v>0.76910000000000001</v>
      </c>
      <c r="S1370" s="1">
        <v>0.504575</v>
      </c>
      <c r="T1370" s="1">
        <v>0.62210500000000246</v>
      </c>
    </row>
    <row r="1371" spans="12:20" x14ac:dyDescent="0.25">
      <c r="L1371" s="1">
        <v>176.900000000002</v>
      </c>
      <c r="M1371" s="1">
        <v>0.50450499999999998</v>
      </c>
      <c r="N1371" s="1">
        <v>0.6219750000000025</v>
      </c>
      <c r="O1371" s="1">
        <v>0.46931</v>
      </c>
      <c r="P1371" s="33">
        <v>0.47485000000000499</v>
      </c>
      <c r="Q1371" s="1">
        <v>0.53969999999999996</v>
      </c>
      <c r="R1371" s="1">
        <v>0.76910000000000001</v>
      </c>
      <c r="S1371" s="1">
        <v>0.50450499999999998</v>
      </c>
      <c r="T1371" s="1">
        <v>0.6219750000000025</v>
      </c>
    </row>
    <row r="1372" spans="12:20" x14ac:dyDescent="0.25">
      <c r="L1372" s="1">
        <v>177.00000000000301</v>
      </c>
      <c r="M1372" s="1">
        <v>0.50443499999999997</v>
      </c>
      <c r="N1372" s="1">
        <v>0.62184500000000253</v>
      </c>
      <c r="O1372" s="1">
        <v>0.46926999999999996</v>
      </c>
      <c r="P1372" s="33">
        <v>0.47459000000000506</v>
      </c>
      <c r="Q1372" s="1">
        <v>0.53959999999999997</v>
      </c>
      <c r="R1372" s="1">
        <v>0.76910000000000001</v>
      </c>
      <c r="S1372" s="1">
        <v>0.50443499999999997</v>
      </c>
      <c r="T1372" s="1">
        <v>0.62184500000000253</v>
      </c>
    </row>
    <row r="1373" spans="12:20" x14ac:dyDescent="0.25">
      <c r="L1373" s="1">
        <v>177.10000000000301</v>
      </c>
      <c r="M1373" s="1">
        <v>0.50436499999999995</v>
      </c>
      <c r="N1373" s="1">
        <v>0.62171500000000257</v>
      </c>
      <c r="O1373" s="1">
        <v>0.46912999999999994</v>
      </c>
      <c r="P1373" s="33">
        <v>0.47433000000000514</v>
      </c>
      <c r="Q1373" s="1">
        <v>0.53959999999999997</v>
      </c>
      <c r="R1373" s="1">
        <v>0.76910000000000001</v>
      </c>
      <c r="S1373" s="1">
        <v>0.50436499999999995</v>
      </c>
      <c r="T1373" s="1">
        <v>0.62171500000000257</v>
      </c>
    </row>
    <row r="1374" spans="12:20" x14ac:dyDescent="0.25">
      <c r="L1374" s="1">
        <v>177.200000000003</v>
      </c>
      <c r="M1374" s="1">
        <v>0.50429500000000005</v>
      </c>
      <c r="N1374" s="1">
        <v>0.62158500000000261</v>
      </c>
      <c r="O1374" s="1">
        <v>0.46909000000000012</v>
      </c>
      <c r="P1374" s="33">
        <v>0.47407000000000521</v>
      </c>
      <c r="Q1374" s="1">
        <v>0.53949999999999998</v>
      </c>
      <c r="R1374" s="1">
        <v>0.76910000000000001</v>
      </c>
      <c r="S1374" s="1">
        <v>0.50429500000000005</v>
      </c>
      <c r="T1374" s="1">
        <v>0.62158500000000261</v>
      </c>
    </row>
    <row r="1375" spans="12:20" x14ac:dyDescent="0.25">
      <c r="L1375" s="1">
        <v>177.300000000003</v>
      </c>
      <c r="M1375" s="1">
        <v>0.50422500000000003</v>
      </c>
      <c r="N1375" s="1">
        <v>0.62145500000000264</v>
      </c>
      <c r="O1375" s="1">
        <v>0.46895000000000009</v>
      </c>
      <c r="P1375" s="33">
        <v>0.47381000000000528</v>
      </c>
      <c r="Q1375" s="1">
        <v>0.53949999999999998</v>
      </c>
      <c r="R1375" s="1">
        <v>0.76910000000000001</v>
      </c>
      <c r="S1375" s="1">
        <v>0.50422500000000003</v>
      </c>
      <c r="T1375" s="1">
        <v>0.62145500000000264</v>
      </c>
    </row>
    <row r="1376" spans="12:20" x14ac:dyDescent="0.25">
      <c r="L1376" s="1">
        <v>177.40000000000299</v>
      </c>
      <c r="M1376" s="1">
        <v>0.50415500000000002</v>
      </c>
      <c r="N1376" s="1">
        <v>0.62132500000000268</v>
      </c>
      <c r="O1376" s="1">
        <v>0.46891000000000005</v>
      </c>
      <c r="P1376" s="33">
        <v>0.47355000000000536</v>
      </c>
      <c r="Q1376" s="1">
        <v>0.53939999999999999</v>
      </c>
      <c r="R1376" s="1">
        <v>0.76910000000000001</v>
      </c>
      <c r="S1376" s="1">
        <v>0.50415500000000002</v>
      </c>
      <c r="T1376" s="1">
        <v>0.62132500000000268</v>
      </c>
    </row>
    <row r="1377" spans="12:20" x14ac:dyDescent="0.25">
      <c r="L1377" s="1">
        <v>177.50000000000301</v>
      </c>
      <c r="M1377" s="1">
        <v>0.50408500000000001</v>
      </c>
      <c r="N1377" s="1">
        <v>0.62119500000000272</v>
      </c>
      <c r="O1377" s="1">
        <v>0.46877000000000002</v>
      </c>
      <c r="P1377" s="33">
        <v>0.47329000000000543</v>
      </c>
      <c r="Q1377" s="1">
        <v>0.53939999999999999</v>
      </c>
      <c r="R1377" s="1">
        <v>0.76910000000000001</v>
      </c>
      <c r="S1377" s="1">
        <v>0.50408500000000001</v>
      </c>
      <c r="T1377" s="1">
        <v>0.62119500000000272</v>
      </c>
    </row>
    <row r="1378" spans="12:20" x14ac:dyDescent="0.25">
      <c r="L1378" s="1">
        <v>177.60000000000301</v>
      </c>
      <c r="M1378" s="1">
        <v>0.50401499999999999</v>
      </c>
      <c r="N1378" s="1">
        <v>0.62106500000000275</v>
      </c>
      <c r="O1378" s="1">
        <v>0.46872999999999998</v>
      </c>
      <c r="P1378" s="33">
        <v>0.4730300000000055</v>
      </c>
      <c r="Q1378" s="1">
        <v>0.5393</v>
      </c>
      <c r="R1378" s="1">
        <v>0.76910000000000001</v>
      </c>
      <c r="S1378" s="1">
        <v>0.50401499999999999</v>
      </c>
      <c r="T1378" s="1">
        <v>0.62106500000000275</v>
      </c>
    </row>
    <row r="1379" spans="12:20" x14ac:dyDescent="0.25">
      <c r="L1379" s="1">
        <v>177.700000000003</v>
      </c>
      <c r="M1379" s="1">
        <v>0.50394499999999998</v>
      </c>
      <c r="N1379" s="1">
        <v>0.62093500000000279</v>
      </c>
      <c r="O1379" s="1">
        <v>0.46858999999999995</v>
      </c>
      <c r="P1379" s="33">
        <v>0.47277000000000557</v>
      </c>
      <c r="Q1379" s="1">
        <v>0.5393</v>
      </c>
      <c r="R1379" s="1">
        <v>0.76910000000000001</v>
      </c>
      <c r="S1379" s="1">
        <v>0.50394499999999998</v>
      </c>
      <c r="T1379" s="1">
        <v>0.62093500000000279</v>
      </c>
    </row>
    <row r="1380" spans="12:20" x14ac:dyDescent="0.25">
      <c r="L1380" s="1">
        <v>177.800000000003</v>
      </c>
      <c r="M1380" s="1">
        <v>0.50387499999999996</v>
      </c>
      <c r="N1380" s="1">
        <v>0.62080500000000283</v>
      </c>
      <c r="O1380" s="1">
        <v>0.46854999999999991</v>
      </c>
      <c r="P1380" s="33">
        <v>0.47251000000000565</v>
      </c>
      <c r="Q1380" s="1">
        <v>0.53920000000000001</v>
      </c>
      <c r="R1380" s="1">
        <v>0.76910000000000001</v>
      </c>
      <c r="S1380" s="1">
        <v>0.50387499999999996</v>
      </c>
      <c r="T1380" s="1">
        <v>0.62080500000000283</v>
      </c>
    </row>
    <row r="1381" spans="12:20" x14ac:dyDescent="0.25">
      <c r="L1381" s="1">
        <v>177.90000000000299</v>
      </c>
      <c r="M1381" s="1">
        <v>0.50380499999999995</v>
      </c>
      <c r="N1381" s="1">
        <v>0.62067500000000286</v>
      </c>
      <c r="O1381" s="1">
        <v>0.46840999999999988</v>
      </c>
      <c r="P1381" s="33">
        <v>0.47225000000000572</v>
      </c>
      <c r="Q1381" s="1">
        <v>0.53920000000000001</v>
      </c>
      <c r="R1381" s="1">
        <v>0.76910000000000001</v>
      </c>
      <c r="S1381" s="1">
        <v>0.50380499999999995</v>
      </c>
      <c r="T1381" s="1">
        <v>0.62067500000000286</v>
      </c>
    </row>
    <row r="1382" spans="12:20" x14ac:dyDescent="0.25">
      <c r="L1382" s="1">
        <v>178.00000000000301</v>
      </c>
      <c r="M1382" s="1">
        <v>0.50373500000000004</v>
      </c>
      <c r="N1382" s="1">
        <v>0.6205450000000029</v>
      </c>
      <c r="O1382" s="1">
        <v>0.46837000000000006</v>
      </c>
      <c r="P1382" s="33">
        <v>0.47199000000000579</v>
      </c>
      <c r="Q1382" s="1">
        <v>0.53910000000000002</v>
      </c>
      <c r="R1382" s="1">
        <v>0.76910000000000001</v>
      </c>
      <c r="S1382" s="1">
        <v>0.50373500000000004</v>
      </c>
      <c r="T1382" s="1">
        <v>0.6205450000000029</v>
      </c>
    </row>
    <row r="1383" spans="12:20" x14ac:dyDescent="0.25">
      <c r="L1383" s="1">
        <v>178.10000000000301</v>
      </c>
      <c r="M1383" s="1">
        <v>0.50366500000000003</v>
      </c>
      <c r="N1383" s="1">
        <v>0.62041500000000294</v>
      </c>
      <c r="O1383" s="1">
        <v>0.46823000000000004</v>
      </c>
      <c r="P1383" s="33">
        <v>0.47173000000000587</v>
      </c>
      <c r="Q1383" s="1">
        <v>0.53910000000000002</v>
      </c>
      <c r="R1383" s="1">
        <v>0.76910000000000001</v>
      </c>
      <c r="S1383" s="1">
        <v>0.50366500000000003</v>
      </c>
      <c r="T1383" s="1">
        <v>0.62041500000000294</v>
      </c>
    </row>
    <row r="1384" spans="12:20" x14ac:dyDescent="0.25">
      <c r="L1384" s="1">
        <v>178.200000000003</v>
      </c>
      <c r="M1384" s="1">
        <v>0.50359500000000001</v>
      </c>
      <c r="N1384" s="1">
        <v>0.62028500000000297</v>
      </c>
      <c r="O1384" s="1">
        <v>0.46819</v>
      </c>
      <c r="P1384" s="33">
        <v>0.47147000000000594</v>
      </c>
      <c r="Q1384" s="1">
        <v>0.53900000000000003</v>
      </c>
      <c r="R1384" s="1">
        <v>0.76910000000000001</v>
      </c>
      <c r="S1384" s="1">
        <v>0.50359500000000001</v>
      </c>
      <c r="T1384" s="1">
        <v>0.62028500000000297</v>
      </c>
    </row>
    <row r="1385" spans="12:20" x14ac:dyDescent="0.25">
      <c r="L1385" s="1">
        <v>178.300000000003</v>
      </c>
      <c r="M1385" s="1">
        <v>0.503525</v>
      </c>
      <c r="N1385" s="1">
        <v>0.62015500000000301</v>
      </c>
      <c r="O1385" s="1">
        <v>0.46804999999999997</v>
      </c>
      <c r="P1385" s="33">
        <v>0.47121000000000601</v>
      </c>
      <c r="Q1385" s="1">
        <v>0.53900000000000003</v>
      </c>
      <c r="R1385" s="1">
        <v>0.76910000000000001</v>
      </c>
      <c r="S1385" s="1">
        <v>0.503525</v>
      </c>
      <c r="T1385" s="1">
        <v>0.62015500000000301</v>
      </c>
    </row>
    <row r="1386" spans="12:20" x14ac:dyDescent="0.25">
      <c r="L1386" s="1">
        <v>178.40000000000299</v>
      </c>
      <c r="M1386" s="1">
        <v>0.50345499999999999</v>
      </c>
      <c r="N1386" s="1">
        <v>0.62002500000000305</v>
      </c>
      <c r="O1386" s="1">
        <v>0.46800999999999993</v>
      </c>
      <c r="P1386" s="33">
        <v>0.47095000000000609</v>
      </c>
      <c r="Q1386" s="1">
        <v>0.53890000000000005</v>
      </c>
      <c r="R1386" s="1">
        <v>0.76910000000000001</v>
      </c>
      <c r="S1386" s="1">
        <v>0.50345499999999999</v>
      </c>
      <c r="T1386" s="1">
        <v>0.62002500000000305</v>
      </c>
    </row>
    <row r="1387" spans="12:20" x14ac:dyDescent="0.25">
      <c r="L1387" s="1">
        <v>178.50000000000301</v>
      </c>
      <c r="M1387" s="1">
        <v>0.50338499999999997</v>
      </c>
      <c r="N1387" s="1">
        <v>0.61989500000000308</v>
      </c>
      <c r="O1387" s="1">
        <v>0.4678699999999999</v>
      </c>
      <c r="P1387" s="33">
        <v>0.47069000000000616</v>
      </c>
      <c r="Q1387" s="1">
        <v>0.53890000000000005</v>
      </c>
      <c r="R1387" s="1">
        <v>0.76910000000000001</v>
      </c>
      <c r="S1387" s="1">
        <v>0.50338499999999997</v>
      </c>
      <c r="T1387" s="1">
        <v>0.61989500000000308</v>
      </c>
    </row>
    <row r="1388" spans="12:20" x14ac:dyDescent="0.25">
      <c r="L1388" s="1">
        <v>178.60000000000301</v>
      </c>
      <c r="M1388" s="1">
        <v>0.50327999999999995</v>
      </c>
      <c r="N1388" s="1">
        <v>0.61976500000000312</v>
      </c>
      <c r="O1388" s="1">
        <v>0.46775999999999995</v>
      </c>
      <c r="P1388" s="33">
        <v>0.47043000000000623</v>
      </c>
      <c r="Q1388" s="1">
        <v>0.53879999999999995</v>
      </c>
      <c r="R1388" s="1">
        <v>0.76910000000000001</v>
      </c>
      <c r="S1388" s="1">
        <v>0.50327999999999995</v>
      </c>
      <c r="T1388" s="1">
        <v>0.61976500000000312</v>
      </c>
    </row>
    <row r="1389" spans="12:20" x14ac:dyDescent="0.25">
      <c r="L1389" s="1">
        <v>178.700000000003</v>
      </c>
      <c r="M1389" s="1">
        <v>0.50321000000000005</v>
      </c>
      <c r="N1389" s="1">
        <v>0.61963500000000316</v>
      </c>
      <c r="O1389" s="1">
        <v>0.46762000000000015</v>
      </c>
      <c r="P1389" s="33">
        <v>0.47017000000000631</v>
      </c>
      <c r="Q1389" s="1">
        <v>0.53879999999999995</v>
      </c>
      <c r="R1389" s="1">
        <v>0.76910000000000001</v>
      </c>
      <c r="S1389" s="1">
        <v>0.50321000000000005</v>
      </c>
      <c r="T1389" s="1">
        <v>0.61963500000000316</v>
      </c>
    </row>
    <row r="1390" spans="12:20" x14ac:dyDescent="0.25">
      <c r="L1390" s="1">
        <v>178.800000000003</v>
      </c>
      <c r="M1390" s="1">
        <v>0.50314000000000003</v>
      </c>
      <c r="N1390" s="1">
        <v>0.61950500000000319</v>
      </c>
      <c r="O1390" s="1">
        <v>0.46758000000000011</v>
      </c>
      <c r="P1390" s="33">
        <v>0.46991000000000638</v>
      </c>
      <c r="Q1390" s="1">
        <v>0.53869999999999996</v>
      </c>
      <c r="R1390" s="1">
        <v>0.76910000000000001</v>
      </c>
      <c r="S1390" s="1">
        <v>0.50314000000000003</v>
      </c>
      <c r="T1390" s="1">
        <v>0.61950500000000319</v>
      </c>
    </row>
    <row r="1391" spans="12:20" x14ac:dyDescent="0.25">
      <c r="L1391" s="1">
        <v>178.90000000000299</v>
      </c>
      <c r="M1391" s="1">
        <v>0.50307000000000002</v>
      </c>
      <c r="N1391" s="1">
        <v>0.61937500000000323</v>
      </c>
      <c r="O1391" s="1">
        <v>0.46744000000000008</v>
      </c>
      <c r="P1391" s="33">
        <v>0.46965000000000645</v>
      </c>
      <c r="Q1391" s="1">
        <v>0.53869999999999996</v>
      </c>
      <c r="R1391" s="1">
        <v>0.76910000000000001</v>
      </c>
      <c r="S1391" s="1">
        <v>0.50307000000000002</v>
      </c>
      <c r="T1391" s="1">
        <v>0.61937500000000323</v>
      </c>
    </row>
    <row r="1392" spans="12:20" x14ac:dyDescent="0.25">
      <c r="L1392" s="1">
        <v>179.00000000000301</v>
      </c>
      <c r="M1392" s="1">
        <v>0.503</v>
      </c>
      <c r="N1392" s="1">
        <v>0.61924500000000327</v>
      </c>
      <c r="O1392" s="1">
        <v>0.46730000000000005</v>
      </c>
      <c r="P1392" s="33">
        <v>0.46939000000000652</v>
      </c>
      <c r="Q1392" s="1">
        <v>0.53869999999999996</v>
      </c>
      <c r="R1392" s="1">
        <v>0.76910000000000001</v>
      </c>
      <c r="S1392" s="1">
        <v>0.503</v>
      </c>
      <c r="T1392" s="1">
        <v>0.61924500000000327</v>
      </c>
    </row>
    <row r="1393" spans="12:20" x14ac:dyDescent="0.25">
      <c r="L1393" s="1">
        <v>179.10000000000301</v>
      </c>
      <c r="M1393" s="1">
        <v>0.50292999999999999</v>
      </c>
      <c r="N1393" s="1">
        <v>0.6191150000000033</v>
      </c>
      <c r="O1393" s="1">
        <v>0.46726000000000001</v>
      </c>
      <c r="P1393" s="33">
        <v>0.4691300000000066</v>
      </c>
      <c r="Q1393" s="1">
        <v>0.53859999999999997</v>
      </c>
      <c r="R1393" s="1">
        <v>0.76910000000000001</v>
      </c>
      <c r="S1393" s="1">
        <v>0.50292999999999999</v>
      </c>
      <c r="T1393" s="1">
        <v>0.6191150000000033</v>
      </c>
    </row>
    <row r="1394" spans="12:20" x14ac:dyDescent="0.25">
      <c r="L1394" s="1">
        <v>179.200000000003</v>
      </c>
      <c r="M1394" s="1">
        <v>0.50285999999999997</v>
      </c>
      <c r="N1394" s="1">
        <v>0.61898500000000334</v>
      </c>
      <c r="O1394" s="1">
        <v>0.46711999999999998</v>
      </c>
      <c r="P1394" s="33">
        <v>0.46887000000000667</v>
      </c>
      <c r="Q1394" s="1">
        <v>0.53859999999999997</v>
      </c>
      <c r="R1394" s="1">
        <v>0.76910000000000001</v>
      </c>
      <c r="S1394" s="1">
        <v>0.50285999999999997</v>
      </c>
      <c r="T1394" s="1">
        <v>0.61898500000000334</v>
      </c>
    </row>
    <row r="1395" spans="12:20" x14ac:dyDescent="0.25">
      <c r="L1395" s="1">
        <v>179.300000000003</v>
      </c>
      <c r="M1395" s="1">
        <v>0.50278999999999996</v>
      </c>
      <c r="N1395" s="1">
        <v>0.61885500000000337</v>
      </c>
      <c r="O1395" s="1">
        <v>0.46707999999999994</v>
      </c>
      <c r="P1395" s="33">
        <v>0.46861000000000674</v>
      </c>
      <c r="Q1395" s="1">
        <v>0.53849999999999998</v>
      </c>
      <c r="R1395" s="1">
        <v>0.76910000000000001</v>
      </c>
      <c r="S1395" s="1">
        <v>0.50278999999999996</v>
      </c>
      <c r="T1395" s="1">
        <v>0.61885500000000337</v>
      </c>
    </row>
    <row r="1396" spans="12:20" x14ac:dyDescent="0.25">
      <c r="L1396" s="1">
        <v>179.40000000000299</v>
      </c>
      <c r="M1396" s="1">
        <v>0.50271999999999994</v>
      </c>
      <c r="N1396" s="1">
        <v>0.61872500000000341</v>
      </c>
      <c r="O1396" s="1">
        <v>0.46693999999999991</v>
      </c>
      <c r="P1396" s="33">
        <v>0.46835000000000682</v>
      </c>
      <c r="Q1396" s="1">
        <v>0.53849999999999998</v>
      </c>
      <c r="R1396" s="1">
        <v>0.76910000000000001</v>
      </c>
      <c r="S1396" s="1">
        <v>0.50271999999999994</v>
      </c>
      <c r="T1396" s="1">
        <v>0.61872500000000341</v>
      </c>
    </row>
    <row r="1397" spans="12:20" x14ac:dyDescent="0.25">
      <c r="L1397" s="1">
        <v>179.50000000000301</v>
      </c>
      <c r="M1397" s="1">
        <v>0.50265000000000004</v>
      </c>
      <c r="N1397" s="1">
        <v>0.61859500000000345</v>
      </c>
      <c r="O1397" s="1">
        <v>0.46690000000000009</v>
      </c>
      <c r="P1397" s="33">
        <v>0.46809000000000689</v>
      </c>
      <c r="Q1397" s="1">
        <v>0.53839999999999999</v>
      </c>
      <c r="R1397" s="1">
        <v>0.76910000000000001</v>
      </c>
      <c r="S1397" s="1">
        <v>0.50265000000000004</v>
      </c>
      <c r="T1397" s="1">
        <v>0.61859500000000345</v>
      </c>
    </row>
    <row r="1398" spans="12:20" x14ac:dyDescent="0.25">
      <c r="L1398" s="1">
        <v>179.60000000000301</v>
      </c>
      <c r="M1398" s="1">
        <v>0.50258000000000003</v>
      </c>
      <c r="N1398" s="1">
        <v>0.61846500000000348</v>
      </c>
      <c r="O1398" s="1">
        <v>0.46676000000000006</v>
      </c>
      <c r="P1398" s="33">
        <v>0.46783000000000696</v>
      </c>
      <c r="Q1398" s="1">
        <v>0.53839999999999999</v>
      </c>
      <c r="R1398" s="1">
        <v>0.76910000000000001</v>
      </c>
      <c r="S1398" s="1">
        <v>0.50258000000000003</v>
      </c>
      <c r="T1398" s="1">
        <v>0.61846500000000348</v>
      </c>
    </row>
    <row r="1399" spans="12:20" x14ac:dyDescent="0.25">
      <c r="L1399" s="1">
        <v>179.700000000003</v>
      </c>
      <c r="M1399" s="1">
        <v>0.50251000000000001</v>
      </c>
      <c r="N1399" s="1">
        <v>0.61833500000000352</v>
      </c>
      <c r="O1399" s="1">
        <v>0.46672000000000002</v>
      </c>
      <c r="P1399" s="33">
        <v>0.46757000000000704</v>
      </c>
      <c r="Q1399" s="1">
        <v>0.5383</v>
      </c>
      <c r="R1399" s="1">
        <v>0.76910000000000001</v>
      </c>
      <c r="S1399" s="1">
        <v>0.50251000000000001</v>
      </c>
      <c r="T1399" s="1">
        <v>0.61833500000000352</v>
      </c>
    </row>
    <row r="1400" spans="12:20" x14ac:dyDescent="0.25">
      <c r="L1400" s="1">
        <v>179.800000000003</v>
      </c>
      <c r="M1400" s="1">
        <v>0.50244</v>
      </c>
      <c r="N1400" s="1">
        <v>0.61820500000000356</v>
      </c>
      <c r="O1400" s="1">
        <v>0.46657999999999999</v>
      </c>
      <c r="P1400" s="33">
        <v>0.46731000000000711</v>
      </c>
      <c r="Q1400" s="1">
        <v>0.5383</v>
      </c>
      <c r="R1400" s="1">
        <v>0.76910000000000001</v>
      </c>
      <c r="S1400" s="1">
        <v>0.50244</v>
      </c>
      <c r="T1400" s="1">
        <v>0.61820500000000356</v>
      </c>
    </row>
    <row r="1401" spans="12:20" x14ac:dyDescent="0.25">
      <c r="L1401" s="1">
        <v>179.90000000000299</v>
      </c>
      <c r="M1401" s="1">
        <v>0.50236999999999998</v>
      </c>
      <c r="N1401" s="1">
        <v>0.61807500000000359</v>
      </c>
      <c r="O1401" s="1">
        <v>0.46653999999999995</v>
      </c>
      <c r="P1401" s="33">
        <v>0.46705000000000718</v>
      </c>
      <c r="Q1401" s="1">
        <v>0.53820000000000001</v>
      </c>
      <c r="R1401" s="1">
        <v>0.76910000000000001</v>
      </c>
      <c r="S1401" s="1">
        <v>0.50236999999999998</v>
      </c>
      <c r="T1401" s="1">
        <v>0.61807500000000359</v>
      </c>
    </row>
    <row r="1402" spans="12:20" x14ac:dyDescent="0.25">
      <c r="L1402" s="1">
        <v>180.00000000000301</v>
      </c>
      <c r="M1402" s="1">
        <v>0.50229999999999997</v>
      </c>
      <c r="N1402" s="1">
        <v>0.61794500000000363</v>
      </c>
      <c r="O1402" s="1">
        <v>0.46639999999999993</v>
      </c>
      <c r="P1402" s="33">
        <v>0.46679000000000725</v>
      </c>
      <c r="Q1402" s="1">
        <v>0.53820000000000001</v>
      </c>
      <c r="R1402" s="1">
        <v>0.76910000000000001</v>
      </c>
      <c r="S1402" s="1">
        <v>0.50229999999999997</v>
      </c>
      <c r="T1402" s="1">
        <v>0.61794500000000363</v>
      </c>
    </row>
    <row r="1403" spans="12:20" x14ac:dyDescent="0.25">
      <c r="L1403" s="1">
        <v>180.10000000000301</v>
      </c>
      <c r="M1403" s="1">
        <v>0.50222999999999995</v>
      </c>
      <c r="N1403" s="1">
        <v>0.61781500000000367</v>
      </c>
      <c r="O1403" s="1">
        <v>0.46635999999999989</v>
      </c>
      <c r="P1403" s="33">
        <v>0.46653000000000733</v>
      </c>
      <c r="Q1403" s="1">
        <v>0.53810000000000002</v>
      </c>
      <c r="R1403" s="1">
        <v>0.76910000000000001</v>
      </c>
      <c r="S1403" s="1">
        <v>0.50222999999999995</v>
      </c>
      <c r="T1403" s="1">
        <v>0.61781500000000367</v>
      </c>
    </row>
    <row r="1404" spans="12:20" x14ac:dyDescent="0.25">
      <c r="L1404" s="1">
        <v>180.200000000003</v>
      </c>
      <c r="M1404" s="1">
        <v>0.50216000000000005</v>
      </c>
      <c r="N1404" s="1">
        <v>0.6176850000000037</v>
      </c>
      <c r="O1404" s="1">
        <v>0.46622000000000008</v>
      </c>
      <c r="P1404" s="33">
        <v>0.4662700000000074</v>
      </c>
      <c r="Q1404" s="1">
        <v>0.53810000000000002</v>
      </c>
      <c r="R1404" s="1">
        <v>0.76910000000000001</v>
      </c>
      <c r="S1404" s="1">
        <v>0.50216000000000005</v>
      </c>
      <c r="T1404" s="1">
        <v>0.6176850000000037</v>
      </c>
    </row>
    <row r="1405" spans="12:20" x14ac:dyDescent="0.25">
      <c r="L1405" s="1">
        <v>180.300000000003</v>
      </c>
      <c r="M1405" s="1">
        <v>0.50209000000000004</v>
      </c>
      <c r="N1405" s="1">
        <v>0.61755500000000374</v>
      </c>
      <c r="O1405" s="1">
        <v>0.46618000000000004</v>
      </c>
      <c r="P1405" s="33">
        <v>0.46601000000000747</v>
      </c>
      <c r="Q1405" s="1">
        <v>0.53800000000000003</v>
      </c>
      <c r="R1405" s="1">
        <v>0.76910000000000001</v>
      </c>
      <c r="S1405" s="1">
        <v>0.50209000000000004</v>
      </c>
      <c r="T1405" s="1">
        <v>0.61755500000000374</v>
      </c>
    </row>
    <row r="1406" spans="12:20" x14ac:dyDescent="0.25">
      <c r="L1406" s="1">
        <v>180.40000000000299</v>
      </c>
      <c r="M1406" s="1">
        <v>0.50202000000000002</v>
      </c>
      <c r="N1406" s="1">
        <v>0.61742500000000378</v>
      </c>
      <c r="O1406" s="1">
        <v>0.46604000000000001</v>
      </c>
      <c r="P1406" s="33">
        <v>0.46575000000000755</v>
      </c>
      <c r="Q1406" s="1">
        <v>0.53800000000000003</v>
      </c>
      <c r="R1406" s="1">
        <v>0.76910000000000001</v>
      </c>
      <c r="S1406" s="1">
        <v>0.50202000000000002</v>
      </c>
      <c r="T1406" s="1">
        <v>0.61742500000000378</v>
      </c>
    </row>
    <row r="1407" spans="12:20" x14ac:dyDescent="0.25">
      <c r="L1407" s="1">
        <v>180.50000000000301</v>
      </c>
      <c r="M1407" s="1">
        <v>0.50195000000000001</v>
      </c>
      <c r="N1407" s="1">
        <v>0.61729500000000381</v>
      </c>
      <c r="O1407" s="1">
        <v>0.46599999999999997</v>
      </c>
      <c r="P1407" s="33">
        <v>0.46549000000000762</v>
      </c>
      <c r="Q1407" s="1">
        <v>0.53790000000000004</v>
      </c>
      <c r="R1407" s="1">
        <v>0.76910000000000001</v>
      </c>
      <c r="S1407" s="1">
        <v>0.50195000000000001</v>
      </c>
      <c r="T1407" s="1">
        <v>0.61729500000000381</v>
      </c>
    </row>
    <row r="1408" spans="12:20" x14ac:dyDescent="0.25">
      <c r="L1408" s="1">
        <v>180.60000000000301</v>
      </c>
      <c r="M1408" s="1">
        <v>0.50187999999999999</v>
      </c>
      <c r="N1408" s="1">
        <v>0.61716500000000385</v>
      </c>
      <c r="O1408" s="1">
        <v>0.46585999999999994</v>
      </c>
      <c r="P1408" s="33">
        <v>0.46523000000000769</v>
      </c>
      <c r="Q1408" s="1">
        <v>0.53790000000000004</v>
      </c>
      <c r="R1408" s="1">
        <v>0.76910000000000001</v>
      </c>
      <c r="S1408" s="1">
        <v>0.50187999999999999</v>
      </c>
      <c r="T1408" s="1">
        <v>0.61716500000000385</v>
      </c>
    </row>
    <row r="1409" spans="12:20" x14ac:dyDescent="0.25">
      <c r="L1409" s="1">
        <v>180.700000000003</v>
      </c>
      <c r="M1409" s="1">
        <v>0.50180999999999998</v>
      </c>
      <c r="N1409" s="1">
        <v>0.61703500000000389</v>
      </c>
      <c r="O1409" s="1">
        <v>0.46582000000000001</v>
      </c>
      <c r="P1409" s="33">
        <v>0.46497000000000777</v>
      </c>
      <c r="Q1409" s="1">
        <v>0.53779999999999994</v>
      </c>
      <c r="R1409" s="1">
        <v>0.76910000000000001</v>
      </c>
      <c r="S1409" s="1">
        <v>0.50180999999999998</v>
      </c>
      <c r="T1409" s="1">
        <v>0.61703500000000389</v>
      </c>
    </row>
    <row r="1410" spans="12:20" x14ac:dyDescent="0.25">
      <c r="L1410" s="1">
        <v>180.800000000003</v>
      </c>
      <c r="M1410" s="1">
        <v>0.50173999999999996</v>
      </c>
      <c r="N1410" s="1">
        <v>0.61690500000000392</v>
      </c>
      <c r="O1410" s="1">
        <v>0.46567999999999998</v>
      </c>
      <c r="P1410" s="33">
        <v>0.46471000000000784</v>
      </c>
      <c r="Q1410" s="1">
        <v>0.53779999999999994</v>
      </c>
      <c r="R1410" s="1">
        <v>0.76910000000000001</v>
      </c>
      <c r="S1410" s="1">
        <v>0.50173999999999996</v>
      </c>
      <c r="T1410" s="1">
        <v>0.61690500000000392</v>
      </c>
    </row>
    <row r="1411" spans="12:20" x14ac:dyDescent="0.25">
      <c r="L1411" s="1">
        <v>180.90000000000401</v>
      </c>
      <c r="M1411" s="1">
        <v>0.50166999999999995</v>
      </c>
      <c r="N1411" s="1">
        <v>0.61677500000000396</v>
      </c>
      <c r="O1411" s="1">
        <v>0.46563999999999994</v>
      </c>
      <c r="P1411" s="33">
        <v>0.46445000000000791</v>
      </c>
      <c r="Q1411" s="1">
        <v>0.53769999999999996</v>
      </c>
      <c r="R1411" s="1">
        <v>0.76910000000000001</v>
      </c>
      <c r="S1411" s="1">
        <v>0.50166999999999995</v>
      </c>
      <c r="T1411" s="1">
        <v>0.61677500000000396</v>
      </c>
    </row>
    <row r="1412" spans="12:20" x14ac:dyDescent="0.25">
      <c r="L1412" s="1">
        <v>181.00000000000301</v>
      </c>
      <c r="M1412" s="1">
        <v>0.50160000000000005</v>
      </c>
      <c r="N1412" s="1">
        <v>0.616645000000004</v>
      </c>
      <c r="O1412" s="1">
        <v>0.46550000000000014</v>
      </c>
      <c r="P1412" s="33">
        <v>0.46419000000000799</v>
      </c>
      <c r="Q1412" s="1">
        <v>0.53769999999999996</v>
      </c>
      <c r="R1412" s="1">
        <v>0.76910000000000001</v>
      </c>
      <c r="S1412" s="1">
        <v>0.50160000000000005</v>
      </c>
      <c r="T1412" s="1">
        <v>0.616645000000004</v>
      </c>
    </row>
    <row r="1413" spans="12:20" x14ac:dyDescent="0.25">
      <c r="L1413" s="1">
        <v>181.10000000000301</v>
      </c>
      <c r="M1413" s="1">
        <v>0.50153000000000003</v>
      </c>
      <c r="N1413" s="1">
        <v>0.61651500000000403</v>
      </c>
      <c r="O1413" s="1">
        <v>0.46536000000000011</v>
      </c>
      <c r="P1413" s="33">
        <v>0.46393000000000806</v>
      </c>
      <c r="Q1413" s="1">
        <v>0.53769999999999996</v>
      </c>
      <c r="R1413" s="1">
        <v>0.76910000000000001</v>
      </c>
      <c r="S1413" s="1">
        <v>0.50153000000000003</v>
      </c>
      <c r="T1413" s="1">
        <v>0.61651500000000403</v>
      </c>
    </row>
    <row r="1414" spans="12:20" x14ac:dyDescent="0.25">
      <c r="L1414" s="1">
        <v>181.200000000003</v>
      </c>
      <c r="M1414" s="1">
        <v>0.50146000000000002</v>
      </c>
      <c r="N1414" s="1">
        <v>0.61638500000000407</v>
      </c>
      <c r="O1414" s="1">
        <v>0.46532000000000007</v>
      </c>
      <c r="P1414" s="33">
        <v>0.46367000000000813</v>
      </c>
      <c r="Q1414" s="1">
        <v>0.53759999999999997</v>
      </c>
      <c r="R1414" s="1">
        <v>0.76910000000000001</v>
      </c>
      <c r="S1414" s="1">
        <v>0.50146000000000002</v>
      </c>
      <c r="T1414" s="1">
        <v>0.61638500000000407</v>
      </c>
    </row>
    <row r="1415" spans="12:20" x14ac:dyDescent="0.25">
      <c r="L1415" s="1">
        <v>181.300000000003</v>
      </c>
      <c r="M1415" s="1">
        <v>0.50139</v>
      </c>
      <c r="N1415" s="1">
        <v>0.61625500000000411</v>
      </c>
      <c r="O1415" s="1">
        <v>0.46518000000000004</v>
      </c>
      <c r="P1415" s="33">
        <v>0.4634100000000082</v>
      </c>
      <c r="Q1415" s="1">
        <v>0.53759999999999997</v>
      </c>
      <c r="R1415" s="1">
        <v>0.76910000000000001</v>
      </c>
      <c r="S1415" s="1">
        <v>0.50139</v>
      </c>
      <c r="T1415" s="1">
        <v>0.61625500000000411</v>
      </c>
    </row>
    <row r="1416" spans="12:20" x14ac:dyDescent="0.25">
      <c r="L1416" s="1">
        <v>181.40000000000401</v>
      </c>
      <c r="M1416" s="1">
        <v>0.50131999999999999</v>
      </c>
      <c r="N1416" s="1">
        <v>0.61612500000000414</v>
      </c>
      <c r="O1416" s="1">
        <v>0.46514</v>
      </c>
      <c r="P1416" s="33">
        <v>0.46315000000000828</v>
      </c>
      <c r="Q1416" s="1">
        <v>0.53749999999999998</v>
      </c>
      <c r="R1416" s="1">
        <v>0.76910000000000001</v>
      </c>
      <c r="S1416" s="1">
        <v>0.50131999999999999</v>
      </c>
      <c r="T1416" s="1">
        <v>0.61612500000000414</v>
      </c>
    </row>
    <row r="1417" spans="12:20" x14ac:dyDescent="0.25">
      <c r="L1417" s="1">
        <v>181.50000000000401</v>
      </c>
      <c r="M1417" s="1">
        <v>0.50124999999999997</v>
      </c>
      <c r="N1417" s="1">
        <v>0.61599500000000418</v>
      </c>
      <c r="O1417" s="1">
        <v>0.46500000000000002</v>
      </c>
      <c r="P1417" s="33">
        <v>0.46289000000000835</v>
      </c>
      <c r="Q1417" s="1">
        <v>0.53749999999999998</v>
      </c>
      <c r="R1417" s="1">
        <v>0.76910000000000001</v>
      </c>
      <c r="S1417" s="1">
        <v>0.50124999999999997</v>
      </c>
      <c r="T1417" s="1">
        <v>0.61599500000000418</v>
      </c>
    </row>
    <row r="1418" spans="12:20" x14ac:dyDescent="0.25">
      <c r="L1418" s="1">
        <v>181.600000000004</v>
      </c>
      <c r="M1418" s="1">
        <v>0.50117999999999996</v>
      </c>
      <c r="N1418" s="1">
        <v>0.61586500000000421</v>
      </c>
      <c r="O1418" s="1">
        <v>0.46495999999999993</v>
      </c>
      <c r="P1418" s="33">
        <v>0.46263000000000842</v>
      </c>
      <c r="Q1418" s="1">
        <v>0.53739999999999999</v>
      </c>
      <c r="R1418" s="1">
        <v>0.76910000000000001</v>
      </c>
      <c r="S1418" s="1">
        <v>0.50117999999999996</v>
      </c>
      <c r="T1418" s="1">
        <v>0.61586500000000421</v>
      </c>
    </row>
    <row r="1419" spans="12:20" x14ac:dyDescent="0.25">
      <c r="L1419" s="1">
        <v>181.700000000004</v>
      </c>
      <c r="M1419" s="1">
        <v>0.50111000000000006</v>
      </c>
      <c r="N1419" s="1">
        <v>0.61573500000000425</v>
      </c>
      <c r="O1419" s="1">
        <v>0.46482000000000012</v>
      </c>
      <c r="P1419" s="33">
        <v>0.4623700000000085</v>
      </c>
      <c r="Q1419" s="1">
        <v>0.53739999999999999</v>
      </c>
      <c r="R1419" s="1">
        <v>0.76910000000000001</v>
      </c>
      <c r="S1419" s="1">
        <v>0.50111000000000006</v>
      </c>
      <c r="T1419" s="1">
        <v>0.61573500000000425</v>
      </c>
    </row>
    <row r="1420" spans="12:20" x14ac:dyDescent="0.25">
      <c r="L1420" s="1">
        <v>181.80000000000399</v>
      </c>
      <c r="M1420" s="1">
        <v>0.50104000000000004</v>
      </c>
      <c r="N1420" s="1">
        <v>0.61560500000000429</v>
      </c>
      <c r="O1420" s="1">
        <v>0.46478000000000008</v>
      </c>
      <c r="P1420" s="33">
        <v>0.46211000000000857</v>
      </c>
      <c r="Q1420" s="1">
        <v>0.5373</v>
      </c>
      <c r="R1420" s="1">
        <v>0.76910000000000001</v>
      </c>
      <c r="S1420" s="1">
        <v>0.50104000000000004</v>
      </c>
      <c r="T1420" s="1">
        <v>0.61560500000000429</v>
      </c>
    </row>
    <row r="1421" spans="12:20" x14ac:dyDescent="0.25">
      <c r="L1421" s="1">
        <v>181.90000000000401</v>
      </c>
      <c r="M1421" s="1">
        <v>0.50097000000000003</v>
      </c>
      <c r="N1421" s="1">
        <v>0.61547500000000432</v>
      </c>
      <c r="O1421" s="1">
        <v>0.46464000000000005</v>
      </c>
      <c r="P1421" s="33">
        <v>0.46185000000000864</v>
      </c>
      <c r="Q1421" s="1">
        <v>0.5373</v>
      </c>
      <c r="R1421" s="1">
        <v>0.76910000000000001</v>
      </c>
      <c r="S1421" s="1">
        <v>0.50097000000000003</v>
      </c>
      <c r="T1421" s="1">
        <v>0.61547500000000432</v>
      </c>
    </row>
    <row r="1422" spans="12:20" x14ac:dyDescent="0.25">
      <c r="L1422" s="1">
        <v>182.00000000000401</v>
      </c>
      <c r="M1422" s="1">
        <v>0.50090000000000001</v>
      </c>
      <c r="N1422" s="1">
        <v>0.61534500000000436</v>
      </c>
      <c r="O1422" s="1">
        <v>0.46460000000000001</v>
      </c>
      <c r="P1422" s="33">
        <v>0.46159000000000872</v>
      </c>
      <c r="Q1422" s="1">
        <v>0.53720000000000001</v>
      </c>
      <c r="R1422" s="1">
        <v>0.76910000000000001</v>
      </c>
      <c r="S1422" s="1">
        <v>0.50090000000000001</v>
      </c>
      <c r="T1422" s="1">
        <v>0.61534500000000436</v>
      </c>
    </row>
    <row r="1423" spans="12:20" x14ac:dyDescent="0.25">
      <c r="L1423" s="1">
        <v>182.100000000004</v>
      </c>
      <c r="M1423" s="1">
        <v>0.50083</v>
      </c>
      <c r="N1423" s="1">
        <v>0.6152150000000044</v>
      </c>
      <c r="O1423" s="1">
        <v>0.46445999999999998</v>
      </c>
      <c r="P1423" s="33">
        <v>0.46133000000000879</v>
      </c>
      <c r="Q1423" s="1">
        <v>0.53720000000000001</v>
      </c>
      <c r="R1423" s="1">
        <v>0.76910000000000001</v>
      </c>
      <c r="S1423" s="1">
        <v>0.50083</v>
      </c>
      <c r="T1423" s="1">
        <v>0.6152150000000044</v>
      </c>
    </row>
    <row r="1424" spans="12:20" x14ac:dyDescent="0.25">
      <c r="L1424" s="1">
        <v>182.200000000004</v>
      </c>
      <c r="M1424" s="1">
        <v>0.50075999999999998</v>
      </c>
      <c r="N1424" s="1">
        <v>0.61508500000000443</v>
      </c>
      <c r="O1424" s="1">
        <v>0.46441999999999994</v>
      </c>
      <c r="P1424" s="33">
        <v>0.46107000000000886</v>
      </c>
      <c r="Q1424" s="1">
        <v>0.53710000000000002</v>
      </c>
      <c r="R1424" s="1">
        <v>0.76910000000000001</v>
      </c>
      <c r="S1424" s="1">
        <v>0.50075999999999998</v>
      </c>
      <c r="T1424" s="1">
        <v>0.61508500000000443</v>
      </c>
    </row>
    <row r="1425" spans="12:20" x14ac:dyDescent="0.25">
      <c r="L1425" s="1">
        <v>182.30000000000399</v>
      </c>
      <c r="M1425" s="1">
        <v>0.50068999999999997</v>
      </c>
      <c r="N1425" s="1">
        <v>0.61495500000000447</v>
      </c>
      <c r="O1425" s="1">
        <v>0.46427999999999991</v>
      </c>
      <c r="P1425" s="33">
        <v>0.46081000000000893</v>
      </c>
      <c r="Q1425" s="1">
        <v>0.53710000000000002</v>
      </c>
      <c r="R1425" s="1">
        <v>0.76910000000000001</v>
      </c>
      <c r="S1425" s="1">
        <v>0.50068999999999997</v>
      </c>
      <c r="T1425" s="1">
        <v>0.61495500000000447</v>
      </c>
    </row>
    <row r="1426" spans="12:20" x14ac:dyDescent="0.25">
      <c r="L1426" s="1">
        <v>182.40000000000401</v>
      </c>
      <c r="M1426" s="1">
        <v>0.50061999999999995</v>
      </c>
      <c r="N1426" s="1">
        <v>0.61482500000000451</v>
      </c>
      <c r="O1426" s="1">
        <v>0.46413999999999989</v>
      </c>
      <c r="P1426" s="33">
        <v>0.46055000000000901</v>
      </c>
      <c r="Q1426" s="1">
        <v>0.53710000000000002</v>
      </c>
      <c r="R1426" s="1">
        <v>0.76910000000000001</v>
      </c>
      <c r="S1426" s="1">
        <v>0.50061999999999995</v>
      </c>
      <c r="T1426" s="1">
        <v>0.61482500000000451</v>
      </c>
    </row>
    <row r="1427" spans="12:20" x14ac:dyDescent="0.25">
      <c r="L1427" s="1">
        <v>182.50000000000401</v>
      </c>
      <c r="M1427" s="1">
        <v>0.50055000000000005</v>
      </c>
      <c r="N1427" s="1">
        <v>0.61469500000000454</v>
      </c>
      <c r="O1427" s="1">
        <v>0.46410000000000007</v>
      </c>
      <c r="P1427" s="33">
        <v>0.46029000000000908</v>
      </c>
      <c r="Q1427" s="1">
        <v>0.53700000000000003</v>
      </c>
      <c r="R1427" s="1">
        <v>0.76910000000000001</v>
      </c>
      <c r="S1427" s="1">
        <v>0.50055000000000005</v>
      </c>
      <c r="T1427" s="1">
        <v>0.61469500000000454</v>
      </c>
    </row>
    <row r="1428" spans="12:20" x14ac:dyDescent="0.25">
      <c r="L1428" s="1">
        <v>182.600000000004</v>
      </c>
      <c r="M1428" s="1">
        <v>0.50048499999999996</v>
      </c>
      <c r="N1428" s="1">
        <v>0.61456500000000458</v>
      </c>
      <c r="O1428" s="1">
        <v>0.46396999999999988</v>
      </c>
      <c r="P1428" s="33">
        <v>0.46003000000000915</v>
      </c>
      <c r="Q1428" s="1">
        <v>0.53700000000000003</v>
      </c>
      <c r="R1428" s="1">
        <v>0.76910000000000001</v>
      </c>
      <c r="S1428" s="1">
        <v>0.50048499999999996</v>
      </c>
      <c r="T1428" s="1">
        <v>0.61456500000000458</v>
      </c>
    </row>
    <row r="1429" spans="12:20" x14ac:dyDescent="0.25">
      <c r="L1429" s="1">
        <v>182.700000000004</v>
      </c>
      <c r="M1429" s="1">
        <v>0.50041999999999998</v>
      </c>
      <c r="N1429" s="1">
        <v>0.61443500000000462</v>
      </c>
      <c r="O1429" s="1">
        <v>0.46393999999999991</v>
      </c>
      <c r="P1429" s="33">
        <v>0.45977000000000923</v>
      </c>
      <c r="Q1429" s="1">
        <v>0.53690000000000004</v>
      </c>
      <c r="R1429" s="1">
        <v>0.76910000000000001</v>
      </c>
      <c r="S1429" s="1">
        <v>0.50041999999999998</v>
      </c>
      <c r="T1429" s="1">
        <v>0.61443500000000462</v>
      </c>
    </row>
    <row r="1430" spans="12:20" x14ac:dyDescent="0.25">
      <c r="L1430" s="1">
        <v>182.80000000000399</v>
      </c>
      <c r="M1430" s="1">
        <v>0.50034999999999996</v>
      </c>
      <c r="N1430" s="1">
        <v>0.61430500000000465</v>
      </c>
      <c r="O1430" s="1">
        <v>0.46379999999999988</v>
      </c>
      <c r="P1430" s="33">
        <v>0.4595100000000093</v>
      </c>
      <c r="Q1430" s="1">
        <v>0.53690000000000004</v>
      </c>
      <c r="R1430" s="1">
        <v>0.76910000000000001</v>
      </c>
      <c r="S1430" s="1">
        <v>0.50034999999999996</v>
      </c>
      <c r="T1430" s="1">
        <v>0.61430500000000465</v>
      </c>
    </row>
    <row r="1431" spans="12:20" x14ac:dyDescent="0.25">
      <c r="L1431" s="1">
        <v>182.90000000000401</v>
      </c>
      <c r="M1431" s="1">
        <v>0.50027999999999995</v>
      </c>
      <c r="N1431" s="1">
        <v>0.61417500000000469</v>
      </c>
      <c r="O1431" s="1">
        <v>0.46375999999999984</v>
      </c>
      <c r="P1431" s="33">
        <v>0.45925000000000937</v>
      </c>
      <c r="Q1431" s="1">
        <v>0.53680000000000005</v>
      </c>
      <c r="R1431" s="1">
        <v>0.76910000000000001</v>
      </c>
      <c r="S1431" s="1">
        <v>0.50027999999999995</v>
      </c>
      <c r="T1431" s="1">
        <v>0.61417500000000469</v>
      </c>
    </row>
    <row r="1432" spans="12:20" x14ac:dyDescent="0.25">
      <c r="L1432" s="1">
        <v>183.00000000000401</v>
      </c>
      <c r="M1432" s="1">
        <v>0.50021000000000004</v>
      </c>
      <c r="N1432" s="1">
        <v>0.61404500000000473</v>
      </c>
      <c r="O1432" s="1">
        <v>0.46362000000000003</v>
      </c>
      <c r="P1432" s="33">
        <v>0.45899000000000945</v>
      </c>
      <c r="Q1432" s="1">
        <v>0.53680000000000005</v>
      </c>
      <c r="R1432" s="1">
        <v>0.76910000000000001</v>
      </c>
      <c r="S1432" s="1">
        <v>0.50021000000000004</v>
      </c>
      <c r="T1432" s="1">
        <v>0.61404500000000473</v>
      </c>
    </row>
    <row r="1433" spans="12:20" x14ac:dyDescent="0.25">
      <c r="L1433" s="1">
        <v>183.100000000004</v>
      </c>
      <c r="M1433" s="1">
        <v>0.50014000000000003</v>
      </c>
      <c r="N1433" s="1">
        <v>0.61391500000000476</v>
      </c>
      <c r="O1433" s="1">
        <v>0.4635800000000001</v>
      </c>
      <c r="P1433" s="33">
        <v>0.45873000000000952</v>
      </c>
      <c r="Q1433" s="1">
        <v>0.53669999999999995</v>
      </c>
      <c r="R1433" s="1">
        <v>0.76910000000000001</v>
      </c>
      <c r="S1433" s="1">
        <v>0.50014000000000003</v>
      </c>
      <c r="T1433" s="1">
        <v>0.61391500000000476</v>
      </c>
    </row>
    <row r="1434" spans="12:20" x14ac:dyDescent="0.25">
      <c r="L1434" s="1">
        <v>183.200000000004</v>
      </c>
      <c r="M1434" s="1">
        <v>0.50007000000000001</v>
      </c>
      <c r="N1434" s="1">
        <v>0.6137850000000048</v>
      </c>
      <c r="O1434" s="1">
        <v>0.46344000000000007</v>
      </c>
      <c r="P1434" s="33">
        <v>0.45847000000000959</v>
      </c>
      <c r="Q1434" s="1">
        <v>0.53669999999999995</v>
      </c>
      <c r="R1434" s="1">
        <v>0.76910000000000001</v>
      </c>
      <c r="S1434" s="1">
        <v>0.50007000000000001</v>
      </c>
      <c r="T1434" s="1">
        <v>0.6137850000000048</v>
      </c>
    </row>
    <row r="1435" spans="12:20" x14ac:dyDescent="0.25">
      <c r="L1435" s="1">
        <v>183.30000000000399</v>
      </c>
      <c r="M1435" s="1">
        <v>0.5</v>
      </c>
      <c r="N1435" s="1">
        <v>0.61365500000000484</v>
      </c>
      <c r="O1435" s="1">
        <v>0.46340000000000003</v>
      </c>
      <c r="P1435" s="33">
        <v>0.45821000000000967</v>
      </c>
      <c r="Q1435" s="1">
        <v>0.53659999999999997</v>
      </c>
      <c r="R1435" s="1">
        <v>0.76910000000000001</v>
      </c>
      <c r="S1435" s="1">
        <v>0.5</v>
      </c>
      <c r="T1435" s="1">
        <v>0.61365500000000484</v>
      </c>
    </row>
    <row r="1436" spans="12:20" x14ac:dyDescent="0.25">
      <c r="L1436" s="1">
        <v>183.40000000000401</v>
      </c>
      <c r="M1436" s="1">
        <v>0.49992999999999999</v>
      </c>
      <c r="N1436" s="1">
        <v>0.61352500000000487</v>
      </c>
      <c r="O1436" s="1">
        <v>0.46326000000000001</v>
      </c>
      <c r="P1436" s="33">
        <v>0.45795000000000974</v>
      </c>
      <c r="Q1436" s="1">
        <v>0.53659999999999997</v>
      </c>
      <c r="R1436" s="1">
        <v>0.76910000000000001</v>
      </c>
      <c r="S1436" s="1">
        <v>0.49992999999999999</v>
      </c>
      <c r="T1436" s="1">
        <v>0.61352500000000487</v>
      </c>
    </row>
    <row r="1437" spans="12:20" x14ac:dyDescent="0.25">
      <c r="L1437" s="1">
        <v>183.50000000000401</v>
      </c>
      <c r="M1437" s="1">
        <v>0.49986000000000003</v>
      </c>
      <c r="N1437" s="1">
        <v>0.61339500000000491</v>
      </c>
      <c r="O1437" s="1">
        <v>0.46312000000000009</v>
      </c>
      <c r="P1437" s="33">
        <v>0.45769000000000981</v>
      </c>
      <c r="Q1437" s="1">
        <v>0.53659999999999997</v>
      </c>
      <c r="R1437" s="1">
        <v>0.76910000000000001</v>
      </c>
      <c r="S1437" s="1">
        <v>0.49986000000000003</v>
      </c>
      <c r="T1437" s="1">
        <v>0.61339500000000491</v>
      </c>
    </row>
    <row r="1438" spans="12:20" x14ac:dyDescent="0.25">
      <c r="L1438" s="1">
        <v>183.600000000004</v>
      </c>
      <c r="M1438" s="1">
        <v>0.49979000000000001</v>
      </c>
      <c r="N1438" s="1">
        <v>0.61326500000000495</v>
      </c>
      <c r="O1438" s="1">
        <v>0.46308000000000005</v>
      </c>
      <c r="P1438" s="33">
        <v>0.45743000000000988</v>
      </c>
      <c r="Q1438" s="1">
        <v>0.53649999999999998</v>
      </c>
      <c r="R1438" s="1">
        <v>0.76910000000000001</v>
      </c>
      <c r="S1438" s="1">
        <v>0.49979000000000001</v>
      </c>
      <c r="T1438" s="1">
        <v>0.61326500000000495</v>
      </c>
    </row>
    <row r="1439" spans="12:20" x14ac:dyDescent="0.25">
      <c r="L1439" s="1">
        <v>183.700000000004</v>
      </c>
      <c r="M1439" s="1">
        <v>0.49972</v>
      </c>
      <c r="N1439" s="1">
        <v>0.61313500000000498</v>
      </c>
      <c r="O1439" s="1">
        <v>0.46294000000000002</v>
      </c>
      <c r="P1439" s="33">
        <v>0.45717000000000996</v>
      </c>
      <c r="Q1439" s="1">
        <v>0.53649999999999998</v>
      </c>
      <c r="R1439" s="1">
        <v>0.76910000000000001</v>
      </c>
      <c r="S1439" s="1">
        <v>0.49972</v>
      </c>
      <c r="T1439" s="1">
        <v>0.61313500000000498</v>
      </c>
    </row>
    <row r="1440" spans="12:20" x14ac:dyDescent="0.25">
      <c r="L1440" s="1">
        <v>183.80000000000399</v>
      </c>
      <c r="M1440" s="1">
        <v>0.49964999999999998</v>
      </c>
      <c r="N1440" s="1">
        <v>0.61300500000000502</v>
      </c>
      <c r="O1440" s="1">
        <v>0.46289999999999998</v>
      </c>
      <c r="P1440" s="33">
        <v>0.45691000000001003</v>
      </c>
      <c r="Q1440" s="1">
        <v>0.53639999999999999</v>
      </c>
      <c r="R1440" s="1">
        <v>0.76910000000000001</v>
      </c>
      <c r="S1440" s="1">
        <v>0.49964999999999998</v>
      </c>
      <c r="T1440" s="1">
        <v>0.61300500000000502</v>
      </c>
    </row>
    <row r="1441" spans="12:20" x14ac:dyDescent="0.25">
      <c r="L1441" s="1">
        <v>183.90000000000401</v>
      </c>
      <c r="M1441" s="1">
        <v>0.49958000000000002</v>
      </c>
      <c r="N1441" s="1">
        <v>0.61287500000000505</v>
      </c>
      <c r="O1441" s="1">
        <v>0.46276000000000006</v>
      </c>
      <c r="P1441" s="33">
        <v>0.4566500000000101</v>
      </c>
      <c r="Q1441" s="1">
        <v>0.53639999999999999</v>
      </c>
      <c r="R1441" s="1">
        <v>0.76910000000000001</v>
      </c>
      <c r="S1441" s="1">
        <v>0.49958000000000002</v>
      </c>
      <c r="T1441" s="1">
        <v>0.61287500000000505</v>
      </c>
    </row>
    <row r="1442" spans="12:20" x14ac:dyDescent="0.25">
      <c r="L1442" s="1">
        <v>184.00000000000401</v>
      </c>
      <c r="M1442" s="1">
        <v>0.49951000000000001</v>
      </c>
      <c r="N1442" s="1">
        <v>0.61274500000000509</v>
      </c>
      <c r="O1442" s="1">
        <v>0.46272000000000002</v>
      </c>
      <c r="P1442" s="33">
        <v>0.45639000000001018</v>
      </c>
      <c r="Q1442" s="1">
        <v>0.5363</v>
      </c>
      <c r="R1442" s="1">
        <v>0.76910000000000001</v>
      </c>
      <c r="S1442" s="1">
        <v>0.49951000000000001</v>
      </c>
      <c r="T1442" s="1">
        <v>0.61274500000000509</v>
      </c>
    </row>
    <row r="1443" spans="12:20" x14ac:dyDescent="0.25">
      <c r="L1443" s="1">
        <v>184.100000000004</v>
      </c>
      <c r="M1443" s="1">
        <v>0.49944</v>
      </c>
      <c r="N1443" s="1">
        <v>0.61261500000000513</v>
      </c>
      <c r="O1443" s="1">
        <v>0.46257999999999999</v>
      </c>
      <c r="P1443" s="33">
        <v>0.45613000000001025</v>
      </c>
      <c r="Q1443" s="1">
        <v>0.5363</v>
      </c>
      <c r="R1443" s="1">
        <v>0.76910000000000001</v>
      </c>
      <c r="S1443" s="1">
        <v>0.49944</v>
      </c>
      <c r="T1443" s="1">
        <v>0.61261500000000513</v>
      </c>
    </row>
    <row r="1444" spans="12:20" x14ac:dyDescent="0.25">
      <c r="L1444" s="1">
        <v>184.200000000004</v>
      </c>
      <c r="M1444" s="1">
        <v>0.49936999999999998</v>
      </c>
      <c r="N1444" s="1">
        <v>0.61248500000000516</v>
      </c>
      <c r="O1444" s="1">
        <v>0.46253999999999995</v>
      </c>
      <c r="P1444" s="33">
        <v>0.45587000000001032</v>
      </c>
      <c r="Q1444" s="1">
        <v>0.53620000000000001</v>
      </c>
      <c r="R1444" s="1">
        <v>0.76910000000000001</v>
      </c>
      <c r="S1444" s="1">
        <v>0.49936999999999998</v>
      </c>
      <c r="T1444" s="1">
        <v>0.61248500000000516</v>
      </c>
    </row>
    <row r="1445" spans="12:20" x14ac:dyDescent="0.25">
      <c r="L1445" s="1">
        <v>184.30000000000399</v>
      </c>
      <c r="M1445" s="1">
        <v>0.49930000000000002</v>
      </c>
      <c r="N1445" s="1">
        <v>0.6123550000000052</v>
      </c>
      <c r="O1445" s="1">
        <v>0.46240000000000003</v>
      </c>
      <c r="P1445" s="33">
        <v>0.4556100000000104</v>
      </c>
      <c r="Q1445" s="1">
        <v>0.53620000000000001</v>
      </c>
      <c r="R1445" s="1">
        <v>0.76910000000000001</v>
      </c>
      <c r="S1445" s="1">
        <v>0.49930000000000002</v>
      </c>
      <c r="T1445" s="1">
        <v>0.6123550000000052</v>
      </c>
    </row>
    <row r="1446" spans="12:20" x14ac:dyDescent="0.25">
      <c r="L1446" s="1">
        <v>184.40000000000401</v>
      </c>
      <c r="M1446" s="1">
        <v>0.49923000000000001</v>
      </c>
      <c r="N1446" s="1">
        <v>0.61222500000000524</v>
      </c>
      <c r="O1446" s="1">
        <v>0.46226</v>
      </c>
      <c r="P1446" s="33">
        <v>0.45535000000001047</v>
      </c>
      <c r="Q1446" s="1">
        <v>0.53620000000000001</v>
      </c>
      <c r="R1446" s="1">
        <v>0.76910000000000001</v>
      </c>
      <c r="S1446" s="1">
        <v>0.49923000000000001</v>
      </c>
      <c r="T1446" s="1">
        <v>0.61222500000000524</v>
      </c>
    </row>
    <row r="1447" spans="12:20" x14ac:dyDescent="0.25">
      <c r="L1447" s="1">
        <v>184.50000000000401</v>
      </c>
      <c r="M1447" s="1">
        <v>0.49915999999999999</v>
      </c>
      <c r="N1447" s="1">
        <v>0.61209500000000527</v>
      </c>
      <c r="O1447" s="1">
        <v>0.46221999999999996</v>
      </c>
      <c r="P1447" s="33">
        <v>0.45509000000001054</v>
      </c>
      <c r="Q1447" s="1">
        <v>0.53610000000000002</v>
      </c>
      <c r="R1447" s="1">
        <v>0.76910000000000001</v>
      </c>
      <c r="S1447" s="1">
        <v>0.49915999999999999</v>
      </c>
      <c r="T1447" s="1">
        <v>0.61209500000000527</v>
      </c>
    </row>
    <row r="1448" spans="12:20" x14ac:dyDescent="0.25">
      <c r="L1448" s="1">
        <v>184.600000000004</v>
      </c>
      <c r="M1448" s="1">
        <v>0.49908999999999998</v>
      </c>
      <c r="N1448" s="1">
        <v>0.61196500000000531</v>
      </c>
      <c r="O1448" s="1">
        <v>0.46207999999999994</v>
      </c>
      <c r="P1448" s="33">
        <v>0.45483000000001061</v>
      </c>
      <c r="Q1448" s="1">
        <v>0.53610000000000002</v>
      </c>
      <c r="R1448" s="1">
        <v>0.76910000000000001</v>
      </c>
      <c r="S1448" s="1">
        <v>0.49908999999999998</v>
      </c>
      <c r="T1448" s="1">
        <v>0.61196500000000531</v>
      </c>
    </row>
    <row r="1449" spans="12:20" x14ac:dyDescent="0.25">
      <c r="L1449" s="1">
        <v>184.700000000004</v>
      </c>
      <c r="M1449" s="1">
        <v>0.49902000000000002</v>
      </c>
      <c r="N1449" s="1">
        <v>0.61183500000000535</v>
      </c>
      <c r="O1449" s="1">
        <v>0.46204000000000001</v>
      </c>
      <c r="P1449" s="33">
        <v>0.45457000000001069</v>
      </c>
      <c r="Q1449" s="1">
        <v>0.53600000000000003</v>
      </c>
      <c r="R1449" s="1">
        <v>0.76910000000000001</v>
      </c>
      <c r="S1449" s="1">
        <v>0.49902000000000002</v>
      </c>
      <c r="T1449" s="1">
        <v>0.61183500000000535</v>
      </c>
    </row>
    <row r="1450" spans="12:20" x14ac:dyDescent="0.25">
      <c r="L1450" s="1">
        <v>184.80000000000399</v>
      </c>
      <c r="M1450" s="1">
        <v>0.49895</v>
      </c>
      <c r="N1450" s="1">
        <v>0.61170500000000538</v>
      </c>
      <c r="O1450" s="1">
        <v>0.46189999999999998</v>
      </c>
      <c r="P1450" s="33">
        <v>0.45431000000001076</v>
      </c>
      <c r="Q1450" s="1">
        <v>0.53600000000000003</v>
      </c>
      <c r="R1450" s="1">
        <v>0.76910000000000001</v>
      </c>
      <c r="S1450" s="1">
        <v>0.49895</v>
      </c>
      <c r="T1450" s="1">
        <v>0.61170500000000538</v>
      </c>
    </row>
    <row r="1451" spans="12:20" x14ac:dyDescent="0.25">
      <c r="L1451" s="1">
        <v>184.90000000000401</v>
      </c>
      <c r="M1451" s="1">
        <v>0.49890000000000001</v>
      </c>
      <c r="N1451" s="1">
        <v>0.61157500000000542</v>
      </c>
      <c r="O1451" s="1">
        <v>0.46189999999999998</v>
      </c>
      <c r="P1451" s="33">
        <v>0.45405000000001083</v>
      </c>
      <c r="Q1451" s="1">
        <v>0.53590000000000004</v>
      </c>
      <c r="R1451" s="1">
        <v>0.76910000000000001</v>
      </c>
      <c r="S1451" s="1">
        <v>0.49890000000000001</v>
      </c>
      <c r="T1451" s="1">
        <v>0.61157500000000542</v>
      </c>
    </row>
    <row r="1452" spans="12:20" x14ac:dyDescent="0.25">
      <c r="L1452" s="1">
        <v>185.00000000000401</v>
      </c>
      <c r="M1452" s="1">
        <v>0.49883499999999997</v>
      </c>
      <c r="N1452" s="1">
        <v>0.61144500000000546</v>
      </c>
      <c r="O1452" s="1">
        <v>0.4617699999999999</v>
      </c>
      <c r="P1452" s="33">
        <v>0.45379000000001091</v>
      </c>
      <c r="Q1452" s="1">
        <v>0.53590000000000004</v>
      </c>
      <c r="R1452" s="1">
        <v>0.76910000000000001</v>
      </c>
      <c r="S1452" s="1">
        <v>0.49883499999999997</v>
      </c>
      <c r="T1452" s="1">
        <v>0.61144500000000546</v>
      </c>
    </row>
    <row r="1453" spans="12:20" x14ac:dyDescent="0.25">
      <c r="L1453" s="1">
        <v>185.100000000004</v>
      </c>
      <c r="M1453" s="1">
        <v>0.49877500000000002</v>
      </c>
      <c r="N1453" s="1">
        <v>0.61131500000000549</v>
      </c>
      <c r="O1453" s="1">
        <v>0.46165</v>
      </c>
      <c r="P1453" s="33">
        <v>0.45353000000001098</v>
      </c>
      <c r="Q1453" s="1">
        <v>0.53590000000000004</v>
      </c>
      <c r="R1453" s="1">
        <v>0.76910000000000001</v>
      </c>
      <c r="S1453" s="1">
        <v>0.49877500000000002</v>
      </c>
      <c r="T1453" s="1">
        <v>0.61131500000000549</v>
      </c>
    </row>
    <row r="1454" spans="12:20" x14ac:dyDescent="0.25">
      <c r="L1454" s="1">
        <v>185.200000000004</v>
      </c>
      <c r="M1454" s="1">
        <v>0.49871500000000002</v>
      </c>
      <c r="N1454" s="1">
        <v>0.61118500000000553</v>
      </c>
      <c r="O1454" s="1">
        <v>0.46162999999999998</v>
      </c>
      <c r="P1454" s="33">
        <v>0.45327000000001105</v>
      </c>
      <c r="Q1454" s="1">
        <v>0.53580000000000005</v>
      </c>
      <c r="R1454" s="1">
        <v>0.76910000000000001</v>
      </c>
      <c r="S1454" s="1">
        <v>0.49871500000000002</v>
      </c>
      <c r="T1454" s="1">
        <v>0.61118500000000553</v>
      </c>
    </row>
    <row r="1455" spans="12:20" x14ac:dyDescent="0.25">
      <c r="L1455" s="1">
        <v>185.30000000000501</v>
      </c>
      <c r="M1455" s="1">
        <v>0.49865500000000001</v>
      </c>
      <c r="N1455" s="1">
        <v>0.61105500000000557</v>
      </c>
      <c r="O1455" s="1">
        <v>0.46150999999999998</v>
      </c>
      <c r="P1455" s="33">
        <v>0.45301000000001113</v>
      </c>
      <c r="Q1455" s="1">
        <v>0.53580000000000005</v>
      </c>
      <c r="R1455" s="1">
        <v>0.76910000000000001</v>
      </c>
      <c r="S1455" s="1">
        <v>0.49865500000000001</v>
      </c>
      <c r="T1455" s="1">
        <v>0.61105500000000557</v>
      </c>
    </row>
    <row r="1456" spans="12:20" x14ac:dyDescent="0.25">
      <c r="L1456" s="1">
        <v>185.40000000000401</v>
      </c>
      <c r="M1456" s="1">
        <v>0.49859500000000001</v>
      </c>
      <c r="N1456" s="1">
        <v>0.6109250000000056</v>
      </c>
      <c r="O1456" s="1">
        <v>0.46149000000000007</v>
      </c>
      <c r="P1456" s="33">
        <v>0.4527500000000112</v>
      </c>
      <c r="Q1456" s="1">
        <v>0.53569999999999995</v>
      </c>
      <c r="R1456" s="1">
        <v>0.76910000000000001</v>
      </c>
      <c r="S1456" s="1">
        <v>0.49859500000000001</v>
      </c>
      <c r="T1456" s="1">
        <v>0.6109250000000056</v>
      </c>
    </row>
    <row r="1457" spans="12:20" x14ac:dyDescent="0.25">
      <c r="L1457" s="1">
        <v>185.50000000000401</v>
      </c>
      <c r="M1457" s="1">
        <v>0.49853500000000001</v>
      </c>
      <c r="N1457" s="1">
        <v>0.61079500000000564</v>
      </c>
      <c r="O1457" s="1">
        <v>0.46137000000000006</v>
      </c>
      <c r="P1457" s="33">
        <v>0.45249000000001127</v>
      </c>
      <c r="Q1457" s="1">
        <v>0.53569999999999995</v>
      </c>
      <c r="R1457" s="1">
        <v>0.76910000000000001</v>
      </c>
      <c r="S1457" s="1">
        <v>0.49853500000000001</v>
      </c>
      <c r="T1457" s="1">
        <v>0.61079500000000564</v>
      </c>
    </row>
    <row r="1458" spans="12:20" x14ac:dyDescent="0.25">
      <c r="L1458" s="1">
        <v>185.600000000004</v>
      </c>
      <c r="M1458" s="1">
        <v>0.498475</v>
      </c>
      <c r="N1458" s="1">
        <v>0.61066500000000568</v>
      </c>
      <c r="O1458" s="1">
        <v>0.46135000000000004</v>
      </c>
      <c r="P1458" s="33">
        <v>0.45223000000001135</v>
      </c>
      <c r="Q1458" s="1">
        <v>0.53559999999999997</v>
      </c>
      <c r="R1458" s="1">
        <v>0.76910000000000001</v>
      </c>
      <c r="S1458" s="1">
        <v>0.498475</v>
      </c>
      <c r="T1458" s="1">
        <v>0.61066500000000568</v>
      </c>
    </row>
    <row r="1459" spans="12:20" x14ac:dyDescent="0.25">
      <c r="L1459" s="1">
        <v>185.700000000004</v>
      </c>
      <c r="M1459" s="1">
        <v>0.498415</v>
      </c>
      <c r="N1459" s="1">
        <v>0.61053500000000571</v>
      </c>
      <c r="O1459" s="1">
        <v>0.46123000000000003</v>
      </c>
      <c r="P1459" s="33">
        <v>0.45197000000001142</v>
      </c>
      <c r="Q1459" s="1">
        <v>0.53559999999999997</v>
      </c>
      <c r="R1459" s="1">
        <v>0.76910000000000001</v>
      </c>
      <c r="S1459" s="1">
        <v>0.498415</v>
      </c>
      <c r="T1459" s="1">
        <v>0.61053500000000571</v>
      </c>
    </row>
    <row r="1460" spans="12:20" x14ac:dyDescent="0.25">
      <c r="L1460" s="1">
        <v>185.80000000000501</v>
      </c>
      <c r="M1460" s="1">
        <v>0.49835499999999999</v>
      </c>
      <c r="N1460" s="1">
        <v>0.61040500000000575</v>
      </c>
      <c r="O1460" s="1">
        <v>0.46111000000000002</v>
      </c>
      <c r="P1460" s="33">
        <v>0.45171000000001149</v>
      </c>
      <c r="Q1460" s="1">
        <v>0.53559999999999997</v>
      </c>
      <c r="R1460" s="1">
        <v>0.76910000000000001</v>
      </c>
      <c r="S1460" s="1">
        <v>0.49835499999999999</v>
      </c>
      <c r="T1460" s="1">
        <v>0.61040500000000575</v>
      </c>
    </row>
    <row r="1461" spans="12:20" x14ac:dyDescent="0.25">
      <c r="L1461" s="1">
        <v>185.90000000000501</v>
      </c>
      <c r="M1461" s="1">
        <v>0.49829499999999999</v>
      </c>
      <c r="N1461" s="1">
        <v>0.61027500000000579</v>
      </c>
      <c r="O1461" s="1">
        <v>0.46109</v>
      </c>
      <c r="P1461" s="33">
        <v>0.45145000000001156</v>
      </c>
      <c r="Q1461" s="1">
        <v>0.53549999999999998</v>
      </c>
      <c r="R1461" s="1">
        <v>0.76910000000000001</v>
      </c>
      <c r="S1461" s="1">
        <v>0.49829499999999999</v>
      </c>
      <c r="T1461" s="1">
        <v>0.61027500000000579</v>
      </c>
    </row>
    <row r="1462" spans="12:20" x14ac:dyDescent="0.25">
      <c r="L1462" s="1">
        <v>186.000000000005</v>
      </c>
      <c r="M1462" s="1">
        <v>0.49823499999999998</v>
      </c>
      <c r="N1462" s="1">
        <v>0.61014500000000582</v>
      </c>
      <c r="O1462" s="1">
        <v>0.46096999999999999</v>
      </c>
      <c r="P1462" s="33">
        <v>0.45119000000001164</v>
      </c>
      <c r="Q1462" s="1">
        <v>0.53549999999999998</v>
      </c>
      <c r="R1462" s="1">
        <v>0.76910000000000001</v>
      </c>
      <c r="S1462" s="1">
        <v>0.49823499999999998</v>
      </c>
      <c r="T1462" s="1">
        <v>0.61014500000000582</v>
      </c>
    </row>
    <row r="1463" spans="12:20" x14ac:dyDescent="0.25">
      <c r="L1463" s="1">
        <v>186.100000000005</v>
      </c>
      <c r="M1463" s="1">
        <v>0.49817499999999998</v>
      </c>
      <c r="N1463" s="1">
        <v>0.61001500000000586</v>
      </c>
      <c r="O1463" s="1">
        <v>0.46094999999999997</v>
      </c>
      <c r="P1463" s="33">
        <v>0.45093000000001171</v>
      </c>
      <c r="Q1463" s="1">
        <v>0.53539999999999999</v>
      </c>
      <c r="R1463" s="1">
        <v>0.76910000000000001</v>
      </c>
      <c r="S1463" s="1">
        <v>0.49817499999999998</v>
      </c>
      <c r="T1463" s="1">
        <v>0.61001500000000586</v>
      </c>
    </row>
    <row r="1464" spans="12:20" x14ac:dyDescent="0.25">
      <c r="L1464" s="1">
        <v>186.20000000000499</v>
      </c>
      <c r="M1464" s="1">
        <v>0.49811499999999997</v>
      </c>
      <c r="N1464" s="1">
        <v>0.60988500000000589</v>
      </c>
      <c r="O1464" s="1">
        <v>0.46082999999999996</v>
      </c>
      <c r="P1464" s="33">
        <v>0.45067000000001178</v>
      </c>
      <c r="Q1464" s="1">
        <v>0.53539999999999999</v>
      </c>
      <c r="R1464" s="1">
        <v>0.76910000000000001</v>
      </c>
      <c r="S1464" s="1">
        <v>0.49811499999999997</v>
      </c>
      <c r="T1464" s="1">
        <v>0.60988500000000589</v>
      </c>
    </row>
    <row r="1465" spans="12:20" x14ac:dyDescent="0.25">
      <c r="L1465" s="1">
        <v>186.30000000000501</v>
      </c>
      <c r="M1465" s="1">
        <v>0.49805500000000003</v>
      </c>
      <c r="N1465" s="1">
        <v>0.60975500000000593</v>
      </c>
      <c r="O1465" s="1">
        <v>0.46081000000000005</v>
      </c>
      <c r="P1465" s="33">
        <v>0.45041000000001186</v>
      </c>
      <c r="Q1465" s="1">
        <v>0.5353</v>
      </c>
      <c r="R1465" s="1">
        <v>0.76910000000000001</v>
      </c>
      <c r="S1465" s="1">
        <v>0.49805500000000003</v>
      </c>
      <c r="T1465" s="1">
        <v>0.60975500000000593</v>
      </c>
    </row>
    <row r="1466" spans="12:20" x14ac:dyDescent="0.25">
      <c r="L1466" s="1">
        <v>186.40000000000501</v>
      </c>
      <c r="M1466" s="1">
        <v>0.49799500000000002</v>
      </c>
      <c r="N1466" s="1">
        <v>0.60962500000000597</v>
      </c>
      <c r="O1466" s="1">
        <v>0.46069000000000004</v>
      </c>
      <c r="P1466" s="33">
        <v>0.45015000000001193</v>
      </c>
      <c r="Q1466" s="1">
        <v>0.5353</v>
      </c>
      <c r="R1466" s="1">
        <v>0.76910000000000001</v>
      </c>
      <c r="S1466" s="1">
        <v>0.49799500000000002</v>
      </c>
      <c r="T1466" s="1">
        <v>0.60962500000000597</v>
      </c>
    </row>
    <row r="1467" spans="12:20" x14ac:dyDescent="0.25">
      <c r="L1467" s="1">
        <v>186.500000000005</v>
      </c>
      <c r="M1467" s="1">
        <v>0.49793500000000002</v>
      </c>
      <c r="N1467" s="1">
        <v>0.609495000000006</v>
      </c>
      <c r="O1467" s="1">
        <v>0.46057000000000003</v>
      </c>
      <c r="P1467" s="33">
        <v>0.449890000000012</v>
      </c>
      <c r="Q1467" s="1">
        <v>0.5353</v>
      </c>
      <c r="R1467" s="1">
        <v>0.76910000000000001</v>
      </c>
      <c r="S1467" s="1">
        <v>0.49793500000000002</v>
      </c>
      <c r="T1467" s="1">
        <v>0.609495000000006</v>
      </c>
    </row>
    <row r="1468" spans="12:20" x14ac:dyDescent="0.25">
      <c r="L1468" s="1">
        <v>186.600000000005</v>
      </c>
      <c r="M1468" s="1">
        <v>0.49787500000000001</v>
      </c>
      <c r="N1468" s="1">
        <v>0.60936500000000604</v>
      </c>
      <c r="O1468" s="1">
        <v>0.46055000000000001</v>
      </c>
      <c r="P1468" s="33">
        <v>0.44963000000001208</v>
      </c>
      <c r="Q1468" s="1">
        <v>0.53520000000000001</v>
      </c>
      <c r="R1468" s="1">
        <v>0.76910000000000001</v>
      </c>
      <c r="S1468" s="1">
        <v>0.49787500000000001</v>
      </c>
      <c r="T1468" s="1">
        <v>0.60936500000000604</v>
      </c>
    </row>
    <row r="1469" spans="12:20" x14ac:dyDescent="0.25">
      <c r="L1469" s="1">
        <v>186.70000000000499</v>
      </c>
      <c r="M1469" s="1">
        <v>0.49781500000000001</v>
      </c>
      <c r="N1469" s="1">
        <v>0.60923500000000608</v>
      </c>
      <c r="O1469" s="1">
        <v>0.46043000000000001</v>
      </c>
      <c r="P1469" s="33">
        <v>0.44937000000001215</v>
      </c>
      <c r="Q1469" s="1">
        <v>0.53520000000000001</v>
      </c>
      <c r="R1469" s="1">
        <v>0.76910000000000001</v>
      </c>
      <c r="S1469" s="1">
        <v>0.49781500000000001</v>
      </c>
      <c r="T1469" s="1">
        <v>0.60923500000000608</v>
      </c>
    </row>
    <row r="1470" spans="12:20" x14ac:dyDescent="0.25">
      <c r="L1470" s="1">
        <v>186.80000000000501</v>
      </c>
      <c r="M1470" s="1">
        <v>0.497755</v>
      </c>
      <c r="N1470" s="1">
        <v>0.60910500000000611</v>
      </c>
      <c r="O1470" s="1">
        <v>0.46040999999999999</v>
      </c>
      <c r="P1470" s="33">
        <v>0.44911000000001222</v>
      </c>
      <c r="Q1470" s="1">
        <v>0.53510000000000002</v>
      </c>
      <c r="R1470" s="1">
        <v>0.76910000000000001</v>
      </c>
      <c r="S1470" s="1">
        <v>0.497755</v>
      </c>
      <c r="T1470" s="1">
        <v>0.60910500000000611</v>
      </c>
    </row>
    <row r="1471" spans="12:20" x14ac:dyDescent="0.25">
      <c r="L1471" s="1">
        <v>186.90000000000501</v>
      </c>
      <c r="M1471" s="1">
        <v>0.497695</v>
      </c>
      <c r="N1471" s="1">
        <v>0.60897500000000615</v>
      </c>
      <c r="O1471" s="1">
        <v>0.46028999999999998</v>
      </c>
      <c r="P1471" s="33">
        <v>0.44885000000001229</v>
      </c>
      <c r="Q1471" s="1">
        <v>0.53510000000000002</v>
      </c>
      <c r="R1471" s="1">
        <v>0.76910000000000001</v>
      </c>
      <c r="S1471" s="1">
        <v>0.497695</v>
      </c>
      <c r="T1471" s="1">
        <v>0.60897500000000615</v>
      </c>
    </row>
    <row r="1472" spans="12:20" x14ac:dyDescent="0.25">
      <c r="L1472" s="1">
        <v>187.000000000005</v>
      </c>
      <c r="M1472" s="1">
        <v>0.49763499999999999</v>
      </c>
      <c r="N1472" s="1">
        <v>0.60884500000000619</v>
      </c>
      <c r="O1472" s="1">
        <v>0.46016999999999997</v>
      </c>
      <c r="P1472" s="33">
        <v>0.44859000000001237</v>
      </c>
      <c r="Q1472" s="1">
        <v>0.53510000000000002</v>
      </c>
      <c r="R1472" s="1">
        <v>0.76910000000000001</v>
      </c>
      <c r="S1472" s="1">
        <v>0.49763499999999999</v>
      </c>
      <c r="T1472" s="1">
        <v>0.60884500000000619</v>
      </c>
    </row>
    <row r="1473" spans="12:20" x14ac:dyDescent="0.25">
      <c r="L1473" s="1">
        <v>187.100000000005</v>
      </c>
      <c r="M1473" s="1">
        <v>0.49757499999999999</v>
      </c>
      <c r="N1473" s="1">
        <v>0.60871500000000622</v>
      </c>
      <c r="O1473" s="1">
        <v>0.46014999999999995</v>
      </c>
      <c r="P1473" s="33">
        <v>0.44833000000001244</v>
      </c>
      <c r="Q1473" s="1">
        <v>0.53500000000000003</v>
      </c>
      <c r="R1473" s="1">
        <v>0.76910000000000001</v>
      </c>
      <c r="S1473" s="1">
        <v>0.49757499999999999</v>
      </c>
      <c r="T1473" s="1">
        <v>0.60871500000000622</v>
      </c>
    </row>
    <row r="1474" spans="12:20" x14ac:dyDescent="0.25">
      <c r="L1474" s="1">
        <v>187.20000000000499</v>
      </c>
      <c r="M1474" s="1">
        <v>0.49751499999999999</v>
      </c>
      <c r="N1474" s="1">
        <v>0.60858500000000626</v>
      </c>
      <c r="O1474" s="1">
        <v>0.46002999999999994</v>
      </c>
      <c r="P1474" s="33">
        <v>0.44807000000001251</v>
      </c>
      <c r="Q1474" s="1">
        <v>0.53500000000000003</v>
      </c>
      <c r="R1474" s="1">
        <v>0.76910000000000001</v>
      </c>
      <c r="S1474" s="1">
        <v>0.49751499999999999</v>
      </c>
      <c r="T1474" s="1">
        <v>0.60858500000000626</v>
      </c>
    </row>
    <row r="1475" spans="12:20" x14ac:dyDescent="0.25">
      <c r="L1475" s="1">
        <v>187.30000000000501</v>
      </c>
      <c r="M1475" s="1">
        <v>0.49745499999999998</v>
      </c>
      <c r="N1475" s="1">
        <v>0.6084550000000063</v>
      </c>
      <c r="O1475" s="1">
        <v>0.46000999999999992</v>
      </c>
      <c r="P1475" s="33">
        <v>0.44781000000001259</v>
      </c>
      <c r="Q1475" s="1">
        <v>0.53490000000000004</v>
      </c>
      <c r="R1475" s="1">
        <v>0.76910000000000001</v>
      </c>
      <c r="S1475" s="1">
        <v>0.49745499999999998</v>
      </c>
      <c r="T1475" s="1">
        <v>0.6084550000000063</v>
      </c>
    </row>
    <row r="1476" spans="12:20" x14ac:dyDescent="0.25">
      <c r="L1476" s="1">
        <v>187.40000000000501</v>
      </c>
      <c r="M1476" s="1">
        <v>0.49739499999999998</v>
      </c>
      <c r="N1476" s="1">
        <v>0.60832500000000633</v>
      </c>
      <c r="O1476" s="1">
        <v>0.45988999999999991</v>
      </c>
      <c r="P1476" s="33">
        <v>0.44755000000001266</v>
      </c>
      <c r="Q1476" s="1">
        <v>0.53490000000000004</v>
      </c>
      <c r="R1476" s="1">
        <v>0.76910000000000001</v>
      </c>
      <c r="S1476" s="1">
        <v>0.49739499999999998</v>
      </c>
      <c r="T1476" s="1">
        <v>0.60832500000000633</v>
      </c>
    </row>
    <row r="1477" spans="12:20" x14ac:dyDescent="0.25">
      <c r="L1477" s="1">
        <v>187.500000000005</v>
      </c>
      <c r="M1477" s="1">
        <v>0.49733500000000003</v>
      </c>
      <c r="N1477" s="1">
        <v>0.60819500000000637</v>
      </c>
      <c r="O1477" s="1">
        <v>0.45977000000000001</v>
      </c>
      <c r="P1477" s="33">
        <v>0.44729000000001273</v>
      </c>
      <c r="Q1477" s="1">
        <v>0.53490000000000004</v>
      </c>
      <c r="R1477" s="1">
        <v>0.76910000000000001</v>
      </c>
      <c r="S1477" s="1">
        <v>0.49733500000000003</v>
      </c>
      <c r="T1477" s="1">
        <v>0.60819500000000637</v>
      </c>
    </row>
    <row r="1478" spans="12:20" x14ac:dyDescent="0.25">
      <c r="L1478" s="1">
        <v>187.600000000005</v>
      </c>
      <c r="M1478" s="1">
        <v>0.49727500000000002</v>
      </c>
      <c r="N1478" s="1">
        <v>0.60806500000000641</v>
      </c>
      <c r="O1478" s="1">
        <v>0.45974999999999999</v>
      </c>
      <c r="P1478" s="33">
        <v>0.44703000000001281</v>
      </c>
      <c r="Q1478" s="1">
        <v>0.53480000000000005</v>
      </c>
      <c r="R1478" s="1">
        <v>0.76910000000000001</v>
      </c>
      <c r="S1478" s="1">
        <v>0.49727500000000002</v>
      </c>
      <c r="T1478" s="1">
        <v>0.60806500000000641</v>
      </c>
    </row>
    <row r="1479" spans="12:20" x14ac:dyDescent="0.25">
      <c r="L1479" s="1">
        <v>187.70000000000499</v>
      </c>
      <c r="M1479" s="1">
        <v>0.49721500000000002</v>
      </c>
      <c r="N1479" s="1">
        <v>0.60793500000000644</v>
      </c>
      <c r="O1479" s="1">
        <v>0.45962999999999998</v>
      </c>
      <c r="P1479" s="33">
        <v>0.44677000000001288</v>
      </c>
      <c r="Q1479" s="1">
        <v>0.53480000000000005</v>
      </c>
      <c r="R1479" s="1">
        <v>0.76910000000000001</v>
      </c>
      <c r="S1479" s="1">
        <v>0.49721500000000002</v>
      </c>
      <c r="T1479" s="1">
        <v>0.60793500000000644</v>
      </c>
    </row>
    <row r="1480" spans="12:20" x14ac:dyDescent="0.25">
      <c r="L1480" s="1">
        <v>187.80000000000501</v>
      </c>
      <c r="M1480" s="1">
        <v>0.49715500000000001</v>
      </c>
      <c r="N1480" s="1">
        <v>0.60780500000000648</v>
      </c>
      <c r="O1480" s="1">
        <v>0.45961000000000007</v>
      </c>
      <c r="P1480" s="33">
        <v>0.44651000000001295</v>
      </c>
      <c r="Q1480" s="1">
        <v>0.53469999999999995</v>
      </c>
      <c r="R1480" s="1">
        <v>0.76910000000000001</v>
      </c>
      <c r="S1480" s="1">
        <v>0.49715500000000001</v>
      </c>
      <c r="T1480" s="1">
        <v>0.60780500000000648</v>
      </c>
    </row>
    <row r="1481" spans="12:20" x14ac:dyDescent="0.25">
      <c r="L1481" s="1">
        <v>187.90000000000501</v>
      </c>
      <c r="M1481" s="1">
        <v>0.49709500000000001</v>
      </c>
      <c r="N1481" s="1">
        <v>0.60767500000000652</v>
      </c>
      <c r="O1481" s="1">
        <v>0.45949000000000007</v>
      </c>
      <c r="P1481" s="33">
        <v>0.44625000000001303</v>
      </c>
      <c r="Q1481" s="1">
        <v>0.53469999999999995</v>
      </c>
      <c r="R1481" s="1">
        <v>0.76910000000000001</v>
      </c>
      <c r="S1481" s="1">
        <v>0.49709500000000001</v>
      </c>
      <c r="T1481" s="1">
        <v>0.60767500000000652</v>
      </c>
    </row>
    <row r="1482" spans="12:20" x14ac:dyDescent="0.25">
      <c r="L1482" s="1">
        <v>188.000000000005</v>
      </c>
      <c r="M1482" s="1">
        <v>0.497035</v>
      </c>
      <c r="N1482" s="1">
        <v>0.60754500000000655</v>
      </c>
      <c r="O1482" s="1">
        <v>0.45937000000000006</v>
      </c>
      <c r="P1482" s="33">
        <v>0.4459900000000131</v>
      </c>
      <c r="Q1482" s="1">
        <v>0.53469999999999995</v>
      </c>
      <c r="R1482" s="1">
        <v>0.76910000000000001</v>
      </c>
      <c r="S1482" s="1">
        <v>0.497035</v>
      </c>
      <c r="T1482" s="1">
        <v>0.60754500000000655</v>
      </c>
    </row>
    <row r="1483" spans="12:20" x14ac:dyDescent="0.25">
      <c r="L1483" s="1">
        <v>188.100000000005</v>
      </c>
      <c r="M1483" s="1">
        <v>0.496975</v>
      </c>
      <c r="N1483" s="1">
        <v>0.60741500000000659</v>
      </c>
      <c r="O1483" s="1">
        <v>0.45935000000000004</v>
      </c>
      <c r="P1483" s="33">
        <v>0.44573000000001317</v>
      </c>
      <c r="Q1483" s="1">
        <v>0.53459999999999996</v>
      </c>
      <c r="R1483" s="1">
        <v>0.76910000000000001</v>
      </c>
      <c r="S1483" s="1">
        <v>0.496975</v>
      </c>
      <c r="T1483" s="1">
        <v>0.60741500000000659</v>
      </c>
    </row>
    <row r="1484" spans="12:20" x14ac:dyDescent="0.25">
      <c r="L1484" s="1">
        <v>188.20000000000499</v>
      </c>
      <c r="M1484" s="1">
        <v>0.496915</v>
      </c>
      <c r="N1484" s="1">
        <v>0.60728500000000663</v>
      </c>
      <c r="O1484" s="1">
        <v>0.45923000000000003</v>
      </c>
      <c r="P1484" s="33">
        <v>0.44547000000001324</v>
      </c>
      <c r="Q1484" s="1">
        <v>0.53459999999999996</v>
      </c>
      <c r="R1484" s="1">
        <v>0.76910000000000001</v>
      </c>
      <c r="S1484" s="1">
        <v>0.496915</v>
      </c>
      <c r="T1484" s="1">
        <v>0.60728500000000663</v>
      </c>
    </row>
    <row r="1485" spans="12:20" x14ac:dyDescent="0.25">
      <c r="L1485" s="1">
        <v>188.30000000000501</v>
      </c>
      <c r="M1485" s="1">
        <v>0.49685499999999999</v>
      </c>
      <c r="N1485" s="1">
        <v>0.60715500000000666</v>
      </c>
      <c r="O1485" s="1">
        <v>0.45921000000000001</v>
      </c>
      <c r="P1485" s="33">
        <v>0.44521000000001332</v>
      </c>
      <c r="Q1485" s="1">
        <v>0.53449999999999998</v>
      </c>
      <c r="R1485" s="1">
        <v>0.76910000000000001</v>
      </c>
      <c r="S1485" s="1">
        <v>0.49685499999999999</v>
      </c>
      <c r="T1485" s="1">
        <v>0.60715500000000666</v>
      </c>
    </row>
    <row r="1486" spans="12:20" x14ac:dyDescent="0.25">
      <c r="L1486" s="1">
        <v>188.40000000000501</v>
      </c>
      <c r="M1486" s="1">
        <v>0.49679499999999999</v>
      </c>
      <c r="N1486" s="1">
        <v>0.6070250000000067</v>
      </c>
      <c r="O1486" s="1">
        <v>0.45909</v>
      </c>
      <c r="P1486" s="33">
        <v>0.44495000000001339</v>
      </c>
      <c r="Q1486" s="1">
        <v>0.53449999999999998</v>
      </c>
      <c r="R1486" s="1">
        <v>0.76910000000000001</v>
      </c>
      <c r="S1486" s="1">
        <v>0.49679499999999999</v>
      </c>
      <c r="T1486" s="1">
        <v>0.6070250000000067</v>
      </c>
    </row>
    <row r="1487" spans="12:20" x14ac:dyDescent="0.25">
      <c r="L1487" s="1">
        <v>188.500000000005</v>
      </c>
      <c r="M1487" s="1">
        <v>0.49673499999999998</v>
      </c>
      <c r="N1487" s="1">
        <v>0.60689500000000673</v>
      </c>
      <c r="O1487" s="1">
        <v>0.45896999999999999</v>
      </c>
      <c r="P1487" s="33">
        <v>0.44469000000001346</v>
      </c>
      <c r="Q1487" s="1">
        <v>0.53449999999999998</v>
      </c>
      <c r="R1487" s="1">
        <v>0.76910000000000001</v>
      </c>
      <c r="S1487" s="1">
        <v>0.49673499999999998</v>
      </c>
      <c r="T1487" s="1">
        <v>0.60689500000000673</v>
      </c>
    </row>
    <row r="1488" spans="12:20" x14ac:dyDescent="0.25">
      <c r="L1488" s="1">
        <v>188.600000000005</v>
      </c>
      <c r="M1488" s="1">
        <v>0.49667499999999998</v>
      </c>
      <c r="N1488" s="1">
        <v>0.60676500000000677</v>
      </c>
      <c r="O1488" s="1">
        <v>0.45894999999999997</v>
      </c>
      <c r="P1488" s="33">
        <v>0.44443000000001354</v>
      </c>
      <c r="Q1488" s="1">
        <v>0.53439999999999999</v>
      </c>
      <c r="R1488" s="1">
        <v>0.76910000000000001</v>
      </c>
      <c r="S1488" s="1">
        <v>0.49667499999999998</v>
      </c>
      <c r="T1488" s="1">
        <v>0.60676500000000677</v>
      </c>
    </row>
    <row r="1489" spans="12:20" x14ac:dyDescent="0.25">
      <c r="L1489" s="1">
        <v>188.70000000000499</v>
      </c>
      <c r="M1489" s="1">
        <v>0.49661499999999997</v>
      </c>
      <c r="N1489" s="1">
        <v>0.60663500000000681</v>
      </c>
      <c r="O1489" s="1">
        <v>0.45882999999999996</v>
      </c>
      <c r="P1489" s="33">
        <v>0.44417000000001361</v>
      </c>
      <c r="Q1489" s="1">
        <v>0.53439999999999999</v>
      </c>
      <c r="R1489" s="1">
        <v>0.76910000000000001</v>
      </c>
      <c r="S1489" s="1">
        <v>0.49661499999999997</v>
      </c>
      <c r="T1489" s="1">
        <v>0.60663500000000681</v>
      </c>
    </row>
    <row r="1490" spans="12:20" x14ac:dyDescent="0.25">
      <c r="L1490" s="1">
        <v>188.80000000000501</v>
      </c>
      <c r="M1490" s="1">
        <v>0.49655500000000002</v>
      </c>
      <c r="N1490" s="1">
        <v>0.60650500000000684</v>
      </c>
      <c r="O1490" s="1">
        <v>0.45871000000000006</v>
      </c>
      <c r="P1490" s="33">
        <v>0.44391000000001368</v>
      </c>
      <c r="Q1490" s="1">
        <v>0.53439999999999999</v>
      </c>
      <c r="R1490" s="1">
        <v>0.76910000000000001</v>
      </c>
      <c r="S1490" s="1">
        <v>0.49655500000000002</v>
      </c>
      <c r="T1490" s="1">
        <v>0.60650500000000684</v>
      </c>
    </row>
    <row r="1491" spans="12:20" x14ac:dyDescent="0.25">
      <c r="L1491" s="1">
        <v>188.90000000000501</v>
      </c>
      <c r="M1491" s="1">
        <v>0.49649500000000002</v>
      </c>
      <c r="N1491" s="1">
        <v>0.60637500000000688</v>
      </c>
      <c r="O1491" s="1">
        <v>0.45869000000000004</v>
      </c>
      <c r="P1491" s="33">
        <v>0.44365000000001376</v>
      </c>
      <c r="Q1491" s="1">
        <v>0.5343</v>
      </c>
      <c r="R1491" s="1">
        <v>0.76910000000000001</v>
      </c>
      <c r="S1491" s="1">
        <v>0.49649500000000002</v>
      </c>
      <c r="T1491" s="1">
        <v>0.60637500000000688</v>
      </c>
    </row>
    <row r="1492" spans="12:20" x14ac:dyDescent="0.25">
      <c r="L1492" s="1">
        <v>189.000000000005</v>
      </c>
      <c r="M1492" s="1">
        <v>0.496415</v>
      </c>
      <c r="N1492" s="1">
        <v>0.60624500000000692</v>
      </c>
      <c r="O1492" s="1">
        <v>0.45852999999999999</v>
      </c>
      <c r="P1492" s="33">
        <v>0.44339000000001383</v>
      </c>
      <c r="Q1492" s="1">
        <v>0.5343</v>
      </c>
      <c r="R1492" s="1">
        <v>0.76910000000000001</v>
      </c>
      <c r="S1492" s="1">
        <v>0.496415</v>
      </c>
      <c r="T1492" s="1">
        <v>0.60624500000000692</v>
      </c>
    </row>
    <row r="1493" spans="12:20" x14ac:dyDescent="0.25">
      <c r="L1493" s="1">
        <v>189.100000000005</v>
      </c>
      <c r="M1493" s="1">
        <v>0.49635499999999999</v>
      </c>
      <c r="N1493" s="1">
        <v>0.60611500000000695</v>
      </c>
      <c r="O1493" s="1">
        <v>0.45850999999999997</v>
      </c>
      <c r="P1493" s="33">
        <v>0.4431300000000139</v>
      </c>
      <c r="Q1493" s="1">
        <v>0.53420000000000001</v>
      </c>
      <c r="R1493" s="1">
        <v>0.76910000000000001</v>
      </c>
      <c r="S1493" s="1">
        <v>0.49635499999999999</v>
      </c>
      <c r="T1493" s="1">
        <v>0.60611500000000695</v>
      </c>
    </row>
    <row r="1494" spans="12:20" x14ac:dyDescent="0.25">
      <c r="L1494" s="1">
        <v>189.20000000000499</v>
      </c>
      <c r="M1494" s="1">
        <v>0.49629499999999999</v>
      </c>
      <c r="N1494" s="1">
        <v>0.60598500000000699</v>
      </c>
      <c r="O1494" s="1">
        <v>0.45838999999999996</v>
      </c>
      <c r="P1494" s="33">
        <v>0.44287000000001397</v>
      </c>
      <c r="Q1494" s="1">
        <v>0.53420000000000001</v>
      </c>
      <c r="R1494" s="1">
        <v>0.76910000000000001</v>
      </c>
      <c r="S1494" s="1">
        <v>0.49629499999999999</v>
      </c>
      <c r="T1494" s="1">
        <v>0.60598500000000699</v>
      </c>
    </row>
    <row r="1495" spans="12:20" x14ac:dyDescent="0.25">
      <c r="L1495" s="1">
        <v>189.30000000000501</v>
      </c>
      <c r="M1495" s="1">
        <v>0.49623499999999998</v>
      </c>
      <c r="N1495" s="1">
        <v>0.60585500000000703</v>
      </c>
      <c r="O1495" s="1">
        <v>0.45826999999999996</v>
      </c>
      <c r="P1495" s="33">
        <v>0.44261000000001405</v>
      </c>
      <c r="Q1495" s="1">
        <v>0.53420000000000001</v>
      </c>
      <c r="R1495" s="1">
        <v>0.76910000000000001</v>
      </c>
      <c r="S1495" s="1">
        <v>0.49623499999999998</v>
      </c>
      <c r="T1495" s="1">
        <v>0.60585500000000703</v>
      </c>
    </row>
    <row r="1496" spans="12:20" x14ac:dyDescent="0.25">
      <c r="L1496" s="1">
        <v>189.40000000000501</v>
      </c>
      <c r="M1496" s="1">
        <v>0.49617499999999998</v>
      </c>
      <c r="N1496" s="1">
        <v>0.60572500000000706</v>
      </c>
      <c r="O1496" s="1">
        <v>0.45824999999999994</v>
      </c>
      <c r="P1496" s="33">
        <v>0.44235000000001412</v>
      </c>
      <c r="Q1496" s="1">
        <v>0.53410000000000002</v>
      </c>
      <c r="R1496" s="1">
        <v>0.76910000000000001</v>
      </c>
      <c r="S1496" s="1">
        <v>0.49617499999999998</v>
      </c>
      <c r="T1496" s="1">
        <v>0.60572500000000706</v>
      </c>
    </row>
    <row r="1497" spans="12:20" x14ac:dyDescent="0.25">
      <c r="L1497" s="1">
        <v>189.500000000005</v>
      </c>
      <c r="M1497" s="1">
        <v>0.49611499999999997</v>
      </c>
      <c r="N1497" s="1">
        <v>0.6055950000000071</v>
      </c>
      <c r="O1497" s="1">
        <v>0.45812999999999993</v>
      </c>
      <c r="P1497" s="33">
        <v>0.44209000000001419</v>
      </c>
      <c r="Q1497" s="1">
        <v>0.53410000000000002</v>
      </c>
      <c r="R1497" s="1">
        <v>0.76910000000000001</v>
      </c>
      <c r="S1497" s="1">
        <v>0.49611499999999997</v>
      </c>
      <c r="T1497" s="1">
        <v>0.6055950000000071</v>
      </c>
    </row>
    <row r="1498" spans="12:20" x14ac:dyDescent="0.25">
      <c r="L1498" s="1">
        <v>189.600000000005</v>
      </c>
      <c r="M1498" s="1">
        <v>0.49605500000000002</v>
      </c>
      <c r="N1498" s="1">
        <v>0.60546500000000714</v>
      </c>
      <c r="O1498" s="1">
        <v>0.45801000000000003</v>
      </c>
      <c r="P1498" s="33">
        <v>0.44183000000001427</v>
      </c>
      <c r="Q1498" s="1">
        <v>0.53410000000000002</v>
      </c>
      <c r="R1498" s="1">
        <v>0.76910000000000001</v>
      </c>
      <c r="S1498" s="1">
        <v>0.49605500000000002</v>
      </c>
      <c r="T1498" s="1">
        <v>0.60546500000000714</v>
      </c>
    </row>
    <row r="1499" spans="12:20" x14ac:dyDescent="0.25">
      <c r="L1499" s="1">
        <v>189.70000000000601</v>
      </c>
      <c r="M1499" s="1">
        <v>0.49599500000000002</v>
      </c>
      <c r="N1499" s="1">
        <v>0.60533500000000717</v>
      </c>
      <c r="O1499" s="1">
        <v>0.45799000000000001</v>
      </c>
      <c r="P1499" s="33">
        <v>0.44157000000001434</v>
      </c>
      <c r="Q1499" s="1">
        <v>0.53400000000000003</v>
      </c>
      <c r="R1499" s="1">
        <v>0.76910000000000001</v>
      </c>
      <c r="S1499" s="1">
        <v>0.49599500000000002</v>
      </c>
      <c r="T1499" s="1">
        <v>0.60533500000000717</v>
      </c>
    </row>
    <row r="1500" spans="12:20" x14ac:dyDescent="0.25">
      <c r="L1500" s="1">
        <v>189.80000000000501</v>
      </c>
      <c r="M1500" s="1">
        <v>0.49593500000000001</v>
      </c>
      <c r="N1500" s="1">
        <v>0.60520500000000721</v>
      </c>
      <c r="O1500" s="1">
        <v>0.45787</v>
      </c>
      <c r="P1500" s="33">
        <v>0.44131000000001441</v>
      </c>
      <c r="Q1500" s="1">
        <v>0.53400000000000003</v>
      </c>
      <c r="R1500" s="1">
        <v>0.76910000000000001</v>
      </c>
      <c r="S1500" s="1">
        <v>0.49593500000000001</v>
      </c>
      <c r="T1500" s="1">
        <v>0.60520500000000721</v>
      </c>
    </row>
    <row r="1501" spans="12:20" x14ac:dyDescent="0.25">
      <c r="L1501" s="1">
        <v>189.90000000000501</v>
      </c>
      <c r="M1501" s="1">
        <v>0.49587500000000001</v>
      </c>
      <c r="N1501" s="1">
        <v>0.60507500000000725</v>
      </c>
      <c r="O1501" s="1">
        <v>0.45774999999999999</v>
      </c>
      <c r="P1501" s="33">
        <v>0.44105000000001449</v>
      </c>
      <c r="Q1501" s="1">
        <v>0.53400000000000003</v>
      </c>
      <c r="R1501" s="1">
        <v>0.76910000000000001</v>
      </c>
      <c r="S1501" s="1">
        <v>0.49587500000000001</v>
      </c>
      <c r="T1501" s="1">
        <v>0.60507500000000725</v>
      </c>
    </row>
    <row r="1502" spans="12:20" x14ac:dyDescent="0.25">
      <c r="L1502" s="1">
        <v>190.000000000005</v>
      </c>
      <c r="M1502" s="1">
        <v>0.49581500000000001</v>
      </c>
      <c r="N1502" s="1">
        <v>0.60494500000000728</v>
      </c>
      <c r="O1502" s="1">
        <v>0.45772999999999997</v>
      </c>
      <c r="P1502" s="33">
        <v>0.44079000000001456</v>
      </c>
      <c r="Q1502" s="1">
        <v>0.53390000000000004</v>
      </c>
      <c r="R1502" s="1">
        <v>0.76910000000000001</v>
      </c>
      <c r="S1502" s="1">
        <v>0.49581500000000001</v>
      </c>
      <c r="T1502" s="1">
        <v>0.60494500000000728</v>
      </c>
    </row>
    <row r="1503" spans="12:20" x14ac:dyDescent="0.25">
      <c r="L1503" s="1">
        <v>190.100000000005</v>
      </c>
      <c r="M1503" s="1">
        <v>0.495755</v>
      </c>
      <c r="N1503" s="1">
        <v>0.60481500000000732</v>
      </c>
      <c r="O1503" s="1">
        <v>0.45760999999999996</v>
      </c>
      <c r="P1503" s="33">
        <v>0.44053000000001463</v>
      </c>
      <c r="Q1503" s="1">
        <v>0.53390000000000004</v>
      </c>
      <c r="R1503" s="1">
        <v>0.76910000000000001</v>
      </c>
      <c r="S1503" s="1">
        <v>0.495755</v>
      </c>
      <c r="T1503" s="1">
        <v>0.60481500000000732</v>
      </c>
    </row>
    <row r="1504" spans="12:20" x14ac:dyDescent="0.25">
      <c r="L1504" s="1">
        <v>190.20000000000601</v>
      </c>
      <c r="M1504" s="1">
        <v>0.495695</v>
      </c>
      <c r="N1504" s="1">
        <v>0.60468500000000736</v>
      </c>
      <c r="O1504" s="1">
        <v>0.45758999999999994</v>
      </c>
      <c r="P1504" s="33">
        <v>0.44027000000001471</v>
      </c>
      <c r="Q1504" s="1">
        <v>0.53380000000000005</v>
      </c>
      <c r="R1504" s="1">
        <v>0.76910000000000001</v>
      </c>
      <c r="S1504" s="1">
        <v>0.495695</v>
      </c>
      <c r="T1504" s="1">
        <v>0.60468500000000736</v>
      </c>
    </row>
    <row r="1505" spans="12:20" x14ac:dyDescent="0.25">
      <c r="L1505" s="1">
        <v>190.30000000000601</v>
      </c>
      <c r="M1505" s="1">
        <v>0.49563499999999999</v>
      </c>
      <c r="N1505" s="1">
        <v>0.60455500000000739</v>
      </c>
      <c r="O1505" s="1">
        <v>0.45746999999999993</v>
      </c>
      <c r="P1505" s="33">
        <v>0.44001000000001478</v>
      </c>
      <c r="Q1505" s="1">
        <v>0.53380000000000005</v>
      </c>
      <c r="R1505" s="1">
        <v>0.76910000000000001</v>
      </c>
      <c r="S1505" s="1">
        <v>0.49563499999999999</v>
      </c>
      <c r="T1505" s="1">
        <v>0.60455500000000739</v>
      </c>
    </row>
    <row r="1506" spans="12:20" x14ac:dyDescent="0.25">
      <c r="L1506" s="1">
        <v>190.400000000006</v>
      </c>
      <c r="M1506" s="1">
        <v>0.49557499999999999</v>
      </c>
      <c r="N1506" s="1">
        <v>0.60442500000000743</v>
      </c>
      <c r="O1506" s="1">
        <v>0.45734999999999992</v>
      </c>
      <c r="P1506" s="33">
        <v>0.43975000000001485</v>
      </c>
      <c r="Q1506" s="1">
        <v>0.53380000000000005</v>
      </c>
      <c r="R1506" s="1">
        <v>0.76910000000000001</v>
      </c>
      <c r="S1506" s="1">
        <v>0.49557499999999999</v>
      </c>
      <c r="T1506" s="1">
        <v>0.60442500000000743</v>
      </c>
    </row>
    <row r="1507" spans="12:20" x14ac:dyDescent="0.25">
      <c r="L1507" s="1">
        <v>190.500000000006</v>
      </c>
      <c r="M1507" s="1">
        <v>0.49551499999999998</v>
      </c>
      <c r="N1507" s="1">
        <v>0.60429500000000747</v>
      </c>
      <c r="O1507" s="1">
        <v>0.45733000000000001</v>
      </c>
      <c r="P1507" s="33">
        <v>0.43949000000001492</v>
      </c>
      <c r="Q1507" s="1">
        <v>0.53369999999999995</v>
      </c>
      <c r="R1507" s="1">
        <v>0.76910000000000001</v>
      </c>
      <c r="S1507" s="1">
        <v>0.49551499999999998</v>
      </c>
      <c r="T1507" s="1">
        <v>0.60429500000000747</v>
      </c>
    </row>
    <row r="1508" spans="12:20" x14ac:dyDescent="0.25">
      <c r="L1508" s="1">
        <v>190.60000000000599</v>
      </c>
      <c r="M1508" s="1">
        <v>0.49545499999999998</v>
      </c>
      <c r="N1508" s="1">
        <v>0.6041650000000075</v>
      </c>
      <c r="O1508" s="1">
        <v>0.45721000000000001</v>
      </c>
      <c r="P1508" s="33">
        <v>0.439230000000015</v>
      </c>
      <c r="Q1508" s="1">
        <v>0.53369999999999995</v>
      </c>
      <c r="R1508" s="1">
        <v>0.76910000000000001</v>
      </c>
      <c r="S1508" s="1">
        <v>0.49545499999999998</v>
      </c>
      <c r="T1508" s="1">
        <v>0.6041650000000075</v>
      </c>
    </row>
    <row r="1509" spans="12:20" x14ac:dyDescent="0.25">
      <c r="L1509" s="1">
        <v>190.70000000000601</v>
      </c>
      <c r="M1509" s="1">
        <v>0.49539499999999997</v>
      </c>
      <c r="N1509" s="1">
        <v>0.60403500000000754</v>
      </c>
      <c r="O1509" s="1">
        <v>0.45709</v>
      </c>
      <c r="P1509" s="33">
        <v>0.43897000000001507</v>
      </c>
      <c r="Q1509" s="1">
        <v>0.53369999999999995</v>
      </c>
      <c r="R1509" s="1">
        <v>0.76910000000000001</v>
      </c>
      <c r="S1509" s="1">
        <v>0.49539499999999997</v>
      </c>
      <c r="T1509" s="1">
        <v>0.60403500000000754</v>
      </c>
    </row>
    <row r="1510" spans="12:20" x14ac:dyDescent="0.25">
      <c r="L1510" s="1">
        <v>190.80000000000601</v>
      </c>
      <c r="M1510" s="1">
        <v>0.49533500000000003</v>
      </c>
      <c r="N1510" s="1">
        <v>0.60390500000000757</v>
      </c>
      <c r="O1510" s="1">
        <v>0.45707000000000009</v>
      </c>
      <c r="P1510" s="33">
        <v>0.43871000000001514</v>
      </c>
      <c r="Q1510" s="1">
        <v>0.53359999999999996</v>
      </c>
      <c r="R1510" s="1">
        <v>0.76910000000000001</v>
      </c>
      <c r="S1510" s="1">
        <v>0.49533500000000003</v>
      </c>
      <c r="T1510" s="1">
        <v>0.60390500000000757</v>
      </c>
    </row>
    <row r="1511" spans="12:20" x14ac:dyDescent="0.25">
      <c r="L1511" s="1">
        <v>190.900000000006</v>
      </c>
      <c r="M1511" s="1">
        <v>0.49527500000000002</v>
      </c>
      <c r="N1511" s="1">
        <v>0.60377500000000761</v>
      </c>
      <c r="O1511" s="1">
        <v>0.45695000000000008</v>
      </c>
      <c r="P1511" s="33">
        <v>0.43845000000001522</v>
      </c>
      <c r="Q1511" s="1">
        <v>0.53359999999999996</v>
      </c>
      <c r="R1511" s="1">
        <v>0.76910000000000001</v>
      </c>
      <c r="S1511" s="1">
        <v>0.49527500000000002</v>
      </c>
      <c r="T1511" s="1">
        <v>0.60377500000000761</v>
      </c>
    </row>
    <row r="1512" spans="12:20" x14ac:dyDescent="0.25">
      <c r="L1512" s="1">
        <v>191.000000000006</v>
      </c>
      <c r="M1512" s="1">
        <v>0.49521500000000002</v>
      </c>
      <c r="N1512" s="1">
        <v>0.60364500000000765</v>
      </c>
      <c r="O1512" s="1">
        <v>0.45683000000000007</v>
      </c>
      <c r="P1512" s="33">
        <v>0.43819000000001529</v>
      </c>
      <c r="Q1512" s="1">
        <v>0.53359999999999996</v>
      </c>
      <c r="R1512" s="1">
        <v>0.76910000000000001</v>
      </c>
      <c r="S1512" s="1">
        <v>0.49521500000000002</v>
      </c>
      <c r="T1512" s="1">
        <v>0.60364500000000765</v>
      </c>
    </row>
    <row r="1513" spans="12:20" x14ac:dyDescent="0.25">
      <c r="L1513" s="1">
        <v>191.10000000000599</v>
      </c>
      <c r="M1513" s="1">
        <v>0.49515500000000001</v>
      </c>
      <c r="N1513" s="1">
        <v>0.60351500000000768</v>
      </c>
      <c r="O1513" s="1">
        <v>0.45681000000000005</v>
      </c>
      <c r="P1513" s="33">
        <v>0.43793000000001536</v>
      </c>
      <c r="Q1513" s="1">
        <v>0.53349999999999997</v>
      </c>
      <c r="R1513" s="1">
        <v>0.76910000000000001</v>
      </c>
      <c r="S1513" s="1">
        <v>0.49515500000000001</v>
      </c>
      <c r="T1513" s="1">
        <v>0.60351500000000768</v>
      </c>
    </row>
    <row r="1514" spans="12:20" x14ac:dyDescent="0.25">
      <c r="L1514" s="1">
        <v>191.20000000000601</v>
      </c>
      <c r="M1514" s="1">
        <v>0.49509500000000001</v>
      </c>
      <c r="N1514" s="1">
        <v>0.60338500000000772</v>
      </c>
      <c r="O1514" s="1">
        <v>0.45669000000000004</v>
      </c>
      <c r="P1514" s="33">
        <v>0.43767000000001544</v>
      </c>
      <c r="Q1514" s="1">
        <v>0.53349999999999997</v>
      </c>
      <c r="R1514" s="1">
        <v>0.76910000000000001</v>
      </c>
      <c r="S1514" s="1">
        <v>0.49509500000000001</v>
      </c>
      <c r="T1514" s="1">
        <v>0.60338500000000772</v>
      </c>
    </row>
    <row r="1515" spans="12:20" x14ac:dyDescent="0.25">
      <c r="L1515" s="1">
        <v>191.30000000000601</v>
      </c>
      <c r="M1515" s="1">
        <v>0.495035</v>
      </c>
      <c r="N1515" s="1">
        <v>0.60325500000000776</v>
      </c>
      <c r="O1515" s="1">
        <v>0.45657000000000003</v>
      </c>
      <c r="P1515" s="33">
        <v>0.43741000000001551</v>
      </c>
      <c r="Q1515" s="1">
        <v>0.53349999999999997</v>
      </c>
      <c r="R1515" s="1">
        <v>0.76910000000000001</v>
      </c>
      <c r="S1515" s="1">
        <v>0.495035</v>
      </c>
      <c r="T1515" s="1">
        <v>0.60325500000000776</v>
      </c>
    </row>
    <row r="1516" spans="12:20" x14ac:dyDescent="0.25">
      <c r="L1516" s="1">
        <v>191.400000000006</v>
      </c>
      <c r="M1516" s="1">
        <v>0.494975</v>
      </c>
      <c r="N1516" s="1">
        <v>0.60312500000000779</v>
      </c>
      <c r="O1516" s="1">
        <v>0.45655000000000001</v>
      </c>
      <c r="P1516" s="33">
        <v>0.43715000000001558</v>
      </c>
      <c r="Q1516" s="1">
        <v>0.53339999999999999</v>
      </c>
      <c r="R1516" s="1">
        <v>0.76910000000000001</v>
      </c>
      <c r="S1516" s="1">
        <v>0.494975</v>
      </c>
      <c r="T1516" s="1">
        <v>0.60312500000000779</v>
      </c>
    </row>
    <row r="1517" spans="12:20" x14ac:dyDescent="0.25">
      <c r="L1517" s="1">
        <v>191.500000000006</v>
      </c>
      <c r="M1517" s="1">
        <v>0.49491499999999999</v>
      </c>
      <c r="N1517" s="1">
        <v>0.60299500000000783</v>
      </c>
      <c r="O1517" s="1">
        <v>0.45643</v>
      </c>
      <c r="P1517" s="33">
        <v>0.43689000000001565</v>
      </c>
      <c r="Q1517" s="1">
        <v>0.53339999999999999</v>
      </c>
      <c r="R1517" s="1">
        <v>0.76910000000000001</v>
      </c>
      <c r="S1517" s="1">
        <v>0.49491499999999999</v>
      </c>
      <c r="T1517" s="1">
        <v>0.60299500000000783</v>
      </c>
    </row>
    <row r="1518" spans="12:20" x14ac:dyDescent="0.25">
      <c r="L1518" s="1">
        <v>191.60000000000599</v>
      </c>
      <c r="M1518" s="1">
        <v>0.49485499999999999</v>
      </c>
      <c r="N1518" s="1">
        <v>0.60286500000000787</v>
      </c>
      <c r="O1518" s="1">
        <v>0.45630999999999999</v>
      </c>
      <c r="P1518" s="33">
        <v>0.43663000000001573</v>
      </c>
      <c r="Q1518" s="1">
        <v>0.53339999999999999</v>
      </c>
      <c r="R1518" s="1">
        <v>0.76910000000000001</v>
      </c>
      <c r="S1518" s="1">
        <v>0.49485499999999999</v>
      </c>
      <c r="T1518" s="1">
        <v>0.60286500000000787</v>
      </c>
    </row>
    <row r="1519" spans="12:20" x14ac:dyDescent="0.25">
      <c r="L1519" s="1">
        <v>191.70000000000601</v>
      </c>
      <c r="M1519" s="1">
        <v>0.49479499999999998</v>
      </c>
      <c r="N1519" s="1">
        <v>0.6027350000000079</v>
      </c>
      <c r="O1519" s="1">
        <v>0.45628999999999997</v>
      </c>
      <c r="P1519" s="33">
        <v>0.4363700000000158</v>
      </c>
      <c r="Q1519" s="1">
        <v>0.5333</v>
      </c>
      <c r="R1519" s="1">
        <v>0.76910000000000001</v>
      </c>
      <c r="S1519" s="1">
        <v>0.49479499999999998</v>
      </c>
      <c r="T1519" s="1">
        <v>0.6027350000000079</v>
      </c>
    </row>
    <row r="1520" spans="12:20" x14ac:dyDescent="0.25">
      <c r="L1520" s="1">
        <v>191.80000000000601</v>
      </c>
      <c r="M1520" s="1">
        <v>0.49473499999999998</v>
      </c>
      <c r="N1520" s="1">
        <v>0.60260500000000794</v>
      </c>
      <c r="O1520" s="1">
        <v>0.45616999999999996</v>
      </c>
      <c r="P1520" s="33">
        <v>0.43611000000001587</v>
      </c>
      <c r="Q1520" s="1">
        <v>0.5333</v>
      </c>
      <c r="R1520" s="1">
        <v>0.76910000000000001</v>
      </c>
      <c r="S1520" s="1">
        <v>0.49473499999999998</v>
      </c>
      <c r="T1520" s="1">
        <v>0.60260500000000794</v>
      </c>
    </row>
    <row r="1521" spans="12:20" x14ac:dyDescent="0.25">
      <c r="L1521" s="1">
        <v>191.900000000006</v>
      </c>
      <c r="M1521" s="1">
        <v>0.49467499999999998</v>
      </c>
      <c r="N1521" s="1">
        <v>0.60247500000000798</v>
      </c>
      <c r="O1521" s="1">
        <v>0.45604999999999996</v>
      </c>
      <c r="P1521" s="33">
        <v>0.43585000000001595</v>
      </c>
      <c r="Q1521" s="1">
        <v>0.5333</v>
      </c>
      <c r="R1521" s="1">
        <v>0.76910000000000001</v>
      </c>
      <c r="S1521" s="1">
        <v>0.49467499999999998</v>
      </c>
      <c r="T1521" s="1">
        <v>0.60247500000000798</v>
      </c>
    </row>
    <row r="1522" spans="12:20" x14ac:dyDescent="0.25">
      <c r="L1522" s="1">
        <v>192.000000000006</v>
      </c>
      <c r="M1522" s="1">
        <v>0.49461500000000003</v>
      </c>
      <c r="N1522" s="1">
        <v>0.60234500000000801</v>
      </c>
      <c r="O1522" s="1">
        <v>0.45603000000000005</v>
      </c>
      <c r="P1522" s="33">
        <v>0.43559000000001602</v>
      </c>
      <c r="Q1522" s="1">
        <v>0.53320000000000001</v>
      </c>
      <c r="R1522" s="1">
        <v>0.76910000000000001</v>
      </c>
      <c r="S1522" s="1">
        <v>0.49461500000000003</v>
      </c>
      <c r="T1522" s="1">
        <v>0.60234500000000801</v>
      </c>
    </row>
    <row r="1523" spans="12:20" x14ac:dyDescent="0.25">
      <c r="L1523" s="1">
        <v>192.10000000000599</v>
      </c>
      <c r="M1523" s="1">
        <v>0.49455500000000002</v>
      </c>
      <c r="N1523" s="1">
        <v>0.60221500000000805</v>
      </c>
      <c r="O1523" s="1">
        <v>0.45591000000000004</v>
      </c>
      <c r="P1523" s="33">
        <v>0.43533000000001609</v>
      </c>
      <c r="Q1523" s="1">
        <v>0.53320000000000001</v>
      </c>
      <c r="R1523" s="1">
        <v>0.76910000000000001</v>
      </c>
      <c r="S1523" s="1">
        <v>0.49455500000000002</v>
      </c>
      <c r="T1523" s="1">
        <v>0.60221500000000805</v>
      </c>
    </row>
    <row r="1524" spans="12:20" x14ac:dyDescent="0.25">
      <c r="L1524" s="1">
        <v>192.20000000000601</v>
      </c>
      <c r="M1524" s="1">
        <v>0.49449500000000002</v>
      </c>
      <c r="N1524" s="1">
        <v>0.60208500000000809</v>
      </c>
      <c r="O1524" s="1">
        <v>0.45579000000000003</v>
      </c>
      <c r="P1524" s="33">
        <v>0.43507000000001617</v>
      </c>
      <c r="Q1524" s="1">
        <v>0.53320000000000001</v>
      </c>
      <c r="R1524" s="1">
        <v>0.76910000000000001</v>
      </c>
      <c r="S1524" s="1">
        <v>0.49449500000000002</v>
      </c>
      <c r="T1524" s="1">
        <v>0.60208500000000809</v>
      </c>
    </row>
    <row r="1525" spans="12:20" x14ac:dyDescent="0.25">
      <c r="L1525" s="1">
        <v>192.30000000000601</v>
      </c>
      <c r="M1525" s="1">
        <v>0.49441499999999999</v>
      </c>
      <c r="N1525" s="1">
        <v>0.60195500000000812</v>
      </c>
      <c r="O1525" s="1">
        <v>0.45562999999999998</v>
      </c>
      <c r="P1525" s="33">
        <v>0.43481000000001624</v>
      </c>
      <c r="Q1525" s="1">
        <v>0.53320000000000001</v>
      </c>
      <c r="R1525" s="1">
        <v>0.76910000000000001</v>
      </c>
      <c r="S1525" s="1">
        <v>0.49441499999999999</v>
      </c>
      <c r="T1525" s="1">
        <v>0.60195500000000812</v>
      </c>
    </row>
    <row r="1526" spans="12:20" x14ac:dyDescent="0.25">
      <c r="L1526" s="1">
        <v>192.400000000006</v>
      </c>
      <c r="M1526" s="1">
        <v>0.49435499999999999</v>
      </c>
      <c r="N1526" s="1">
        <v>0.60182500000000816</v>
      </c>
      <c r="O1526" s="1">
        <v>0.45560999999999996</v>
      </c>
      <c r="P1526" s="33">
        <v>0.43455000000001631</v>
      </c>
      <c r="Q1526" s="1">
        <v>0.53310000000000002</v>
      </c>
      <c r="R1526" s="1">
        <v>0.76910000000000001</v>
      </c>
      <c r="S1526" s="1">
        <v>0.49435499999999999</v>
      </c>
      <c r="T1526" s="1">
        <v>0.60182500000000816</v>
      </c>
    </row>
    <row r="1527" spans="12:20" x14ac:dyDescent="0.25">
      <c r="L1527" s="1">
        <v>192.500000000006</v>
      </c>
      <c r="M1527" s="1">
        <v>0.49429499999999998</v>
      </c>
      <c r="N1527" s="1">
        <v>0.6016950000000082</v>
      </c>
      <c r="O1527" s="1">
        <v>0.45548999999999995</v>
      </c>
      <c r="P1527" s="33">
        <v>0.43429000000001639</v>
      </c>
      <c r="Q1527" s="1">
        <v>0.53310000000000002</v>
      </c>
      <c r="R1527" s="1">
        <v>0.76910000000000001</v>
      </c>
      <c r="S1527" s="1">
        <v>0.49429499999999998</v>
      </c>
      <c r="T1527" s="1">
        <v>0.6016950000000082</v>
      </c>
    </row>
    <row r="1528" spans="12:20" x14ac:dyDescent="0.25">
      <c r="L1528" s="1">
        <v>192.60000000000599</v>
      </c>
      <c r="M1528" s="1">
        <v>0.49423499999999998</v>
      </c>
      <c r="N1528" s="1">
        <v>0.60156500000000823</v>
      </c>
      <c r="O1528" s="1">
        <v>0.45536999999999994</v>
      </c>
      <c r="P1528" s="33">
        <v>0.43403000000001646</v>
      </c>
      <c r="Q1528" s="1">
        <v>0.53310000000000002</v>
      </c>
      <c r="R1528" s="1">
        <v>0.76910000000000001</v>
      </c>
      <c r="S1528" s="1">
        <v>0.49423499999999998</v>
      </c>
      <c r="T1528" s="1">
        <v>0.60156500000000823</v>
      </c>
    </row>
    <row r="1529" spans="12:20" x14ac:dyDescent="0.25">
      <c r="L1529" s="1">
        <v>192.70000000000601</v>
      </c>
      <c r="M1529" s="1">
        <v>0.49417499999999998</v>
      </c>
      <c r="N1529" s="1">
        <v>0.60143500000000827</v>
      </c>
      <c r="O1529" s="1">
        <v>0.45534999999999992</v>
      </c>
      <c r="P1529" s="33">
        <v>0.43377000000001653</v>
      </c>
      <c r="Q1529" s="1">
        <v>0.53300000000000003</v>
      </c>
      <c r="R1529" s="1">
        <v>0.76910000000000001</v>
      </c>
      <c r="S1529" s="1">
        <v>0.49417499999999998</v>
      </c>
      <c r="T1529" s="1">
        <v>0.60143500000000827</v>
      </c>
    </row>
    <row r="1530" spans="12:20" x14ac:dyDescent="0.25">
      <c r="L1530" s="1">
        <v>192.80000000000601</v>
      </c>
      <c r="M1530" s="1">
        <v>0.49411500000000003</v>
      </c>
      <c r="N1530" s="1">
        <v>0.60130500000000831</v>
      </c>
      <c r="O1530" s="1">
        <v>0.45523000000000002</v>
      </c>
      <c r="P1530" s="33">
        <v>0.4335100000000166</v>
      </c>
      <c r="Q1530" s="1">
        <v>0.53300000000000003</v>
      </c>
      <c r="R1530" s="1">
        <v>0.76910000000000001</v>
      </c>
      <c r="S1530" s="1">
        <v>0.49411500000000003</v>
      </c>
      <c r="T1530" s="1">
        <v>0.60130500000000831</v>
      </c>
    </row>
    <row r="1531" spans="12:20" x14ac:dyDescent="0.25">
      <c r="L1531" s="1">
        <v>192.900000000006</v>
      </c>
      <c r="M1531" s="1">
        <v>0.49405500000000002</v>
      </c>
      <c r="N1531" s="1">
        <v>0.60117500000000834</v>
      </c>
      <c r="O1531" s="1">
        <v>0.45511000000000001</v>
      </c>
      <c r="P1531" s="33">
        <v>0.43325000000001668</v>
      </c>
      <c r="Q1531" s="1">
        <v>0.53300000000000003</v>
      </c>
      <c r="R1531" s="1">
        <v>0.76910000000000001</v>
      </c>
      <c r="S1531" s="1">
        <v>0.49405500000000002</v>
      </c>
      <c r="T1531" s="1">
        <v>0.60117500000000834</v>
      </c>
    </row>
    <row r="1532" spans="12:20" x14ac:dyDescent="0.25">
      <c r="L1532" s="1">
        <v>193.000000000006</v>
      </c>
      <c r="M1532" s="1">
        <v>0.49399500000000002</v>
      </c>
      <c r="N1532" s="1">
        <v>0.60104500000000838</v>
      </c>
      <c r="O1532" s="1">
        <v>0.45508999999999999</v>
      </c>
      <c r="P1532" s="33">
        <v>0.43299000000001675</v>
      </c>
      <c r="Q1532" s="1">
        <v>0.53290000000000004</v>
      </c>
      <c r="R1532" s="1">
        <v>0.76910000000000001</v>
      </c>
      <c r="S1532" s="1">
        <v>0.49399500000000002</v>
      </c>
      <c r="T1532" s="1">
        <v>0.60104500000000838</v>
      </c>
    </row>
    <row r="1533" spans="12:20" x14ac:dyDescent="0.25">
      <c r="L1533" s="1">
        <v>193.10000000000599</v>
      </c>
      <c r="M1533" s="1">
        <v>0.49393500000000001</v>
      </c>
      <c r="N1533" s="1">
        <v>0.60091500000000841</v>
      </c>
      <c r="O1533" s="1">
        <v>0.45496999999999999</v>
      </c>
      <c r="P1533" s="33">
        <v>0.43273000000001682</v>
      </c>
      <c r="Q1533" s="1">
        <v>0.53290000000000004</v>
      </c>
      <c r="R1533" s="1">
        <v>0.76910000000000001</v>
      </c>
      <c r="S1533" s="1">
        <v>0.49393500000000001</v>
      </c>
      <c r="T1533" s="1">
        <v>0.60091500000000841</v>
      </c>
    </row>
    <row r="1534" spans="12:20" x14ac:dyDescent="0.25">
      <c r="L1534" s="1">
        <v>193.20000000000601</v>
      </c>
      <c r="M1534" s="1">
        <v>0.49387500000000001</v>
      </c>
      <c r="N1534" s="1">
        <v>0.60078500000000845</v>
      </c>
      <c r="O1534" s="1">
        <v>0.45484999999999998</v>
      </c>
      <c r="P1534" s="33">
        <v>0.4324700000000169</v>
      </c>
      <c r="Q1534" s="1">
        <v>0.53290000000000004</v>
      </c>
      <c r="R1534" s="1">
        <v>0.76910000000000001</v>
      </c>
      <c r="S1534" s="1">
        <v>0.49387500000000001</v>
      </c>
      <c r="T1534" s="1">
        <v>0.60078500000000845</v>
      </c>
    </row>
    <row r="1535" spans="12:20" x14ac:dyDescent="0.25">
      <c r="L1535" s="1">
        <v>193.30000000000601</v>
      </c>
      <c r="M1535" s="1">
        <v>0.493815</v>
      </c>
      <c r="N1535" s="1">
        <v>0.60065500000000849</v>
      </c>
      <c r="O1535" s="1">
        <v>0.45472999999999997</v>
      </c>
      <c r="P1535" s="33">
        <v>0.43221000000001697</v>
      </c>
      <c r="Q1535" s="1">
        <v>0.53290000000000004</v>
      </c>
      <c r="R1535" s="1">
        <v>0.76910000000000001</v>
      </c>
      <c r="S1535" s="1">
        <v>0.493815</v>
      </c>
      <c r="T1535" s="1">
        <v>0.60065500000000849</v>
      </c>
    </row>
    <row r="1536" spans="12:20" x14ac:dyDescent="0.25">
      <c r="L1536" s="1">
        <v>193.400000000006</v>
      </c>
      <c r="M1536" s="1">
        <v>0.493755</v>
      </c>
      <c r="N1536" s="1">
        <v>0.60052500000000852</v>
      </c>
      <c r="O1536" s="1">
        <v>0.45470999999999995</v>
      </c>
      <c r="P1536" s="33">
        <v>0.43195000000001704</v>
      </c>
      <c r="Q1536" s="1">
        <v>0.53280000000000005</v>
      </c>
      <c r="R1536" s="1">
        <v>0.76910000000000001</v>
      </c>
      <c r="S1536" s="1">
        <v>0.493755</v>
      </c>
      <c r="T1536" s="1">
        <v>0.60052500000000852</v>
      </c>
    </row>
    <row r="1537" spans="12:20" x14ac:dyDescent="0.25">
      <c r="L1537" s="1">
        <v>193.500000000006</v>
      </c>
      <c r="M1537" s="1">
        <v>0.49369499999999999</v>
      </c>
      <c r="N1537" s="1">
        <v>0.60039500000000856</v>
      </c>
      <c r="O1537" s="1">
        <v>0.45458999999999994</v>
      </c>
      <c r="P1537" s="33">
        <v>0.43169000000001712</v>
      </c>
      <c r="Q1537" s="1">
        <v>0.53280000000000005</v>
      </c>
      <c r="R1537" s="1">
        <v>0.76910000000000001</v>
      </c>
      <c r="S1537" s="1">
        <v>0.49369499999999999</v>
      </c>
      <c r="T1537" s="1">
        <v>0.60039500000000856</v>
      </c>
    </row>
    <row r="1538" spans="12:20" x14ac:dyDescent="0.25">
      <c r="L1538" s="1">
        <v>193.60000000000599</v>
      </c>
      <c r="M1538" s="1">
        <v>0.49363499999999999</v>
      </c>
      <c r="N1538" s="1">
        <v>0.6002650000000086</v>
      </c>
      <c r="O1538" s="1">
        <v>0.45446999999999993</v>
      </c>
      <c r="P1538" s="33">
        <v>0.43143000000001719</v>
      </c>
      <c r="Q1538" s="1">
        <v>0.53280000000000005</v>
      </c>
      <c r="R1538" s="1">
        <v>0.76910000000000001</v>
      </c>
      <c r="S1538" s="1">
        <v>0.49363499999999999</v>
      </c>
      <c r="T1538" s="1">
        <v>0.6002650000000086</v>
      </c>
    </row>
    <row r="1539" spans="12:20" x14ac:dyDescent="0.25">
      <c r="L1539" s="1">
        <v>193.70000000000601</v>
      </c>
      <c r="M1539" s="1">
        <v>0.49357499999999999</v>
      </c>
      <c r="N1539" s="1">
        <v>0.60013500000000863</v>
      </c>
      <c r="O1539" s="1">
        <v>0.45445000000000002</v>
      </c>
      <c r="P1539" s="33">
        <v>0.43117000000001726</v>
      </c>
      <c r="Q1539" s="1">
        <v>0.53269999999999995</v>
      </c>
      <c r="R1539" s="1">
        <v>0.76910000000000001</v>
      </c>
      <c r="S1539" s="1">
        <v>0.49357499999999999</v>
      </c>
      <c r="T1539" s="1">
        <v>0.60013500000000863</v>
      </c>
    </row>
    <row r="1540" spans="12:20" x14ac:dyDescent="0.25">
      <c r="L1540" s="1">
        <v>193.80000000000601</v>
      </c>
      <c r="M1540" s="1">
        <v>0.49351499999999998</v>
      </c>
      <c r="N1540" s="1">
        <v>0.60000500000000867</v>
      </c>
      <c r="O1540" s="1">
        <v>0.45433000000000001</v>
      </c>
      <c r="P1540" s="33">
        <v>0.43091000000001733</v>
      </c>
      <c r="Q1540" s="1">
        <v>0.53269999999999995</v>
      </c>
      <c r="R1540" s="1">
        <v>0.76910000000000001</v>
      </c>
      <c r="S1540" s="1">
        <v>0.49351499999999998</v>
      </c>
      <c r="T1540" s="1">
        <v>0.60000500000000867</v>
      </c>
    </row>
    <row r="1541" spans="12:20" x14ac:dyDescent="0.25">
      <c r="L1541" s="1">
        <v>193.900000000006</v>
      </c>
      <c r="M1541" s="1">
        <v>0.49345499999999998</v>
      </c>
      <c r="N1541" s="1">
        <v>0.59987500000000871</v>
      </c>
      <c r="O1541" s="1">
        <v>0.45421</v>
      </c>
      <c r="P1541" s="33">
        <v>0.43065000000001741</v>
      </c>
      <c r="Q1541" s="1">
        <v>0.53269999999999995</v>
      </c>
      <c r="R1541" s="1">
        <v>0.76910000000000001</v>
      </c>
      <c r="S1541" s="1">
        <v>0.49345499999999998</v>
      </c>
      <c r="T1541" s="1">
        <v>0.59987500000000871</v>
      </c>
    </row>
    <row r="1542" spans="12:20" x14ac:dyDescent="0.25">
      <c r="L1542" s="1">
        <v>194.000000000006</v>
      </c>
      <c r="M1542" s="1">
        <v>0.49339499999999997</v>
      </c>
      <c r="N1542" s="1">
        <v>0.59974500000000874</v>
      </c>
      <c r="O1542" s="1">
        <v>0.45408999999999999</v>
      </c>
      <c r="P1542" s="33">
        <v>0.43039000000001748</v>
      </c>
      <c r="Q1542" s="1">
        <v>0.53269999999999995</v>
      </c>
      <c r="R1542" s="1">
        <v>0.76910000000000001</v>
      </c>
      <c r="S1542" s="1">
        <v>0.49339499999999997</v>
      </c>
      <c r="T1542" s="1">
        <v>0.59974500000000874</v>
      </c>
    </row>
    <row r="1543" spans="12:20" x14ac:dyDescent="0.25">
      <c r="L1543" s="1">
        <v>194.10000000000699</v>
      </c>
      <c r="M1543" s="1">
        <v>0.49333500000000002</v>
      </c>
      <c r="N1543" s="1">
        <v>0.59961500000000878</v>
      </c>
      <c r="O1543" s="1">
        <v>0.45407000000000008</v>
      </c>
      <c r="P1543" s="33">
        <v>0.43013000000001755</v>
      </c>
      <c r="Q1543" s="1">
        <v>0.53259999999999996</v>
      </c>
      <c r="R1543" s="1">
        <v>0.76910000000000001</v>
      </c>
      <c r="S1543" s="1">
        <v>0.49333500000000002</v>
      </c>
      <c r="T1543" s="1">
        <v>0.59961500000000878</v>
      </c>
    </row>
    <row r="1544" spans="12:20" x14ac:dyDescent="0.25">
      <c r="L1544" s="1">
        <v>194.20000000000601</v>
      </c>
      <c r="M1544" s="1">
        <v>0.49327500000000002</v>
      </c>
      <c r="N1544" s="1">
        <v>0.59948500000000882</v>
      </c>
      <c r="O1544" s="1">
        <v>0.45395000000000008</v>
      </c>
      <c r="P1544" s="33">
        <v>0.42987000000001763</v>
      </c>
      <c r="Q1544" s="1">
        <v>0.53259999999999996</v>
      </c>
      <c r="R1544" s="1">
        <v>0.76910000000000001</v>
      </c>
      <c r="S1544" s="1">
        <v>0.49327500000000002</v>
      </c>
      <c r="T1544" s="1">
        <v>0.59948500000000882</v>
      </c>
    </row>
    <row r="1545" spans="12:20" x14ac:dyDescent="0.25">
      <c r="L1545" s="1">
        <v>194.30000000000601</v>
      </c>
      <c r="M1545" s="1">
        <v>0.49321500000000001</v>
      </c>
      <c r="N1545" s="1">
        <v>0.59935500000000885</v>
      </c>
      <c r="O1545" s="1">
        <v>0.45383000000000007</v>
      </c>
      <c r="P1545" s="33">
        <v>0.4296100000000177</v>
      </c>
      <c r="Q1545" s="1">
        <v>0.53259999999999996</v>
      </c>
      <c r="R1545" s="1">
        <v>0.76910000000000001</v>
      </c>
      <c r="S1545" s="1">
        <v>0.49321500000000001</v>
      </c>
      <c r="T1545" s="1">
        <v>0.59935500000000885</v>
      </c>
    </row>
    <row r="1546" spans="12:20" x14ac:dyDescent="0.25">
      <c r="L1546" s="1">
        <v>194.400000000006</v>
      </c>
      <c r="M1546" s="1">
        <v>0.49315500000000001</v>
      </c>
      <c r="N1546" s="1">
        <v>0.59922500000000889</v>
      </c>
      <c r="O1546" s="1">
        <v>0.45371000000000006</v>
      </c>
      <c r="P1546" s="33">
        <v>0.42935000000001777</v>
      </c>
      <c r="Q1546" s="1">
        <v>0.53259999999999996</v>
      </c>
      <c r="R1546" s="1">
        <v>0.76910000000000001</v>
      </c>
      <c r="S1546" s="1">
        <v>0.49315500000000001</v>
      </c>
      <c r="T1546" s="1">
        <v>0.59922500000000889</v>
      </c>
    </row>
    <row r="1547" spans="12:20" x14ac:dyDescent="0.25">
      <c r="L1547" s="1">
        <v>194.500000000006</v>
      </c>
      <c r="M1547" s="1">
        <v>0.49309500000000001</v>
      </c>
      <c r="N1547" s="1">
        <v>0.59909500000000893</v>
      </c>
      <c r="O1547" s="1">
        <v>0.45369000000000004</v>
      </c>
      <c r="P1547" s="33">
        <v>0.42909000000001785</v>
      </c>
      <c r="Q1547" s="1">
        <v>0.53249999999999997</v>
      </c>
      <c r="R1547" s="1">
        <v>0.76910000000000001</v>
      </c>
      <c r="S1547" s="1">
        <v>0.49309500000000001</v>
      </c>
      <c r="T1547" s="1">
        <v>0.59909500000000893</v>
      </c>
    </row>
    <row r="1548" spans="12:20" x14ac:dyDescent="0.25">
      <c r="L1548" s="1">
        <v>194.60000000000699</v>
      </c>
      <c r="M1548" s="1">
        <v>0.493035</v>
      </c>
      <c r="N1548" s="1">
        <v>0.59896500000000896</v>
      </c>
      <c r="O1548" s="1">
        <v>0.45357000000000003</v>
      </c>
      <c r="P1548" s="33">
        <v>0.42883000000001792</v>
      </c>
      <c r="Q1548" s="1">
        <v>0.53249999999999997</v>
      </c>
      <c r="R1548" s="1">
        <v>0.76910000000000001</v>
      </c>
      <c r="S1548" s="1">
        <v>0.493035</v>
      </c>
      <c r="T1548" s="1">
        <v>0.59896500000000896</v>
      </c>
    </row>
    <row r="1549" spans="12:20" x14ac:dyDescent="0.25">
      <c r="L1549" s="1">
        <v>194.70000000000701</v>
      </c>
      <c r="M1549" s="1">
        <v>0.492975</v>
      </c>
      <c r="N1549" s="1">
        <v>0.598835000000009</v>
      </c>
      <c r="O1549" s="1">
        <v>0.45345000000000002</v>
      </c>
      <c r="P1549" s="33">
        <v>0.42857000000001799</v>
      </c>
      <c r="Q1549" s="1">
        <v>0.53249999999999997</v>
      </c>
      <c r="R1549" s="1">
        <v>0.76910000000000001</v>
      </c>
      <c r="S1549" s="1">
        <v>0.492975</v>
      </c>
      <c r="T1549" s="1">
        <v>0.598835000000009</v>
      </c>
    </row>
    <row r="1550" spans="12:20" x14ac:dyDescent="0.25">
      <c r="L1550" s="1">
        <v>194.800000000007</v>
      </c>
      <c r="M1550" s="1">
        <v>0.49291499999999999</v>
      </c>
      <c r="N1550" s="1">
        <v>0.59870500000000904</v>
      </c>
      <c r="O1550" s="1">
        <v>0.45333000000000001</v>
      </c>
      <c r="P1550" s="33">
        <v>0.42831000000001807</v>
      </c>
      <c r="Q1550" s="1">
        <v>0.53249999999999997</v>
      </c>
      <c r="R1550" s="1">
        <v>0.76910000000000001</v>
      </c>
      <c r="S1550" s="1">
        <v>0.49291499999999999</v>
      </c>
      <c r="T1550" s="1">
        <v>0.59870500000000904</v>
      </c>
    </row>
    <row r="1551" spans="12:20" x14ac:dyDescent="0.25">
      <c r="L1551" s="1">
        <v>194.900000000007</v>
      </c>
      <c r="M1551" s="1">
        <v>0.49285499999999999</v>
      </c>
      <c r="N1551" s="1">
        <v>0.59857500000000907</v>
      </c>
      <c r="O1551" s="1">
        <v>0.45330999999999999</v>
      </c>
      <c r="P1551" s="33">
        <v>0.42805000000001814</v>
      </c>
      <c r="Q1551" s="1">
        <v>0.53239999999999998</v>
      </c>
      <c r="R1551" s="1">
        <v>0.76910000000000001</v>
      </c>
      <c r="S1551" s="1">
        <v>0.49285499999999999</v>
      </c>
      <c r="T1551" s="1">
        <v>0.59857500000000907</v>
      </c>
    </row>
    <row r="1552" spans="12:20" x14ac:dyDescent="0.25">
      <c r="L1552" s="1">
        <v>195.00000000000699</v>
      </c>
      <c r="M1552" s="1">
        <v>0.49280000000000002</v>
      </c>
      <c r="N1552" s="1">
        <v>0.59844500000000911</v>
      </c>
      <c r="O1552" s="1">
        <v>0.45320000000000005</v>
      </c>
      <c r="P1552" s="33">
        <v>0.42779000000001821</v>
      </c>
      <c r="Q1552" s="1">
        <v>0.53239999999999998</v>
      </c>
      <c r="R1552" s="1">
        <v>0.76910000000000001</v>
      </c>
      <c r="S1552" s="1">
        <v>0.49280000000000002</v>
      </c>
      <c r="T1552" s="1">
        <v>0.59844500000000911</v>
      </c>
    </row>
    <row r="1553" spans="12:20" x14ac:dyDescent="0.25">
      <c r="L1553" s="1">
        <v>195.10000000000699</v>
      </c>
      <c r="M1553" s="1">
        <v>0.49275000000000002</v>
      </c>
      <c r="N1553" s="1">
        <v>0.59831500000000915</v>
      </c>
      <c r="O1553" s="1">
        <v>0.45310000000000006</v>
      </c>
      <c r="P1553" s="33">
        <v>0.42753000000001828</v>
      </c>
      <c r="Q1553" s="1">
        <v>0.53239999999999998</v>
      </c>
      <c r="R1553" s="1">
        <v>0.76910000000000001</v>
      </c>
      <c r="S1553" s="1">
        <v>0.49275000000000002</v>
      </c>
      <c r="T1553" s="1">
        <v>0.59831500000000915</v>
      </c>
    </row>
    <row r="1554" spans="12:20" x14ac:dyDescent="0.25">
      <c r="L1554" s="1">
        <v>195.20000000000701</v>
      </c>
      <c r="M1554" s="1">
        <v>0.49270000000000003</v>
      </c>
      <c r="N1554" s="1">
        <v>0.59818500000000918</v>
      </c>
      <c r="O1554" s="1">
        <v>0.45300000000000007</v>
      </c>
      <c r="P1554" s="33">
        <v>0.42727000000001836</v>
      </c>
      <c r="Q1554" s="1">
        <v>0.53239999999999998</v>
      </c>
      <c r="R1554" s="1">
        <v>0.76910000000000001</v>
      </c>
      <c r="S1554" s="1">
        <v>0.49270000000000003</v>
      </c>
      <c r="T1554" s="1">
        <v>0.59818500000000918</v>
      </c>
    </row>
    <row r="1555" spans="12:20" x14ac:dyDescent="0.25">
      <c r="L1555" s="1">
        <v>195.300000000007</v>
      </c>
      <c r="M1555" s="1">
        <v>0.49264999999999998</v>
      </c>
      <c r="N1555" s="1">
        <v>0.59805500000000922</v>
      </c>
      <c r="O1555" s="1">
        <v>0.45299999999999996</v>
      </c>
      <c r="P1555" s="33">
        <v>0.42701000000001843</v>
      </c>
      <c r="Q1555" s="1">
        <v>0.5323</v>
      </c>
      <c r="R1555" s="1">
        <v>0.76910000000000001</v>
      </c>
      <c r="S1555" s="1">
        <v>0.49264999999999998</v>
      </c>
      <c r="T1555" s="1">
        <v>0.59805500000000922</v>
      </c>
    </row>
    <row r="1556" spans="12:20" x14ac:dyDescent="0.25">
      <c r="L1556" s="1">
        <v>195.400000000007</v>
      </c>
      <c r="M1556" s="1">
        <v>0.49259999999999998</v>
      </c>
      <c r="N1556" s="1">
        <v>0.59792500000000925</v>
      </c>
      <c r="O1556" s="1">
        <v>0.45289999999999997</v>
      </c>
      <c r="P1556" s="33">
        <v>0.4267500000000185</v>
      </c>
      <c r="Q1556" s="1">
        <v>0.5323</v>
      </c>
      <c r="R1556" s="1">
        <v>0.76910000000000001</v>
      </c>
      <c r="S1556" s="1">
        <v>0.49259999999999998</v>
      </c>
      <c r="T1556" s="1">
        <v>0.59792500000000925</v>
      </c>
    </row>
    <row r="1557" spans="12:20" x14ac:dyDescent="0.25">
      <c r="L1557" s="1">
        <v>195.50000000000699</v>
      </c>
      <c r="M1557" s="1">
        <v>0.49254999999999999</v>
      </c>
      <c r="N1557" s="1">
        <v>0.59779500000000929</v>
      </c>
      <c r="O1557" s="1">
        <v>0.45279999999999998</v>
      </c>
      <c r="P1557" s="33">
        <v>0.42649000000001858</v>
      </c>
      <c r="Q1557" s="1">
        <v>0.5323</v>
      </c>
      <c r="R1557" s="1">
        <v>0.76910000000000001</v>
      </c>
      <c r="S1557" s="1">
        <v>0.49254999999999999</v>
      </c>
      <c r="T1557" s="1">
        <v>0.59779500000000929</v>
      </c>
    </row>
    <row r="1558" spans="12:20" x14ac:dyDescent="0.25">
      <c r="L1558" s="1">
        <v>195.60000000000699</v>
      </c>
      <c r="M1558" s="1">
        <v>0.49249999999999999</v>
      </c>
      <c r="N1558" s="1">
        <v>0.59766500000000933</v>
      </c>
      <c r="O1558" s="1">
        <v>0.45269999999999999</v>
      </c>
      <c r="P1558" s="33">
        <v>0.42623000000001865</v>
      </c>
      <c r="Q1558" s="1">
        <v>0.5323</v>
      </c>
      <c r="R1558" s="1">
        <v>0.76910000000000001</v>
      </c>
      <c r="S1558" s="1">
        <v>0.49249999999999999</v>
      </c>
      <c r="T1558" s="1">
        <v>0.59766500000000933</v>
      </c>
    </row>
    <row r="1559" spans="12:20" x14ac:dyDescent="0.25">
      <c r="L1559" s="1">
        <v>195.70000000000701</v>
      </c>
      <c r="M1559" s="1">
        <v>0.49245</v>
      </c>
      <c r="N1559" s="1">
        <v>0.59753500000000936</v>
      </c>
      <c r="O1559" s="1">
        <v>0.4526</v>
      </c>
      <c r="P1559" s="33">
        <v>0.42597000000001872</v>
      </c>
      <c r="Q1559" s="1">
        <v>0.5323</v>
      </c>
      <c r="R1559" s="1">
        <v>0.76910000000000001</v>
      </c>
      <c r="S1559" s="1">
        <v>0.49245</v>
      </c>
      <c r="T1559" s="1">
        <v>0.59753500000000936</v>
      </c>
    </row>
    <row r="1560" spans="12:20" x14ac:dyDescent="0.25">
      <c r="L1560" s="1">
        <v>195.800000000007</v>
      </c>
      <c r="M1560" s="1">
        <v>0.4924</v>
      </c>
      <c r="N1560" s="1">
        <v>0.5974050000000094</v>
      </c>
      <c r="O1560" s="1">
        <v>0.4526</v>
      </c>
      <c r="P1560" s="33">
        <v>0.4257100000000188</v>
      </c>
      <c r="Q1560" s="1">
        <v>0.53220000000000001</v>
      </c>
      <c r="R1560" s="1">
        <v>0.76910000000000001</v>
      </c>
      <c r="S1560" s="1">
        <v>0.4924</v>
      </c>
      <c r="T1560" s="1">
        <v>0.5974050000000094</v>
      </c>
    </row>
    <row r="1561" spans="12:20" x14ac:dyDescent="0.25">
      <c r="L1561" s="1">
        <v>195.900000000007</v>
      </c>
      <c r="M1561" s="1">
        <v>0.49235000000000001</v>
      </c>
      <c r="N1561" s="1">
        <v>0.59727500000000944</v>
      </c>
      <c r="O1561" s="1">
        <v>0.45250000000000001</v>
      </c>
      <c r="P1561" s="33">
        <v>0.42545000000001887</v>
      </c>
      <c r="Q1561" s="1">
        <v>0.53220000000000001</v>
      </c>
      <c r="R1561" s="1">
        <v>0.76910000000000001</v>
      </c>
      <c r="S1561" s="1">
        <v>0.49235000000000001</v>
      </c>
      <c r="T1561" s="1">
        <v>0.59727500000000944</v>
      </c>
    </row>
    <row r="1562" spans="12:20" x14ac:dyDescent="0.25">
      <c r="L1562" s="1">
        <v>196.00000000000699</v>
      </c>
      <c r="M1562" s="1">
        <v>0.49230000000000002</v>
      </c>
      <c r="N1562" s="1">
        <v>0.59714500000000947</v>
      </c>
      <c r="O1562" s="1">
        <v>0.45240000000000002</v>
      </c>
      <c r="P1562" s="33">
        <v>0.42519000000001894</v>
      </c>
      <c r="Q1562" s="1">
        <v>0.53220000000000001</v>
      </c>
      <c r="R1562" s="1">
        <v>0.76910000000000001</v>
      </c>
      <c r="S1562" s="1">
        <v>0.49230000000000002</v>
      </c>
      <c r="T1562" s="1">
        <v>0.59714500000000947</v>
      </c>
    </row>
    <row r="1563" spans="12:20" x14ac:dyDescent="0.25">
      <c r="L1563" s="1">
        <v>196.10000000000699</v>
      </c>
      <c r="M1563" s="1">
        <v>0.49225000000000002</v>
      </c>
      <c r="N1563" s="1">
        <v>0.59701500000000951</v>
      </c>
      <c r="O1563" s="1">
        <v>0.45230000000000004</v>
      </c>
      <c r="P1563" s="33">
        <v>0.42493000000001901</v>
      </c>
      <c r="Q1563" s="1">
        <v>0.53220000000000001</v>
      </c>
      <c r="R1563" s="1">
        <v>0.76910000000000001</v>
      </c>
      <c r="S1563" s="1">
        <v>0.49225000000000002</v>
      </c>
      <c r="T1563" s="1">
        <v>0.59701500000000951</v>
      </c>
    </row>
    <row r="1564" spans="12:20" x14ac:dyDescent="0.25">
      <c r="L1564" s="1">
        <v>196.20000000000701</v>
      </c>
      <c r="M1564" s="1">
        <v>0.49220000000000003</v>
      </c>
      <c r="N1564" s="1">
        <v>0.59688500000000955</v>
      </c>
      <c r="O1564" s="1">
        <v>0.45230000000000004</v>
      </c>
      <c r="P1564" s="33">
        <v>0.42467000000001909</v>
      </c>
      <c r="Q1564" s="1">
        <v>0.53210000000000002</v>
      </c>
      <c r="R1564" s="1">
        <v>0.76910000000000001</v>
      </c>
      <c r="S1564" s="1">
        <v>0.49220000000000003</v>
      </c>
      <c r="T1564" s="1">
        <v>0.59688500000000955</v>
      </c>
    </row>
    <row r="1565" spans="12:20" x14ac:dyDescent="0.25">
      <c r="L1565" s="1">
        <v>196.300000000007</v>
      </c>
      <c r="M1565" s="1">
        <v>0.49214999999999998</v>
      </c>
      <c r="N1565" s="1">
        <v>0.59675500000000958</v>
      </c>
      <c r="O1565" s="1">
        <v>0.45219999999999994</v>
      </c>
      <c r="P1565" s="33">
        <v>0.42441000000001916</v>
      </c>
      <c r="Q1565" s="1">
        <v>0.53210000000000002</v>
      </c>
      <c r="R1565" s="1">
        <v>0.76910000000000001</v>
      </c>
      <c r="S1565" s="1">
        <v>0.49214999999999998</v>
      </c>
      <c r="T1565" s="1">
        <v>0.59675500000000958</v>
      </c>
    </row>
    <row r="1566" spans="12:20" x14ac:dyDescent="0.25">
      <c r="L1566" s="1">
        <v>196.400000000007</v>
      </c>
      <c r="M1566" s="1">
        <v>0.49209999999999998</v>
      </c>
      <c r="N1566" s="1">
        <v>0.59662500000000962</v>
      </c>
      <c r="O1566" s="1">
        <v>0.45209999999999995</v>
      </c>
      <c r="P1566" s="33">
        <v>0.42415000000001923</v>
      </c>
      <c r="Q1566" s="1">
        <v>0.53210000000000002</v>
      </c>
      <c r="R1566" s="1">
        <v>0.76910000000000001</v>
      </c>
      <c r="S1566" s="1">
        <v>0.49209999999999998</v>
      </c>
      <c r="T1566" s="1">
        <v>0.59662500000000962</v>
      </c>
    </row>
    <row r="1567" spans="12:20" x14ac:dyDescent="0.25">
      <c r="L1567" s="1">
        <v>196.50000000000699</v>
      </c>
      <c r="M1567" s="1">
        <v>0.49204999999999999</v>
      </c>
      <c r="N1567" s="1">
        <v>0.59649500000000966</v>
      </c>
      <c r="O1567" s="1">
        <v>0.45199999999999996</v>
      </c>
      <c r="P1567" s="33">
        <v>0.42389000000001931</v>
      </c>
      <c r="Q1567" s="1">
        <v>0.53210000000000002</v>
      </c>
      <c r="R1567" s="1">
        <v>0.76910000000000001</v>
      </c>
      <c r="S1567" s="1">
        <v>0.49204999999999999</v>
      </c>
      <c r="T1567" s="1">
        <v>0.59649500000000966</v>
      </c>
    </row>
    <row r="1568" spans="12:20" x14ac:dyDescent="0.25">
      <c r="L1568" s="1">
        <v>196.60000000000699</v>
      </c>
      <c r="M1568" s="1">
        <v>0.49199999999999999</v>
      </c>
      <c r="N1568" s="1">
        <v>0.59636500000000969</v>
      </c>
      <c r="O1568" s="1">
        <v>0.45189999999999997</v>
      </c>
      <c r="P1568" s="33">
        <v>0.42363000000001938</v>
      </c>
      <c r="Q1568" s="1">
        <v>0.53210000000000002</v>
      </c>
      <c r="R1568" s="1">
        <v>0.76910000000000001</v>
      </c>
      <c r="S1568" s="1">
        <v>0.49199999999999999</v>
      </c>
      <c r="T1568" s="1">
        <v>0.59636500000000969</v>
      </c>
    </row>
    <row r="1569" spans="12:20" x14ac:dyDescent="0.25">
      <c r="L1569" s="1">
        <v>196.70000000000701</v>
      </c>
      <c r="M1569" s="1">
        <v>0.49195</v>
      </c>
      <c r="N1569" s="1">
        <v>0.59623500000000973</v>
      </c>
      <c r="O1569" s="1">
        <v>0.45189999999999997</v>
      </c>
      <c r="P1569" s="33">
        <v>0.42337000000001945</v>
      </c>
      <c r="Q1569" s="1">
        <v>0.53200000000000003</v>
      </c>
      <c r="R1569" s="1">
        <v>0.76910000000000001</v>
      </c>
      <c r="S1569" s="1">
        <v>0.49195</v>
      </c>
      <c r="T1569" s="1">
        <v>0.59623500000000973</v>
      </c>
    </row>
    <row r="1570" spans="12:20" x14ac:dyDescent="0.25">
      <c r="L1570" s="1">
        <v>196.800000000007</v>
      </c>
      <c r="M1570" s="1">
        <v>0.4919</v>
      </c>
      <c r="N1570" s="1">
        <v>0.59610500000000977</v>
      </c>
      <c r="O1570" s="1">
        <v>0.45179999999999998</v>
      </c>
      <c r="P1570" s="33">
        <v>0.42311000000001953</v>
      </c>
      <c r="Q1570" s="1">
        <v>0.53200000000000003</v>
      </c>
      <c r="R1570" s="1">
        <v>0.76910000000000001</v>
      </c>
      <c r="S1570" s="1">
        <v>0.4919</v>
      </c>
      <c r="T1570" s="1">
        <v>0.59610500000000977</v>
      </c>
    </row>
    <row r="1571" spans="12:20" x14ac:dyDescent="0.25">
      <c r="L1571" s="1">
        <v>196.900000000007</v>
      </c>
      <c r="M1571" s="1">
        <v>0.49185000000000001</v>
      </c>
      <c r="N1571" s="1">
        <v>0.5959750000000098</v>
      </c>
      <c r="O1571" s="1">
        <v>0.45169999999999999</v>
      </c>
      <c r="P1571" s="33">
        <v>0.4228500000000196</v>
      </c>
      <c r="Q1571" s="1">
        <v>0.53200000000000003</v>
      </c>
      <c r="R1571" s="1">
        <v>0.76910000000000001</v>
      </c>
      <c r="S1571" s="1">
        <v>0.49185000000000001</v>
      </c>
      <c r="T1571" s="1">
        <v>0.5959750000000098</v>
      </c>
    </row>
    <row r="1572" spans="12:20" x14ac:dyDescent="0.25">
      <c r="L1572" s="1">
        <v>197.00000000000699</v>
      </c>
      <c r="M1572" s="1">
        <v>0.49180000000000001</v>
      </c>
      <c r="N1572" s="1">
        <v>0.59584500000000984</v>
      </c>
      <c r="O1572" s="1">
        <v>0.4516</v>
      </c>
      <c r="P1572" s="33">
        <v>0.42259000000001967</v>
      </c>
      <c r="Q1572" s="1">
        <v>0.53200000000000003</v>
      </c>
      <c r="R1572" s="1">
        <v>0.76910000000000001</v>
      </c>
      <c r="S1572" s="1">
        <v>0.49180000000000001</v>
      </c>
      <c r="T1572" s="1">
        <v>0.59584500000000984</v>
      </c>
    </row>
    <row r="1573" spans="12:20" x14ac:dyDescent="0.25">
      <c r="L1573" s="1">
        <v>197.10000000000699</v>
      </c>
      <c r="M1573" s="1">
        <v>0.49175000000000002</v>
      </c>
      <c r="N1573" s="1">
        <v>0.59571500000000988</v>
      </c>
      <c r="O1573" s="1">
        <v>0.45150000000000001</v>
      </c>
      <c r="P1573" s="33">
        <v>0.42233000000001975</v>
      </c>
      <c r="Q1573" s="1">
        <v>0.53200000000000003</v>
      </c>
      <c r="R1573" s="1">
        <v>0.76910000000000001</v>
      </c>
      <c r="S1573" s="1">
        <v>0.49175000000000002</v>
      </c>
      <c r="T1573" s="1">
        <v>0.59571500000000988</v>
      </c>
    </row>
    <row r="1574" spans="12:20" x14ac:dyDescent="0.25">
      <c r="L1574" s="1">
        <v>197.20000000000701</v>
      </c>
      <c r="M1574" s="1">
        <v>0.49170000000000003</v>
      </c>
      <c r="N1574" s="1">
        <v>0.59558500000000991</v>
      </c>
      <c r="O1574" s="1">
        <v>0.45140000000000002</v>
      </c>
      <c r="P1574" s="33">
        <v>0.42207000000001982</v>
      </c>
      <c r="Q1574" s="1">
        <v>0.53200000000000003</v>
      </c>
      <c r="R1574" s="1">
        <v>0.76910000000000001</v>
      </c>
      <c r="S1574" s="1">
        <v>0.49170000000000003</v>
      </c>
      <c r="T1574" s="1">
        <v>0.59558500000000991</v>
      </c>
    </row>
    <row r="1575" spans="12:20" x14ac:dyDescent="0.25">
      <c r="L1575" s="1">
        <v>197.300000000007</v>
      </c>
      <c r="M1575" s="1">
        <v>0.49164999999999998</v>
      </c>
      <c r="N1575" s="1">
        <v>0.59545500000000995</v>
      </c>
      <c r="O1575" s="1">
        <v>0.45139999999999991</v>
      </c>
      <c r="P1575" s="33">
        <v>0.42181000000001989</v>
      </c>
      <c r="Q1575" s="1">
        <v>0.53190000000000004</v>
      </c>
      <c r="R1575" s="1">
        <v>0.76910000000000001</v>
      </c>
      <c r="S1575" s="1">
        <v>0.49164999999999998</v>
      </c>
      <c r="T1575" s="1">
        <v>0.59545500000000995</v>
      </c>
    </row>
    <row r="1576" spans="12:20" x14ac:dyDescent="0.25">
      <c r="L1576" s="1">
        <v>197.400000000007</v>
      </c>
      <c r="M1576" s="1">
        <v>0.49159999999999998</v>
      </c>
      <c r="N1576" s="1">
        <v>0.59532500000000999</v>
      </c>
      <c r="O1576" s="1">
        <v>0.45129999999999992</v>
      </c>
      <c r="P1576" s="33">
        <v>0.42155000000001996</v>
      </c>
      <c r="Q1576" s="1">
        <v>0.53190000000000004</v>
      </c>
      <c r="R1576" s="1">
        <v>0.76910000000000001</v>
      </c>
      <c r="S1576" s="1">
        <v>0.49159999999999998</v>
      </c>
      <c r="T1576" s="1">
        <v>0.59532500000000999</v>
      </c>
    </row>
    <row r="1577" spans="12:20" x14ac:dyDescent="0.25">
      <c r="L1577" s="1">
        <v>197.50000000000699</v>
      </c>
      <c r="M1577" s="1">
        <v>0.49154999999999999</v>
      </c>
      <c r="N1577" s="1">
        <v>0.59519500000001002</v>
      </c>
      <c r="O1577" s="1">
        <v>0.45119999999999993</v>
      </c>
      <c r="P1577" s="33">
        <v>0.42129000000002004</v>
      </c>
      <c r="Q1577" s="1">
        <v>0.53190000000000004</v>
      </c>
      <c r="R1577" s="1">
        <v>0.76910000000000001</v>
      </c>
      <c r="S1577" s="1">
        <v>0.49154999999999999</v>
      </c>
      <c r="T1577" s="1">
        <v>0.59519500000001002</v>
      </c>
    </row>
    <row r="1578" spans="12:20" x14ac:dyDescent="0.25">
      <c r="L1578" s="1">
        <v>197.60000000000699</v>
      </c>
      <c r="M1578" s="1">
        <v>0.49149999999999999</v>
      </c>
      <c r="N1578" s="1">
        <v>0.59506500000001006</v>
      </c>
      <c r="O1578" s="1">
        <v>0.45109999999999995</v>
      </c>
      <c r="P1578" s="33">
        <v>0.42103000000002011</v>
      </c>
      <c r="Q1578" s="1">
        <v>0.53190000000000004</v>
      </c>
      <c r="R1578" s="1">
        <v>0.76910000000000001</v>
      </c>
      <c r="S1578" s="1">
        <v>0.49149999999999999</v>
      </c>
      <c r="T1578" s="1">
        <v>0.59506500000001006</v>
      </c>
    </row>
    <row r="1579" spans="12:20" x14ac:dyDescent="0.25">
      <c r="L1579" s="1">
        <v>197.70000000000701</v>
      </c>
      <c r="M1579" s="1">
        <v>0.49145</v>
      </c>
      <c r="N1579" s="1">
        <v>0.59493500000001009</v>
      </c>
      <c r="O1579" s="1">
        <v>0.45099999999999996</v>
      </c>
      <c r="P1579" s="33">
        <v>0.42077000000002018</v>
      </c>
      <c r="Q1579" s="1">
        <v>0.53190000000000004</v>
      </c>
      <c r="R1579" s="1">
        <v>0.76910000000000001</v>
      </c>
      <c r="S1579" s="1">
        <v>0.49145</v>
      </c>
      <c r="T1579" s="1">
        <v>0.59493500000001009</v>
      </c>
    </row>
    <row r="1580" spans="12:20" x14ac:dyDescent="0.25">
      <c r="L1580" s="1">
        <v>197.800000000007</v>
      </c>
      <c r="M1580" s="1">
        <v>0.4914</v>
      </c>
      <c r="N1580" s="1">
        <v>0.59480500000001013</v>
      </c>
      <c r="O1580" s="1">
        <v>0.45089999999999997</v>
      </c>
      <c r="P1580" s="33">
        <v>0.42051000000002026</v>
      </c>
      <c r="Q1580" s="1">
        <v>0.53190000000000004</v>
      </c>
      <c r="R1580" s="1">
        <v>0.76910000000000001</v>
      </c>
      <c r="S1580" s="1">
        <v>0.4914</v>
      </c>
      <c r="T1580" s="1">
        <v>0.59480500000001013</v>
      </c>
    </row>
    <row r="1581" spans="12:20" x14ac:dyDescent="0.25">
      <c r="L1581" s="1">
        <v>197.900000000007</v>
      </c>
      <c r="M1581" s="1">
        <v>0.49135000000000001</v>
      </c>
      <c r="N1581" s="1">
        <v>0.59467500000001017</v>
      </c>
      <c r="O1581" s="1">
        <v>0.45089999999999997</v>
      </c>
      <c r="P1581" s="33">
        <v>0.42025000000002033</v>
      </c>
      <c r="Q1581" s="1">
        <v>0.53180000000000005</v>
      </c>
      <c r="R1581" s="1">
        <v>0.76910000000000001</v>
      </c>
      <c r="S1581" s="1">
        <v>0.49135000000000001</v>
      </c>
      <c r="T1581" s="1">
        <v>0.59467500000001017</v>
      </c>
    </row>
    <row r="1582" spans="12:20" x14ac:dyDescent="0.25">
      <c r="L1582" s="1">
        <v>198.00000000000699</v>
      </c>
      <c r="M1582" s="1">
        <v>0.49130000000000001</v>
      </c>
      <c r="N1582" s="1">
        <v>0.5945450000000102</v>
      </c>
      <c r="O1582" s="1">
        <v>0.45079999999999998</v>
      </c>
      <c r="P1582" s="33">
        <v>0.4199900000000204</v>
      </c>
      <c r="Q1582" s="1">
        <v>0.53180000000000005</v>
      </c>
      <c r="R1582" s="1">
        <v>0.76910000000000001</v>
      </c>
      <c r="S1582" s="1">
        <v>0.49130000000000001</v>
      </c>
      <c r="T1582" s="1">
        <v>0.5945450000000102</v>
      </c>
    </row>
    <row r="1583" spans="12:20" x14ac:dyDescent="0.25">
      <c r="L1583" s="1">
        <v>198.10000000000699</v>
      </c>
      <c r="M1583" s="1">
        <v>0.49125000000000002</v>
      </c>
      <c r="N1583" s="1">
        <v>0.59441500000001024</v>
      </c>
      <c r="O1583" s="1">
        <v>0.45069999999999999</v>
      </c>
      <c r="P1583" s="33">
        <v>0.41973000000002048</v>
      </c>
      <c r="Q1583" s="1">
        <v>0.53180000000000005</v>
      </c>
      <c r="R1583" s="1">
        <v>0.76910000000000001</v>
      </c>
      <c r="S1583" s="1">
        <v>0.49125000000000002</v>
      </c>
      <c r="T1583" s="1">
        <v>0.59441500000001024</v>
      </c>
    </row>
    <row r="1584" spans="12:20" x14ac:dyDescent="0.25">
      <c r="L1584" s="1">
        <v>198.20000000000701</v>
      </c>
      <c r="M1584" s="1">
        <v>0.49120000000000003</v>
      </c>
      <c r="N1584" s="1">
        <v>0.59428500000001028</v>
      </c>
      <c r="O1584" s="1">
        <v>0.4506</v>
      </c>
      <c r="P1584" s="33">
        <v>0.41947000000002055</v>
      </c>
      <c r="Q1584" s="1">
        <v>0.53180000000000005</v>
      </c>
      <c r="R1584" s="1">
        <v>0.76910000000000001</v>
      </c>
      <c r="S1584" s="1">
        <v>0.49120000000000003</v>
      </c>
      <c r="T1584" s="1">
        <v>0.59428500000001028</v>
      </c>
    </row>
    <row r="1585" spans="12:20" x14ac:dyDescent="0.25">
      <c r="L1585" s="1">
        <v>198.300000000007</v>
      </c>
      <c r="M1585" s="1">
        <v>0.49114999999999998</v>
      </c>
      <c r="N1585" s="1">
        <v>0.59415500000001031</v>
      </c>
      <c r="O1585" s="1">
        <v>0.4504999999999999</v>
      </c>
      <c r="P1585" s="33">
        <v>0.41921000000002062</v>
      </c>
      <c r="Q1585" s="1">
        <v>0.53180000000000005</v>
      </c>
      <c r="R1585" s="1">
        <v>0.76910000000000001</v>
      </c>
      <c r="S1585" s="1">
        <v>0.49114999999999998</v>
      </c>
      <c r="T1585" s="1">
        <v>0.59415500000001031</v>
      </c>
    </row>
    <row r="1586" spans="12:20" x14ac:dyDescent="0.25">
      <c r="L1586" s="1">
        <v>198.400000000007</v>
      </c>
      <c r="M1586" s="1">
        <v>0.49109999999999998</v>
      </c>
      <c r="N1586" s="1">
        <v>0.59402500000001035</v>
      </c>
      <c r="O1586" s="1">
        <v>0.45039999999999991</v>
      </c>
      <c r="P1586" s="33">
        <v>0.41895000000002069</v>
      </c>
      <c r="Q1586" s="1">
        <v>0.53180000000000005</v>
      </c>
      <c r="R1586" s="1">
        <v>0.76910000000000001</v>
      </c>
      <c r="S1586" s="1">
        <v>0.49109999999999998</v>
      </c>
      <c r="T1586" s="1">
        <v>0.59402500000001035</v>
      </c>
    </row>
    <row r="1587" spans="12:20" x14ac:dyDescent="0.25">
      <c r="L1587" s="1">
        <v>198.50000000000799</v>
      </c>
      <c r="M1587" s="1">
        <v>0.49104999999999999</v>
      </c>
      <c r="N1587" s="1">
        <v>0.59389500000001039</v>
      </c>
      <c r="O1587" s="1">
        <v>0.45040000000000002</v>
      </c>
      <c r="P1587" s="33">
        <v>0.41869000000002077</v>
      </c>
      <c r="Q1587" s="1">
        <v>0.53169999999999995</v>
      </c>
      <c r="R1587" s="1">
        <v>0.76910000000000001</v>
      </c>
      <c r="S1587" s="1">
        <v>0.49104999999999999</v>
      </c>
      <c r="T1587" s="1">
        <v>0.59389500000001039</v>
      </c>
    </row>
    <row r="1588" spans="12:20" x14ac:dyDescent="0.25">
      <c r="L1588" s="1">
        <v>198.60000000000699</v>
      </c>
      <c r="M1588" s="1">
        <v>0.49099999999999999</v>
      </c>
      <c r="N1588" s="1">
        <v>0.59376500000001042</v>
      </c>
      <c r="O1588" s="1">
        <v>0.45030000000000003</v>
      </c>
      <c r="P1588" s="33">
        <v>0.41843000000002084</v>
      </c>
      <c r="Q1588" s="1">
        <v>0.53169999999999995</v>
      </c>
      <c r="R1588" s="1">
        <v>0.76910000000000001</v>
      </c>
      <c r="S1588" s="1">
        <v>0.49099999999999999</v>
      </c>
      <c r="T1588" s="1">
        <v>0.59376500000001042</v>
      </c>
    </row>
    <row r="1589" spans="12:20" x14ac:dyDescent="0.25">
      <c r="L1589" s="1">
        <v>198.70000000000701</v>
      </c>
      <c r="M1589" s="1">
        <v>0.49095</v>
      </c>
      <c r="N1589" s="1">
        <v>0.59363500000001046</v>
      </c>
      <c r="O1589" s="1">
        <v>0.45020000000000004</v>
      </c>
      <c r="P1589" s="33">
        <v>0.41817000000002091</v>
      </c>
      <c r="Q1589" s="1">
        <v>0.53169999999999995</v>
      </c>
      <c r="R1589" s="1">
        <v>0.76910000000000001</v>
      </c>
      <c r="S1589" s="1">
        <v>0.49095</v>
      </c>
      <c r="T1589" s="1">
        <v>0.59363500000001046</v>
      </c>
    </row>
    <row r="1590" spans="12:20" x14ac:dyDescent="0.25">
      <c r="L1590" s="1">
        <v>198.800000000007</v>
      </c>
      <c r="M1590" s="1">
        <v>0.4909</v>
      </c>
      <c r="N1590" s="1">
        <v>0.5935050000000105</v>
      </c>
      <c r="O1590" s="1">
        <v>0.45010000000000006</v>
      </c>
      <c r="P1590" s="33">
        <v>0.41791000000002099</v>
      </c>
      <c r="Q1590" s="1">
        <v>0.53169999999999995</v>
      </c>
      <c r="R1590" s="1">
        <v>0.76910000000000001</v>
      </c>
      <c r="S1590" s="1">
        <v>0.4909</v>
      </c>
      <c r="T1590" s="1">
        <v>0.5935050000000105</v>
      </c>
    </row>
    <row r="1591" spans="12:20" x14ac:dyDescent="0.25">
      <c r="L1591" s="1">
        <v>198.900000000007</v>
      </c>
      <c r="M1591" s="1">
        <v>0.49085000000000001</v>
      </c>
      <c r="N1591" s="1">
        <v>0.59337500000001053</v>
      </c>
      <c r="O1591" s="1">
        <v>0.45</v>
      </c>
      <c r="P1591" s="33">
        <v>0.41765000000002106</v>
      </c>
      <c r="Q1591" s="1">
        <v>0.53169999999999995</v>
      </c>
      <c r="R1591" s="1">
        <v>0.76910000000000001</v>
      </c>
      <c r="S1591" s="1">
        <v>0.49085000000000001</v>
      </c>
      <c r="T1591" s="1">
        <v>0.59337500000001053</v>
      </c>
    </row>
    <row r="1592" spans="12:20" x14ac:dyDescent="0.25">
      <c r="L1592" s="1">
        <v>199.00000000000799</v>
      </c>
      <c r="M1592" s="1">
        <v>0.49080000000000001</v>
      </c>
      <c r="N1592" s="1">
        <v>0.59324500000001057</v>
      </c>
      <c r="O1592" s="1">
        <v>0.44990000000000008</v>
      </c>
      <c r="P1592" s="33">
        <v>0.41739000000002113</v>
      </c>
      <c r="Q1592" s="1">
        <v>0.53169999999999995</v>
      </c>
      <c r="R1592" s="1">
        <v>0.76910000000000001</v>
      </c>
      <c r="S1592" s="1">
        <v>0.49080000000000001</v>
      </c>
      <c r="T1592" s="1">
        <v>0.59324500000001057</v>
      </c>
    </row>
    <row r="1593" spans="12:20" x14ac:dyDescent="0.25">
      <c r="L1593" s="1">
        <v>199.10000000000801</v>
      </c>
      <c r="M1593" s="1">
        <v>0.49075000000000002</v>
      </c>
      <c r="N1593" s="1">
        <v>0.59311500000001061</v>
      </c>
      <c r="O1593" s="1">
        <v>0.44980000000000009</v>
      </c>
      <c r="P1593" s="33">
        <v>0.41713000000002121</v>
      </c>
      <c r="Q1593" s="1">
        <v>0.53169999999999995</v>
      </c>
      <c r="R1593" s="1">
        <v>0.76910000000000001</v>
      </c>
      <c r="S1593" s="1">
        <v>0.49075000000000002</v>
      </c>
      <c r="T1593" s="1">
        <v>0.59311500000001061</v>
      </c>
    </row>
    <row r="1594" spans="12:20" x14ac:dyDescent="0.25">
      <c r="L1594" s="1">
        <v>199.200000000008</v>
      </c>
      <c r="M1594" s="1">
        <v>0.49070000000000003</v>
      </c>
      <c r="N1594" s="1">
        <v>0.59298500000001064</v>
      </c>
      <c r="O1594" s="1">
        <v>0.4497000000000001</v>
      </c>
      <c r="P1594" s="33">
        <v>0.41687000000002128</v>
      </c>
      <c r="Q1594" s="1">
        <v>0.53169999999999995</v>
      </c>
      <c r="R1594" s="1">
        <v>0.76910000000000001</v>
      </c>
      <c r="S1594" s="1">
        <v>0.49070000000000003</v>
      </c>
      <c r="T1594" s="1">
        <v>0.59298500000001064</v>
      </c>
    </row>
    <row r="1595" spans="12:20" x14ac:dyDescent="0.25">
      <c r="L1595" s="1">
        <v>199.300000000008</v>
      </c>
      <c r="M1595" s="1">
        <v>0.49064999999999998</v>
      </c>
      <c r="N1595" s="1">
        <v>0.59285500000001068</v>
      </c>
      <c r="O1595" s="1">
        <v>0.4496</v>
      </c>
      <c r="P1595" s="33">
        <v>0.41661000000002135</v>
      </c>
      <c r="Q1595" s="1">
        <v>0.53169999999999995</v>
      </c>
      <c r="R1595" s="1">
        <v>0.76910000000000001</v>
      </c>
      <c r="S1595" s="1">
        <v>0.49064999999999998</v>
      </c>
      <c r="T1595" s="1">
        <v>0.59285500000001068</v>
      </c>
    </row>
    <row r="1596" spans="12:20" x14ac:dyDescent="0.25">
      <c r="L1596" s="1">
        <v>199.40000000000799</v>
      </c>
      <c r="M1596" s="1">
        <v>0.49059999999999998</v>
      </c>
      <c r="N1596" s="1">
        <v>0.59272500000001072</v>
      </c>
      <c r="O1596" s="1">
        <v>0.4496</v>
      </c>
      <c r="P1596" s="33">
        <v>0.41635000000002143</v>
      </c>
      <c r="Q1596" s="1">
        <v>0.53159999999999996</v>
      </c>
      <c r="R1596" s="1">
        <v>0.76910000000000001</v>
      </c>
      <c r="S1596" s="1">
        <v>0.49059999999999998</v>
      </c>
      <c r="T1596" s="1">
        <v>0.59272500000001072</v>
      </c>
    </row>
    <row r="1597" spans="12:20" x14ac:dyDescent="0.25">
      <c r="L1597" s="1">
        <v>199.50000000000799</v>
      </c>
      <c r="M1597" s="1">
        <v>0.49054999999999999</v>
      </c>
      <c r="N1597" s="1">
        <v>0.59259500000001075</v>
      </c>
      <c r="O1597" s="1">
        <v>0.44950000000000001</v>
      </c>
      <c r="P1597" s="33">
        <v>0.4160900000000215</v>
      </c>
      <c r="Q1597" s="1">
        <v>0.53159999999999996</v>
      </c>
      <c r="R1597" s="1">
        <v>0.76910000000000001</v>
      </c>
      <c r="S1597" s="1">
        <v>0.49054999999999999</v>
      </c>
      <c r="T1597" s="1">
        <v>0.59259500000001075</v>
      </c>
    </row>
    <row r="1598" spans="12:20" x14ac:dyDescent="0.25">
      <c r="L1598" s="1">
        <v>199.60000000000801</v>
      </c>
      <c r="M1598" s="1">
        <v>0.49049999999999999</v>
      </c>
      <c r="N1598" s="1">
        <v>0.59246500000001079</v>
      </c>
      <c r="O1598" s="1">
        <v>0.44940000000000002</v>
      </c>
      <c r="P1598" s="33">
        <v>0.41583000000002157</v>
      </c>
      <c r="Q1598" s="1">
        <v>0.53159999999999996</v>
      </c>
      <c r="R1598" s="1">
        <v>0.76910000000000001</v>
      </c>
      <c r="S1598" s="1">
        <v>0.49049999999999999</v>
      </c>
      <c r="T1598" s="1">
        <v>0.59246500000001079</v>
      </c>
    </row>
    <row r="1599" spans="12:20" x14ac:dyDescent="0.25">
      <c r="L1599" s="1">
        <v>199.700000000008</v>
      </c>
      <c r="M1599" s="1">
        <v>0.49045</v>
      </c>
      <c r="N1599" s="1">
        <v>0.59233500000001083</v>
      </c>
      <c r="O1599" s="1">
        <v>0.44930000000000003</v>
      </c>
      <c r="P1599" s="33">
        <v>0.41557000000002164</v>
      </c>
      <c r="Q1599" s="1">
        <v>0.53159999999999996</v>
      </c>
      <c r="R1599" s="1">
        <v>0.76910000000000001</v>
      </c>
      <c r="S1599" s="1">
        <v>0.49045</v>
      </c>
      <c r="T1599" s="1">
        <v>0.59233500000001083</v>
      </c>
    </row>
    <row r="1600" spans="12:20" x14ac:dyDescent="0.25">
      <c r="L1600" s="1">
        <v>199.800000000008</v>
      </c>
      <c r="M1600" s="1">
        <v>0.4904</v>
      </c>
      <c r="N1600" s="1">
        <v>0.59220500000001086</v>
      </c>
      <c r="O1600" s="1">
        <v>0.44920000000000004</v>
      </c>
      <c r="P1600" s="33">
        <v>0.41531000000002172</v>
      </c>
      <c r="Q1600" s="1">
        <v>0.53159999999999996</v>
      </c>
      <c r="R1600" s="1">
        <v>0.76910000000000001</v>
      </c>
      <c r="S1600" s="1">
        <v>0.4904</v>
      </c>
      <c r="T1600" s="1">
        <v>0.59220500000001086</v>
      </c>
    </row>
    <row r="1601" spans="12:20" x14ac:dyDescent="0.25">
      <c r="L1601" s="1">
        <v>199.90000000000799</v>
      </c>
      <c r="M1601" s="1">
        <v>0.49035000000000001</v>
      </c>
      <c r="N1601" s="1">
        <v>0.5920750000000109</v>
      </c>
      <c r="O1601" s="1">
        <v>0.44910000000000005</v>
      </c>
      <c r="P1601" s="33">
        <v>0.41505000000002179</v>
      </c>
      <c r="Q1601" s="1">
        <v>0.53159999999999996</v>
      </c>
      <c r="R1601" s="1">
        <v>0.76910000000000001</v>
      </c>
      <c r="S1601" s="1">
        <v>0.49035000000000001</v>
      </c>
      <c r="T1601" s="1">
        <v>0.5920750000000109</v>
      </c>
    </row>
    <row r="1602" spans="12:20" x14ac:dyDescent="0.25">
      <c r="L1602" s="1">
        <v>200.00000000000799</v>
      </c>
      <c r="M1602" s="1">
        <v>0.49030000000000001</v>
      </c>
      <c r="N1602" s="1">
        <v>0.59194500000001093</v>
      </c>
      <c r="O1602" s="1">
        <v>0.44900000000000007</v>
      </c>
      <c r="P1602" s="33">
        <v>0.41479000000002186</v>
      </c>
      <c r="Q1602" s="1">
        <v>0.53159999999999996</v>
      </c>
      <c r="R1602" s="1">
        <v>0.76910000000000001</v>
      </c>
      <c r="S1602" s="1">
        <v>0.49030000000000001</v>
      </c>
      <c r="T1602" s="1">
        <v>0.59194500000001093</v>
      </c>
    </row>
    <row r="1603" spans="12:20" x14ac:dyDescent="0.25">
      <c r="L1603" s="1">
        <v>200.10000000000801</v>
      </c>
      <c r="M1603" s="1">
        <v>0.49025000000000002</v>
      </c>
      <c r="N1603" s="1">
        <v>0.59181500000001097</v>
      </c>
      <c r="O1603" s="1">
        <v>0.44890000000000008</v>
      </c>
      <c r="P1603" s="33">
        <v>0.41453000000002194</v>
      </c>
      <c r="Q1603" s="1">
        <v>0.53159999999999996</v>
      </c>
      <c r="R1603" s="1">
        <v>0.76910000000000001</v>
      </c>
      <c r="S1603" s="1">
        <v>0.49025000000000002</v>
      </c>
      <c r="T1603" s="1">
        <v>0.59181500000001097</v>
      </c>
    </row>
    <row r="1604" spans="12:20" x14ac:dyDescent="0.25">
      <c r="L1604" s="1">
        <v>200.200000000008</v>
      </c>
      <c r="M1604" s="1">
        <v>0.49020000000000002</v>
      </c>
      <c r="N1604" s="1">
        <v>0.59168500000001101</v>
      </c>
      <c r="O1604" s="1">
        <v>0.44880000000000009</v>
      </c>
      <c r="P1604" s="33">
        <v>0.41427000000002201</v>
      </c>
      <c r="Q1604" s="1">
        <v>0.53159999999999996</v>
      </c>
      <c r="R1604" s="1">
        <v>0.76910000000000001</v>
      </c>
      <c r="S1604" s="1">
        <v>0.49020000000000002</v>
      </c>
      <c r="T1604" s="1">
        <v>0.59168500000001101</v>
      </c>
    </row>
    <row r="1605" spans="12:20" x14ac:dyDescent="0.25">
      <c r="L1605" s="1">
        <v>200.300000000008</v>
      </c>
      <c r="M1605" s="1">
        <v>0.49014999999999997</v>
      </c>
      <c r="N1605" s="1">
        <v>0.59155500000001104</v>
      </c>
      <c r="O1605" s="1">
        <v>0.44869999999999999</v>
      </c>
      <c r="P1605" s="33">
        <v>0.41401000000002208</v>
      </c>
      <c r="Q1605" s="1">
        <v>0.53159999999999996</v>
      </c>
      <c r="R1605" s="1">
        <v>0.76910000000000001</v>
      </c>
      <c r="S1605" s="1">
        <v>0.49014999999999997</v>
      </c>
      <c r="T1605" s="1">
        <v>0.59155500000001104</v>
      </c>
    </row>
    <row r="1606" spans="12:20" x14ac:dyDescent="0.25">
      <c r="L1606" s="1">
        <v>200.40000000000799</v>
      </c>
      <c r="M1606" s="1">
        <v>0.49009999999999998</v>
      </c>
      <c r="N1606" s="1">
        <v>0.59142500000001108</v>
      </c>
      <c r="O1606" s="1">
        <v>0.4486</v>
      </c>
      <c r="P1606" s="33">
        <v>0.41375000000002216</v>
      </c>
      <c r="Q1606" s="1">
        <v>0.53159999999999996</v>
      </c>
      <c r="R1606" s="1">
        <v>0.76910000000000001</v>
      </c>
      <c r="S1606" s="1">
        <v>0.49009999999999998</v>
      </c>
      <c r="T1606" s="1">
        <v>0.59142500000001108</v>
      </c>
    </row>
    <row r="1607" spans="12:20" x14ac:dyDescent="0.25">
      <c r="L1607" s="1">
        <v>200.50000000000799</v>
      </c>
      <c r="M1607" s="1">
        <v>0.49004999999999999</v>
      </c>
      <c r="N1607" s="1">
        <v>0.59129500000001112</v>
      </c>
      <c r="O1607" s="1">
        <v>0.44850000000000001</v>
      </c>
      <c r="P1607" s="33">
        <v>0.41349000000002223</v>
      </c>
      <c r="Q1607" s="1">
        <v>0.53159999999999996</v>
      </c>
      <c r="R1607" s="1">
        <v>0.76910000000000001</v>
      </c>
      <c r="S1607" s="1">
        <v>0.49004999999999999</v>
      </c>
      <c r="T1607" s="1">
        <v>0.59129500000001112</v>
      </c>
    </row>
    <row r="1608" spans="12:20" x14ac:dyDescent="0.25">
      <c r="L1608" s="1">
        <v>200.60000000000801</v>
      </c>
      <c r="M1608" s="1">
        <v>0.49</v>
      </c>
      <c r="N1608" s="1">
        <v>0.59116500000001115</v>
      </c>
      <c r="O1608" s="1">
        <v>0.44850000000000001</v>
      </c>
      <c r="P1608" s="33">
        <v>0.4132300000000223</v>
      </c>
      <c r="Q1608" s="1">
        <v>0.53149999999999997</v>
      </c>
      <c r="R1608" s="1">
        <v>0.76910000000000001</v>
      </c>
      <c r="S1608" s="1">
        <v>0.49</v>
      </c>
      <c r="T1608" s="1">
        <v>0.59116500000001115</v>
      </c>
    </row>
    <row r="1609" spans="12:20" x14ac:dyDescent="0.25">
      <c r="L1609" s="1">
        <v>200.700000000008</v>
      </c>
      <c r="M1609" s="1">
        <v>0.48995</v>
      </c>
      <c r="N1609" s="1">
        <v>0.59103500000001119</v>
      </c>
      <c r="O1609" s="1">
        <v>0.44840000000000002</v>
      </c>
      <c r="P1609" s="33">
        <v>0.41297000000002237</v>
      </c>
      <c r="Q1609" s="1">
        <v>0.53149999999999997</v>
      </c>
      <c r="R1609" s="1">
        <v>0.76910000000000001</v>
      </c>
      <c r="S1609" s="1">
        <v>0.48995</v>
      </c>
      <c r="T1609" s="1">
        <v>0.59103500000001119</v>
      </c>
    </row>
    <row r="1610" spans="12:20" x14ac:dyDescent="0.25">
      <c r="L1610" s="1">
        <v>200.800000000008</v>
      </c>
      <c r="M1610" s="1">
        <v>0.4899</v>
      </c>
      <c r="N1610" s="1">
        <v>0.59090500000001123</v>
      </c>
      <c r="O1610" s="1">
        <v>0.44830000000000003</v>
      </c>
      <c r="P1610" s="33">
        <v>0.41271000000002245</v>
      </c>
      <c r="Q1610" s="1">
        <v>0.53149999999999997</v>
      </c>
      <c r="R1610" s="1">
        <v>0.76910000000000001</v>
      </c>
      <c r="S1610" s="1">
        <v>0.4899</v>
      </c>
      <c r="T1610" s="1">
        <v>0.59090500000001123</v>
      </c>
    </row>
    <row r="1611" spans="12:20" x14ac:dyDescent="0.25">
      <c r="L1611" s="1">
        <v>200.90000000000799</v>
      </c>
      <c r="M1611" s="1">
        <v>0.48985000000000001</v>
      </c>
      <c r="N1611" s="1">
        <v>0.59077500000001126</v>
      </c>
      <c r="O1611" s="1">
        <v>0.44820000000000004</v>
      </c>
      <c r="P1611" s="33">
        <v>0.41245000000002252</v>
      </c>
      <c r="Q1611" s="1">
        <v>0.53149999999999997</v>
      </c>
      <c r="R1611" s="1">
        <v>0.76910000000000001</v>
      </c>
      <c r="S1611" s="1">
        <v>0.48985000000000001</v>
      </c>
      <c r="T1611" s="1">
        <v>0.59077500000001126</v>
      </c>
    </row>
    <row r="1612" spans="12:20" x14ac:dyDescent="0.25">
      <c r="L1612" s="1">
        <v>201.00000000000799</v>
      </c>
      <c r="M1612" s="1">
        <v>0.48980000000000001</v>
      </c>
      <c r="N1612" s="1">
        <v>0.5906450000000113</v>
      </c>
      <c r="O1612" s="1">
        <v>0.44810000000000005</v>
      </c>
      <c r="P1612" s="33">
        <v>0.41219000000002259</v>
      </c>
      <c r="Q1612" s="1">
        <v>0.53149999999999997</v>
      </c>
      <c r="R1612" s="1">
        <v>0.76910000000000001</v>
      </c>
      <c r="S1612" s="1">
        <v>0.48980000000000001</v>
      </c>
      <c r="T1612" s="1">
        <v>0.5906450000000113</v>
      </c>
    </row>
    <row r="1613" spans="12:20" x14ac:dyDescent="0.25">
      <c r="L1613" s="1">
        <v>201.10000000000801</v>
      </c>
      <c r="M1613" s="1">
        <v>0.48975000000000002</v>
      </c>
      <c r="N1613" s="1">
        <v>0.59051500000001134</v>
      </c>
      <c r="O1613" s="1">
        <v>0.44800000000000006</v>
      </c>
      <c r="P1613" s="33">
        <v>0.41193000000002267</v>
      </c>
      <c r="Q1613" s="1">
        <v>0.53149999999999997</v>
      </c>
      <c r="R1613" s="1">
        <v>0.76910000000000001</v>
      </c>
      <c r="S1613" s="1">
        <v>0.48975000000000002</v>
      </c>
      <c r="T1613" s="1">
        <v>0.59051500000001134</v>
      </c>
    </row>
    <row r="1614" spans="12:20" x14ac:dyDescent="0.25">
      <c r="L1614" s="1">
        <v>201.200000000008</v>
      </c>
      <c r="M1614" s="1">
        <v>0.48970000000000002</v>
      </c>
      <c r="N1614" s="1">
        <v>0.59038500000001137</v>
      </c>
      <c r="O1614" s="1">
        <v>0.44790000000000008</v>
      </c>
      <c r="P1614" s="33">
        <v>0.41167000000002274</v>
      </c>
      <c r="Q1614" s="1">
        <v>0.53149999999999997</v>
      </c>
      <c r="R1614" s="1">
        <v>0.76910000000000001</v>
      </c>
      <c r="S1614" s="1">
        <v>0.48970000000000002</v>
      </c>
      <c r="T1614" s="1">
        <v>0.59038500000001137</v>
      </c>
    </row>
    <row r="1615" spans="12:20" x14ac:dyDescent="0.25">
      <c r="L1615" s="1">
        <v>201.300000000008</v>
      </c>
      <c r="M1615" s="1">
        <v>0.48964999999999997</v>
      </c>
      <c r="N1615" s="1">
        <v>0.59025500000001141</v>
      </c>
      <c r="O1615" s="1">
        <v>0.44779999999999998</v>
      </c>
      <c r="P1615" s="33">
        <v>0.41141000000002281</v>
      </c>
      <c r="Q1615" s="1">
        <v>0.53149999999999997</v>
      </c>
      <c r="R1615" s="1">
        <v>0.76910000000000001</v>
      </c>
      <c r="S1615" s="1">
        <v>0.48964999999999997</v>
      </c>
      <c r="T1615" s="1">
        <v>0.59025500000001141</v>
      </c>
    </row>
    <row r="1616" spans="12:20" x14ac:dyDescent="0.25">
      <c r="L1616" s="1">
        <v>201.40000000000799</v>
      </c>
      <c r="M1616" s="1">
        <v>0.48959999999999998</v>
      </c>
      <c r="N1616" s="1">
        <v>0.59012500000001145</v>
      </c>
      <c r="O1616" s="1">
        <v>0.44769999999999999</v>
      </c>
      <c r="P1616" s="33">
        <v>0.41115000000002289</v>
      </c>
      <c r="Q1616" s="1">
        <v>0.53149999999999997</v>
      </c>
      <c r="R1616" s="1">
        <v>0.76910000000000001</v>
      </c>
      <c r="S1616" s="1">
        <v>0.48959999999999998</v>
      </c>
      <c r="T1616" s="1">
        <v>0.59012500000001145</v>
      </c>
    </row>
    <row r="1617" spans="12:20" x14ac:dyDescent="0.25">
      <c r="L1617" s="1">
        <v>201.50000000000799</v>
      </c>
      <c r="M1617" s="1">
        <v>0.48954999999999999</v>
      </c>
      <c r="N1617" s="1">
        <v>0.58999500000001148</v>
      </c>
      <c r="O1617" s="1">
        <v>0.4476</v>
      </c>
      <c r="P1617" s="33">
        <v>0.41089000000002296</v>
      </c>
      <c r="Q1617" s="1">
        <v>0.53149999999999997</v>
      </c>
      <c r="R1617" s="1">
        <v>0.76910000000000001</v>
      </c>
      <c r="S1617" s="1">
        <v>0.48954999999999999</v>
      </c>
      <c r="T1617" s="1">
        <v>0.58999500000001148</v>
      </c>
    </row>
    <row r="1618" spans="12:20" x14ac:dyDescent="0.25">
      <c r="L1618" s="1">
        <v>201.60000000000801</v>
      </c>
      <c r="M1618" s="1">
        <v>0.48949999999999999</v>
      </c>
      <c r="N1618" s="1">
        <v>0.58986500000001152</v>
      </c>
      <c r="O1618" s="1">
        <v>0.44750000000000001</v>
      </c>
      <c r="P1618" s="33">
        <v>0.41063000000002303</v>
      </c>
      <c r="Q1618" s="1">
        <v>0.53149999999999997</v>
      </c>
      <c r="R1618" s="1">
        <v>0.76910000000000001</v>
      </c>
      <c r="S1618" s="1">
        <v>0.48949999999999999</v>
      </c>
      <c r="T1618" s="1">
        <v>0.58986500000001152</v>
      </c>
    </row>
    <row r="1619" spans="12:20" x14ac:dyDescent="0.25">
      <c r="L1619" s="1">
        <v>201.700000000008</v>
      </c>
      <c r="M1619" s="1">
        <v>0.48945</v>
      </c>
      <c r="N1619" s="1">
        <v>0.58973500000001156</v>
      </c>
      <c r="O1619" s="1">
        <v>0.44740000000000002</v>
      </c>
      <c r="P1619" s="33">
        <v>0.41037000000002311</v>
      </c>
      <c r="Q1619" s="1">
        <v>0.53149999999999997</v>
      </c>
      <c r="R1619" s="1">
        <v>0.76910000000000001</v>
      </c>
      <c r="S1619" s="1">
        <v>0.48945</v>
      </c>
      <c r="T1619" s="1">
        <v>0.58973500000001156</v>
      </c>
    </row>
    <row r="1620" spans="12:20" x14ac:dyDescent="0.25">
      <c r="L1620" s="1">
        <v>201.800000000008</v>
      </c>
      <c r="M1620" s="1">
        <v>0.4894</v>
      </c>
      <c r="N1620" s="1">
        <v>0.58960500000001159</v>
      </c>
      <c r="O1620" s="1">
        <v>0.44730000000000003</v>
      </c>
      <c r="P1620" s="33">
        <v>0.41011000000002318</v>
      </c>
      <c r="Q1620" s="1">
        <v>0.53149999999999997</v>
      </c>
      <c r="R1620" s="1">
        <v>0.76910000000000001</v>
      </c>
      <c r="S1620" s="1">
        <v>0.4894</v>
      </c>
      <c r="T1620" s="1">
        <v>0.58960500000001159</v>
      </c>
    </row>
    <row r="1621" spans="12:20" x14ac:dyDescent="0.25">
      <c r="L1621" s="1">
        <v>201.90000000000799</v>
      </c>
      <c r="M1621" s="1">
        <v>0.48935000000000001</v>
      </c>
      <c r="N1621" s="1">
        <v>0.58947500000001163</v>
      </c>
      <c r="O1621" s="1">
        <v>0.44720000000000004</v>
      </c>
      <c r="P1621" s="33">
        <v>0.40985000000002325</v>
      </c>
      <c r="Q1621" s="1">
        <v>0.53149999999999997</v>
      </c>
      <c r="R1621" s="1">
        <v>0.76910000000000001</v>
      </c>
      <c r="S1621" s="1">
        <v>0.48935000000000001</v>
      </c>
      <c r="T1621" s="1">
        <v>0.58947500000001163</v>
      </c>
    </row>
    <row r="1622" spans="12:20" x14ac:dyDescent="0.25">
      <c r="L1622" s="1">
        <v>202.00000000000799</v>
      </c>
      <c r="M1622" s="1">
        <v>0.48930000000000001</v>
      </c>
      <c r="N1622" s="1">
        <v>0.58934500000001167</v>
      </c>
      <c r="O1622" s="1">
        <v>0.44710000000000005</v>
      </c>
      <c r="P1622" s="33">
        <v>0.40959000000002332</v>
      </c>
      <c r="Q1622" s="1">
        <v>0.53149999999999997</v>
      </c>
      <c r="R1622" s="1">
        <v>0.76910000000000001</v>
      </c>
      <c r="S1622" s="1">
        <v>0.48930000000000001</v>
      </c>
      <c r="T1622" s="1">
        <v>0.58934500000001167</v>
      </c>
    </row>
    <row r="1623" spans="12:20" x14ac:dyDescent="0.25">
      <c r="L1623" s="1">
        <v>202.10000000000801</v>
      </c>
      <c r="M1623" s="1">
        <v>0.48925000000000002</v>
      </c>
      <c r="N1623" s="1">
        <v>0.5892150000000117</v>
      </c>
      <c r="O1623" s="1">
        <v>0.44700000000000006</v>
      </c>
      <c r="P1623" s="33">
        <v>0.4093300000000234</v>
      </c>
      <c r="Q1623" s="1">
        <v>0.53149999999999997</v>
      </c>
      <c r="R1623" s="1">
        <v>0.76910000000000001</v>
      </c>
      <c r="S1623" s="1">
        <v>0.48925000000000002</v>
      </c>
      <c r="T1623" s="1">
        <v>0.5892150000000117</v>
      </c>
    </row>
    <row r="1624" spans="12:20" x14ac:dyDescent="0.25">
      <c r="L1624" s="1">
        <v>202.200000000008</v>
      </c>
      <c r="M1624" s="1">
        <v>0.48920000000000002</v>
      </c>
      <c r="N1624" s="1">
        <v>0.58908500000001174</v>
      </c>
      <c r="O1624" s="1">
        <v>0.44690000000000007</v>
      </c>
      <c r="P1624" s="33">
        <v>0.40907000000002347</v>
      </c>
      <c r="Q1624" s="1">
        <v>0.53149999999999997</v>
      </c>
      <c r="R1624" s="1">
        <v>0.76910000000000001</v>
      </c>
      <c r="S1624" s="1">
        <v>0.48920000000000002</v>
      </c>
      <c r="T1624" s="1">
        <v>0.58908500000001174</v>
      </c>
    </row>
    <row r="1625" spans="12:20" x14ac:dyDescent="0.25">
      <c r="L1625" s="1">
        <v>202.300000000008</v>
      </c>
      <c r="M1625" s="1">
        <v>0.48914999999999997</v>
      </c>
      <c r="N1625" s="1">
        <v>0.58895500000001177</v>
      </c>
      <c r="O1625" s="1">
        <v>0.44679999999999997</v>
      </c>
      <c r="P1625" s="33">
        <v>0.40881000000002354</v>
      </c>
      <c r="Q1625" s="1">
        <v>0.53149999999999997</v>
      </c>
      <c r="R1625" s="1">
        <v>0.76910000000000001</v>
      </c>
      <c r="S1625" s="1">
        <v>0.48914999999999997</v>
      </c>
      <c r="T1625" s="1">
        <v>0.58895500000001177</v>
      </c>
    </row>
    <row r="1626" spans="12:20" x14ac:dyDescent="0.25">
      <c r="L1626" s="1">
        <v>202.40000000000799</v>
      </c>
      <c r="M1626" s="1">
        <v>0.48909999999999998</v>
      </c>
      <c r="N1626" s="1">
        <v>0.58882500000001181</v>
      </c>
      <c r="O1626" s="1">
        <v>0.44669999999999999</v>
      </c>
      <c r="P1626" s="33">
        <v>0.40855000000002362</v>
      </c>
      <c r="Q1626" s="1">
        <v>0.53149999999999997</v>
      </c>
      <c r="R1626" s="1">
        <v>0.76910000000000001</v>
      </c>
      <c r="S1626" s="1">
        <v>0.48909999999999998</v>
      </c>
      <c r="T1626" s="1">
        <v>0.58882500000001181</v>
      </c>
    </row>
    <row r="1627" spans="12:20" x14ac:dyDescent="0.25">
      <c r="L1627" s="1">
        <v>202.50000000000799</v>
      </c>
      <c r="M1627" s="1">
        <v>0.48904999999999998</v>
      </c>
      <c r="N1627" s="1">
        <v>0.58869500000001185</v>
      </c>
      <c r="O1627" s="1">
        <v>0.4466</v>
      </c>
      <c r="P1627" s="33">
        <v>0.40829000000002369</v>
      </c>
      <c r="Q1627" s="1">
        <v>0.53149999999999997</v>
      </c>
      <c r="R1627" s="1">
        <v>0.76910000000000001</v>
      </c>
      <c r="S1627" s="1">
        <v>0.48904999999999998</v>
      </c>
      <c r="T1627" s="1">
        <v>0.58869500000001185</v>
      </c>
    </row>
    <row r="1628" spans="12:20" x14ac:dyDescent="0.25">
      <c r="L1628" s="1">
        <v>202.60000000000801</v>
      </c>
      <c r="M1628" s="1">
        <v>0.48899999999999999</v>
      </c>
      <c r="N1628" s="1">
        <v>0.58856500000001188</v>
      </c>
      <c r="O1628" s="1">
        <v>0.44650000000000001</v>
      </c>
      <c r="P1628" s="33">
        <v>0.40803000000002376</v>
      </c>
      <c r="Q1628" s="1">
        <v>0.53149999999999997</v>
      </c>
      <c r="R1628" s="1">
        <v>0.76910000000000001</v>
      </c>
      <c r="S1628" s="1">
        <v>0.48899999999999999</v>
      </c>
      <c r="T1628" s="1">
        <v>0.58856500000001188</v>
      </c>
    </row>
    <row r="1629" spans="12:20" x14ac:dyDescent="0.25">
      <c r="L1629" s="1">
        <v>202.700000000008</v>
      </c>
      <c r="M1629" s="1">
        <v>0.48895</v>
      </c>
      <c r="N1629" s="1">
        <v>0.58843500000001192</v>
      </c>
      <c r="O1629" s="1">
        <v>0.44640000000000002</v>
      </c>
      <c r="P1629" s="33">
        <v>0.40777000000002384</v>
      </c>
      <c r="Q1629" s="1">
        <v>0.53149999999999997</v>
      </c>
      <c r="R1629" s="1">
        <v>0.76910000000000001</v>
      </c>
      <c r="S1629" s="1">
        <v>0.48895</v>
      </c>
      <c r="T1629" s="1">
        <v>0.58843500000001192</v>
      </c>
    </row>
    <row r="1630" spans="12:20" x14ac:dyDescent="0.25">
      <c r="L1630" s="1">
        <v>202.800000000008</v>
      </c>
      <c r="M1630" s="1">
        <v>0.4889</v>
      </c>
      <c r="N1630" s="1">
        <v>0.58830500000001196</v>
      </c>
      <c r="O1630" s="1">
        <v>0.44630000000000003</v>
      </c>
      <c r="P1630" s="33">
        <v>0.40751000000002391</v>
      </c>
      <c r="Q1630" s="1">
        <v>0.53149999999999997</v>
      </c>
      <c r="R1630" s="1">
        <v>0.76910000000000001</v>
      </c>
      <c r="S1630" s="1">
        <v>0.4889</v>
      </c>
      <c r="T1630" s="1">
        <v>0.58830500000001196</v>
      </c>
    </row>
    <row r="1631" spans="12:20" x14ac:dyDescent="0.25">
      <c r="L1631" s="1">
        <v>202.90000000000899</v>
      </c>
      <c r="M1631" s="1">
        <v>0.48885000000000001</v>
      </c>
      <c r="N1631" s="1">
        <v>0.58817500000001199</v>
      </c>
      <c r="O1631" s="1">
        <v>0.44620000000000004</v>
      </c>
      <c r="P1631" s="33">
        <v>0.40725000000002398</v>
      </c>
      <c r="Q1631" s="1">
        <v>0.53149999999999997</v>
      </c>
      <c r="R1631" s="1">
        <v>0.76910000000000001</v>
      </c>
      <c r="S1631" s="1">
        <v>0.48885000000000001</v>
      </c>
      <c r="T1631" s="1">
        <v>0.58817500000001199</v>
      </c>
    </row>
    <row r="1632" spans="12:20" x14ac:dyDescent="0.25">
      <c r="L1632" s="1">
        <v>203.00000000000799</v>
      </c>
      <c r="M1632" s="1">
        <v>0.48880000000000001</v>
      </c>
      <c r="N1632" s="1">
        <v>0.58804500000001203</v>
      </c>
      <c r="O1632" s="1">
        <v>0.44610000000000005</v>
      </c>
      <c r="P1632" s="33">
        <v>0.40699000000002405</v>
      </c>
      <c r="Q1632" s="1">
        <v>0.53149999999999997</v>
      </c>
      <c r="R1632" s="1">
        <v>0.76910000000000001</v>
      </c>
      <c r="S1632" s="1">
        <v>0.48880000000000001</v>
      </c>
      <c r="T1632" s="1">
        <v>0.58804500000001203</v>
      </c>
    </row>
    <row r="1633" spans="12:20" x14ac:dyDescent="0.25">
      <c r="L1633" s="1">
        <v>203.10000000000801</v>
      </c>
      <c r="M1633" s="1">
        <v>0.48875000000000002</v>
      </c>
      <c r="N1633" s="1">
        <v>0.58791500000001207</v>
      </c>
      <c r="O1633" s="1">
        <v>0.44600000000000006</v>
      </c>
      <c r="P1633" s="33">
        <v>0.40673000000002413</v>
      </c>
      <c r="Q1633" s="1">
        <v>0.53149999999999997</v>
      </c>
      <c r="R1633" s="1">
        <v>0.76910000000000001</v>
      </c>
      <c r="S1633" s="1">
        <v>0.48875000000000002</v>
      </c>
      <c r="T1633" s="1">
        <v>0.58791500000001207</v>
      </c>
    </row>
    <row r="1634" spans="12:20" x14ac:dyDescent="0.25">
      <c r="L1634" s="1">
        <v>203.200000000008</v>
      </c>
      <c r="M1634" s="1">
        <v>0.48870000000000002</v>
      </c>
      <c r="N1634" s="1">
        <v>0.5877850000000121</v>
      </c>
      <c r="O1634" s="1">
        <v>0.44590000000000007</v>
      </c>
      <c r="P1634" s="33">
        <v>0.4064700000000242</v>
      </c>
      <c r="Q1634" s="1">
        <v>0.53149999999999997</v>
      </c>
      <c r="R1634" s="1">
        <v>0.76910000000000001</v>
      </c>
      <c r="S1634" s="1">
        <v>0.48870000000000002</v>
      </c>
      <c r="T1634" s="1">
        <v>0.5877850000000121</v>
      </c>
    </row>
    <row r="1635" spans="12:20" x14ac:dyDescent="0.25">
      <c r="L1635" s="1">
        <v>203.300000000008</v>
      </c>
      <c r="M1635" s="1">
        <v>0.48864999999999997</v>
      </c>
      <c r="N1635" s="1">
        <v>0.58765500000001214</v>
      </c>
      <c r="O1635" s="1">
        <v>0.44579999999999997</v>
      </c>
      <c r="P1635" s="33">
        <v>0.40621000000002427</v>
      </c>
      <c r="Q1635" s="1">
        <v>0.53149999999999997</v>
      </c>
      <c r="R1635" s="1">
        <v>0.76910000000000001</v>
      </c>
      <c r="S1635" s="1">
        <v>0.48864999999999997</v>
      </c>
      <c r="T1635" s="1">
        <v>0.58765500000001214</v>
      </c>
    </row>
    <row r="1636" spans="12:20" x14ac:dyDescent="0.25">
      <c r="L1636" s="1">
        <v>203.40000000000899</v>
      </c>
      <c r="M1636" s="1">
        <v>0.48859999999999998</v>
      </c>
      <c r="N1636" s="1">
        <v>0.58752500000001218</v>
      </c>
      <c r="O1636" s="1">
        <v>0.44569999999999999</v>
      </c>
      <c r="P1636" s="33">
        <v>0.40595000000002435</v>
      </c>
      <c r="Q1636" s="1">
        <v>0.53149999999999997</v>
      </c>
      <c r="R1636" s="1">
        <v>0.76910000000000001</v>
      </c>
      <c r="S1636" s="1">
        <v>0.48859999999999998</v>
      </c>
      <c r="T1636" s="1">
        <v>0.58752500000001218</v>
      </c>
    </row>
    <row r="1637" spans="12:20" x14ac:dyDescent="0.25">
      <c r="L1637" s="1">
        <v>203.50000000000901</v>
      </c>
      <c r="M1637" s="1">
        <v>0.48854999999999998</v>
      </c>
      <c r="N1637" s="1">
        <v>0.58739500000001221</v>
      </c>
      <c r="O1637" s="1">
        <v>0.4456</v>
      </c>
      <c r="P1637" s="33">
        <v>0.40569000000002442</v>
      </c>
      <c r="Q1637" s="1">
        <v>0.53149999999999997</v>
      </c>
      <c r="R1637" s="1">
        <v>0.76910000000000001</v>
      </c>
      <c r="S1637" s="1">
        <v>0.48854999999999998</v>
      </c>
      <c r="T1637" s="1">
        <v>0.58739500000001221</v>
      </c>
    </row>
    <row r="1638" spans="12:20" x14ac:dyDescent="0.25">
      <c r="L1638" s="1">
        <v>203.600000000009</v>
      </c>
      <c r="M1638" s="1">
        <v>0.48849999999999999</v>
      </c>
      <c r="N1638" s="1">
        <v>0.58726500000001225</v>
      </c>
      <c r="O1638" s="1">
        <v>0.44540000000000002</v>
      </c>
      <c r="P1638" s="33">
        <v>0.40543000000002449</v>
      </c>
      <c r="Q1638" s="1">
        <v>0.53159999999999996</v>
      </c>
      <c r="R1638" s="1">
        <v>0.76910000000000001</v>
      </c>
      <c r="S1638" s="1">
        <v>0.48849999999999999</v>
      </c>
      <c r="T1638" s="1">
        <v>0.58726500000001225</v>
      </c>
    </row>
    <row r="1639" spans="12:20" x14ac:dyDescent="0.25">
      <c r="L1639" s="1">
        <v>203.700000000009</v>
      </c>
      <c r="M1639" s="1">
        <v>0.48845</v>
      </c>
      <c r="N1639" s="1">
        <v>0.58713500000001229</v>
      </c>
      <c r="O1639" s="1">
        <v>0.44530000000000003</v>
      </c>
      <c r="P1639" s="33">
        <v>0.40517000000002457</v>
      </c>
      <c r="Q1639" s="1">
        <v>0.53159999999999996</v>
      </c>
      <c r="R1639" s="1">
        <v>0.76910000000000001</v>
      </c>
      <c r="S1639" s="1">
        <v>0.48845</v>
      </c>
      <c r="T1639" s="1">
        <v>0.58713500000001229</v>
      </c>
    </row>
    <row r="1640" spans="12:20" x14ac:dyDescent="0.25">
      <c r="L1640" s="1">
        <v>203.80000000000899</v>
      </c>
      <c r="M1640" s="1">
        <v>0.4884</v>
      </c>
      <c r="N1640" s="1">
        <v>0.58700500000001232</v>
      </c>
      <c r="O1640" s="1">
        <v>0.44520000000000004</v>
      </c>
      <c r="P1640" s="33">
        <v>0.40491000000002464</v>
      </c>
      <c r="Q1640" s="1">
        <v>0.53159999999999996</v>
      </c>
      <c r="R1640" s="1">
        <v>0.76910000000000001</v>
      </c>
      <c r="S1640" s="1">
        <v>0.4884</v>
      </c>
      <c r="T1640" s="1">
        <v>0.58700500000001232</v>
      </c>
    </row>
    <row r="1641" spans="12:20" x14ac:dyDescent="0.25">
      <c r="L1641" s="1">
        <v>203.90000000000899</v>
      </c>
      <c r="M1641" s="1">
        <v>0.48835000000000001</v>
      </c>
      <c r="N1641" s="1">
        <v>0.58687500000001236</v>
      </c>
      <c r="O1641" s="1">
        <v>0.44510000000000005</v>
      </c>
      <c r="P1641" s="33">
        <v>0.40465000000002471</v>
      </c>
      <c r="Q1641" s="1">
        <v>0.53159999999999996</v>
      </c>
      <c r="R1641" s="1">
        <v>0.76910000000000001</v>
      </c>
      <c r="S1641" s="1">
        <v>0.48835000000000001</v>
      </c>
      <c r="T1641" s="1">
        <v>0.58687500000001236</v>
      </c>
    </row>
    <row r="1642" spans="12:20" x14ac:dyDescent="0.25">
      <c r="L1642" s="1">
        <v>204.00000000000901</v>
      </c>
      <c r="M1642" s="1">
        <v>0.48830000000000001</v>
      </c>
      <c r="N1642" s="1">
        <v>0.5867450000000124</v>
      </c>
      <c r="O1642" s="1">
        <v>0.44500000000000001</v>
      </c>
      <c r="P1642" s="33">
        <v>0.40439000000002479</v>
      </c>
      <c r="Q1642" s="1">
        <v>0.53159999999999996</v>
      </c>
      <c r="R1642" s="1">
        <v>0.76910000000000001</v>
      </c>
      <c r="S1642" s="1">
        <v>0.48830000000000001</v>
      </c>
      <c r="T1642" s="1">
        <v>0.5867450000000124</v>
      </c>
    </row>
    <row r="1643" spans="12:20" x14ac:dyDescent="0.25">
      <c r="L1643" s="1">
        <v>204.100000000009</v>
      </c>
      <c r="M1643" s="1">
        <v>0.48825000000000002</v>
      </c>
      <c r="N1643" s="1">
        <v>0.58661500000001243</v>
      </c>
      <c r="O1643" s="1">
        <v>0.44490000000000007</v>
      </c>
      <c r="P1643" s="33">
        <v>0.40413000000002486</v>
      </c>
      <c r="Q1643" s="1">
        <v>0.53159999999999996</v>
      </c>
      <c r="R1643" s="1">
        <v>0.76910000000000001</v>
      </c>
      <c r="S1643" s="1">
        <v>0.48825000000000002</v>
      </c>
      <c r="T1643" s="1">
        <v>0.58661500000001243</v>
      </c>
    </row>
    <row r="1644" spans="12:20" x14ac:dyDescent="0.25">
      <c r="L1644" s="1">
        <v>204.200000000009</v>
      </c>
      <c r="M1644" s="1">
        <v>0.48820000000000002</v>
      </c>
      <c r="N1644" s="1">
        <v>0.58648500000001247</v>
      </c>
      <c r="O1644" s="1">
        <v>0.44480000000000008</v>
      </c>
      <c r="P1644" s="33">
        <v>0.40387000000002493</v>
      </c>
      <c r="Q1644" s="1">
        <v>0.53159999999999996</v>
      </c>
      <c r="R1644" s="1">
        <v>0.76910000000000001</v>
      </c>
      <c r="S1644" s="1">
        <v>0.48820000000000002</v>
      </c>
      <c r="T1644" s="1">
        <v>0.58648500000001247</v>
      </c>
    </row>
    <row r="1645" spans="12:20" x14ac:dyDescent="0.25">
      <c r="L1645" s="1">
        <v>204.30000000000899</v>
      </c>
      <c r="M1645" s="1">
        <v>0.48814999999999997</v>
      </c>
      <c r="N1645" s="1">
        <v>0.58635500000001251</v>
      </c>
      <c r="O1645" s="1">
        <v>0.44469999999999998</v>
      </c>
      <c r="P1645" s="33">
        <v>0.403610000000025</v>
      </c>
      <c r="Q1645" s="1">
        <v>0.53159999999999996</v>
      </c>
      <c r="R1645" s="1">
        <v>0.76910000000000001</v>
      </c>
      <c r="S1645" s="1">
        <v>0.48814999999999997</v>
      </c>
      <c r="T1645" s="1">
        <v>0.58635500000001251</v>
      </c>
    </row>
    <row r="1646" spans="12:20" x14ac:dyDescent="0.25">
      <c r="L1646" s="1">
        <v>204.40000000000899</v>
      </c>
      <c r="M1646" s="1">
        <v>0.48809999999999998</v>
      </c>
      <c r="N1646" s="1">
        <v>0.58622500000001254</v>
      </c>
      <c r="O1646" s="1">
        <v>0.4446</v>
      </c>
      <c r="P1646" s="33">
        <v>0.40335000000002508</v>
      </c>
      <c r="Q1646" s="1">
        <v>0.53159999999999996</v>
      </c>
      <c r="R1646" s="1">
        <v>0.76910000000000001</v>
      </c>
      <c r="S1646" s="1">
        <v>0.48809999999999998</v>
      </c>
      <c r="T1646" s="1">
        <v>0.58622500000001254</v>
      </c>
    </row>
    <row r="1647" spans="12:20" x14ac:dyDescent="0.25">
      <c r="L1647" s="1">
        <v>204.50000000000901</v>
      </c>
      <c r="M1647" s="1">
        <v>0.48804999999999998</v>
      </c>
      <c r="N1647" s="1">
        <v>0.58609500000001258</v>
      </c>
      <c r="O1647" s="1">
        <v>0.44450000000000001</v>
      </c>
      <c r="P1647" s="33">
        <v>0.40309000000002515</v>
      </c>
      <c r="Q1647" s="1">
        <v>0.53159999999999996</v>
      </c>
      <c r="R1647" s="1">
        <v>0.76910000000000001</v>
      </c>
      <c r="S1647" s="1">
        <v>0.48804999999999998</v>
      </c>
      <c r="T1647" s="1">
        <v>0.58609500000001258</v>
      </c>
    </row>
    <row r="1648" spans="12:20" x14ac:dyDescent="0.25">
      <c r="L1648" s="1">
        <v>204.600000000009</v>
      </c>
      <c r="M1648" s="1">
        <v>0.48799999999999999</v>
      </c>
      <c r="N1648" s="1">
        <v>0.58596500000001261</v>
      </c>
      <c r="O1648" s="1">
        <v>0.44440000000000002</v>
      </c>
      <c r="P1648" s="33">
        <v>0.40283000000002522</v>
      </c>
      <c r="Q1648" s="1">
        <v>0.53159999999999996</v>
      </c>
      <c r="R1648" s="1">
        <v>0.76910000000000001</v>
      </c>
      <c r="S1648" s="1">
        <v>0.48799999999999999</v>
      </c>
      <c r="T1648" s="1">
        <v>0.58596500000001261</v>
      </c>
    </row>
    <row r="1649" spans="12:20" x14ac:dyDescent="0.25">
      <c r="L1649" s="1">
        <v>204.700000000009</v>
      </c>
      <c r="M1649" s="1">
        <v>0.48794999999999999</v>
      </c>
      <c r="N1649" s="1">
        <v>0.58583500000001265</v>
      </c>
      <c r="O1649" s="1">
        <v>0.44420000000000004</v>
      </c>
      <c r="P1649" s="33">
        <v>0.4025700000000253</v>
      </c>
      <c r="Q1649" s="1">
        <v>0.53169999999999995</v>
      </c>
      <c r="R1649" s="1">
        <v>0.76910000000000001</v>
      </c>
      <c r="S1649" s="1">
        <v>0.48794999999999999</v>
      </c>
      <c r="T1649" s="1">
        <v>0.58583500000001265</v>
      </c>
    </row>
    <row r="1650" spans="12:20" x14ac:dyDescent="0.25">
      <c r="L1650" s="1">
        <v>204.80000000000899</v>
      </c>
      <c r="M1650" s="1">
        <v>0.4879</v>
      </c>
      <c r="N1650" s="1">
        <v>0.58570500000001269</v>
      </c>
      <c r="O1650" s="1">
        <v>0.44410000000000005</v>
      </c>
      <c r="P1650" s="33">
        <v>0.40231000000002537</v>
      </c>
      <c r="Q1650" s="1">
        <v>0.53169999999999995</v>
      </c>
      <c r="R1650" s="1">
        <v>0.76910000000000001</v>
      </c>
      <c r="S1650" s="1">
        <v>0.4879</v>
      </c>
      <c r="T1650" s="1">
        <v>0.58570500000001269</v>
      </c>
    </row>
    <row r="1651" spans="12:20" x14ac:dyDescent="0.25">
      <c r="L1651" s="1">
        <v>204.90000000000899</v>
      </c>
      <c r="M1651" s="1">
        <v>0.48785000000000001</v>
      </c>
      <c r="N1651" s="1">
        <v>0.58557500000001272</v>
      </c>
      <c r="O1651" s="1">
        <v>0.44400000000000006</v>
      </c>
      <c r="P1651" s="33">
        <v>0.40205000000002544</v>
      </c>
      <c r="Q1651" s="1">
        <v>0.53169999999999995</v>
      </c>
      <c r="R1651" s="1">
        <v>0.76910000000000001</v>
      </c>
      <c r="S1651" s="1">
        <v>0.48785000000000001</v>
      </c>
      <c r="T1651" s="1">
        <v>0.58557500000001272</v>
      </c>
    </row>
    <row r="1652" spans="12:20" x14ac:dyDescent="0.25">
      <c r="L1652" s="1">
        <v>205.00000000000901</v>
      </c>
      <c r="M1652" s="1">
        <v>0.48780499999999999</v>
      </c>
      <c r="N1652" s="1">
        <v>0.58544500000001276</v>
      </c>
      <c r="O1652" s="1">
        <v>0.44391000000000003</v>
      </c>
      <c r="P1652" s="33">
        <v>0.40179000000002552</v>
      </c>
      <c r="Q1652" s="1">
        <v>0.53169999999999995</v>
      </c>
      <c r="R1652" s="1">
        <v>0.76910000000000001</v>
      </c>
      <c r="S1652" s="1">
        <v>0.48780499999999999</v>
      </c>
      <c r="T1652" s="1">
        <v>0.58544500000001276</v>
      </c>
    </row>
    <row r="1653" spans="12:20" x14ac:dyDescent="0.25">
      <c r="L1653" s="1">
        <v>205.100000000009</v>
      </c>
      <c r="M1653" s="1">
        <v>0.487765</v>
      </c>
      <c r="N1653" s="1">
        <v>0.5853150000000128</v>
      </c>
      <c r="O1653" s="1">
        <v>0.44383000000000006</v>
      </c>
      <c r="P1653" s="33">
        <v>0.40153000000002559</v>
      </c>
      <c r="Q1653" s="1">
        <v>0.53169999999999995</v>
      </c>
      <c r="R1653" s="1">
        <v>0.76910000000000001</v>
      </c>
      <c r="S1653" s="1">
        <v>0.487765</v>
      </c>
      <c r="T1653" s="1">
        <v>0.5853150000000128</v>
      </c>
    </row>
    <row r="1654" spans="12:20" x14ac:dyDescent="0.25">
      <c r="L1654" s="1">
        <v>205.200000000009</v>
      </c>
      <c r="M1654" s="1">
        <v>0.48772500000000002</v>
      </c>
      <c r="N1654" s="1">
        <v>0.58518500000001283</v>
      </c>
      <c r="O1654" s="1">
        <v>0.44374999999999998</v>
      </c>
      <c r="P1654" s="33">
        <v>0.40127000000002566</v>
      </c>
      <c r="Q1654" s="1">
        <v>0.53169999999999995</v>
      </c>
      <c r="R1654" s="1">
        <v>0.76910000000000001</v>
      </c>
      <c r="S1654" s="1">
        <v>0.48772500000000002</v>
      </c>
      <c r="T1654" s="1">
        <v>0.58518500000001283</v>
      </c>
    </row>
    <row r="1655" spans="12:20" x14ac:dyDescent="0.25">
      <c r="L1655" s="1">
        <v>205.30000000000899</v>
      </c>
      <c r="M1655" s="1">
        <v>0.48768499999999998</v>
      </c>
      <c r="N1655" s="1">
        <v>0.58505500000001287</v>
      </c>
      <c r="O1655" s="1">
        <v>0.44367000000000001</v>
      </c>
      <c r="P1655" s="33">
        <v>0.40101000000002573</v>
      </c>
      <c r="Q1655" s="1">
        <v>0.53169999999999995</v>
      </c>
      <c r="R1655" s="1">
        <v>0.76910000000000001</v>
      </c>
      <c r="S1655" s="1">
        <v>0.48768499999999998</v>
      </c>
      <c r="T1655" s="1">
        <v>0.58505500000001287</v>
      </c>
    </row>
    <row r="1656" spans="12:20" x14ac:dyDescent="0.25">
      <c r="L1656" s="1">
        <v>205.40000000000899</v>
      </c>
      <c r="M1656" s="1">
        <v>0.487645</v>
      </c>
      <c r="N1656" s="1">
        <v>0.58492500000001291</v>
      </c>
      <c r="O1656" s="1">
        <v>0.44348999999999994</v>
      </c>
      <c r="P1656" s="33">
        <v>0.40075000000002581</v>
      </c>
      <c r="Q1656" s="1">
        <v>0.53180000000000005</v>
      </c>
      <c r="R1656" s="1">
        <v>0.76910000000000001</v>
      </c>
      <c r="S1656" s="1">
        <v>0.487645</v>
      </c>
      <c r="T1656" s="1">
        <v>0.58492500000001291</v>
      </c>
    </row>
    <row r="1657" spans="12:20" x14ac:dyDescent="0.25">
      <c r="L1657" s="1">
        <v>205.50000000000901</v>
      </c>
      <c r="M1657" s="1">
        <v>0.48760500000000001</v>
      </c>
      <c r="N1657" s="1">
        <v>0.58479500000001294</v>
      </c>
      <c r="O1657" s="1">
        <v>0.44340999999999997</v>
      </c>
      <c r="P1657" s="33">
        <v>0.40049000000002588</v>
      </c>
      <c r="Q1657" s="1">
        <v>0.53180000000000005</v>
      </c>
      <c r="R1657" s="1">
        <v>0.76910000000000001</v>
      </c>
      <c r="S1657" s="1">
        <v>0.48760500000000001</v>
      </c>
      <c r="T1657" s="1">
        <v>0.58479500000001294</v>
      </c>
    </row>
    <row r="1658" spans="12:20" x14ac:dyDescent="0.25">
      <c r="L1658" s="1">
        <v>205.600000000009</v>
      </c>
      <c r="M1658" s="1">
        <v>0.48756500000000003</v>
      </c>
      <c r="N1658" s="1">
        <v>0.58466500000001298</v>
      </c>
      <c r="O1658" s="1">
        <v>0.44333</v>
      </c>
      <c r="P1658" s="33">
        <v>0.40023000000002595</v>
      </c>
      <c r="Q1658" s="1">
        <v>0.53180000000000005</v>
      </c>
      <c r="R1658" s="1">
        <v>0.76910000000000001</v>
      </c>
      <c r="S1658" s="1">
        <v>0.48756500000000003</v>
      </c>
      <c r="T1658" s="1">
        <v>0.58466500000001298</v>
      </c>
    </row>
    <row r="1659" spans="12:20" x14ac:dyDescent="0.25">
      <c r="L1659" s="1">
        <v>205.700000000009</v>
      </c>
      <c r="M1659" s="1">
        <v>0.48752499999999999</v>
      </c>
      <c r="N1659" s="1">
        <v>0.58453500000001302</v>
      </c>
      <c r="O1659" s="1">
        <v>0.44324999999999992</v>
      </c>
      <c r="P1659" s="33">
        <v>0.39997000000002603</v>
      </c>
      <c r="Q1659" s="1">
        <v>0.53180000000000005</v>
      </c>
      <c r="R1659" s="1">
        <v>0.76910000000000001</v>
      </c>
      <c r="S1659" s="1">
        <v>0.48752499999999999</v>
      </c>
      <c r="T1659" s="1">
        <v>0.58453500000001302</v>
      </c>
    </row>
    <row r="1660" spans="12:20" x14ac:dyDescent="0.25">
      <c r="L1660" s="1">
        <v>205.80000000000899</v>
      </c>
      <c r="M1660" s="1">
        <v>0.487485</v>
      </c>
      <c r="N1660" s="1">
        <v>0.58440500000001305</v>
      </c>
      <c r="O1660" s="1">
        <v>0.44316999999999995</v>
      </c>
      <c r="P1660" s="33">
        <v>0.3997100000000261</v>
      </c>
      <c r="Q1660" s="1">
        <v>0.53180000000000005</v>
      </c>
      <c r="R1660" s="1">
        <v>0.76910000000000001</v>
      </c>
      <c r="S1660" s="1">
        <v>0.487485</v>
      </c>
      <c r="T1660" s="1">
        <v>0.58440500000001305</v>
      </c>
    </row>
    <row r="1661" spans="12:20" x14ac:dyDescent="0.25">
      <c r="L1661" s="1">
        <v>205.90000000000899</v>
      </c>
      <c r="M1661" s="1">
        <v>0.48744500000000002</v>
      </c>
      <c r="N1661" s="1">
        <v>0.58427500000001309</v>
      </c>
      <c r="O1661" s="1">
        <v>0.44308999999999998</v>
      </c>
      <c r="P1661" s="33">
        <v>0.39945000000002617</v>
      </c>
      <c r="Q1661" s="1">
        <v>0.53180000000000005</v>
      </c>
      <c r="R1661" s="1">
        <v>0.76910000000000001</v>
      </c>
      <c r="S1661" s="1">
        <v>0.48744500000000002</v>
      </c>
      <c r="T1661" s="1">
        <v>0.58427500000001309</v>
      </c>
    </row>
    <row r="1662" spans="12:20" x14ac:dyDescent="0.25">
      <c r="L1662" s="1">
        <v>206.00000000000901</v>
      </c>
      <c r="M1662" s="1">
        <v>0.48740499999999998</v>
      </c>
      <c r="N1662" s="1">
        <v>0.58414500000001313</v>
      </c>
      <c r="O1662" s="1">
        <v>0.4430099999999999</v>
      </c>
      <c r="P1662" s="33">
        <v>0.39919000000002625</v>
      </c>
      <c r="Q1662" s="1">
        <v>0.53180000000000005</v>
      </c>
      <c r="R1662" s="1">
        <v>0.76910000000000001</v>
      </c>
      <c r="S1662" s="1">
        <v>0.48740499999999998</v>
      </c>
      <c r="T1662" s="1">
        <v>0.58414500000001313</v>
      </c>
    </row>
    <row r="1663" spans="12:20" x14ac:dyDescent="0.25">
      <c r="L1663" s="1">
        <v>206.100000000009</v>
      </c>
      <c r="M1663" s="1">
        <v>0.48736499999999999</v>
      </c>
      <c r="N1663" s="1">
        <v>0.58401500000001316</v>
      </c>
      <c r="O1663" s="1">
        <v>0.44292999999999993</v>
      </c>
      <c r="P1663" s="33">
        <v>0.39893000000002632</v>
      </c>
      <c r="Q1663" s="1">
        <v>0.53180000000000005</v>
      </c>
      <c r="R1663" s="1">
        <v>0.76910000000000001</v>
      </c>
      <c r="S1663" s="1">
        <v>0.48736499999999999</v>
      </c>
      <c r="T1663" s="1">
        <v>0.58401500000001316</v>
      </c>
    </row>
    <row r="1664" spans="12:20" x14ac:dyDescent="0.25">
      <c r="L1664" s="1">
        <v>206.200000000009</v>
      </c>
      <c r="M1664" s="1">
        <v>0.48732500000000001</v>
      </c>
      <c r="N1664" s="1">
        <v>0.5838850000000132</v>
      </c>
      <c r="O1664" s="1">
        <v>0.44284999999999997</v>
      </c>
      <c r="P1664" s="33">
        <v>0.39867000000002639</v>
      </c>
      <c r="Q1664" s="1">
        <v>0.53180000000000005</v>
      </c>
      <c r="R1664" s="1">
        <v>0.76910000000000001</v>
      </c>
      <c r="S1664" s="1">
        <v>0.48732500000000001</v>
      </c>
      <c r="T1664" s="1">
        <v>0.5838850000000132</v>
      </c>
    </row>
    <row r="1665" spans="12:20" x14ac:dyDescent="0.25">
      <c r="L1665" s="1">
        <v>206.30000000000899</v>
      </c>
      <c r="M1665" s="1">
        <v>0.48728500000000002</v>
      </c>
      <c r="N1665" s="1">
        <v>0.58375500000001324</v>
      </c>
      <c r="O1665" s="1">
        <v>0.44277</v>
      </c>
      <c r="P1665" s="33">
        <v>0.39841000000002647</v>
      </c>
      <c r="Q1665" s="1">
        <v>0.53180000000000005</v>
      </c>
      <c r="R1665" s="1">
        <v>0.76910000000000001</v>
      </c>
      <c r="S1665" s="1">
        <v>0.48728500000000002</v>
      </c>
      <c r="T1665" s="1">
        <v>0.58375500000001324</v>
      </c>
    </row>
    <row r="1666" spans="12:20" x14ac:dyDescent="0.25">
      <c r="L1666" s="1">
        <v>206.40000000000899</v>
      </c>
      <c r="M1666" s="1">
        <v>0.48724499999999998</v>
      </c>
      <c r="N1666" s="1">
        <v>0.58362500000001327</v>
      </c>
      <c r="O1666" s="1">
        <v>0.44268999999999992</v>
      </c>
      <c r="P1666" s="33">
        <v>0.39815000000002654</v>
      </c>
      <c r="Q1666" s="1">
        <v>0.53180000000000005</v>
      </c>
      <c r="R1666" s="1">
        <v>0.76910000000000001</v>
      </c>
      <c r="S1666" s="1">
        <v>0.48724499999999998</v>
      </c>
      <c r="T1666" s="1">
        <v>0.58362500000001327</v>
      </c>
    </row>
    <row r="1667" spans="12:20" x14ac:dyDescent="0.25">
      <c r="L1667" s="1">
        <v>206.50000000000901</v>
      </c>
      <c r="M1667" s="1">
        <v>0.487205</v>
      </c>
      <c r="N1667" s="1">
        <v>0.58349500000001331</v>
      </c>
      <c r="O1667" s="1">
        <v>0.44260999999999995</v>
      </c>
      <c r="P1667" s="33">
        <v>0.39789000000002661</v>
      </c>
      <c r="Q1667" s="1">
        <v>0.53180000000000005</v>
      </c>
      <c r="R1667" s="1">
        <v>0.76910000000000001</v>
      </c>
      <c r="S1667" s="1">
        <v>0.487205</v>
      </c>
      <c r="T1667" s="1">
        <v>0.58349500000001331</v>
      </c>
    </row>
    <row r="1668" spans="12:20" x14ac:dyDescent="0.25">
      <c r="L1668" s="1">
        <v>206.600000000009</v>
      </c>
      <c r="M1668" s="1">
        <v>0.48716500000000001</v>
      </c>
      <c r="N1668" s="1">
        <v>0.58336500000001335</v>
      </c>
      <c r="O1668" s="1">
        <v>0.44252999999999998</v>
      </c>
      <c r="P1668" s="33">
        <v>0.39763000000002668</v>
      </c>
      <c r="Q1668" s="1">
        <v>0.53180000000000005</v>
      </c>
      <c r="R1668" s="1">
        <v>0.76910000000000001</v>
      </c>
      <c r="S1668" s="1">
        <v>0.48716500000000001</v>
      </c>
      <c r="T1668" s="1">
        <v>0.58336500000001335</v>
      </c>
    </row>
    <row r="1669" spans="12:20" x14ac:dyDescent="0.25">
      <c r="L1669" s="1">
        <v>206.700000000009</v>
      </c>
      <c r="M1669" s="1">
        <v>0.48712499999999997</v>
      </c>
      <c r="N1669" s="1">
        <v>0.58323500000001338</v>
      </c>
      <c r="O1669" s="1">
        <v>0.4424499999999999</v>
      </c>
      <c r="P1669" s="33">
        <v>0.39737000000002676</v>
      </c>
      <c r="Q1669" s="1">
        <v>0.53180000000000005</v>
      </c>
      <c r="R1669" s="1">
        <v>0.76910000000000001</v>
      </c>
      <c r="S1669" s="1">
        <v>0.48712499999999997</v>
      </c>
      <c r="T1669" s="1">
        <v>0.58323500000001338</v>
      </c>
    </row>
    <row r="1670" spans="12:20" x14ac:dyDescent="0.25">
      <c r="L1670" s="1">
        <v>206.80000000000899</v>
      </c>
      <c r="M1670" s="1">
        <v>0.48708499999999999</v>
      </c>
      <c r="N1670" s="1">
        <v>0.58310500000001342</v>
      </c>
      <c r="O1670" s="1">
        <v>0.44236999999999993</v>
      </c>
      <c r="P1670" s="33">
        <v>0.39711000000002683</v>
      </c>
      <c r="Q1670" s="1">
        <v>0.53180000000000005</v>
      </c>
      <c r="R1670" s="1">
        <v>0.76910000000000001</v>
      </c>
      <c r="S1670" s="1">
        <v>0.48708499999999999</v>
      </c>
      <c r="T1670" s="1">
        <v>0.58310500000001342</v>
      </c>
    </row>
    <row r="1671" spans="12:20" x14ac:dyDescent="0.25">
      <c r="L1671" s="1">
        <v>206.90000000000899</v>
      </c>
      <c r="M1671" s="1">
        <v>0.48704500000000001</v>
      </c>
      <c r="N1671" s="1">
        <v>0.58297500000001345</v>
      </c>
      <c r="O1671" s="1">
        <v>0.44228999999999996</v>
      </c>
      <c r="P1671" s="33">
        <v>0.3968500000000269</v>
      </c>
      <c r="Q1671" s="1">
        <v>0.53180000000000005</v>
      </c>
      <c r="R1671" s="1">
        <v>0.76910000000000001</v>
      </c>
      <c r="S1671" s="1">
        <v>0.48704500000000001</v>
      </c>
      <c r="T1671" s="1">
        <v>0.58297500000001345</v>
      </c>
    </row>
    <row r="1672" spans="12:20" x14ac:dyDescent="0.25">
      <c r="L1672" s="1">
        <v>207.00000000000901</v>
      </c>
      <c r="M1672" s="1">
        <v>0.48700500000000002</v>
      </c>
      <c r="N1672" s="1">
        <v>0.58284500000001349</v>
      </c>
      <c r="O1672" s="1">
        <v>0.44220999999999999</v>
      </c>
      <c r="P1672" s="33">
        <v>0.39659000000002698</v>
      </c>
      <c r="Q1672" s="1">
        <v>0.53180000000000005</v>
      </c>
      <c r="R1672" s="1">
        <v>0.76910000000000001</v>
      </c>
      <c r="S1672" s="1">
        <v>0.48700500000000002</v>
      </c>
      <c r="T1672" s="1">
        <v>0.58284500000001349</v>
      </c>
    </row>
    <row r="1673" spans="12:20" x14ac:dyDescent="0.25">
      <c r="L1673" s="1">
        <v>207.100000000009</v>
      </c>
      <c r="M1673" s="1">
        <v>0.48696499999999998</v>
      </c>
      <c r="N1673" s="1">
        <v>0.58271500000001353</v>
      </c>
      <c r="O1673" s="1">
        <v>0.44212999999999991</v>
      </c>
      <c r="P1673" s="33">
        <v>0.39633000000002705</v>
      </c>
      <c r="Q1673" s="1">
        <v>0.53180000000000005</v>
      </c>
      <c r="R1673" s="1">
        <v>0.76910000000000001</v>
      </c>
      <c r="S1673" s="1">
        <v>0.48696499999999998</v>
      </c>
      <c r="T1673" s="1">
        <v>0.58271500000001353</v>
      </c>
    </row>
    <row r="1674" spans="12:20" x14ac:dyDescent="0.25">
      <c r="L1674" s="1">
        <v>207.200000000009</v>
      </c>
      <c r="M1674" s="1">
        <v>0.486925</v>
      </c>
      <c r="N1674" s="1">
        <v>0.58258500000001356</v>
      </c>
      <c r="O1674" s="1">
        <v>0.44204999999999994</v>
      </c>
      <c r="P1674" s="33">
        <v>0.39607000000002712</v>
      </c>
      <c r="Q1674" s="1">
        <v>0.53180000000000005</v>
      </c>
      <c r="R1674" s="1">
        <v>0.76910000000000001</v>
      </c>
      <c r="S1674" s="1">
        <v>0.486925</v>
      </c>
      <c r="T1674" s="1">
        <v>0.58258500000001356</v>
      </c>
    </row>
    <row r="1675" spans="12:20" x14ac:dyDescent="0.25">
      <c r="L1675" s="1">
        <v>207.30000000000999</v>
      </c>
      <c r="M1675" s="1">
        <v>0.48688500000000001</v>
      </c>
      <c r="N1675" s="1">
        <v>0.5824550000000136</v>
      </c>
      <c r="O1675" s="1">
        <v>0.44196999999999997</v>
      </c>
      <c r="P1675" s="33">
        <v>0.3958100000000272</v>
      </c>
      <c r="Q1675" s="1">
        <v>0.53180000000000005</v>
      </c>
      <c r="R1675" s="1">
        <v>0.76910000000000001</v>
      </c>
      <c r="S1675" s="1">
        <v>0.48688500000000001</v>
      </c>
      <c r="T1675" s="1">
        <v>0.5824550000000136</v>
      </c>
    </row>
    <row r="1676" spans="12:20" x14ac:dyDescent="0.25">
      <c r="L1676" s="1">
        <v>207.40000000000899</v>
      </c>
      <c r="M1676" s="1">
        <v>0.48684500000000003</v>
      </c>
      <c r="N1676" s="1">
        <v>0.58232500000001364</v>
      </c>
      <c r="O1676" s="1">
        <v>0.44189000000000001</v>
      </c>
      <c r="P1676" s="33">
        <v>0.39555000000002727</v>
      </c>
      <c r="Q1676" s="1">
        <v>0.53180000000000005</v>
      </c>
      <c r="R1676" s="1">
        <v>0.76910000000000001</v>
      </c>
      <c r="S1676" s="1">
        <v>0.48684500000000003</v>
      </c>
      <c r="T1676" s="1">
        <v>0.58232500000001364</v>
      </c>
    </row>
    <row r="1677" spans="12:20" x14ac:dyDescent="0.25">
      <c r="L1677" s="1">
        <v>207.50000000000901</v>
      </c>
      <c r="M1677" s="1">
        <v>0.48680499999999999</v>
      </c>
      <c r="N1677" s="1">
        <v>0.58219500000001367</v>
      </c>
      <c r="O1677" s="1">
        <v>0.44180999999999993</v>
      </c>
      <c r="P1677" s="33">
        <v>0.39529000000002734</v>
      </c>
      <c r="Q1677" s="1">
        <v>0.53180000000000005</v>
      </c>
      <c r="R1677" s="1">
        <v>0.76910000000000001</v>
      </c>
      <c r="S1677" s="1">
        <v>0.48680499999999999</v>
      </c>
      <c r="T1677" s="1">
        <v>0.58219500000001367</v>
      </c>
    </row>
    <row r="1678" spans="12:20" x14ac:dyDescent="0.25">
      <c r="L1678" s="1">
        <v>207.600000000009</v>
      </c>
      <c r="M1678" s="1">
        <v>0.486765</v>
      </c>
      <c r="N1678" s="1">
        <v>0.58206500000001371</v>
      </c>
      <c r="O1678" s="1">
        <v>0.44172999999999996</v>
      </c>
      <c r="P1678" s="33">
        <v>0.39503000000002741</v>
      </c>
      <c r="Q1678" s="1">
        <v>0.53180000000000005</v>
      </c>
      <c r="R1678" s="1">
        <v>0.76910000000000001</v>
      </c>
      <c r="S1678" s="1">
        <v>0.486765</v>
      </c>
      <c r="T1678" s="1">
        <v>0.58206500000001371</v>
      </c>
    </row>
    <row r="1679" spans="12:20" x14ac:dyDescent="0.25">
      <c r="L1679" s="1">
        <v>207.700000000009</v>
      </c>
      <c r="M1679" s="1">
        <v>0.48672500000000002</v>
      </c>
      <c r="N1679" s="1">
        <v>0.58193500000001375</v>
      </c>
      <c r="O1679" s="1">
        <v>0.44164999999999999</v>
      </c>
      <c r="P1679" s="33">
        <v>0.39477000000002749</v>
      </c>
      <c r="Q1679" s="1">
        <v>0.53180000000000005</v>
      </c>
      <c r="R1679" s="1">
        <v>0.76910000000000001</v>
      </c>
      <c r="S1679" s="1">
        <v>0.48672500000000002</v>
      </c>
      <c r="T1679" s="1">
        <v>0.58193500000001375</v>
      </c>
    </row>
    <row r="1680" spans="12:20" x14ac:dyDescent="0.25">
      <c r="L1680" s="1">
        <v>207.80000000000999</v>
      </c>
      <c r="M1680" s="1">
        <v>0.48668499999999998</v>
      </c>
      <c r="N1680" s="1">
        <v>0.58180500000001378</v>
      </c>
      <c r="O1680" s="1">
        <v>0.44156999999999991</v>
      </c>
      <c r="P1680" s="33">
        <v>0.39451000000002756</v>
      </c>
      <c r="Q1680" s="1">
        <v>0.53180000000000005</v>
      </c>
      <c r="R1680" s="1">
        <v>0.76910000000000001</v>
      </c>
      <c r="S1680" s="1">
        <v>0.48668499999999998</v>
      </c>
      <c r="T1680" s="1">
        <v>0.58180500000001378</v>
      </c>
    </row>
    <row r="1681" spans="12:20" x14ac:dyDescent="0.25">
      <c r="L1681" s="1">
        <v>207.90000000001001</v>
      </c>
      <c r="M1681" s="1">
        <v>0.48664499999999999</v>
      </c>
      <c r="N1681" s="1">
        <v>0.58167500000001382</v>
      </c>
      <c r="O1681" s="1">
        <v>0.44148999999999994</v>
      </c>
      <c r="P1681" s="33">
        <v>0.39425000000002763</v>
      </c>
      <c r="Q1681" s="1">
        <v>0.53180000000000005</v>
      </c>
      <c r="R1681" s="1">
        <v>0.76910000000000001</v>
      </c>
      <c r="S1681" s="1">
        <v>0.48664499999999999</v>
      </c>
      <c r="T1681" s="1">
        <v>0.58167500000001382</v>
      </c>
    </row>
    <row r="1682" spans="12:20" x14ac:dyDescent="0.25">
      <c r="L1682" s="1">
        <v>208.00000000001</v>
      </c>
      <c r="M1682" s="1">
        <v>0.48660500000000001</v>
      </c>
      <c r="N1682" s="1">
        <v>0.58154500000001386</v>
      </c>
      <c r="O1682" s="1">
        <v>0.44140999999999997</v>
      </c>
      <c r="P1682" s="33">
        <v>0.39399000000002771</v>
      </c>
      <c r="Q1682" s="1">
        <v>0.53180000000000005</v>
      </c>
      <c r="R1682" s="1">
        <v>0.76910000000000001</v>
      </c>
      <c r="S1682" s="1">
        <v>0.48660500000000001</v>
      </c>
      <c r="T1682" s="1">
        <v>0.58154500000001386</v>
      </c>
    </row>
    <row r="1683" spans="12:20" x14ac:dyDescent="0.25">
      <c r="L1683" s="1">
        <v>208.10000000001</v>
      </c>
      <c r="M1683" s="1">
        <v>0.48656500000000003</v>
      </c>
      <c r="N1683" s="1">
        <v>0.58141500000001389</v>
      </c>
      <c r="O1683" s="1">
        <v>0.44133</v>
      </c>
      <c r="P1683" s="33">
        <v>0.39373000000002778</v>
      </c>
      <c r="Q1683" s="1">
        <v>0.53180000000000005</v>
      </c>
      <c r="R1683" s="1">
        <v>0.76910000000000001</v>
      </c>
      <c r="S1683" s="1">
        <v>0.48656500000000003</v>
      </c>
      <c r="T1683" s="1">
        <v>0.58141500000001389</v>
      </c>
    </row>
    <row r="1684" spans="12:20" x14ac:dyDescent="0.25">
      <c r="L1684" s="1">
        <v>208.20000000000999</v>
      </c>
      <c r="M1684" s="1">
        <v>0.48652499999999999</v>
      </c>
      <c r="N1684" s="1">
        <v>0.58128500000001393</v>
      </c>
      <c r="O1684" s="1">
        <v>0.44124999999999998</v>
      </c>
      <c r="P1684" s="33">
        <v>0.39347000000002785</v>
      </c>
      <c r="Q1684" s="1">
        <v>0.53180000000000005</v>
      </c>
      <c r="R1684" s="1">
        <v>0.76910000000000001</v>
      </c>
      <c r="S1684" s="1">
        <v>0.48652499999999999</v>
      </c>
      <c r="T1684" s="1">
        <v>0.58128500000001393</v>
      </c>
    </row>
    <row r="1685" spans="12:20" x14ac:dyDescent="0.25">
      <c r="L1685" s="1">
        <v>208.30000000000999</v>
      </c>
      <c r="M1685" s="1">
        <v>0.486485</v>
      </c>
      <c r="N1685" s="1">
        <v>0.58115500000001397</v>
      </c>
      <c r="O1685" s="1">
        <v>0.44116999999999995</v>
      </c>
      <c r="P1685" s="33">
        <v>0.39321000000002793</v>
      </c>
      <c r="Q1685" s="1">
        <v>0.53180000000000005</v>
      </c>
      <c r="R1685" s="1">
        <v>0.76910000000000001</v>
      </c>
      <c r="S1685" s="1">
        <v>0.486485</v>
      </c>
      <c r="T1685" s="1">
        <v>0.58115500000001397</v>
      </c>
    </row>
    <row r="1686" spans="12:20" x14ac:dyDescent="0.25">
      <c r="L1686" s="1">
        <v>208.40000000001001</v>
      </c>
      <c r="M1686" s="1">
        <v>0.48644500000000002</v>
      </c>
      <c r="N1686" s="1">
        <v>0.581025000000014</v>
      </c>
      <c r="O1686" s="1">
        <v>0.44108999999999998</v>
      </c>
      <c r="P1686" s="33">
        <v>0.392950000000028</v>
      </c>
      <c r="Q1686" s="1">
        <v>0.53180000000000005</v>
      </c>
      <c r="R1686" s="1">
        <v>0.76910000000000001</v>
      </c>
      <c r="S1686" s="1">
        <v>0.48644500000000002</v>
      </c>
      <c r="T1686" s="1">
        <v>0.581025000000014</v>
      </c>
    </row>
    <row r="1687" spans="12:20" x14ac:dyDescent="0.25">
      <c r="L1687" s="1">
        <v>208.50000000001</v>
      </c>
      <c r="M1687" s="1">
        <v>0.48640499999999998</v>
      </c>
      <c r="N1687" s="1">
        <v>0.58089500000001404</v>
      </c>
      <c r="O1687" s="1">
        <v>0.4410099999999999</v>
      </c>
      <c r="P1687" s="33">
        <v>0.39269000000002807</v>
      </c>
      <c r="Q1687" s="1">
        <v>0.53180000000000005</v>
      </c>
      <c r="R1687" s="1">
        <v>0.76910000000000001</v>
      </c>
      <c r="S1687" s="1">
        <v>0.48640499999999998</v>
      </c>
      <c r="T1687" s="1">
        <v>0.58089500000001404</v>
      </c>
    </row>
    <row r="1688" spans="12:20" x14ac:dyDescent="0.25">
      <c r="L1688" s="1">
        <v>208.60000000001</v>
      </c>
      <c r="M1688" s="1">
        <v>0.48636499999999999</v>
      </c>
      <c r="N1688" s="1">
        <v>0.58076500000001408</v>
      </c>
      <c r="O1688" s="1">
        <v>0.44092999999999993</v>
      </c>
      <c r="P1688" s="33">
        <v>0.39243000000002815</v>
      </c>
      <c r="Q1688" s="1">
        <v>0.53180000000000005</v>
      </c>
      <c r="R1688" s="1">
        <v>0.76910000000000001</v>
      </c>
      <c r="S1688" s="1">
        <v>0.48636499999999999</v>
      </c>
      <c r="T1688" s="1">
        <v>0.58076500000001408</v>
      </c>
    </row>
    <row r="1689" spans="12:20" x14ac:dyDescent="0.25">
      <c r="L1689" s="1">
        <v>208.70000000000999</v>
      </c>
      <c r="M1689" s="1">
        <v>0.48632500000000001</v>
      </c>
      <c r="N1689" s="1">
        <v>0.58063500000001411</v>
      </c>
      <c r="O1689" s="1">
        <v>0.44084999999999996</v>
      </c>
      <c r="P1689" s="33">
        <v>0.39217000000002822</v>
      </c>
      <c r="Q1689" s="1">
        <v>0.53180000000000005</v>
      </c>
      <c r="R1689" s="1">
        <v>0.76910000000000001</v>
      </c>
      <c r="S1689" s="1">
        <v>0.48632500000000001</v>
      </c>
      <c r="T1689" s="1">
        <v>0.58063500000001411</v>
      </c>
    </row>
    <row r="1690" spans="12:20" x14ac:dyDescent="0.25">
      <c r="L1690" s="1">
        <v>208.80000000000999</v>
      </c>
      <c r="M1690" s="1">
        <v>0.48628500000000002</v>
      </c>
      <c r="N1690" s="1">
        <v>0.58050500000001415</v>
      </c>
      <c r="O1690" s="1">
        <v>0.44077</v>
      </c>
      <c r="P1690" s="33">
        <v>0.39191000000002829</v>
      </c>
      <c r="Q1690" s="1">
        <v>0.53180000000000005</v>
      </c>
      <c r="R1690" s="1">
        <v>0.76910000000000001</v>
      </c>
      <c r="S1690" s="1">
        <v>0.48628500000000002</v>
      </c>
      <c r="T1690" s="1">
        <v>0.58050500000001415</v>
      </c>
    </row>
    <row r="1691" spans="12:20" x14ac:dyDescent="0.25">
      <c r="L1691" s="1">
        <v>208.90000000001001</v>
      </c>
      <c r="M1691" s="1">
        <v>0.48624499999999998</v>
      </c>
      <c r="N1691" s="1">
        <v>0.58037500000001419</v>
      </c>
      <c r="O1691" s="1">
        <v>0.44068999999999992</v>
      </c>
      <c r="P1691" s="33">
        <v>0.39165000000002836</v>
      </c>
      <c r="Q1691" s="1">
        <v>0.53180000000000005</v>
      </c>
      <c r="R1691" s="1">
        <v>0.76910000000000001</v>
      </c>
      <c r="S1691" s="1">
        <v>0.48624499999999998</v>
      </c>
      <c r="T1691" s="1">
        <v>0.58037500000001419</v>
      </c>
    </row>
    <row r="1692" spans="12:20" x14ac:dyDescent="0.25">
      <c r="L1692" s="1">
        <v>209.00000000001</v>
      </c>
      <c r="M1692" s="1">
        <v>0.486205</v>
      </c>
      <c r="N1692" s="1">
        <v>0.58024500000001422</v>
      </c>
      <c r="O1692" s="1">
        <v>0.44060999999999995</v>
      </c>
      <c r="P1692" s="33">
        <v>0.39139000000002844</v>
      </c>
      <c r="Q1692" s="1">
        <v>0.53180000000000005</v>
      </c>
      <c r="R1692" s="1">
        <v>0.76910000000000001</v>
      </c>
      <c r="S1692" s="1">
        <v>0.486205</v>
      </c>
      <c r="T1692" s="1">
        <v>0.58024500000001422</v>
      </c>
    </row>
    <row r="1693" spans="12:20" x14ac:dyDescent="0.25">
      <c r="L1693" s="1">
        <v>209.10000000001</v>
      </c>
      <c r="M1693" s="1">
        <v>0.48616500000000001</v>
      </c>
      <c r="N1693" s="1">
        <v>0.58011500000001426</v>
      </c>
      <c r="O1693" s="1">
        <v>0.44052999999999998</v>
      </c>
      <c r="P1693" s="33">
        <v>0.39113000000002851</v>
      </c>
      <c r="Q1693" s="1">
        <v>0.53180000000000005</v>
      </c>
      <c r="R1693" s="1">
        <v>0.76910000000000001</v>
      </c>
      <c r="S1693" s="1">
        <v>0.48616500000000001</v>
      </c>
      <c r="T1693" s="1">
        <v>0.58011500000001426</v>
      </c>
    </row>
    <row r="1694" spans="12:20" x14ac:dyDescent="0.25">
      <c r="L1694" s="1">
        <v>209.20000000000999</v>
      </c>
      <c r="M1694" s="1">
        <v>0.48612499999999997</v>
      </c>
      <c r="N1694" s="1">
        <v>0.57998500000001429</v>
      </c>
      <c r="O1694" s="1">
        <v>0.4404499999999999</v>
      </c>
      <c r="P1694" s="33">
        <v>0.39087000000002858</v>
      </c>
      <c r="Q1694" s="1">
        <v>0.53180000000000005</v>
      </c>
      <c r="R1694" s="1">
        <v>0.76910000000000001</v>
      </c>
      <c r="S1694" s="1">
        <v>0.48612499999999997</v>
      </c>
      <c r="T1694" s="1">
        <v>0.57998500000001429</v>
      </c>
    </row>
    <row r="1695" spans="12:20" x14ac:dyDescent="0.25">
      <c r="L1695" s="1">
        <v>209.30000000000999</v>
      </c>
      <c r="M1695" s="1">
        <v>0.48608499999999999</v>
      </c>
      <c r="N1695" s="1">
        <v>0.57985500000001433</v>
      </c>
      <c r="O1695" s="1">
        <v>0.44036999999999993</v>
      </c>
      <c r="P1695" s="33">
        <v>0.39061000000002866</v>
      </c>
      <c r="Q1695" s="1">
        <v>0.53180000000000005</v>
      </c>
      <c r="R1695" s="1">
        <v>0.76910000000000001</v>
      </c>
      <c r="S1695" s="1">
        <v>0.48608499999999999</v>
      </c>
      <c r="T1695" s="1">
        <v>0.57985500000001433</v>
      </c>
    </row>
    <row r="1696" spans="12:20" x14ac:dyDescent="0.25">
      <c r="L1696" s="1">
        <v>209.40000000001001</v>
      </c>
      <c r="M1696" s="1">
        <v>0.486045</v>
      </c>
      <c r="N1696" s="1">
        <v>0.57972500000001437</v>
      </c>
      <c r="O1696" s="1">
        <v>0.44028999999999996</v>
      </c>
      <c r="P1696" s="33">
        <v>0.39035000000002873</v>
      </c>
      <c r="Q1696" s="1">
        <v>0.53180000000000005</v>
      </c>
      <c r="R1696" s="1">
        <v>0.76910000000000001</v>
      </c>
      <c r="S1696" s="1">
        <v>0.486045</v>
      </c>
      <c r="T1696" s="1">
        <v>0.57972500000001437</v>
      </c>
    </row>
    <row r="1697" spans="12:20" x14ac:dyDescent="0.25">
      <c r="L1697" s="1">
        <v>209.50000000001</v>
      </c>
      <c r="M1697" s="1">
        <v>0.48600500000000002</v>
      </c>
      <c r="N1697" s="1">
        <v>0.5795950000000144</v>
      </c>
      <c r="O1697" s="1">
        <v>0.44020999999999999</v>
      </c>
      <c r="P1697" s="33">
        <v>0.3900900000000288</v>
      </c>
      <c r="Q1697" s="1">
        <v>0.53180000000000005</v>
      </c>
      <c r="R1697" s="1">
        <v>0.76910000000000001</v>
      </c>
      <c r="S1697" s="1">
        <v>0.48600500000000002</v>
      </c>
      <c r="T1697" s="1">
        <v>0.5795950000000144</v>
      </c>
    </row>
    <row r="1698" spans="12:20" x14ac:dyDescent="0.25">
      <c r="L1698" s="1">
        <v>209.60000000001</v>
      </c>
      <c r="M1698" s="1">
        <v>0.48596499999999998</v>
      </c>
      <c r="N1698" s="1">
        <v>0.57946500000001444</v>
      </c>
      <c r="O1698" s="1">
        <v>0.44012999999999991</v>
      </c>
      <c r="P1698" s="33">
        <v>0.38983000000002888</v>
      </c>
      <c r="Q1698" s="1">
        <v>0.53180000000000005</v>
      </c>
      <c r="R1698" s="1">
        <v>0.76910000000000001</v>
      </c>
      <c r="S1698" s="1">
        <v>0.48596499999999998</v>
      </c>
      <c r="T1698" s="1">
        <v>0.57946500000001444</v>
      </c>
    </row>
    <row r="1699" spans="12:20" x14ac:dyDescent="0.25">
      <c r="L1699" s="1">
        <v>209.70000000000999</v>
      </c>
      <c r="M1699" s="1">
        <v>0.485925</v>
      </c>
      <c r="N1699" s="1">
        <v>0.57933500000001448</v>
      </c>
      <c r="O1699" s="1">
        <v>0.44004999999999994</v>
      </c>
      <c r="P1699" s="33">
        <v>0.38957000000002895</v>
      </c>
      <c r="Q1699" s="1">
        <v>0.53180000000000005</v>
      </c>
      <c r="R1699" s="1">
        <v>0.76910000000000001</v>
      </c>
      <c r="S1699" s="1">
        <v>0.485925</v>
      </c>
      <c r="T1699" s="1">
        <v>0.57933500000001448</v>
      </c>
    </row>
    <row r="1700" spans="12:20" x14ac:dyDescent="0.25">
      <c r="L1700" s="1">
        <v>209.80000000000999</v>
      </c>
      <c r="M1700" s="1">
        <v>0.48588500000000001</v>
      </c>
      <c r="N1700" s="1">
        <v>0.57920500000001451</v>
      </c>
      <c r="O1700" s="1">
        <v>0.43996999999999997</v>
      </c>
      <c r="P1700" s="33">
        <v>0.38931000000002902</v>
      </c>
      <c r="Q1700" s="1">
        <v>0.53180000000000005</v>
      </c>
      <c r="R1700" s="1">
        <v>0.76910000000000001</v>
      </c>
      <c r="S1700" s="1">
        <v>0.48588500000000001</v>
      </c>
      <c r="T1700" s="1">
        <v>0.57920500000001451</v>
      </c>
    </row>
    <row r="1701" spans="12:20" x14ac:dyDescent="0.25">
      <c r="L1701" s="1">
        <v>209.90000000001001</v>
      </c>
      <c r="M1701" s="1">
        <v>0.48584500000000003</v>
      </c>
      <c r="N1701" s="1">
        <v>0.57907500000001455</v>
      </c>
      <c r="O1701" s="1">
        <v>0.43989</v>
      </c>
      <c r="P1701" s="33">
        <v>0.38905000000002909</v>
      </c>
      <c r="Q1701" s="1">
        <v>0.53180000000000005</v>
      </c>
      <c r="R1701" s="1">
        <v>0.76910000000000001</v>
      </c>
      <c r="S1701" s="1">
        <v>0.48584500000000003</v>
      </c>
      <c r="T1701" s="1">
        <v>0.57907500000001455</v>
      </c>
    </row>
    <row r="1702" spans="12:20" x14ac:dyDescent="0.25">
      <c r="L1702" s="1">
        <v>210.00000000001</v>
      </c>
      <c r="M1702" s="1">
        <v>0.48580499999999999</v>
      </c>
      <c r="N1702" s="1">
        <v>0.57894500000001459</v>
      </c>
      <c r="O1702" s="1">
        <v>0.43980999999999992</v>
      </c>
      <c r="P1702" s="33">
        <v>0.38879000000002917</v>
      </c>
      <c r="Q1702" s="1">
        <v>0.53180000000000005</v>
      </c>
      <c r="R1702" s="1">
        <v>0.76910000000000001</v>
      </c>
      <c r="S1702" s="1">
        <v>0.48580499999999999</v>
      </c>
      <c r="T1702" s="1">
        <v>0.57894500000001459</v>
      </c>
    </row>
    <row r="1703" spans="12:20" x14ac:dyDescent="0.25">
      <c r="L1703" s="1">
        <v>210.10000000001</v>
      </c>
      <c r="M1703" s="1">
        <v>0.485765</v>
      </c>
      <c r="N1703" s="1">
        <v>0.57881500000001462</v>
      </c>
      <c r="O1703" s="1">
        <v>0.43972999999999995</v>
      </c>
      <c r="P1703" s="33">
        <v>0.38853000000002924</v>
      </c>
      <c r="Q1703" s="1">
        <v>0.53180000000000005</v>
      </c>
      <c r="R1703" s="1">
        <v>0.76910000000000001</v>
      </c>
      <c r="S1703" s="1">
        <v>0.485765</v>
      </c>
      <c r="T1703" s="1">
        <v>0.57881500000001462</v>
      </c>
    </row>
    <row r="1704" spans="12:20" x14ac:dyDescent="0.25">
      <c r="L1704" s="1">
        <v>210.20000000000999</v>
      </c>
      <c r="M1704" s="1">
        <v>0.48572500000000002</v>
      </c>
      <c r="N1704" s="1">
        <v>0.57868500000001466</v>
      </c>
      <c r="O1704" s="1">
        <v>0.43964999999999999</v>
      </c>
      <c r="P1704" s="33">
        <v>0.38827000000002931</v>
      </c>
      <c r="Q1704" s="1">
        <v>0.53180000000000005</v>
      </c>
      <c r="R1704" s="1">
        <v>0.76910000000000001</v>
      </c>
      <c r="S1704" s="1">
        <v>0.48572500000000002</v>
      </c>
      <c r="T1704" s="1">
        <v>0.57868500000001466</v>
      </c>
    </row>
    <row r="1705" spans="12:20" x14ac:dyDescent="0.25">
      <c r="L1705" s="1">
        <v>210.30000000000999</v>
      </c>
      <c r="M1705" s="1">
        <v>0.48568499999999998</v>
      </c>
      <c r="N1705" s="1">
        <v>0.5785550000000147</v>
      </c>
      <c r="O1705" s="1">
        <v>0.43956999999999991</v>
      </c>
      <c r="P1705" s="33">
        <v>0.38801000000002939</v>
      </c>
      <c r="Q1705" s="1">
        <v>0.53180000000000005</v>
      </c>
      <c r="R1705" s="1">
        <v>0.76910000000000001</v>
      </c>
      <c r="S1705" s="1">
        <v>0.48568499999999998</v>
      </c>
      <c r="T1705" s="1">
        <v>0.5785550000000147</v>
      </c>
    </row>
    <row r="1706" spans="12:20" x14ac:dyDescent="0.25">
      <c r="L1706" s="1">
        <v>210.40000000001001</v>
      </c>
      <c r="M1706" s="1">
        <v>0.48564499999999999</v>
      </c>
      <c r="N1706" s="1">
        <v>0.57842500000001473</v>
      </c>
      <c r="O1706" s="1">
        <v>0.43948999999999994</v>
      </c>
      <c r="P1706" s="33">
        <v>0.38775000000002946</v>
      </c>
      <c r="Q1706" s="1">
        <v>0.53180000000000005</v>
      </c>
      <c r="R1706" s="1">
        <v>0.76910000000000001</v>
      </c>
      <c r="S1706" s="1">
        <v>0.48564499999999999</v>
      </c>
      <c r="T1706" s="1">
        <v>0.57842500000001473</v>
      </c>
    </row>
    <row r="1707" spans="12:20" x14ac:dyDescent="0.25">
      <c r="L1707" s="1">
        <v>210.50000000001</v>
      </c>
      <c r="M1707" s="1">
        <v>0.48560500000000001</v>
      </c>
      <c r="N1707" s="1">
        <v>0.57829500000001477</v>
      </c>
      <c r="O1707" s="1">
        <v>0.43940999999999997</v>
      </c>
      <c r="P1707" s="33">
        <v>0.38749000000002953</v>
      </c>
      <c r="Q1707" s="1">
        <v>0.53180000000000005</v>
      </c>
      <c r="R1707" s="1">
        <v>0.76910000000000001</v>
      </c>
      <c r="S1707" s="1">
        <v>0.48560500000000001</v>
      </c>
      <c r="T1707" s="1">
        <v>0.57829500000001477</v>
      </c>
    </row>
    <row r="1708" spans="12:20" x14ac:dyDescent="0.25">
      <c r="L1708" s="1">
        <v>210.60000000001</v>
      </c>
      <c r="M1708" s="1">
        <v>0.48556500000000002</v>
      </c>
      <c r="N1708" s="1">
        <v>0.57816500000001481</v>
      </c>
      <c r="O1708" s="1">
        <v>0.43933</v>
      </c>
      <c r="P1708" s="33">
        <v>0.38723000000002961</v>
      </c>
      <c r="Q1708" s="1">
        <v>0.53180000000000005</v>
      </c>
      <c r="R1708" s="1">
        <v>0.76910000000000001</v>
      </c>
      <c r="S1708" s="1">
        <v>0.48556500000000002</v>
      </c>
      <c r="T1708" s="1">
        <v>0.57816500000001481</v>
      </c>
    </row>
    <row r="1709" spans="12:20" x14ac:dyDescent="0.25">
      <c r="L1709" s="1">
        <v>210.70000000000999</v>
      </c>
      <c r="M1709" s="1">
        <v>0.48552499999999998</v>
      </c>
      <c r="N1709" s="1">
        <v>0.57803500000001484</v>
      </c>
      <c r="O1709" s="1">
        <v>0.43924999999999992</v>
      </c>
      <c r="P1709" s="33">
        <v>0.38697000000002968</v>
      </c>
      <c r="Q1709" s="1">
        <v>0.53180000000000005</v>
      </c>
      <c r="R1709" s="1">
        <v>0.76910000000000001</v>
      </c>
      <c r="S1709" s="1">
        <v>0.48552499999999998</v>
      </c>
      <c r="T1709" s="1">
        <v>0.57803500000001484</v>
      </c>
    </row>
    <row r="1710" spans="12:20" x14ac:dyDescent="0.25">
      <c r="L1710" s="1">
        <v>210.80000000000999</v>
      </c>
      <c r="M1710" s="1">
        <v>0.485485</v>
      </c>
      <c r="N1710" s="1">
        <v>0.57790500000001488</v>
      </c>
      <c r="O1710" s="1">
        <v>0.43916999999999995</v>
      </c>
      <c r="P1710" s="33">
        <v>0.38671000000002975</v>
      </c>
      <c r="Q1710" s="1">
        <v>0.53180000000000005</v>
      </c>
      <c r="R1710" s="1">
        <v>0.76910000000000001</v>
      </c>
      <c r="S1710" s="1">
        <v>0.485485</v>
      </c>
      <c r="T1710" s="1">
        <v>0.57790500000001488</v>
      </c>
    </row>
    <row r="1711" spans="12:20" x14ac:dyDescent="0.25">
      <c r="L1711" s="1">
        <v>210.90000000001001</v>
      </c>
      <c r="M1711" s="1">
        <v>0.48544500000000002</v>
      </c>
      <c r="N1711" s="1">
        <v>0.57777500000001492</v>
      </c>
      <c r="O1711" s="1">
        <v>0.43908999999999998</v>
      </c>
      <c r="P1711" s="33">
        <v>0.38645000000002983</v>
      </c>
      <c r="Q1711" s="1">
        <v>0.53180000000000005</v>
      </c>
      <c r="R1711" s="1">
        <v>0.76910000000000001</v>
      </c>
      <c r="S1711" s="1">
        <v>0.48544500000000002</v>
      </c>
      <c r="T1711" s="1">
        <v>0.57777500000001492</v>
      </c>
    </row>
    <row r="1712" spans="12:20" x14ac:dyDescent="0.25">
      <c r="L1712" s="1">
        <v>211.00000000001</v>
      </c>
      <c r="M1712" s="1">
        <v>0.48540499999999998</v>
      </c>
      <c r="N1712" s="1">
        <v>0.57764500000001495</v>
      </c>
      <c r="O1712" s="1">
        <v>0.4390099999999999</v>
      </c>
      <c r="P1712" s="33">
        <v>0.3861900000000299</v>
      </c>
      <c r="Q1712" s="1">
        <v>0.53180000000000005</v>
      </c>
      <c r="R1712" s="1">
        <v>0.76910000000000001</v>
      </c>
      <c r="S1712" s="1">
        <v>0.48540499999999998</v>
      </c>
      <c r="T1712" s="1">
        <v>0.57764500000001495</v>
      </c>
    </row>
    <row r="1713" spans="12:20" x14ac:dyDescent="0.25">
      <c r="L1713" s="1">
        <v>211.10000000001</v>
      </c>
      <c r="M1713" s="1">
        <v>0.48536499999999999</v>
      </c>
      <c r="N1713" s="1">
        <v>0.57751500000001499</v>
      </c>
      <c r="O1713" s="1">
        <v>0.43892999999999993</v>
      </c>
      <c r="P1713" s="33">
        <v>0.38593000000002997</v>
      </c>
      <c r="Q1713" s="1">
        <v>0.53180000000000005</v>
      </c>
      <c r="R1713" s="1">
        <v>0.76910000000000001</v>
      </c>
      <c r="S1713" s="1">
        <v>0.48536499999999999</v>
      </c>
      <c r="T1713" s="1">
        <v>0.57751500000001499</v>
      </c>
    </row>
    <row r="1714" spans="12:20" x14ac:dyDescent="0.25">
      <c r="L1714" s="1">
        <v>211.20000000000999</v>
      </c>
      <c r="M1714" s="1">
        <v>0.48532500000000001</v>
      </c>
      <c r="N1714" s="1">
        <v>0.57738500000001503</v>
      </c>
      <c r="O1714" s="1">
        <v>0.43884999999999996</v>
      </c>
      <c r="P1714" s="33">
        <v>0.38567000000003004</v>
      </c>
      <c r="Q1714" s="1">
        <v>0.53180000000000005</v>
      </c>
      <c r="R1714" s="1">
        <v>0.76910000000000001</v>
      </c>
      <c r="S1714" s="1">
        <v>0.48532500000000001</v>
      </c>
      <c r="T1714" s="1">
        <v>0.57738500000001503</v>
      </c>
    </row>
    <row r="1715" spans="12:20" x14ac:dyDescent="0.25">
      <c r="L1715" s="1">
        <v>211.30000000000999</v>
      </c>
      <c r="M1715" s="1">
        <v>0.48528500000000002</v>
      </c>
      <c r="N1715" s="1">
        <v>0.57725500000001506</v>
      </c>
      <c r="O1715" s="1">
        <v>0.43876999999999999</v>
      </c>
      <c r="P1715" s="33">
        <v>0.38541000000003012</v>
      </c>
      <c r="Q1715" s="1">
        <v>0.53180000000000005</v>
      </c>
      <c r="R1715" s="1">
        <v>0.76910000000000001</v>
      </c>
      <c r="S1715" s="1">
        <v>0.48528500000000002</v>
      </c>
      <c r="T1715" s="1">
        <v>0.57725500000001506</v>
      </c>
    </row>
    <row r="1716" spans="12:20" x14ac:dyDescent="0.25">
      <c r="L1716" s="1">
        <v>211.40000000001001</v>
      </c>
      <c r="M1716" s="1">
        <v>0.48524499999999998</v>
      </c>
      <c r="N1716" s="1">
        <v>0.5771250000000151</v>
      </c>
      <c r="O1716" s="1">
        <v>0.43868999999999991</v>
      </c>
      <c r="P1716" s="33">
        <v>0.38515000000003019</v>
      </c>
      <c r="Q1716" s="1">
        <v>0.53180000000000005</v>
      </c>
      <c r="R1716" s="1">
        <v>0.76910000000000001</v>
      </c>
      <c r="S1716" s="1">
        <v>0.48524499999999998</v>
      </c>
      <c r="T1716" s="1">
        <v>0.5771250000000151</v>
      </c>
    </row>
    <row r="1717" spans="12:20" x14ac:dyDescent="0.25">
      <c r="L1717" s="1">
        <v>211.50000000001</v>
      </c>
      <c r="M1717" s="1">
        <v>0.485205</v>
      </c>
      <c r="N1717" s="1">
        <v>0.57699500000001513</v>
      </c>
      <c r="O1717" s="1">
        <v>0.43860999999999994</v>
      </c>
      <c r="P1717" s="33">
        <v>0.38489000000003026</v>
      </c>
      <c r="Q1717" s="1">
        <v>0.53180000000000005</v>
      </c>
      <c r="R1717" s="1">
        <v>0.76910000000000001</v>
      </c>
      <c r="S1717" s="1">
        <v>0.485205</v>
      </c>
      <c r="T1717" s="1">
        <v>0.57699500000001513</v>
      </c>
    </row>
    <row r="1718" spans="12:20" x14ac:dyDescent="0.25">
      <c r="L1718" s="1">
        <v>211.60000000001</v>
      </c>
      <c r="M1718" s="1">
        <v>0.48516500000000001</v>
      </c>
      <c r="N1718" s="1">
        <v>0.57686500000001517</v>
      </c>
      <c r="O1718" s="1">
        <v>0.43852999999999998</v>
      </c>
      <c r="P1718" s="33">
        <v>0.38463000000003034</v>
      </c>
      <c r="Q1718" s="1">
        <v>0.53180000000000005</v>
      </c>
      <c r="R1718" s="1">
        <v>0.76910000000000001</v>
      </c>
      <c r="S1718" s="1">
        <v>0.48516500000000001</v>
      </c>
      <c r="T1718" s="1">
        <v>0.57686500000001517</v>
      </c>
    </row>
    <row r="1719" spans="12:20" x14ac:dyDescent="0.25">
      <c r="L1719" s="1">
        <v>211.70000000001099</v>
      </c>
      <c r="M1719" s="1">
        <v>0.48512499999999997</v>
      </c>
      <c r="N1719" s="1">
        <v>0.57673500000001521</v>
      </c>
      <c r="O1719" s="1">
        <v>0.4384499999999999</v>
      </c>
      <c r="P1719" s="33">
        <v>0.38437000000003041</v>
      </c>
      <c r="Q1719" s="1">
        <v>0.53180000000000005</v>
      </c>
      <c r="R1719" s="1">
        <v>0.76910000000000001</v>
      </c>
      <c r="S1719" s="1">
        <v>0.48512499999999997</v>
      </c>
      <c r="T1719" s="1">
        <v>0.57673500000001521</v>
      </c>
    </row>
    <row r="1720" spans="12:20" x14ac:dyDescent="0.25">
      <c r="L1720" s="1">
        <v>211.80000000000999</v>
      </c>
      <c r="M1720" s="1">
        <v>0.48508499999999999</v>
      </c>
      <c r="N1720" s="1">
        <v>0.57660500000001524</v>
      </c>
      <c r="O1720" s="1">
        <v>0.43836999999999993</v>
      </c>
      <c r="P1720" s="33">
        <v>0.38411000000003048</v>
      </c>
      <c r="Q1720" s="1">
        <v>0.53180000000000005</v>
      </c>
      <c r="R1720" s="1">
        <v>0.76910000000000001</v>
      </c>
      <c r="S1720" s="1">
        <v>0.48508499999999999</v>
      </c>
      <c r="T1720" s="1">
        <v>0.57660500000001524</v>
      </c>
    </row>
    <row r="1721" spans="12:20" x14ac:dyDescent="0.25">
      <c r="L1721" s="1">
        <v>211.90000000001001</v>
      </c>
      <c r="M1721" s="1">
        <v>0.485045</v>
      </c>
      <c r="N1721" s="1">
        <v>0.57647500000001528</v>
      </c>
      <c r="O1721" s="1">
        <v>0.43828999999999996</v>
      </c>
      <c r="P1721" s="33">
        <v>0.38385000000003056</v>
      </c>
      <c r="Q1721" s="1">
        <v>0.53180000000000005</v>
      </c>
      <c r="R1721" s="1">
        <v>0.76910000000000001</v>
      </c>
      <c r="S1721" s="1">
        <v>0.485045</v>
      </c>
      <c r="T1721" s="1">
        <v>0.57647500000001528</v>
      </c>
    </row>
    <row r="1722" spans="12:20" x14ac:dyDescent="0.25">
      <c r="L1722" s="1">
        <v>212.00000000001</v>
      </c>
      <c r="M1722" s="1">
        <v>0.48500500000000002</v>
      </c>
      <c r="N1722" s="1">
        <v>0.57634500000001532</v>
      </c>
      <c r="O1722" s="1">
        <v>0.43820999999999999</v>
      </c>
      <c r="P1722" s="33">
        <v>0.38359000000003063</v>
      </c>
      <c r="Q1722" s="1">
        <v>0.53180000000000005</v>
      </c>
      <c r="R1722" s="1">
        <v>0.76910000000000001</v>
      </c>
      <c r="S1722" s="1">
        <v>0.48500500000000002</v>
      </c>
      <c r="T1722" s="1">
        <v>0.57634500000001532</v>
      </c>
    </row>
    <row r="1723" spans="12:20" x14ac:dyDescent="0.25">
      <c r="L1723" s="1">
        <v>212.10000000001099</v>
      </c>
      <c r="M1723" s="1">
        <v>0.48496499999999998</v>
      </c>
      <c r="N1723" s="1">
        <v>0.57621500000001535</v>
      </c>
      <c r="O1723" s="1">
        <v>0.43812999999999991</v>
      </c>
      <c r="P1723" s="33">
        <v>0.3833300000000307</v>
      </c>
      <c r="Q1723" s="1">
        <v>0.53180000000000005</v>
      </c>
      <c r="R1723" s="1">
        <v>0.76910000000000001</v>
      </c>
      <c r="S1723" s="1">
        <v>0.48496499999999998</v>
      </c>
      <c r="T1723" s="1">
        <v>0.57621500000001535</v>
      </c>
    </row>
    <row r="1724" spans="12:20" x14ac:dyDescent="0.25">
      <c r="L1724" s="1">
        <v>212.20000000001099</v>
      </c>
      <c r="M1724" s="1">
        <v>0.48492499999999999</v>
      </c>
      <c r="N1724" s="1">
        <v>0.57608500000001539</v>
      </c>
      <c r="O1724" s="1">
        <v>0.43804999999999994</v>
      </c>
      <c r="P1724" s="33">
        <v>0.38307000000003077</v>
      </c>
      <c r="Q1724" s="1">
        <v>0.53180000000000005</v>
      </c>
      <c r="R1724" s="1">
        <v>0.76910000000000001</v>
      </c>
      <c r="S1724" s="1">
        <v>0.48492499999999999</v>
      </c>
      <c r="T1724" s="1">
        <v>0.57608500000001539</v>
      </c>
    </row>
    <row r="1725" spans="12:20" x14ac:dyDescent="0.25">
      <c r="L1725" s="1">
        <v>212.30000000001101</v>
      </c>
      <c r="M1725" s="1">
        <v>0.48488500000000001</v>
      </c>
      <c r="N1725" s="1">
        <v>0.57595500000001543</v>
      </c>
      <c r="O1725" s="1">
        <v>0.43796999999999997</v>
      </c>
      <c r="P1725" s="33">
        <v>0.38281000000003085</v>
      </c>
      <c r="Q1725" s="1">
        <v>0.53180000000000005</v>
      </c>
      <c r="R1725" s="1">
        <v>0.76910000000000001</v>
      </c>
      <c r="S1725" s="1">
        <v>0.48488500000000001</v>
      </c>
      <c r="T1725" s="1">
        <v>0.57595500000001543</v>
      </c>
    </row>
    <row r="1726" spans="12:20" x14ac:dyDescent="0.25">
      <c r="L1726" s="1">
        <v>212.400000000011</v>
      </c>
      <c r="M1726" s="1">
        <v>0.48484500000000003</v>
      </c>
      <c r="N1726" s="1">
        <v>0.57582500000001546</v>
      </c>
      <c r="O1726" s="1">
        <v>0.43789</v>
      </c>
      <c r="P1726" s="33">
        <v>0.38255000000003092</v>
      </c>
      <c r="Q1726" s="1">
        <v>0.53180000000000005</v>
      </c>
      <c r="R1726" s="1">
        <v>0.76910000000000001</v>
      </c>
      <c r="S1726" s="1">
        <v>0.48484500000000003</v>
      </c>
      <c r="T1726" s="1">
        <v>0.57582500000001546</v>
      </c>
    </row>
    <row r="1727" spans="12:20" x14ac:dyDescent="0.25">
      <c r="L1727" s="1">
        <v>212.500000000011</v>
      </c>
      <c r="M1727" s="1">
        <v>0.48480499999999999</v>
      </c>
      <c r="N1727" s="1">
        <v>0.5756950000000155</v>
      </c>
      <c r="O1727" s="1">
        <v>0.43780999999999992</v>
      </c>
      <c r="P1727" s="33">
        <v>0.38229000000003099</v>
      </c>
      <c r="Q1727" s="1">
        <v>0.53180000000000005</v>
      </c>
      <c r="R1727" s="1">
        <v>0.76910000000000001</v>
      </c>
      <c r="S1727" s="1">
        <v>0.48480499999999999</v>
      </c>
      <c r="T1727" s="1">
        <v>0.5756950000000155</v>
      </c>
    </row>
    <row r="1728" spans="12:20" x14ac:dyDescent="0.25">
      <c r="L1728" s="1">
        <v>212.60000000001099</v>
      </c>
      <c r="M1728" s="1">
        <v>0.484765</v>
      </c>
      <c r="N1728" s="1">
        <v>0.57556500000001554</v>
      </c>
      <c r="O1728" s="1">
        <v>0.43772999999999995</v>
      </c>
      <c r="P1728" s="33">
        <v>0.38203000000003107</v>
      </c>
      <c r="Q1728" s="1">
        <v>0.53180000000000005</v>
      </c>
      <c r="R1728" s="1">
        <v>0.76910000000000001</v>
      </c>
      <c r="S1728" s="1">
        <v>0.484765</v>
      </c>
      <c r="T1728" s="1">
        <v>0.57556500000001554</v>
      </c>
    </row>
    <row r="1729" spans="12:20" x14ac:dyDescent="0.25">
      <c r="L1729" s="1">
        <v>212.70000000001099</v>
      </c>
      <c r="M1729" s="1">
        <v>0.48472500000000002</v>
      </c>
      <c r="N1729" s="1">
        <v>0.57543500000001557</v>
      </c>
      <c r="O1729" s="1">
        <v>0.43764999999999998</v>
      </c>
      <c r="P1729" s="33">
        <v>0.38177000000003114</v>
      </c>
      <c r="Q1729" s="1">
        <v>0.53180000000000005</v>
      </c>
      <c r="R1729" s="1">
        <v>0.76910000000000001</v>
      </c>
      <c r="S1729" s="1">
        <v>0.48472500000000002</v>
      </c>
      <c r="T1729" s="1">
        <v>0.57543500000001557</v>
      </c>
    </row>
    <row r="1730" spans="12:20" x14ac:dyDescent="0.25">
      <c r="L1730" s="1">
        <v>212.80000000001101</v>
      </c>
      <c r="M1730" s="1">
        <v>0.48468499999999998</v>
      </c>
      <c r="N1730" s="1">
        <v>0.57530500000001561</v>
      </c>
      <c r="O1730" s="1">
        <v>0.4375699999999999</v>
      </c>
      <c r="P1730" s="33">
        <v>0.38151000000003121</v>
      </c>
      <c r="Q1730" s="1">
        <v>0.53180000000000005</v>
      </c>
      <c r="R1730" s="1">
        <v>0.76910000000000001</v>
      </c>
      <c r="S1730" s="1">
        <v>0.48468499999999998</v>
      </c>
      <c r="T1730" s="1">
        <v>0.57530500000001561</v>
      </c>
    </row>
    <row r="1731" spans="12:20" x14ac:dyDescent="0.25">
      <c r="L1731" s="1">
        <v>212.900000000011</v>
      </c>
      <c r="M1731" s="1">
        <v>0.48464499999999999</v>
      </c>
      <c r="N1731" s="1">
        <v>0.57517500000001565</v>
      </c>
      <c r="O1731" s="1">
        <v>0.43748999999999993</v>
      </c>
      <c r="P1731" s="33">
        <v>0.38125000000003129</v>
      </c>
      <c r="Q1731" s="1">
        <v>0.53180000000000005</v>
      </c>
      <c r="R1731" s="1">
        <v>0.76910000000000001</v>
      </c>
      <c r="S1731" s="1">
        <v>0.48464499999999999</v>
      </c>
      <c r="T1731" s="1">
        <v>0.57517500000001565</v>
      </c>
    </row>
    <row r="1732" spans="12:20" x14ac:dyDescent="0.25">
      <c r="L1732" s="1">
        <v>213.000000000011</v>
      </c>
      <c r="M1732" s="1">
        <v>0.48460500000000001</v>
      </c>
      <c r="N1732" s="1">
        <v>0.57504500000001568</v>
      </c>
      <c r="O1732" s="1">
        <v>0.43740999999999997</v>
      </c>
      <c r="P1732" s="33">
        <v>0.38099000000003136</v>
      </c>
      <c r="Q1732" s="1">
        <v>0.53180000000000005</v>
      </c>
      <c r="R1732" s="1">
        <v>0.76910000000000001</v>
      </c>
      <c r="S1732" s="1">
        <v>0.48460500000000001</v>
      </c>
      <c r="T1732" s="1">
        <v>0.57504500000001568</v>
      </c>
    </row>
    <row r="1733" spans="12:20" x14ac:dyDescent="0.25">
      <c r="L1733" s="1">
        <v>213.10000000001099</v>
      </c>
      <c r="M1733" s="1">
        <v>0.48456500000000002</v>
      </c>
      <c r="N1733" s="1">
        <v>0.57491500000001572</v>
      </c>
      <c r="O1733" s="1">
        <v>0.43733</v>
      </c>
      <c r="P1733" s="33">
        <v>0.38073000000003143</v>
      </c>
      <c r="Q1733" s="1">
        <v>0.53180000000000005</v>
      </c>
      <c r="R1733" s="1">
        <v>0.76910000000000001</v>
      </c>
      <c r="S1733" s="1">
        <v>0.48456500000000002</v>
      </c>
      <c r="T1733" s="1">
        <v>0.57491500000001572</v>
      </c>
    </row>
    <row r="1734" spans="12:20" x14ac:dyDescent="0.25">
      <c r="L1734" s="1">
        <v>213.20000000001099</v>
      </c>
      <c r="M1734" s="1">
        <v>0.48452499999999998</v>
      </c>
      <c r="N1734" s="1">
        <v>0.57478500000001576</v>
      </c>
      <c r="O1734" s="1">
        <v>0.43724999999999992</v>
      </c>
      <c r="P1734" s="33">
        <v>0.38047000000003151</v>
      </c>
      <c r="Q1734" s="1">
        <v>0.53180000000000005</v>
      </c>
      <c r="R1734" s="1">
        <v>0.76910000000000001</v>
      </c>
      <c r="S1734" s="1">
        <v>0.48452499999999998</v>
      </c>
      <c r="T1734" s="1">
        <v>0.57478500000001576</v>
      </c>
    </row>
    <row r="1735" spans="12:20" x14ac:dyDescent="0.25">
      <c r="L1735" s="1">
        <v>213.30000000001101</v>
      </c>
      <c r="M1735" s="1">
        <v>0.484485</v>
      </c>
      <c r="N1735" s="1">
        <v>0.57465500000001579</v>
      </c>
      <c r="O1735" s="1">
        <v>0.43716999999999995</v>
      </c>
      <c r="P1735" s="33">
        <v>0.38021000000003158</v>
      </c>
      <c r="Q1735" s="1">
        <v>0.53180000000000005</v>
      </c>
      <c r="R1735" s="1">
        <v>0.76910000000000001</v>
      </c>
      <c r="S1735" s="1">
        <v>0.484485</v>
      </c>
      <c r="T1735" s="1">
        <v>0.57465500000001579</v>
      </c>
    </row>
    <row r="1736" spans="12:20" x14ac:dyDescent="0.25">
      <c r="L1736" s="1">
        <v>213.400000000011</v>
      </c>
      <c r="M1736" s="1">
        <v>0.48444500000000001</v>
      </c>
      <c r="N1736" s="1">
        <v>0.57452500000001583</v>
      </c>
      <c r="O1736" s="1">
        <v>0.43708999999999998</v>
      </c>
      <c r="P1736" s="33">
        <v>0.37995000000003165</v>
      </c>
      <c r="Q1736" s="1">
        <v>0.53180000000000005</v>
      </c>
      <c r="R1736" s="1">
        <v>0.76910000000000001</v>
      </c>
      <c r="S1736" s="1">
        <v>0.48444500000000001</v>
      </c>
      <c r="T1736" s="1">
        <v>0.57452500000001583</v>
      </c>
    </row>
    <row r="1737" spans="12:20" x14ac:dyDescent="0.25">
      <c r="L1737" s="1">
        <v>213.500000000011</v>
      </c>
      <c r="M1737" s="1">
        <v>0.48440499999999997</v>
      </c>
      <c r="N1737" s="1">
        <v>0.57439500000001587</v>
      </c>
      <c r="O1737" s="1">
        <v>0.4370099999999999</v>
      </c>
      <c r="P1737" s="33">
        <v>0.37969000000003172</v>
      </c>
      <c r="Q1737" s="1">
        <v>0.53180000000000005</v>
      </c>
      <c r="R1737" s="1">
        <v>0.76910000000000001</v>
      </c>
      <c r="S1737" s="1">
        <v>0.48440499999999997</v>
      </c>
      <c r="T1737" s="1">
        <v>0.57439500000001587</v>
      </c>
    </row>
    <row r="1738" spans="12:20" x14ac:dyDescent="0.25">
      <c r="L1738" s="1">
        <v>213.60000000001099</v>
      </c>
      <c r="M1738" s="1">
        <v>0.48436499999999999</v>
      </c>
      <c r="N1738" s="1">
        <v>0.5742650000000159</v>
      </c>
      <c r="O1738" s="1">
        <v>0.43692999999999993</v>
      </c>
      <c r="P1738" s="33">
        <v>0.3794300000000318</v>
      </c>
      <c r="Q1738" s="1">
        <v>0.53180000000000005</v>
      </c>
      <c r="R1738" s="1">
        <v>0.76910000000000001</v>
      </c>
      <c r="S1738" s="1">
        <v>0.48436499999999999</v>
      </c>
      <c r="T1738" s="1">
        <v>0.5742650000000159</v>
      </c>
    </row>
    <row r="1739" spans="12:20" x14ac:dyDescent="0.25">
      <c r="L1739" s="1">
        <v>213.70000000001099</v>
      </c>
      <c r="M1739" s="1">
        <v>0.48432500000000001</v>
      </c>
      <c r="N1739" s="1">
        <v>0.57413500000001594</v>
      </c>
      <c r="O1739" s="1">
        <v>0.43684999999999996</v>
      </c>
      <c r="P1739" s="33">
        <v>0.37917000000003187</v>
      </c>
      <c r="Q1739" s="1">
        <v>0.53180000000000005</v>
      </c>
      <c r="R1739" s="1">
        <v>0.76910000000000001</v>
      </c>
      <c r="S1739" s="1">
        <v>0.48432500000000001</v>
      </c>
      <c r="T1739" s="1">
        <v>0.57413500000001594</v>
      </c>
    </row>
    <row r="1740" spans="12:20" x14ac:dyDescent="0.25">
      <c r="L1740" s="1">
        <v>213.80000000001101</v>
      </c>
      <c r="M1740" s="1">
        <v>0.48428500000000002</v>
      </c>
      <c r="N1740" s="1">
        <v>0.57400500000001597</v>
      </c>
      <c r="O1740" s="1">
        <v>0.43676999999999999</v>
      </c>
      <c r="P1740" s="33">
        <v>0.37891000000003194</v>
      </c>
      <c r="Q1740" s="1">
        <v>0.53180000000000005</v>
      </c>
      <c r="R1740" s="1">
        <v>0.76910000000000001</v>
      </c>
      <c r="S1740" s="1">
        <v>0.48428500000000002</v>
      </c>
      <c r="T1740" s="1">
        <v>0.57400500000001597</v>
      </c>
    </row>
    <row r="1741" spans="12:20" x14ac:dyDescent="0.25">
      <c r="L1741" s="1">
        <v>213.900000000011</v>
      </c>
      <c r="M1741" s="1">
        <v>0.48424499999999998</v>
      </c>
      <c r="N1741" s="1">
        <v>0.57387500000001601</v>
      </c>
      <c r="O1741" s="1">
        <v>0.43668999999999991</v>
      </c>
      <c r="P1741" s="33">
        <v>0.37865000000003202</v>
      </c>
      <c r="Q1741" s="1">
        <v>0.53180000000000005</v>
      </c>
      <c r="R1741" s="1">
        <v>0.76910000000000001</v>
      </c>
      <c r="S1741" s="1">
        <v>0.48424499999999998</v>
      </c>
      <c r="T1741" s="1">
        <v>0.57387500000001601</v>
      </c>
    </row>
    <row r="1742" spans="12:20" x14ac:dyDescent="0.25">
      <c r="L1742" s="1">
        <v>214.000000000011</v>
      </c>
      <c r="M1742" s="1">
        <v>0.484205</v>
      </c>
      <c r="N1742" s="1">
        <v>0.57374500000001605</v>
      </c>
      <c r="O1742" s="1">
        <v>0.43660999999999994</v>
      </c>
      <c r="P1742" s="33">
        <v>0.37839000000003209</v>
      </c>
      <c r="Q1742" s="1">
        <v>0.53180000000000005</v>
      </c>
      <c r="R1742" s="1">
        <v>0.76910000000000001</v>
      </c>
      <c r="S1742" s="1">
        <v>0.484205</v>
      </c>
      <c r="T1742" s="1">
        <v>0.57374500000001605</v>
      </c>
    </row>
    <row r="1743" spans="12:20" x14ac:dyDescent="0.25">
      <c r="L1743" s="1">
        <v>214.10000000001099</v>
      </c>
      <c r="M1743" s="1">
        <v>0.48416500000000001</v>
      </c>
      <c r="N1743" s="1">
        <v>0.57361500000001608</v>
      </c>
      <c r="O1743" s="1">
        <v>0.43652999999999997</v>
      </c>
      <c r="P1743" s="33">
        <v>0.37813000000003216</v>
      </c>
      <c r="Q1743" s="1">
        <v>0.53180000000000005</v>
      </c>
      <c r="R1743" s="1">
        <v>0.76910000000000001</v>
      </c>
      <c r="S1743" s="1">
        <v>0.48416500000000001</v>
      </c>
      <c r="T1743" s="1">
        <v>0.57361500000001608</v>
      </c>
    </row>
    <row r="1744" spans="12:20" x14ac:dyDescent="0.25">
      <c r="L1744" s="1">
        <v>214.20000000001099</v>
      </c>
      <c r="M1744" s="1">
        <v>0.48412500000000003</v>
      </c>
      <c r="N1744" s="1">
        <v>0.57348500000001612</v>
      </c>
      <c r="O1744" s="1">
        <v>0.43645</v>
      </c>
      <c r="P1744" s="33">
        <v>0.37787000000003224</v>
      </c>
      <c r="Q1744" s="1">
        <v>0.53180000000000005</v>
      </c>
      <c r="R1744" s="1">
        <v>0.76910000000000001</v>
      </c>
      <c r="S1744" s="1">
        <v>0.48412500000000003</v>
      </c>
      <c r="T1744" s="1">
        <v>0.57348500000001612</v>
      </c>
    </row>
    <row r="1745" spans="12:20" x14ac:dyDescent="0.25">
      <c r="L1745" s="1">
        <v>214.30000000001101</v>
      </c>
      <c r="M1745" s="1">
        <v>0.48408499999999999</v>
      </c>
      <c r="N1745" s="1">
        <v>0.57335500000001616</v>
      </c>
      <c r="O1745" s="1">
        <v>0.43636999999999992</v>
      </c>
      <c r="P1745" s="33">
        <v>0.37761000000003231</v>
      </c>
      <c r="Q1745" s="1">
        <v>0.53180000000000005</v>
      </c>
      <c r="R1745" s="1">
        <v>0.76910000000000001</v>
      </c>
      <c r="S1745" s="1">
        <v>0.48408499999999999</v>
      </c>
      <c r="T1745" s="1">
        <v>0.57335500000001616</v>
      </c>
    </row>
    <row r="1746" spans="12:20" x14ac:dyDescent="0.25">
      <c r="L1746" s="1">
        <v>214.400000000011</v>
      </c>
      <c r="M1746" s="1">
        <v>0.484045</v>
      </c>
      <c r="N1746" s="1">
        <v>0.57322500000001619</v>
      </c>
      <c r="O1746" s="1">
        <v>0.43628999999999996</v>
      </c>
      <c r="P1746" s="33">
        <v>0.37735000000003238</v>
      </c>
      <c r="Q1746" s="1">
        <v>0.53180000000000005</v>
      </c>
      <c r="R1746" s="1">
        <v>0.76910000000000001</v>
      </c>
      <c r="S1746" s="1">
        <v>0.484045</v>
      </c>
      <c r="T1746" s="1">
        <v>0.57322500000001619</v>
      </c>
    </row>
    <row r="1747" spans="12:20" x14ac:dyDescent="0.25">
      <c r="L1747" s="1">
        <v>214.500000000011</v>
      </c>
      <c r="M1747" s="1">
        <v>0.48400500000000002</v>
      </c>
      <c r="N1747" s="1">
        <v>0.57309500000001623</v>
      </c>
      <c r="O1747" s="1">
        <v>0.43620999999999999</v>
      </c>
      <c r="P1747" s="33">
        <v>0.37709000000003245</v>
      </c>
      <c r="Q1747" s="1">
        <v>0.53180000000000005</v>
      </c>
      <c r="R1747" s="1">
        <v>0.76910000000000001</v>
      </c>
      <c r="S1747" s="1">
        <v>0.48400500000000002</v>
      </c>
      <c r="T1747" s="1">
        <v>0.57309500000001623</v>
      </c>
    </row>
    <row r="1748" spans="12:20" x14ac:dyDescent="0.25">
      <c r="L1748" s="1">
        <v>214.60000000001099</v>
      </c>
      <c r="M1748" s="1">
        <v>0.48396499999999998</v>
      </c>
      <c r="N1748" s="1">
        <v>0.57296500000001627</v>
      </c>
      <c r="O1748" s="1">
        <v>0.43612999999999991</v>
      </c>
      <c r="P1748" s="33">
        <v>0.37683000000003253</v>
      </c>
      <c r="Q1748" s="1">
        <v>0.53180000000000005</v>
      </c>
      <c r="R1748" s="1">
        <v>0.76910000000000001</v>
      </c>
      <c r="S1748" s="1">
        <v>0.48396499999999998</v>
      </c>
      <c r="T1748" s="1">
        <v>0.57296500000001627</v>
      </c>
    </row>
    <row r="1749" spans="12:20" x14ac:dyDescent="0.25">
      <c r="L1749" s="1">
        <v>214.70000000001099</v>
      </c>
      <c r="M1749" s="1">
        <v>0.48392499999999999</v>
      </c>
      <c r="N1749" s="1">
        <v>0.5728350000000163</v>
      </c>
      <c r="O1749" s="1">
        <v>0.43604999999999994</v>
      </c>
      <c r="P1749" s="33">
        <v>0.3765700000000326</v>
      </c>
      <c r="Q1749" s="1">
        <v>0.53180000000000005</v>
      </c>
      <c r="R1749" s="1">
        <v>0.76910000000000001</v>
      </c>
      <c r="S1749" s="1">
        <v>0.48392499999999999</v>
      </c>
      <c r="T1749" s="1">
        <v>0.5728350000000163</v>
      </c>
    </row>
    <row r="1750" spans="12:20" x14ac:dyDescent="0.25">
      <c r="L1750" s="1">
        <v>214.80000000001101</v>
      </c>
      <c r="M1750" s="1">
        <v>0.48388500000000001</v>
      </c>
      <c r="N1750" s="1">
        <v>0.57270500000001634</v>
      </c>
      <c r="O1750" s="1">
        <v>0.43596999999999997</v>
      </c>
      <c r="P1750" s="33">
        <v>0.37631000000003267</v>
      </c>
      <c r="Q1750" s="1">
        <v>0.53180000000000005</v>
      </c>
      <c r="R1750" s="1">
        <v>0.76910000000000001</v>
      </c>
      <c r="S1750" s="1">
        <v>0.48388500000000001</v>
      </c>
      <c r="T1750" s="1">
        <v>0.57270500000001634</v>
      </c>
    </row>
    <row r="1751" spans="12:20" x14ac:dyDescent="0.25">
      <c r="L1751" s="1">
        <v>214.900000000011</v>
      </c>
      <c r="M1751" s="1">
        <v>0.48384500000000003</v>
      </c>
      <c r="N1751" s="1">
        <v>0.57257500000001638</v>
      </c>
      <c r="O1751" s="1">
        <v>0.43589</v>
      </c>
      <c r="P1751" s="33">
        <v>0.37605000000003275</v>
      </c>
      <c r="Q1751" s="1">
        <v>0.53180000000000005</v>
      </c>
      <c r="R1751" s="1">
        <v>0.76910000000000001</v>
      </c>
      <c r="S1751" s="1">
        <v>0.48384500000000003</v>
      </c>
      <c r="T1751" s="1">
        <v>0.57257500000001638</v>
      </c>
    </row>
    <row r="1752" spans="12:20" x14ac:dyDescent="0.25">
      <c r="L1752" s="1">
        <v>215.000000000011</v>
      </c>
      <c r="M1752" s="1">
        <v>0.48381000000000002</v>
      </c>
      <c r="N1752" s="1">
        <v>0.57244500000001641</v>
      </c>
      <c r="O1752" s="1">
        <v>0.43581999999999999</v>
      </c>
      <c r="P1752" s="33">
        <v>0.37579000000003282</v>
      </c>
      <c r="Q1752" s="1">
        <v>0.53180000000000005</v>
      </c>
      <c r="R1752" s="1">
        <v>0.76910000000000001</v>
      </c>
      <c r="S1752" s="1">
        <v>0.48381000000000002</v>
      </c>
      <c r="T1752" s="1">
        <v>0.57244500000001641</v>
      </c>
    </row>
    <row r="1753" spans="12:20" x14ac:dyDescent="0.25">
      <c r="L1753" s="1">
        <v>215.10000000001099</v>
      </c>
      <c r="M1753" s="1">
        <v>0.48377999999999999</v>
      </c>
      <c r="N1753" s="1">
        <v>0.57231500000001645</v>
      </c>
      <c r="O1753" s="1">
        <v>0.43575999999999993</v>
      </c>
      <c r="P1753" s="33">
        <v>0.37553000000003289</v>
      </c>
      <c r="Q1753" s="1">
        <v>0.53180000000000005</v>
      </c>
      <c r="R1753" s="1">
        <v>0.76910000000000001</v>
      </c>
      <c r="S1753" s="1">
        <v>0.48377999999999999</v>
      </c>
      <c r="T1753" s="1">
        <v>0.57231500000001645</v>
      </c>
    </row>
    <row r="1754" spans="12:20" x14ac:dyDescent="0.25">
      <c r="L1754" s="1">
        <v>215.20000000001099</v>
      </c>
      <c r="M1754" s="1">
        <v>0.48375000000000001</v>
      </c>
      <c r="N1754" s="1">
        <v>0.57218500000001649</v>
      </c>
      <c r="O1754" s="1">
        <v>0.43569999999999998</v>
      </c>
      <c r="P1754" s="33">
        <v>0.37527000000003297</v>
      </c>
      <c r="Q1754" s="1">
        <v>0.53180000000000005</v>
      </c>
      <c r="R1754" s="1">
        <v>0.76910000000000001</v>
      </c>
      <c r="S1754" s="1">
        <v>0.48375000000000001</v>
      </c>
      <c r="T1754" s="1">
        <v>0.57218500000001649</v>
      </c>
    </row>
    <row r="1755" spans="12:20" x14ac:dyDescent="0.25">
      <c r="L1755" s="1">
        <v>215.30000000001101</v>
      </c>
      <c r="M1755" s="1">
        <v>0.48371999999999998</v>
      </c>
      <c r="N1755" s="1">
        <v>0.57205500000001652</v>
      </c>
      <c r="O1755" s="1">
        <v>0.43563999999999992</v>
      </c>
      <c r="P1755" s="33">
        <v>0.37501000000003304</v>
      </c>
      <c r="Q1755" s="1">
        <v>0.53180000000000005</v>
      </c>
      <c r="R1755" s="1">
        <v>0.76910000000000001</v>
      </c>
      <c r="S1755" s="1">
        <v>0.48371999999999998</v>
      </c>
      <c r="T1755" s="1">
        <v>0.57205500000001652</v>
      </c>
    </row>
    <row r="1756" spans="12:20" x14ac:dyDescent="0.25">
      <c r="L1756" s="1">
        <v>215.400000000011</v>
      </c>
      <c r="M1756" s="1">
        <v>0.48369000000000001</v>
      </c>
      <c r="N1756" s="1">
        <v>0.57192500000001656</v>
      </c>
      <c r="O1756" s="1">
        <v>0.43557999999999997</v>
      </c>
      <c r="P1756" s="33">
        <v>0.37475000000003311</v>
      </c>
      <c r="Q1756" s="1">
        <v>0.53180000000000005</v>
      </c>
      <c r="R1756" s="1">
        <v>0.76910000000000001</v>
      </c>
      <c r="S1756" s="1">
        <v>0.48369000000000001</v>
      </c>
      <c r="T1756" s="1">
        <v>0.57192500000001656</v>
      </c>
    </row>
    <row r="1757" spans="12:20" x14ac:dyDescent="0.25">
      <c r="L1757" s="1">
        <v>215.500000000011</v>
      </c>
      <c r="M1757" s="1">
        <v>0.48365999999999998</v>
      </c>
      <c r="N1757" s="1">
        <v>0.5717950000000166</v>
      </c>
      <c r="O1757" s="1">
        <v>0.43551999999999991</v>
      </c>
      <c r="P1757" s="33">
        <v>0.37449000000003319</v>
      </c>
      <c r="Q1757" s="1">
        <v>0.53180000000000005</v>
      </c>
      <c r="R1757" s="1">
        <v>0.76910000000000001</v>
      </c>
      <c r="S1757" s="1">
        <v>0.48365999999999998</v>
      </c>
      <c r="T1757" s="1">
        <v>0.5717950000000166</v>
      </c>
    </row>
    <row r="1758" spans="12:20" x14ac:dyDescent="0.25">
      <c r="L1758" s="1">
        <v>215.60000000001099</v>
      </c>
      <c r="M1758" s="1">
        <v>0.48363</v>
      </c>
      <c r="N1758" s="1">
        <v>0.57166500000001663</v>
      </c>
      <c r="O1758" s="1">
        <v>0.43545999999999996</v>
      </c>
      <c r="P1758" s="33">
        <v>0.37423000000003326</v>
      </c>
      <c r="Q1758" s="1">
        <v>0.53180000000000005</v>
      </c>
      <c r="R1758" s="1">
        <v>0.76910000000000001</v>
      </c>
      <c r="S1758" s="1">
        <v>0.48363</v>
      </c>
      <c r="T1758" s="1">
        <v>0.57166500000001663</v>
      </c>
    </row>
    <row r="1759" spans="12:20" x14ac:dyDescent="0.25">
      <c r="L1759" s="1">
        <v>215.70000000001099</v>
      </c>
      <c r="M1759" s="1">
        <v>0.48359999999999997</v>
      </c>
      <c r="N1759" s="1">
        <v>0.57153500000001667</v>
      </c>
      <c r="O1759" s="1">
        <v>0.4353999999999999</v>
      </c>
      <c r="P1759" s="33">
        <v>0.37397000000003333</v>
      </c>
      <c r="Q1759" s="1">
        <v>0.53180000000000005</v>
      </c>
      <c r="R1759" s="1">
        <v>0.76910000000000001</v>
      </c>
      <c r="S1759" s="1">
        <v>0.48359999999999997</v>
      </c>
      <c r="T1759" s="1">
        <v>0.57153500000001667</v>
      </c>
    </row>
    <row r="1760" spans="12:20" x14ac:dyDescent="0.25">
      <c r="L1760" s="1">
        <v>215.80000000001101</v>
      </c>
      <c r="M1760" s="1">
        <v>0.48357</v>
      </c>
      <c r="N1760" s="1">
        <v>0.57140500000001671</v>
      </c>
      <c r="O1760" s="1">
        <v>0.43533999999999995</v>
      </c>
      <c r="P1760" s="33">
        <v>0.3737100000000334</v>
      </c>
      <c r="Q1760" s="1">
        <v>0.53180000000000005</v>
      </c>
      <c r="R1760" s="1">
        <v>0.76910000000000001</v>
      </c>
      <c r="S1760" s="1">
        <v>0.48357</v>
      </c>
      <c r="T1760" s="1">
        <v>0.57140500000001671</v>
      </c>
    </row>
    <row r="1761" spans="12:20" x14ac:dyDescent="0.25">
      <c r="L1761" s="1">
        <v>215.900000000011</v>
      </c>
      <c r="M1761" s="1">
        <v>0.48354000000000003</v>
      </c>
      <c r="N1761" s="1">
        <v>0.57127500000001674</v>
      </c>
      <c r="O1761" s="1">
        <v>0.43528</v>
      </c>
      <c r="P1761" s="33">
        <v>0.37345000000003348</v>
      </c>
      <c r="Q1761" s="1">
        <v>0.53180000000000005</v>
      </c>
      <c r="R1761" s="1">
        <v>0.76910000000000001</v>
      </c>
      <c r="S1761" s="1">
        <v>0.48354000000000003</v>
      </c>
      <c r="T1761" s="1">
        <v>0.57127500000001674</v>
      </c>
    </row>
    <row r="1762" spans="12:20" x14ac:dyDescent="0.25">
      <c r="L1762" s="1">
        <v>216.000000000011</v>
      </c>
      <c r="M1762" s="1">
        <v>0.48351</v>
      </c>
      <c r="N1762" s="1">
        <v>0.57114500000001678</v>
      </c>
      <c r="O1762" s="1">
        <v>0.43521999999999994</v>
      </c>
      <c r="P1762" s="33">
        <v>0.37319000000003355</v>
      </c>
      <c r="Q1762" s="1">
        <v>0.53180000000000005</v>
      </c>
      <c r="R1762" s="1">
        <v>0.76910000000000001</v>
      </c>
      <c r="S1762" s="1">
        <v>0.48351</v>
      </c>
      <c r="T1762" s="1">
        <v>0.57114500000001678</v>
      </c>
    </row>
    <row r="1763" spans="12:20" x14ac:dyDescent="0.25">
      <c r="L1763" s="1">
        <v>216.10000000001199</v>
      </c>
      <c r="M1763" s="1">
        <v>0.48348000000000002</v>
      </c>
      <c r="N1763" s="1">
        <v>0.57101500000001681</v>
      </c>
      <c r="O1763" s="1">
        <v>0.43515999999999999</v>
      </c>
      <c r="P1763" s="33">
        <v>0.37293000000003362</v>
      </c>
      <c r="Q1763" s="1">
        <v>0.53180000000000005</v>
      </c>
      <c r="R1763" s="1">
        <v>0.76910000000000001</v>
      </c>
      <c r="S1763" s="1">
        <v>0.48348000000000002</v>
      </c>
      <c r="T1763" s="1">
        <v>0.57101500000001681</v>
      </c>
    </row>
    <row r="1764" spans="12:20" x14ac:dyDescent="0.25">
      <c r="L1764" s="1">
        <v>216.20000000001099</v>
      </c>
      <c r="M1764" s="1">
        <v>0.48344999999999999</v>
      </c>
      <c r="N1764" s="1">
        <v>0.57088500000001685</v>
      </c>
      <c r="O1764" s="1">
        <v>0.43509999999999993</v>
      </c>
      <c r="P1764" s="33">
        <v>0.3726700000000337</v>
      </c>
      <c r="Q1764" s="1">
        <v>0.53180000000000005</v>
      </c>
      <c r="R1764" s="1">
        <v>0.76910000000000001</v>
      </c>
      <c r="S1764" s="1">
        <v>0.48344999999999999</v>
      </c>
      <c r="T1764" s="1">
        <v>0.57088500000001685</v>
      </c>
    </row>
    <row r="1765" spans="12:20" x14ac:dyDescent="0.25">
      <c r="L1765" s="1">
        <v>216.30000000001101</v>
      </c>
      <c r="M1765" s="1">
        <v>0.48342000000000002</v>
      </c>
      <c r="N1765" s="1">
        <v>0.57075500000001689</v>
      </c>
      <c r="O1765" s="1">
        <v>0.43503999999999998</v>
      </c>
      <c r="P1765" s="33">
        <v>0.37241000000003377</v>
      </c>
      <c r="Q1765" s="1">
        <v>0.53180000000000005</v>
      </c>
      <c r="R1765" s="1">
        <v>0.76910000000000001</v>
      </c>
      <c r="S1765" s="1">
        <v>0.48342000000000002</v>
      </c>
      <c r="T1765" s="1">
        <v>0.57075500000001689</v>
      </c>
    </row>
    <row r="1766" spans="12:20" x14ac:dyDescent="0.25">
      <c r="L1766" s="1">
        <v>216.400000000011</v>
      </c>
      <c r="M1766" s="1">
        <v>0.48338999999999999</v>
      </c>
      <c r="N1766" s="1">
        <v>0.57062500000001692</v>
      </c>
      <c r="O1766" s="1">
        <v>0.43497999999999992</v>
      </c>
      <c r="P1766" s="33">
        <v>0.37215000000003384</v>
      </c>
      <c r="Q1766" s="1">
        <v>0.53180000000000005</v>
      </c>
      <c r="R1766" s="1">
        <v>0.76910000000000001</v>
      </c>
      <c r="S1766" s="1">
        <v>0.48338999999999999</v>
      </c>
      <c r="T1766" s="1">
        <v>0.57062500000001692</v>
      </c>
    </row>
    <row r="1767" spans="12:20" x14ac:dyDescent="0.25">
      <c r="L1767" s="1">
        <v>216.50000000001199</v>
      </c>
      <c r="M1767" s="1">
        <v>0.48336000000000001</v>
      </c>
      <c r="N1767" s="1">
        <v>0.57049500000001696</v>
      </c>
      <c r="O1767" s="1">
        <v>0.43491999999999997</v>
      </c>
      <c r="P1767" s="33">
        <v>0.37189000000003392</v>
      </c>
      <c r="Q1767" s="1">
        <v>0.53180000000000005</v>
      </c>
      <c r="R1767" s="1">
        <v>0.76910000000000001</v>
      </c>
      <c r="S1767" s="1">
        <v>0.48336000000000001</v>
      </c>
      <c r="T1767" s="1">
        <v>0.57049500000001696</v>
      </c>
    </row>
    <row r="1768" spans="12:20" x14ac:dyDescent="0.25">
      <c r="L1768" s="1">
        <v>216.60000000001199</v>
      </c>
      <c r="M1768" s="1">
        <v>0.48332999999999998</v>
      </c>
      <c r="N1768" s="1">
        <v>0.570365000000017</v>
      </c>
      <c r="O1768" s="1">
        <v>0.43485999999999991</v>
      </c>
      <c r="P1768" s="33">
        <v>0.37163000000003399</v>
      </c>
      <c r="Q1768" s="1">
        <v>0.53180000000000005</v>
      </c>
      <c r="R1768" s="1">
        <v>0.76910000000000001</v>
      </c>
      <c r="S1768" s="1">
        <v>0.48332999999999998</v>
      </c>
      <c r="T1768" s="1">
        <v>0.570365000000017</v>
      </c>
    </row>
    <row r="1769" spans="12:20" x14ac:dyDescent="0.25">
      <c r="L1769" s="1">
        <v>216.70000000001201</v>
      </c>
      <c r="M1769" s="1">
        <v>0.48330000000000001</v>
      </c>
      <c r="N1769" s="1">
        <v>0.57023500000001703</v>
      </c>
      <c r="O1769" s="1">
        <v>0.43479999999999996</v>
      </c>
      <c r="P1769" s="33">
        <v>0.37137000000003406</v>
      </c>
      <c r="Q1769" s="1">
        <v>0.53180000000000005</v>
      </c>
      <c r="R1769" s="1">
        <v>0.76910000000000001</v>
      </c>
      <c r="S1769" s="1">
        <v>0.48330000000000001</v>
      </c>
      <c r="T1769" s="1">
        <v>0.57023500000001703</v>
      </c>
    </row>
    <row r="1770" spans="12:20" x14ac:dyDescent="0.25">
      <c r="L1770" s="1">
        <v>216.80000000001201</v>
      </c>
      <c r="M1770" s="1">
        <v>0.48326999999999998</v>
      </c>
      <c r="N1770" s="1">
        <v>0.57010500000001707</v>
      </c>
      <c r="O1770" s="1">
        <v>0.4347399999999999</v>
      </c>
      <c r="P1770" s="33">
        <v>0.37111000000003413</v>
      </c>
      <c r="Q1770" s="1">
        <v>0.53180000000000005</v>
      </c>
      <c r="R1770" s="1">
        <v>0.76910000000000001</v>
      </c>
      <c r="S1770" s="1">
        <v>0.48326999999999998</v>
      </c>
      <c r="T1770" s="1">
        <v>0.57010500000001707</v>
      </c>
    </row>
    <row r="1771" spans="12:20" x14ac:dyDescent="0.25">
      <c r="L1771" s="1">
        <v>216.900000000012</v>
      </c>
      <c r="M1771" s="1">
        <v>0.48324</v>
      </c>
      <c r="N1771" s="1">
        <v>0.56997500000001711</v>
      </c>
      <c r="O1771" s="1">
        <v>0.43467999999999996</v>
      </c>
      <c r="P1771" s="33">
        <v>0.37085000000003421</v>
      </c>
      <c r="Q1771" s="1">
        <v>0.53180000000000005</v>
      </c>
      <c r="R1771" s="1">
        <v>0.76910000000000001</v>
      </c>
      <c r="S1771" s="1">
        <v>0.48324</v>
      </c>
      <c r="T1771" s="1">
        <v>0.56997500000001711</v>
      </c>
    </row>
    <row r="1772" spans="12:20" x14ac:dyDescent="0.25">
      <c r="L1772" s="1">
        <v>217.00000000001199</v>
      </c>
      <c r="M1772" s="1">
        <v>0.48320999999999997</v>
      </c>
      <c r="N1772" s="1">
        <v>0.56984500000001714</v>
      </c>
      <c r="O1772" s="1">
        <v>0.4346199999999999</v>
      </c>
      <c r="P1772" s="33">
        <v>0.37059000000003428</v>
      </c>
      <c r="Q1772" s="1">
        <v>0.53180000000000005</v>
      </c>
      <c r="R1772" s="1">
        <v>0.76910000000000001</v>
      </c>
      <c r="S1772" s="1">
        <v>0.48320999999999997</v>
      </c>
      <c r="T1772" s="1">
        <v>0.56984500000001714</v>
      </c>
    </row>
    <row r="1773" spans="12:20" x14ac:dyDescent="0.25">
      <c r="L1773" s="1">
        <v>217.10000000001199</v>
      </c>
      <c r="M1773" s="1">
        <v>0.48318</v>
      </c>
      <c r="N1773" s="1">
        <v>0.56971500000001718</v>
      </c>
      <c r="O1773" s="1">
        <v>0.43455999999999995</v>
      </c>
      <c r="P1773" s="33">
        <v>0.37033000000003435</v>
      </c>
      <c r="Q1773" s="1">
        <v>0.53180000000000005</v>
      </c>
      <c r="R1773" s="1">
        <v>0.76910000000000001</v>
      </c>
      <c r="S1773" s="1">
        <v>0.48318</v>
      </c>
      <c r="T1773" s="1">
        <v>0.56971500000001718</v>
      </c>
    </row>
    <row r="1774" spans="12:20" x14ac:dyDescent="0.25">
      <c r="L1774" s="1">
        <v>217.20000000001201</v>
      </c>
      <c r="M1774" s="1">
        <v>0.48315000000000002</v>
      </c>
      <c r="N1774" s="1">
        <v>0.56958500000001722</v>
      </c>
      <c r="O1774" s="1">
        <v>0.4345</v>
      </c>
      <c r="P1774" s="33">
        <v>0.37007000000003443</v>
      </c>
      <c r="Q1774" s="1">
        <v>0.53180000000000005</v>
      </c>
      <c r="R1774" s="1">
        <v>0.76910000000000001</v>
      </c>
      <c r="S1774" s="1">
        <v>0.48315000000000002</v>
      </c>
      <c r="T1774" s="1">
        <v>0.56958500000001722</v>
      </c>
    </row>
    <row r="1775" spans="12:20" x14ac:dyDescent="0.25">
      <c r="L1775" s="1">
        <v>217.30000000001201</v>
      </c>
      <c r="M1775" s="1">
        <v>0.48311999999999999</v>
      </c>
      <c r="N1775" s="1">
        <v>0.56945500000001725</v>
      </c>
      <c r="O1775" s="1">
        <v>0.43443999999999994</v>
      </c>
      <c r="P1775" s="33">
        <v>0.3698100000000345</v>
      </c>
      <c r="Q1775" s="1">
        <v>0.53180000000000005</v>
      </c>
      <c r="R1775" s="1">
        <v>0.76910000000000001</v>
      </c>
      <c r="S1775" s="1">
        <v>0.48311999999999999</v>
      </c>
      <c r="T1775" s="1">
        <v>0.56945500000001725</v>
      </c>
    </row>
    <row r="1776" spans="12:20" x14ac:dyDescent="0.25">
      <c r="L1776" s="1">
        <v>217.400000000012</v>
      </c>
      <c r="M1776" s="1">
        <v>0.48309000000000002</v>
      </c>
      <c r="N1776" s="1">
        <v>0.56932500000001729</v>
      </c>
      <c r="O1776" s="1">
        <v>0.43437999999999999</v>
      </c>
      <c r="P1776" s="33">
        <v>0.36955000000003457</v>
      </c>
      <c r="Q1776" s="1">
        <v>0.53180000000000005</v>
      </c>
      <c r="R1776" s="1">
        <v>0.76910000000000001</v>
      </c>
      <c r="S1776" s="1">
        <v>0.48309000000000002</v>
      </c>
      <c r="T1776" s="1">
        <v>0.56932500000001729</v>
      </c>
    </row>
    <row r="1777" spans="12:20" x14ac:dyDescent="0.25">
      <c r="L1777" s="1">
        <v>217.50000000001199</v>
      </c>
      <c r="M1777" s="1">
        <v>0.48305999999999999</v>
      </c>
      <c r="N1777" s="1">
        <v>0.56919500000001733</v>
      </c>
      <c r="O1777" s="1">
        <v>0.43431999999999993</v>
      </c>
      <c r="P1777" s="33">
        <v>0.36929000000003465</v>
      </c>
      <c r="Q1777" s="1">
        <v>0.53180000000000005</v>
      </c>
      <c r="R1777" s="1">
        <v>0.76910000000000001</v>
      </c>
      <c r="S1777" s="1">
        <v>0.48305999999999999</v>
      </c>
      <c r="T1777" s="1">
        <v>0.56919500000001733</v>
      </c>
    </row>
    <row r="1778" spans="12:20" x14ac:dyDescent="0.25">
      <c r="L1778" s="1">
        <v>217.60000000001199</v>
      </c>
      <c r="M1778" s="1">
        <v>0.48303000000000001</v>
      </c>
      <c r="N1778" s="1">
        <v>0.56906500000001736</v>
      </c>
      <c r="O1778" s="1">
        <v>0.43425999999999998</v>
      </c>
      <c r="P1778" s="33">
        <v>0.36903000000003472</v>
      </c>
      <c r="Q1778" s="1">
        <v>0.53180000000000005</v>
      </c>
      <c r="R1778" s="1">
        <v>0.76910000000000001</v>
      </c>
      <c r="S1778" s="1">
        <v>0.48303000000000001</v>
      </c>
      <c r="T1778" s="1">
        <v>0.56906500000001736</v>
      </c>
    </row>
    <row r="1779" spans="12:20" x14ac:dyDescent="0.25">
      <c r="L1779" s="1">
        <v>217.70000000001201</v>
      </c>
      <c r="M1779" s="1">
        <v>0.48299999999999998</v>
      </c>
      <c r="N1779" s="1">
        <v>0.5689350000000174</v>
      </c>
      <c r="O1779" s="1">
        <v>0.43419999999999992</v>
      </c>
      <c r="P1779" s="33">
        <v>0.36877000000003479</v>
      </c>
      <c r="Q1779" s="1">
        <v>0.53180000000000005</v>
      </c>
      <c r="R1779" s="1">
        <v>0.76910000000000001</v>
      </c>
      <c r="S1779" s="1">
        <v>0.48299999999999998</v>
      </c>
      <c r="T1779" s="1">
        <v>0.5689350000000174</v>
      </c>
    </row>
    <row r="1780" spans="12:20" x14ac:dyDescent="0.25">
      <c r="L1780" s="1">
        <v>217.80000000001201</v>
      </c>
      <c r="M1780" s="1">
        <v>0.48297000000000001</v>
      </c>
      <c r="N1780" s="1">
        <v>0.56880500000001744</v>
      </c>
      <c r="O1780" s="1">
        <v>0.43413999999999997</v>
      </c>
      <c r="P1780" s="33">
        <v>0.36851000000003487</v>
      </c>
      <c r="Q1780" s="1">
        <v>0.53180000000000005</v>
      </c>
      <c r="R1780" s="1">
        <v>0.76910000000000001</v>
      </c>
      <c r="S1780" s="1">
        <v>0.48297000000000001</v>
      </c>
      <c r="T1780" s="1">
        <v>0.56880500000001744</v>
      </c>
    </row>
    <row r="1781" spans="12:20" x14ac:dyDescent="0.25">
      <c r="L1781" s="1">
        <v>217.900000000012</v>
      </c>
      <c r="M1781" s="1">
        <v>0.48293999999999998</v>
      </c>
      <c r="N1781" s="1">
        <v>0.56867500000001747</v>
      </c>
      <c r="O1781" s="1">
        <v>0.43407999999999991</v>
      </c>
      <c r="P1781" s="33">
        <v>0.36825000000003494</v>
      </c>
      <c r="Q1781" s="1">
        <v>0.53180000000000005</v>
      </c>
      <c r="R1781" s="1">
        <v>0.76910000000000001</v>
      </c>
      <c r="S1781" s="1">
        <v>0.48293999999999998</v>
      </c>
      <c r="T1781" s="1">
        <v>0.56867500000001747</v>
      </c>
    </row>
    <row r="1782" spans="12:20" x14ac:dyDescent="0.25">
      <c r="L1782" s="1">
        <v>218.00000000001199</v>
      </c>
      <c r="M1782" s="1">
        <v>0.48291000000000001</v>
      </c>
      <c r="N1782" s="1">
        <v>0.56854500000001751</v>
      </c>
      <c r="O1782" s="1">
        <v>0.43401999999999996</v>
      </c>
      <c r="P1782" s="33">
        <v>0.36799000000003501</v>
      </c>
      <c r="Q1782" s="1">
        <v>0.53180000000000005</v>
      </c>
      <c r="R1782" s="1">
        <v>0.76910000000000001</v>
      </c>
      <c r="S1782" s="1">
        <v>0.48291000000000001</v>
      </c>
      <c r="T1782" s="1">
        <v>0.56854500000001751</v>
      </c>
    </row>
    <row r="1783" spans="12:20" x14ac:dyDescent="0.25">
      <c r="L1783" s="1">
        <v>218.10000000001199</v>
      </c>
      <c r="M1783" s="1">
        <v>0.48287999999999998</v>
      </c>
      <c r="N1783" s="1">
        <v>0.56841500000001755</v>
      </c>
      <c r="O1783" s="1">
        <v>0.4339599999999999</v>
      </c>
      <c r="P1783" s="33">
        <v>0.36773000000003508</v>
      </c>
      <c r="Q1783" s="1">
        <v>0.53180000000000005</v>
      </c>
      <c r="R1783" s="1">
        <v>0.76910000000000001</v>
      </c>
      <c r="S1783" s="1">
        <v>0.48287999999999998</v>
      </c>
      <c r="T1783" s="1">
        <v>0.56841500000001755</v>
      </c>
    </row>
    <row r="1784" spans="12:20" x14ac:dyDescent="0.25">
      <c r="L1784" s="1">
        <v>218.20000000001201</v>
      </c>
      <c r="M1784" s="1">
        <v>0.48285</v>
      </c>
      <c r="N1784" s="1">
        <v>0.56828500000001758</v>
      </c>
      <c r="O1784" s="1">
        <v>0.43389999999999995</v>
      </c>
      <c r="P1784" s="33">
        <v>0.36747000000003516</v>
      </c>
      <c r="Q1784" s="1">
        <v>0.53180000000000005</v>
      </c>
      <c r="R1784" s="1">
        <v>0.76910000000000001</v>
      </c>
      <c r="S1784" s="1">
        <v>0.48285</v>
      </c>
      <c r="T1784" s="1">
        <v>0.56828500000001758</v>
      </c>
    </row>
    <row r="1785" spans="12:20" x14ac:dyDescent="0.25">
      <c r="L1785" s="1">
        <v>218.30000000001201</v>
      </c>
      <c r="M1785" s="1">
        <v>0.48282000000000003</v>
      </c>
      <c r="N1785" s="1">
        <v>0.56815500000001762</v>
      </c>
      <c r="O1785" s="1">
        <v>0.43384</v>
      </c>
      <c r="P1785" s="33">
        <v>0.36721000000003523</v>
      </c>
      <c r="Q1785" s="1">
        <v>0.53180000000000005</v>
      </c>
      <c r="R1785" s="1">
        <v>0.76910000000000001</v>
      </c>
      <c r="S1785" s="1">
        <v>0.48282000000000003</v>
      </c>
      <c r="T1785" s="1">
        <v>0.56815500000001762</v>
      </c>
    </row>
    <row r="1786" spans="12:20" x14ac:dyDescent="0.25">
      <c r="L1786" s="1">
        <v>218.400000000012</v>
      </c>
      <c r="M1786" s="1">
        <v>0.48279</v>
      </c>
      <c r="N1786" s="1">
        <v>0.56802500000001765</v>
      </c>
      <c r="O1786" s="1">
        <v>0.43377999999999994</v>
      </c>
      <c r="P1786" s="33">
        <v>0.3669500000000353</v>
      </c>
      <c r="Q1786" s="1">
        <v>0.53180000000000005</v>
      </c>
      <c r="R1786" s="1">
        <v>0.76910000000000001</v>
      </c>
      <c r="S1786" s="1">
        <v>0.48279</v>
      </c>
      <c r="T1786" s="1">
        <v>0.56802500000001765</v>
      </c>
    </row>
    <row r="1787" spans="12:20" x14ac:dyDescent="0.25">
      <c r="L1787" s="1">
        <v>218.50000000001199</v>
      </c>
      <c r="M1787" s="1">
        <v>0.48276000000000002</v>
      </c>
      <c r="N1787" s="1">
        <v>0.56789500000001769</v>
      </c>
      <c r="O1787" s="1">
        <v>0.43371999999999999</v>
      </c>
      <c r="P1787" s="33">
        <v>0.36669000000003538</v>
      </c>
      <c r="Q1787" s="1">
        <v>0.53180000000000005</v>
      </c>
      <c r="R1787" s="1">
        <v>0.76910000000000001</v>
      </c>
      <c r="S1787" s="1">
        <v>0.48276000000000002</v>
      </c>
      <c r="T1787" s="1">
        <v>0.56789500000001769</v>
      </c>
    </row>
    <row r="1788" spans="12:20" x14ac:dyDescent="0.25">
      <c r="L1788" s="1">
        <v>218.60000000001199</v>
      </c>
      <c r="M1788" s="1">
        <v>0.48272999999999999</v>
      </c>
      <c r="N1788" s="1">
        <v>0.56776500000001773</v>
      </c>
      <c r="O1788" s="1">
        <v>0.43365999999999993</v>
      </c>
      <c r="P1788" s="33">
        <v>0.36643000000003545</v>
      </c>
      <c r="Q1788" s="1">
        <v>0.53180000000000005</v>
      </c>
      <c r="R1788" s="1">
        <v>0.76910000000000001</v>
      </c>
      <c r="S1788" s="1">
        <v>0.48272999999999999</v>
      </c>
      <c r="T1788" s="1">
        <v>0.56776500000001773</v>
      </c>
    </row>
    <row r="1789" spans="12:20" x14ac:dyDescent="0.25">
      <c r="L1789" s="1">
        <v>218.70000000001201</v>
      </c>
      <c r="M1789" s="1">
        <v>0.48270000000000002</v>
      </c>
      <c r="N1789" s="1">
        <v>0.56763500000001776</v>
      </c>
      <c r="O1789" s="1">
        <v>0.43359999999999999</v>
      </c>
      <c r="P1789" s="33">
        <v>0.36617000000003552</v>
      </c>
      <c r="Q1789" s="1">
        <v>0.53180000000000005</v>
      </c>
      <c r="R1789" s="1">
        <v>0.76910000000000001</v>
      </c>
      <c r="S1789" s="1">
        <v>0.48270000000000002</v>
      </c>
      <c r="T1789" s="1">
        <v>0.56763500000001776</v>
      </c>
    </row>
    <row r="1790" spans="12:20" x14ac:dyDescent="0.25">
      <c r="L1790" s="1">
        <v>218.80000000001201</v>
      </c>
      <c r="M1790" s="1">
        <v>0.48266999999999999</v>
      </c>
      <c r="N1790" s="1">
        <v>0.5675050000000178</v>
      </c>
      <c r="O1790" s="1">
        <v>0.43353999999999993</v>
      </c>
      <c r="P1790" s="33">
        <v>0.3659100000000356</v>
      </c>
      <c r="Q1790" s="1">
        <v>0.53180000000000005</v>
      </c>
      <c r="R1790" s="1">
        <v>0.76910000000000001</v>
      </c>
      <c r="S1790" s="1">
        <v>0.48266999999999999</v>
      </c>
      <c r="T1790" s="1">
        <v>0.5675050000000178</v>
      </c>
    </row>
    <row r="1791" spans="12:20" x14ac:dyDescent="0.25">
      <c r="L1791" s="1">
        <v>218.900000000012</v>
      </c>
      <c r="M1791" s="1">
        <v>0.48264000000000001</v>
      </c>
      <c r="N1791" s="1">
        <v>0.56737500000001784</v>
      </c>
      <c r="O1791" s="1">
        <v>0.43347999999999998</v>
      </c>
      <c r="P1791" s="33">
        <v>0.36565000000003567</v>
      </c>
      <c r="Q1791" s="1">
        <v>0.53180000000000005</v>
      </c>
      <c r="R1791" s="1">
        <v>0.76910000000000001</v>
      </c>
      <c r="S1791" s="1">
        <v>0.48264000000000001</v>
      </c>
      <c r="T1791" s="1">
        <v>0.56737500000001784</v>
      </c>
    </row>
    <row r="1792" spans="12:20" x14ac:dyDescent="0.25">
      <c r="L1792" s="1">
        <v>219.00000000001199</v>
      </c>
      <c r="M1792" s="1">
        <v>0.48260500000000001</v>
      </c>
      <c r="N1792" s="1">
        <v>0.56724500000001787</v>
      </c>
      <c r="O1792" s="1">
        <v>0.43340999999999996</v>
      </c>
      <c r="P1792" s="33">
        <v>0.36539000000003574</v>
      </c>
      <c r="Q1792" s="1">
        <v>0.53180000000000005</v>
      </c>
      <c r="R1792" s="1">
        <v>0.76910000000000001</v>
      </c>
      <c r="S1792" s="1">
        <v>0.48260500000000001</v>
      </c>
      <c r="T1792" s="1">
        <v>0.56724500000001787</v>
      </c>
    </row>
    <row r="1793" spans="12:20" x14ac:dyDescent="0.25">
      <c r="L1793" s="1">
        <v>219.10000000001199</v>
      </c>
      <c r="M1793" s="1">
        <v>0.48257499999999998</v>
      </c>
      <c r="N1793" s="1">
        <v>0.56711500000001791</v>
      </c>
      <c r="O1793" s="1">
        <v>0.4333499999999999</v>
      </c>
      <c r="P1793" s="33">
        <v>0.36513000000003581</v>
      </c>
      <c r="Q1793" s="1">
        <v>0.53180000000000005</v>
      </c>
      <c r="R1793" s="1">
        <v>0.76910000000000001</v>
      </c>
      <c r="S1793" s="1">
        <v>0.48257499999999998</v>
      </c>
      <c r="T1793" s="1">
        <v>0.56711500000001791</v>
      </c>
    </row>
    <row r="1794" spans="12:20" x14ac:dyDescent="0.25">
      <c r="L1794" s="1">
        <v>219.20000000001201</v>
      </c>
      <c r="M1794" s="1">
        <v>0.482545</v>
      </c>
      <c r="N1794" s="1">
        <v>0.56698500000001795</v>
      </c>
      <c r="O1794" s="1">
        <v>0.43328999999999995</v>
      </c>
      <c r="P1794" s="33">
        <v>0.36487000000003589</v>
      </c>
      <c r="Q1794" s="1">
        <v>0.53180000000000005</v>
      </c>
      <c r="R1794" s="1">
        <v>0.76910000000000001</v>
      </c>
      <c r="S1794" s="1">
        <v>0.482545</v>
      </c>
      <c r="T1794" s="1">
        <v>0.56698500000001795</v>
      </c>
    </row>
    <row r="1795" spans="12:20" x14ac:dyDescent="0.25">
      <c r="L1795" s="1">
        <v>219.30000000001201</v>
      </c>
      <c r="M1795" s="1">
        <v>0.48251500000000003</v>
      </c>
      <c r="N1795" s="1">
        <v>0.56685500000001798</v>
      </c>
      <c r="O1795" s="1">
        <v>0.43323</v>
      </c>
      <c r="P1795" s="33">
        <v>0.36461000000003596</v>
      </c>
      <c r="Q1795" s="1">
        <v>0.53180000000000005</v>
      </c>
      <c r="R1795" s="1">
        <v>0.76910000000000001</v>
      </c>
      <c r="S1795" s="1">
        <v>0.48251500000000003</v>
      </c>
      <c r="T1795" s="1">
        <v>0.56685500000001798</v>
      </c>
    </row>
    <row r="1796" spans="12:20" x14ac:dyDescent="0.25">
      <c r="L1796" s="1">
        <v>219.400000000012</v>
      </c>
      <c r="M1796" s="1">
        <v>0.482485</v>
      </c>
      <c r="N1796" s="1">
        <v>0.56672500000001802</v>
      </c>
      <c r="O1796" s="1">
        <v>0.43316999999999994</v>
      </c>
      <c r="P1796" s="33">
        <v>0.36435000000003603</v>
      </c>
      <c r="Q1796" s="1">
        <v>0.53180000000000005</v>
      </c>
      <c r="R1796" s="1">
        <v>0.76910000000000001</v>
      </c>
      <c r="S1796" s="1">
        <v>0.482485</v>
      </c>
      <c r="T1796" s="1">
        <v>0.56672500000001802</v>
      </c>
    </row>
    <row r="1797" spans="12:20" x14ac:dyDescent="0.25">
      <c r="L1797" s="1">
        <v>219.50000000001199</v>
      </c>
      <c r="M1797" s="1">
        <v>0.48245500000000002</v>
      </c>
      <c r="N1797" s="1">
        <v>0.56659500000001806</v>
      </c>
      <c r="O1797" s="1">
        <v>0.43310999999999999</v>
      </c>
      <c r="P1797" s="33">
        <v>0.36409000000003611</v>
      </c>
      <c r="Q1797" s="1">
        <v>0.53180000000000005</v>
      </c>
      <c r="R1797" s="1">
        <v>0.76910000000000001</v>
      </c>
      <c r="S1797" s="1">
        <v>0.48245500000000002</v>
      </c>
      <c r="T1797" s="1">
        <v>0.56659500000001806</v>
      </c>
    </row>
    <row r="1798" spans="12:20" x14ac:dyDescent="0.25">
      <c r="L1798" s="1">
        <v>219.60000000001199</v>
      </c>
      <c r="M1798" s="1">
        <v>0.48242499999999999</v>
      </c>
      <c r="N1798" s="1">
        <v>0.56646500000001809</v>
      </c>
      <c r="O1798" s="1">
        <v>0.43304999999999993</v>
      </c>
      <c r="P1798" s="33">
        <v>0.36383000000003618</v>
      </c>
      <c r="Q1798" s="1">
        <v>0.53180000000000005</v>
      </c>
      <c r="R1798" s="1">
        <v>0.76910000000000001</v>
      </c>
      <c r="S1798" s="1">
        <v>0.48242499999999999</v>
      </c>
      <c r="T1798" s="1">
        <v>0.56646500000001809</v>
      </c>
    </row>
    <row r="1799" spans="12:20" x14ac:dyDescent="0.25">
      <c r="L1799" s="1">
        <v>219.70000000001201</v>
      </c>
      <c r="M1799" s="1">
        <v>0.48239500000000002</v>
      </c>
      <c r="N1799" s="1">
        <v>0.56633500000001813</v>
      </c>
      <c r="O1799" s="1">
        <v>0.43298999999999999</v>
      </c>
      <c r="P1799" s="33">
        <v>0.36357000000003625</v>
      </c>
      <c r="Q1799" s="1">
        <v>0.53180000000000005</v>
      </c>
      <c r="R1799" s="1">
        <v>0.76910000000000001</v>
      </c>
      <c r="S1799" s="1">
        <v>0.48239500000000002</v>
      </c>
      <c r="T1799" s="1">
        <v>0.56633500000001813</v>
      </c>
    </row>
    <row r="1800" spans="12:20" x14ac:dyDescent="0.25">
      <c r="L1800" s="1">
        <v>219.80000000001201</v>
      </c>
      <c r="M1800" s="1">
        <v>0.48236499999999999</v>
      </c>
      <c r="N1800" s="1">
        <v>0.56620500000001817</v>
      </c>
      <c r="O1800" s="1">
        <v>0.43292999999999993</v>
      </c>
      <c r="P1800" s="33">
        <v>0.36331000000003633</v>
      </c>
      <c r="Q1800" s="1">
        <v>0.53180000000000005</v>
      </c>
      <c r="R1800" s="1">
        <v>0.76910000000000001</v>
      </c>
      <c r="S1800" s="1">
        <v>0.48236499999999999</v>
      </c>
      <c r="T1800" s="1">
        <v>0.56620500000001817</v>
      </c>
    </row>
    <row r="1801" spans="12:20" x14ac:dyDescent="0.25">
      <c r="L1801" s="1">
        <v>219.900000000012</v>
      </c>
      <c r="M1801" s="1">
        <v>0.48233500000000001</v>
      </c>
      <c r="N1801" s="1">
        <v>0.5660750000000182</v>
      </c>
      <c r="O1801" s="1">
        <v>0.43286999999999998</v>
      </c>
      <c r="P1801" s="33">
        <v>0.3630500000000364</v>
      </c>
      <c r="Q1801" s="1">
        <v>0.53180000000000005</v>
      </c>
      <c r="R1801" s="1">
        <v>0.76910000000000001</v>
      </c>
      <c r="S1801" s="1">
        <v>0.48233500000000001</v>
      </c>
      <c r="T1801" s="1">
        <v>0.5660750000000182</v>
      </c>
    </row>
    <row r="1802" spans="12:20" x14ac:dyDescent="0.25">
      <c r="L1802" s="1">
        <v>220.00000000001199</v>
      </c>
      <c r="M1802" s="1">
        <v>0.48230499999999998</v>
      </c>
      <c r="N1802" s="1">
        <v>0.56594500000001824</v>
      </c>
      <c r="O1802" s="1">
        <v>0.43280999999999992</v>
      </c>
      <c r="P1802" s="33">
        <v>0.36279000000003647</v>
      </c>
      <c r="Q1802" s="1">
        <v>0.53180000000000005</v>
      </c>
      <c r="R1802" s="1">
        <v>0.76910000000000001</v>
      </c>
      <c r="S1802" s="1">
        <v>0.48230499999999998</v>
      </c>
      <c r="T1802" s="1">
        <v>0.56594500000001824</v>
      </c>
    </row>
    <row r="1803" spans="12:20" x14ac:dyDescent="0.25">
      <c r="L1803" s="1">
        <v>220.10000000001199</v>
      </c>
      <c r="M1803" s="1">
        <v>0.48227500000000001</v>
      </c>
      <c r="N1803" s="1">
        <v>0.56581500000001828</v>
      </c>
      <c r="O1803" s="1">
        <v>0.43274999999999997</v>
      </c>
      <c r="P1803" s="33">
        <v>0.36253000000003655</v>
      </c>
      <c r="Q1803" s="1">
        <v>0.53180000000000005</v>
      </c>
      <c r="R1803" s="1">
        <v>0.76910000000000001</v>
      </c>
      <c r="S1803" s="1">
        <v>0.48227500000000001</v>
      </c>
      <c r="T1803" s="1">
        <v>0.56581500000001828</v>
      </c>
    </row>
    <row r="1804" spans="12:20" x14ac:dyDescent="0.25">
      <c r="L1804" s="1">
        <v>220.20000000001201</v>
      </c>
      <c r="M1804" s="1">
        <v>0.48224499999999998</v>
      </c>
      <c r="N1804" s="1">
        <v>0.56568500000001831</v>
      </c>
      <c r="O1804" s="1">
        <v>0.43268999999999991</v>
      </c>
      <c r="P1804" s="33">
        <v>0.36227000000003662</v>
      </c>
      <c r="Q1804" s="1">
        <v>0.53180000000000005</v>
      </c>
      <c r="R1804" s="1">
        <v>0.76910000000000001</v>
      </c>
      <c r="S1804" s="1">
        <v>0.48224499999999998</v>
      </c>
      <c r="T1804" s="1">
        <v>0.56568500000001831</v>
      </c>
    </row>
    <row r="1805" spans="12:20" x14ac:dyDescent="0.25">
      <c r="L1805" s="1">
        <v>220.30000000001201</v>
      </c>
      <c r="M1805" s="1">
        <v>0.482215</v>
      </c>
      <c r="N1805" s="1">
        <v>0.56555500000001835</v>
      </c>
      <c r="O1805" s="1">
        <v>0.43262999999999996</v>
      </c>
      <c r="P1805" s="33">
        <v>0.36201000000003669</v>
      </c>
      <c r="Q1805" s="1">
        <v>0.53180000000000005</v>
      </c>
      <c r="R1805" s="1">
        <v>0.76910000000000001</v>
      </c>
      <c r="S1805" s="1">
        <v>0.482215</v>
      </c>
      <c r="T1805" s="1">
        <v>0.56555500000001835</v>
      </c>
    </row>
    <row r="1806" spans="12:20" x14ac:dyDescent="0.25">
      <c r="L1806" s="1">
        <v>220.400000000012</v>
      </c>
      <c r="M1806" s="1">
        <v>0.48218499999999997</v>
      </c>
      <c r="N1806" s="1">
        <v>0.56542500000001839</v>
      </c>
      <c r="O1806" s="1">
        <v>0.4325699999999999</v>
      </c>
      <c r="P1806" s="33">
        <v>0.36175000000003676</v>
      </c>
      <c r="Q1806" s="1">
        <v>0.53180000000000005</v>
      </c>
      <c r="R1806" s="1">
        <v>0.76910000000000001</v>
      </c>
      <c r="S1806" s="1">
        <v>0.48218499999999997</v>
      </c>
      <c r="T1806" s="1">
        <v>0.56542500000001839</v>
      </c>
    </row>
    <row r="1807" spans="12:20" x14ac:dyDescent="0.25">
      <c r="L1807" s="1">
        <v>220.50000000001299</v>
      </c>
      <c r="M1807" s="1">
        <v>0.482155</v>
      </c>
      <c r="N1807" s="1">
        <v>0.56529500000001842</v>
      </c>
      <c r="O1807" s="1">
        <v>0.43250999999999995</v>
      </c>
      <c r="P1807" s="33">
        <v>0.36149000000003684</v>
      </c>
      <c r="Q1807" s="1">
        <v>0.53180000000000005</v>
      </c>
      <c r="R1807" s="1">
        <v>0.76910000000000001</v>
      </c>
      <c r="S1807" s="1">
        <v>0.482155</v>
      </c>
      <c r="T1807" s="1">
        <v>0.56529500000001842</v>
      </c>
    </row>
    <row r="1808" spans="12:20" x14ac:dyDescent="0.25">
      <c r="L1808" s="1">
        <v>220.60000000001199</v>
      </c>
      <c r="M1808" s="1">
        <v>0.48212500000000003</v>
      </c>
      <c r="N1808" s="1">
        <v>0.56516500000001846</v>
      </c>
      <c r="O1808" s="1">
        <v>0.43245</v>
      </c>
      <c r="P1808" s="33">
        <v>0.36123000000003691</v>
      </c>
      <c r="Q1808" s="1">
        <v>0.53180000000000005</v>
      </c>
      <c r="R1808" s="1">
        <v>0.76910000000000001</v>
      </c>
      <c r="S1808" s="1">
        <v>0.48212500000000003</v>
      </c>
      <c r="T1808" s="1">
        <v>0.56516500000001846</v>
      </c>
    </row>
    <row r="1809" spans="12:20" x14ac:dyDescent="0.25">
      <c r="L1809" s="1">
        <v>220.70000000001201</v>
      </c>
      <c r="M1809" s="1">
        <v>0.482095</v>
      </c>
      <c r="N1809" s="1">
        <v>0.56503500000001849</v>
      </c>
      <c r="O1809" s="1">
        <v>0.43238999999999994</v>
      </c>
      <c r="P1809" s="33">
        <v>0.36097000000003698</v>
      </c>
      <c r="Q1809" s="1">
        <v>0.53180000000000005</v>
      </c>
      <c r="R1809" s="1">
        <v>0.76910000000000001</v>
      </c>
      <c r="S1809" s="1">
        <v>0.482095</v>
      </c>
      <c r="T1809" s="1">
        <v>0.56503500000001849</v>
      </c>
    </row>
    <row r="1810" spans="12:20" x14ac:dyDescent="0.25">
      <c r="L1810" s="1">
        <v>220.80000000001201</v>
      </c>
      <c r="M1810" s="1">
        <v>0.48206500000000002</v>
      </c>
      <c r="N1810" s="1">
        <v>0.56490500000001853</v>
      </c>
      <c r="O1810" s="1">
        <v>0.43232999999999999</v>
      </c>
      <c r="P1810" s="33">
        <v>0.36071000000003706</v>
      </c>
      <c r="Q1810" s="1">
        <v>0.53180000000000005</v>
      </c>
      <c r="R1810" s="1">
        <v>0.76910000000000001</v>
      </c>
      <c r="S1810" s="1">
        <v>0.48206500000000002</v>
      </c>
      <c r="T1810" s="1">
        <v>0.56490500000001853</v>
      </c>
    </row>
    <row r="1811" spans="12:20" x14ac:dyDescent="0.25">
      <c r="L1811" s="1">
        <v>220.90000000001299</v>
      </c>
      <c r="M1811" s="1">
        <v>0.48203499999999999</v>
      </c>
      <c r="N1811" s="1">
        <v>0.56477500000001857</v>
      </c>
      <c r="O1811" s="1">
        <v>0.43226999999999993</v>
      </c>
      <c r="P1811" s="33">
        <v>0.36045000000003713</v>
      </c>
      <c r="Q1811" s="1">
        <v>0.53180000000000005</v>
      </c>
      <c r="R1811" s="1">
        <v>0.76910000000000001</v>
      </c>
      <c r="S1811" s="1">
        <v>0.48203499999999999</v>
      </c>
      <c r="T1811" s="1">
        <v>0.56477500000001857</v>
      </c>
    </row>
    <row r="1812" spans="12:20" x14ac:dyDescent="0.25">
      <c r="L1812" s="1">
        <v>221.00000000001299</v>
      </c>
      <c r="M1812" s="1">
        <v>0.48200500000000002</v>
      </c>
      <c r="N1812" s="1">
        <v>0.5646450000000186</v>
      </c>
      <c r="O1812" s="1">
        <v>0.43220999999999998</v>
      </c>
      <c r="P1812" s="33">
        <v>0.3601900000000372</v>
      </c>
      <c r="Q1812" s="1">
        <v>0.53180000000000005</v>
      </c>
      <c r="R1812" s="1">
        <v>0.76910000000000001</v>
      </c>
      <c r="S1812" s="1">
        <v>0.48200500000000002</v>
      </c>
      <c r="T1812" s="1">
        <v>0.5646450000000186</v>
      </c>
    </row>
    <row r="1813" spans="12:20" x14ac:dyDescent="0.25">
      <c r="L1813" s="1">
        <v>221.10000000001301</v>
      </c>
      <c r="M1813" s="1">
        <v>0.48197499999999999</v>
      </c>
      <c r="N1813" s="1">
        <v>0.56451500000001864</v>
      </c>
      <c r="O1813" s="1">
        <v>0.43214999999999992</v>
      </c>
      <c r="P1813" s="33">
        <v>0.35993000000003728</v>
      </c>
      <c r="Q1813" s="1">
        <v>0.53180000000000005</v>
      </c>
      <c r="R1813" s="1">
        <v>0.76910000000000001</v>
      </c>
      <c r="S1813" s="1">
        <v>0.48197499999999999</v>
      </c>
      <c r="T1813" s="1">
        <v>0.56451500000001864</v>
      </c>
    </row>
    <row r="1814" spans="12:20" x14ac:dyDescent="0.25">
      <c r="L1814" s="1">
        <v>221.20000000001301</v>
      </c>
      <c r="M1814" s="1">
        <v>0.48194500000000001</v>
      </c>
      <c r="N1814" s="1">
        <v>0.56438500000001868</v>
      </c>
      <c r="O1814" s="1">
        <v>0.43208999999999997</v>
      </c>
      <c r="P1814" s="33">
        <v>0.35967000000003735</v>
      </c>
      <c r="Q1814" s="1">
        <v>0.53180000000000005</v>
      </c>
      <c r="R1814" s="1">
        <v>0.76910000000000001</v>
      </c>
      <c r="S1814" s="1">
        <v>0.48194500000000001</v>
      </c>
      <c r="T1814" s="1">
        <v>0.56438500000001868</v>
      </c>
    </row>
    <row r="1815" spans="12:20" x14ac:dyDescent="0.25">
      <c r="L1815" s="1">
        <v>221.300000000013</v>
      </c>
      <c r="M1815" s="1">
        <v>0.48191499999999998</v>
      </c>
      <c r="N1815" s="1">
        <v>0.56425500000001871</v>
      </c>
      <c r="O1815" s="1">
        <v>0.43202999999999991</v>
      </c>
      <c r="P1815" s="33">
        <v>0.35941000000003742</v>
      </c>
      <c r="Q1815" s="1">
        <v>0.53180000000000005</v>
      </c>
      <c r="R1815" s="1">
        <v>0.76910000000000001</v>
      </c>
      <c r="S1815" s="1">
        <v>0.48191499999999998</v>
      </c>
      <c r="T1815" s="1">
        <v>0.56425500000001871</v>
      </c>
    </row>
    <row r="1816" spans="12:20" x14ac:dyDescent="0.25">
      <c r="L1816" s="1">
        <v>221.40000000001299</v>
      </c>
      <c r="M1816" s="1">
        <v>0.48188500000000001</v>
      </c>
      <c r="N1816" s="1">
        <v>0.56412500000001875</v>
      </c>
      <c r="O1816" s="1">
        <v>0.43196999999999997</v>
      </c>
      <c r="P1816" s="33">
        <v>0.35915000000003749</v>
      </c>
      <c r="Q1816" s="1">
        <v>0.53180000000000005</v>
      </c>
      <c r="R1816" s="1">
        <v>0.76910000000000001</v>
      </c>
      <c r="S1816" s="1">
        <v>0.48188500000000001</v>
      </c>
      <c r="T1816" s="1">
        <v>0.56412500000001875</v>
      </c>
    </row>
    <row r="1817" spans="12:20" x14ac:dyDescent="0.25">
      <c r="L1817" s="1">
        <v>221.50000000001299</v>
      </c>
      <c r="M1817" s="1">
        <v>0.48185499999999998</v>
      </c>
      <c r="N1817" s="1">
        <v>0.56399500000001879</v>
      </c>
      <c r="O1817" s="1">
        <v>0.43190999999999991</v>
      </c>
      <c r="P1817" s="33">
        <v>0.35889000000003757</v>
      </c>
      <c r="Q1817" s="1">
        <v>0.53180000000000005</v>
      </c>
      <c r="R1817" s="1">
        <v>0.76910000000000001</v>
      </c>
      <c r="S1817" s="1">
        <v>0.48185499999999998</v>
      </c>
      <c r="T1817" s="1">
        <v>0.56399500000001879</v>
      </c>
    </row>
    <row r="1818" spans="12:20" x14ac:dyDescent="0.25">
      <c r="L1818" s="1">
        <v>221.60000000001301</v>
      </c>
      <c r="M1818" s="1">
        <v>0.481825</v>
      </c>
      <c r="N1818" s="1">
        <v>0.56386500000001882</v>
      </c>
      <c r="O1818" s="1">
        <v>0.43184999999999996</v>
      </c>
      <c r="P1818" s="33">
        <v>0.35863000000003764</v>
      </c>
      <c r="Q1818" s="1">
        <v>0.53180000000000005</v>
      </c>
      <c r="R1818" s="1">
        <v>0.76910000000000001</v>
      </c>
      <c r="S1818" s="1">
        <v>0.481825</v>
      </c>
      <c r="T1818" s="1">
        <v>0.56386500000001882</v>
      </c>
    </row>
    <row r="1819" spans="12:20" x14ac:dyDescent="0.25">
      <c r="L1819" s="1">
        <v>221.70000000001301</v>
      </c>
      <c r="M1819" s="1">
        <v>0.48179499999999997</v>
      </c>
      <c r="N1819" s="1">
        <v>0.56373500000001886</v>
      </c>
      <c r="O1819" s="1">
        <v>0.4317899999999999</v>
      </c>
      <c r="P1819" s="33">
        <v>0.35837000000003771</v>
      </c>
      <c r="Q1819" s="1">
        <v>0.53180000000000005</v>
      </c>
      <c r="R1819" s="1">
        <v>0.76910000000000001</v>
      </c>
      <c r="S1819" s="1">
        <v>0.48179499999999997</v>
      </c>
      <c r="T1819" s="1">
        <v>0.56373500000001886</v>
      </c>
    </row>
    <row r="1820" spans="12:20" x14ac:dyDescent="0.25">
      <c r="L1820" s="1">
        <v>221.800000000013</v>
      </c>
      <c r="M1820" s="1">
        <v>0.481765</v>
      </c>
      <c r="N1820" s="1">
        <v>0.5636050000000189</v>
      </c>
      <c r="O1820" s="1">
        <v>0.43172999999999995</v>
      </c>
      <c r="P1820" s="33">
        <v>0.35811000000003779</v>
      </c>
      <c r="Q1820" s="1">
        <v>0.53180000000000005</v>
      </c>
      <c r="R1820" s="1">
        <v>0.76910000000000001</v>
      </c>
      <c r="S1820" s="1">
        <v>0.481765</v>
      </c>
      <c r="T1820" s="1">
        <v>0.5636050000000189</v>
      </c>
    </row>
    <row r="1821" spans="12:20" x14ac:dyDescent="0.25">
      <c r="L1821" s="1">
        <v>221.90000000001299</v>
      </c>
      <c r="M1821" s="1">
        <v>0.48173500000000002</v>
      </c>
      <c r="N1821" s="1">
        <v>0.56347500000001893</v>
      </c>
      <c r="O1821" s="1">
        <v>0.43167</v>
      </c>
      <c r="P1821" s="33">
        <v>0.35785000000003786</v>
      </c>
      <c r="Q1821" s="1">
        <v>0.53180000000000005</v>
      </c>
      <c r="R1821" s="1">
        <v>0.76910000000000001</v>
      </c>
      <c r="S1821" s="1">
        <v>0.48173500000000002</v>
      </c>
      <c r="T1821" s="1">
        <v>0.56347500000001893</v>
      </c>
    </row>
    <row r="1822" spans="12:20" x14ac:dyDescent="0.25">
      <c r="L1822" s="1">
        <v>222.00000000001299</v>
      </c>
      <c r="M1822" s="1">
        <v>0.48170499999999999</v>
      </c>
      <c r="N1822" s="1">
        <v>0.56334500000001897</v>
      </c>
      <c r="O1822" s="1">
        <v>0.43160999999999994</v>
      </c>
      <c r="P1822" s="33">
        <v>0.35759000000003793</v>
      </c>
      <c r="Q1822" s="1">
        <v>0.53180000000000005</v>
      </c>
      <c r="R1822" s="1">
        <v>0.76910000000000001</v>
      </c>
      <c r="S1822" s="1">
        <v>0.48170499999999999</v>
      </c>
      <c r="T1822" s="1">
        <v>0.56334500000001897</v>
      </c>
    </row>
    <row r="1823" spans="12:20" x14ac:dyDescent="0.25">
      <c r="L1823" s="1">
        <v>222.10000000001301</v>
      </c>
      <c r="M1823" s="1">
        <v>0.48167500000000002</v>
      </c>
      <c r="N1823" s="1">
        <v>0.56321500000001901</v>
      </c>
      <c r="O1823" s="1">
        <v>0.43154999999999999</v>
      </c>
      <c r="P1823" s="33">
        <v>0.35733000000003801</v>
      </c>
      <c r="Q1823" s="1">
        <v>0.53180000000000005</v>
      </c>
      <c r="R1823" s="1">
        <v>0.76910000000000001</v>
      </c>
      <c r="S1823" s="1">
        <v>0.48167500000000002</v>
      </c>
      <c r="T1823" s="1">
        <v>0.56321500000001901</v>
      </c>
    </row>
    <row r="1824" spans="12:20" x14ac:dyDescent="0.25">
      <c r="L1824" s="1">
        <v>222.20000000001301</v>
      </c>
      <c r="M1824" s="1">
        <v>0.48164499999999999</v>
      </c>
      <c r="N1824" s="1">
        <v>0.56308500000001904</v>
      </c>
      <c r="O1824" s="1">
        <v>0.43148999999999993</v>
      </c>
      <c r="P1824" s="33">
        <v>0.35707000000003808</v>
      </c>
      <c r="Q1824" s="1">
        <v>0.53180000000000005</v>
      </c>
      <c r="R1824" s="1">
        <v>0.76910000000000001</v>
      </c>
      <c r="S1824" s="1">
        <v>0.48164499999999999</v>
      </c>
      <c r="T1824" s="1">
        <v>0.56308500000001904</v>
      </c>
    </row>
    <row r="1825" spans="12:20" x14ac:dyDescent="0.25">
      <c r="L1825" s="1">
        <v>222.300000000013</v>
      </c>
      <c r="M1825" s="1">
        <v>0.48161500000000002</v>
      </c>
      <c r="N1825" s="1">
        <v>0.56295500000001908</v>
      </c>
      <c r="O1825" s="1">
        <v>0.43142999999999998</v>
      </c>
      <c r="P1825" s="33">
        <v>0.35681000000003815</v>
      </c>
      <c r="Q1825" s="1">
        <v>0.53180000000000005</v>
      </c>
      <c r="R1825" s="1">
        <v>0.76910000000000001</v>
      </c>
      <c r="S1825" s="1">
        <v>0.48161500000000002</v>
      </c>
      <c r="T1825" s="1">
        <v>0.56295500000001908</v>
      </c>
    </row>
    <row r="1826" spans="12:20" x14ac:dyDescent="0.25">
      <c r="L1826" s="1">
        <v>222.40000000001299</v>
      </c>
      <c r="M1826" s="1">
        <v>0.48158499999999999</v>
      </c>
      <c r="N1826" s="1">
        <v>0.56282500000001912</v>
      </c>
      <c r="O1826" s="1">
        <v>0.43136999999999992</v>
      </c>
      <c r="P1826" s="33">
        <v>0.35655000000003823</v>
      </c>
      <c r="Q1826" s="1">
        <v>0.53180000000000005</v>
      </c>
      <c r="R1826" s="1">
        <v>0.76910000000000001</v>
      </c>
      <c r="S1826" s="1">
        <v>0.48158499999999999</v>
      </c>
      <c r="T1826" s="1">
        <v>0.56282500000001912</v>
      </c>
    </row>
    <row r="1827" spans="12:20" x14ac:dyDescent="0.25">
      <c r="L1827" s="1">
        <v>222.50000000001299</v>
      </c>
      <c r="M1827" s="1">
        <v>0.48155500000000001</v>
      </c>
      <c r="N1827" s="1">
        <v>0.56269500000001915</v>
      </c>
      <c r="O1827" s="1">
        <v>0.43130999999999997</v>
      </c>
      <c r="P1827" s="33">
        <v>0.3562900000000383</v>
      </c>
      <c r="Q1827" s="1">
        <v>0.53180000000000005</v>
      </c>
      <c r="R1827" s="1">
        <v>0.76910000000000001</v>
      </c>
      <c r="S1827" s="1">
        <v>0.48155500000000001</v>
      </c>
      <c r="T1827" s="1">
        <v>0.56269500000001915</v>
      </c>
    </row>
    <row r="1828" spans="12:20" x14ac:dyDescent="0.25">
      <c r="L1828" s="1">
        <v>222.60000000001301</v>
      </c>
      <c r="M1828" s="1">
        <v>0.48152499999999998</v>
      </c>
      <c r="N1828" s="1">
        <v>0.56256500000001919</v>
      </c>
      <c r="O1828" s="1">
        <v>0.43125000000000002</v>
      </c>
      <c r="P1828" s="33">
        <v>0.35603000000003837</v>
      </c>
      <c r="Q1828" s="1">
        <v>0.53180000000000005</v>
      </c>
      <c r="R1828" s="1">
        <v>0.76910000000000001</v>
      </c>
      <c r="S1828" s="1">
        <v>0.48152499999999998</v>
      </c>
      <c r="T1828" s="1">
        <v>0.56256500000001919</v>
      </c>
    </row>
    <row r="1829" spans="12:20" x14ac:dyDescent="0.25">
      <c r="L1829" s="1">
        <v>222.70000000001301</v>
      </c>
      <c r="M1829" s="1">
        <v>0.48149500000000001</v>
      </c>
      <c r="N1829" s="1">
        <v>0.56243500000001923</v>
      </c>
      <c r="O1829" s="1">
        <v>0.43118999999999996</v>
      </c>
      <c r="P1829" s="33">
        <v>0.35577000000003844</v>
      </c>
      <c r="Q1829" s="1">
        <v>0.53180000000000005</v>
      </c>
      <c r="R1829" s="1">
        <v>0.76910000000000001</v>
      </c>
      <c r="S1829" s="1">
        <v>0.48149500000000001</v>
      </c>
      <c r="T1829" s="1">
        <v>0.56243500000001923</v>
      </c>
    </row>
    <row r="1830" spans="12:20" x14ac:dyDescent="0.25">
      <c r="L1830" s="1">
        <v>222.800000000013</v>
      </c>
      <c r="M1830" s="1">
        <v>0.48146499999999998</v>
      </c>
      <c r="N1830" s="1">
        <v>0.56230500000001926</v>
      </c>
      <c r="O1830" s="1">
        <v>0.4311299999999999</v>
      </c>
      <c r="P1830" s="33">
        <v>0.35551000000003852</v>
      </c>
      <c r="Q1830" s="1">
        <v>0.53180000000000005</v>
      </c>
      <c r="R1830" s="1">
        <v>0.76910000000000001</v>
      </c>
      <c r="S1830" s="1">
        <v>0.48146499999999998</v>
      </c>
      <c r="T1830" s="1">
        <v>0.56230500000001926</v>
      </c>
    </row>
    <row r="1831" spans="12:20" x14ac:dyDescent="0.25">
      <c r="L1831" s="1">
        <v>222.90000000001299</v>
      </c>
      <c r="M1831" s="1">
        <v>0.481435</v>
      </c>
      <c r="N1831" s="1">
        <v>0.5621750000000193</v>
      </c>
      <c r="O1831" s="1">
        <v>0.43106999999999995</v>
      </c>
      <c r="P1831" s="33">
        <v>0.35525000000003859</v>
      </c>
      <c r="Q1831" s="1">
        <v>0.53180000000000005</v>
      </c>
      <c r="R1831" s="1">
        <v>0.76910000000000001</v>
      </c>
      <c r="S1831" s="1">
        <v>0.481435</v>
      </c>
      <c r="T1831" s="1">
        <v>0.5621750000000193</v>
      </c>
    </row>
    <row r="1832" spans="12:20" x14ac:dyDescent="0.25">
      <c r="L1832" s="1">
        <v>223.00000000001299</v>
      </c>
      <c r="M1832" s="1">
        <v>0.48140500000000003</v>
      </c>
      <c r="N1832" s="1">
        <v>0.56204500000001933</v>
      </c>
      <c r="O1832" s="1">
        <v>0.43101</v>
      </c>
      <c r="P1832" s="33">
        <v>0.35499000000003866</v>
      </c>
      <c r="Q1832" s="1">
        <v>0.53180000000000005</v>
      </c>
      <c r="R1832" s="1">
        <v>0.76910000000000001</v>
      </c>
      <c r="S1832" s="1">
        <v>0.48140500000000003</v>
      </c>
      <c r="T1832" s="1">
        <v>0.56204500000001933</v>
      </c>
    </row>
    <row r="1833" spans="12:20" x14ac:dyDescent="0.25">
      <c r="L1833" s="1">
        <v>223.10000000001301</v>
      </c>
      <c r="M1833" s="1">
        <v>0.481375</v>
      </c>
      <c r="N1833" s="1">
        <v>0.56191500000001937</v>
      </c>
      <c r="O1833" s="1">
        <v>0.43094999999999994</v>
      </c>
      <c r="P1833" s="33">
        <v>0.35473000000003874</v>
      </c>
      <c r="Q1833" s="1">
        <v>0.53180000000000005</v>
      </c>
      <c r="R1833" s="1">
        <v>0.76910000000000001</v>
      </c>
      <c r="S1833" s="1">
        <v>0.481375</v>
      </c>
      <c r="T1833" s="1">
        <v>0.56191500000001937</v>
      </c>
    </row>
    <row r="1834" spans="12:20" x14ac:dyDescent="0.25">
      <c r="L1834" s="1">
        <v>223.20000000001301</v>
      </c>
      <c r="M1834" s="1">
        <v>0.48134500000000002</v>
      </c>
      <c r="N1834" s="1">
        <v>0.56178500000001941</v>
      </c>
      <c r="O1834" s="1">
        <v>0.43089</v>
      </c>
      <c r="P1834" s="33">
        <v>0.35447000000003881</v>
      </c>
      <c r="Q1834" s="1">
        <v>0.53180000000000005</v>
      </c>
      <c r="R1834" s="1">
        <v>0.76910000000000001</v>
      </c>
      <c r="S1834" s="1">
        <v>0.48134500000000002</v>
      </c>
      <c r="T1834" s="1">
        <v>0.56178500000001941</v>
      </c>
    </row>
    <row r="1835" spans="12:20" x14ac:dyDescent="0.25">
      <c r="L1835" s="1">
        <v>223.300000000013</v>
      </c>
      <c r="M1835" s="1">
        <v>0.48131499999999999</v>
      </c>
      <c r="N1835" s="1">
        <v>0.56165500000001944</v>
      </c>
      <c r="O1835" s="1">
        <v>0.43082999999999994</v>
      </c>
      <c r="P1835" s="33">
        <v>0.35421000000003888</v>
      </c>
      <c r="Q1835" s="1">
        <v>0.53180000000000005</v>
      </c>
      <c r="R1835" s="1">
        <v>0.76910000000000001</v>
      </c>
      <c r="S1835" s="1">
        <v>0.48131499999999999</v>
      </c>
      <c r="T1835" s="1">
        <v>0.56165500000001944</v>
      </c>
    </row>
    <row r="1836" spans="12:20" x14ac:dyDescent="0.25">
      <c r="L1836" s="1">
        <v>223.40000000001299</v>
      </c>
      <c r="M1836" s="1">
        <v>0.48128500000000002</v>
      </c>
      <c r="N1836" s="1">
        <v>0.56152500000001948</v>
      </c>
      <c r="O1836" s="1">
        <v>0.43076999999999999</v>
      </c>
      <c r="P1836" s="33">
        <v>0.35395000000003896</v>
      </c>
      <c r="Q1836" s="1">
        <v>0.53180000000000005</v>
      </c>
      <c r="R1836" s="1">
        <v>0.76910000000000001</v>
      </c>
      <c r="S1836" s="1">
        <v>0.48128500000000002</v>
      </c>
      <c r="T1836" s="1">
        <v>0.56152500000001948</v>
      </c>
    </row>
    <row r="1837" spans="12:20" x14ac:dyDescent="0.25">
      <c r="L1837" s="1">
        <v>223.50000000001299</v>
      </c>
      <c r="M1837" s="1">
        <v>0.48125499999999999</v>
      </c>
      <c r="N1837" s="1">
        <v>0.56139500000001952</v>
      </c>
      <c r="O1837" s="1">
        <v>0.43070999999999993</v>
      </c>
      <c r="P1837" s="33">
        <v>0.35369000000003903</v>
      </c>
      <c r="Q1837" s="1">
        <v>0.53180000000000005</v>
      </c>
      <c r="R1837" s="1">
        <v>0.76910000000000001</v>
      </c>
      <c r="S1837" s="1">
        <v>0.48125499999999999</v>
      </c>
      <c r="T1837" s="1">
        <v>0.56139500000001952</v>
      </c>
    </row>
    <row r="1838" spans="12:20" x14ac:dyDescent="0.25">
      <c r="L1838" s="1">
        <v>223.60000000001301</v>
      </c>
      <c r="M1838" s="1">
        <v>0.48122500000000001</v>
      </c>
      <c r="N1838" s="1">
        <v>0.56126500000001955</v>
      </c>
      <c r="O1838" s="1">
        <v>0.43064999999999998</v>
      </c>
      <c r="P1838" s="33">
        <v>0.3534300000000391</v>
      </c>
      <c r="Q1838" s="1">
        <v>0.53180000000000005</v>
      </c>
      <c r="R1838" s="1">
        <v>0.76910000000000001</v>
      </c>
      <c r="S1838" s="1">
        <v>0.48122500000000001</v>
      </c>
      <c r="T1838" s="1">
        <v>0.56126500000001955</v>
      </c>
    </row>
    <row r="1839" spans="12:20" x14ac:dyDescent="0.25">
      <c r="L1839" s="1">
        <v>223.70000000001301</v>
      </c>
      <c r="M1839" s="1">
        <v>0.48119499999999998</v>
      </c>
      <c r="N1839" s="1">
        <v>0.56113500000001959</v>
      </c>
      <c r="O1839" s="1">
        <v>0.43058999999999992</v>
      </c>
      <c r="P1839" s="33">
        <v>0.35317000000003917</v>
      </c>
      <c r="Q1839" s="1">
        <v>0.53180000000000005</v>
      </c>
      <c r="R1839" s="1">
        <v>0.76910000000000001</v>
      </c>
      <c r="S1839" s="1">
        <v>0.48119499999999998</v>
      </c>
      <c r="T1839" s="1">
        <v>0.56113500000001959</v>
      </c>
    </row>
    <row r="1840" spans="12:20" x14ac:dyDescent="0.25">
      <c r="L1840" s="1">
        <v>223.800000000013</v>
      </c>
      <c r="M1840" s="1">
        <v>0.48116500000000001</v>
      </c>
      <c r="N1840" s="1">
        <v>0.56100500000001963</v>
      </c>
      <c r="O1840" s="1">
        <v>0.43052999999999997</v>
      </c>
      <c r="P1840" s="33">
        <v>0.35291000000003925</v>
      </c>
      <c r="Q1840" s="1">
        <v>0.53180000000000005</v>
      </c>
      <c r="R1840" s="1">
        <v>0.76910000000000001</v>
      </c>
      <c r="S1840" s="1">
        <v>0.48116500000000001</v>
      </c>
      <c r="T1840" s="1">
        <v>0.56100500000001963</v>
      </c>
    </row>
    <row r="1841" spans="12:20" x14ac:dyDescent="0.25">
      <c r="L1841" s="1">
        <v>223.90000000001299</v>
      </c>
      <c r="M1841" s="1">
        <v>0.48113499999999998</v>
      </c>
      <c r="N1841" s="1">
        <v>0.56087500000001966</v>
      </c>
      <c r="O1841" s="1">
        <v>0.43046999999999991</v>
      </c>
      <c r="P1841" s="33">
        <v>0.35265000000003932</v>
      </c>
      <c r="Q1841" s="1">
        <v>0.53180000000000005</v>
      </c>
      <c r="R1841" s="1">
        <v>0.76910000000000001</v>
      </c>
      <c r="S1841" s="1">
        <v>0.48113499999999998</v>
      </c>
      <c r="T1841" s="1">
        <v>0.56087500000001966</v>
      </c>
    </row>
    <row r="1842" spans="12:20" x14ac:dyDescent="0.25">
      <c r="L1842" s="1">
        <v>224.00000000001299</v>
      </c>
      <c r="M1842" s="1">
        <v>0.481105</v>
      </c>
      <c r="N1842" s="1">
        <v>0.5607450000000197</v>
      </c>
      <c r="O1842" s="1">
        <v>0.43040999999999996</v>
      </c>
      <c r="P1842" s="33">
        <v>0.35239000000003939</v>
      </c>
      <c r="Q1842" s="1">
        <v>0.53180000000000005</v>
      </c>
      <c r="R1842" s="1">
        <v>0.76910000000000001</v>
      </c>
      <c r="S1842" s="1">
        <v>0.481105</v>
      </c>
      <c r="T1842" s="1">
        <v>0.5607450000000197</v>
      </c>
    </row>
    <row r="1843" spans="12:20" x14ac:dyDescent="0.25">
      <c r="L1843" s="1">
        <v>224.10000000001301</v>
      </c>
      <c r="M1843" s="1">
        <v>0.48107499999999997</v>
      </c>
      <c r="N1843" s="1">
        <v>0.56061500000001974</v>
      </c>
      <c r="O1843" s="1">
        <v>0.4303499999999999</v>
      </c>
      <c r="P1843" s="33">
        <v>0.35213000000003947</v>
      </c>
      <c r="Q1843" s="1">
        <v>0.53180000000000005</v>
      </c>
      <c r="R1843" s="1">
        <v>0.76910000000000001</v>
      </c>
      <c r="S1843" s="1">
        <v>0.48107499999999997</v>
      </c>
      <c r="T1843" s="1">
        <v>0.56061500000001974</v>
      </c>
    </row>
    <row r="1844" spans="12:20" x14ac:dyDescent="0.25">
      <c r="L1844" s="1">
        <v>224.20000000001301</v>
      </c>
      <c r="M1844" s="1">
        <v>0.481045</v>
      </c>
      <c r="N1844" s="1">
        <v>0.56048500000001977</v>
      </c>
      <c r="O1844" s="1">
        <v>0.43028999999999995</v>
      </c>
      <c r="P1844" s="33">
        <v>0.35187000000003954</v>
      </c>
      <c r="Q1844" s="1">
        <v>0.53180000000000005</v>
      </c>
      <c r="R1844" s="1">
        <v>0.76910000000000001</v>
      </c>
      <c r="S1844" s="1">
        <v>0.481045</v>
      </c>
      <c r="T1844" s="1">
        <v>0.56048500000001977</v>
      </c>
    </row>
    <row r="1845" spans="12:20" x14ac:dyDescent="0.25">
      <c r="L1845" s="1">
        <v>224.300000000013</v>
      </c>
      <c r="M1845" s="1">
        <v>0.48101500000000003</v>
      </c>
      <c r="N1845" s="1">
        <v>0.56035500000001981</v>
      </c>
      <c r="O1845" s="1">
        <v>0.43023</v>
      </c>
      <c r="P1845" s="33">
        <v>0.35161000000003961</v>
      </c>
      <c r="Q1845" s="1">
        <v>0.53180000000000005</v>
      </c>
      <c r="R1845" s="1">
        <v>0.76910000000000001</v>
      </c>
      <c r="S1845" s="1">
        <v>0.48101500000000003</v>
      </c>
      <c r="T1845" s="1">
        <v>0.56035500000001981</v>
      </c>
    </row>
    <row r="1846" spans="12:20" x14ac:dyDescent="0.25">
      <c r="L1846" s="1">
        <v>224.40000000001299</v>
      </c>
      <c r="M1846" s="1">
        <v>0.480985</v>
      </c>
      <c r="N1846" s="1">
        <v>0.56022500000001985</v>
      </c>
      <c r="O1846" s="1">
        <v>0.43016999999999994</v>
      </c>
      <c r="P1846" s="33">
        <v>0.35135000000003969</v>
      </c>
      <c r="Q1846" s="1">
        <v>0.53180000000000005</v>
      </c>
      <c r="R1846" s="1">
        <v>0.76910000000000001</v>
      </c>
      <c r="S1846" s="1">
        <v>0.480985</v>
      </c>
      <c r="T1846" s="1">
        <v>0.56022500000001985</v>
      </c>
    </row>
    <row r="1847" spans="12:20" x14ac:dyDescent="0.25">
      <c r="L1847" s="1">
        <v>224.50000000001299</v>
      </c>
      <c r="M1847" s="1">
        <v>0.48095500000000002</v>
      </c>
      <c r="N1847" s="1">
        <v>0.56009500000001988</v>
      </c>
      <c r="O1847" s="1">
        <v>0.43010999999999999</v>
      </c>
      <c r="P1847" s="33">
        <v>0.35109000000003976</v>
      </c>
      <c r="Q1847" s="1">
        <v>0.53180000000000005</v>
      </c>
      <c r="R1847" s="1">
        <v>0.76910000000000001</v>
      </c>
      <c r="S1847" s="1">
        <v>0.48095500000000002</v>
      </c>
      <c r="T1847" s="1">
        <v>0.56009500000001988</v>
      </c>
    </row>
    <row r="1848" spans="12:20" x14ac:dyDescent="0.25">
      <c r="L1848" s="1">
        <v>224.60000000001301</v>
      </c>
      <c r="M1848" s="1">
        <v>0.48092499999999999</v>
      </c>
      <c r="N1848" s="1">
        <v>0.55996500000001992</v>
      </c>
      <c r="O1848" s="1">
        <v>0.43004999999999993</v>
      </c>
      <c r="P1848" s="33">
        <v>0.35083000000003983</v>
      </c>
      <c r="Q1848" s="1">
        <v>0.53180000000000005</v>
      </c>
      <c r="R1848" s="1">
        <v>0.76910000000000001</v>
      </c>
      <c r="S1848" s="1">
        <v>0.48092499999999999</v>
      </c>
      <c r="T1848" s="1">
        <v>0.55996500000001992</v>
      </c>
    </row>
    <row r="1849" spans="12:20" x14ac:dyDescent="0.25">
      <c r="L1849" s="1">
        <v>224.70000000001301</v>
      </c>
      <c r="M1849" s="1">
        <v>0.48088999999999998</v>
      </c>
      <c r="N1849" s="1">
        <v>0.55983500000001996</v>
      </c>
      <c r="O1849" s="1">
        <v>0.42997999999999992</v>
      </c>
      <c r="P1849" s="33">
        <v>0.35057000000003991</v>
      </c>
      <c r="Q1849" s="1">
        <v>0.53180000000000005</v>
      </c>
      <c r="R1849" s="1">
        <v>0.76910000000000001</v>
      </c>
      <c r="S1849" s="1">
        <v>0.48088999999999998</v>
      </c>
      <c r="T1849" s="1">
        <v>0.55983500000001996</v>
      </c>
    </row>
    <row r="1850" spans="12:20" x14ac:dyDescent="0.25">
      <c r="L1850" s="1">
        <v>224.800000000013</v>
      </c>
      <c r="M1850" s="1">
        <v>0.48086000000000001</v>
      </c>
      <c r="N1850" s="1">
        <v>0.55970500000001999</v>
      </c>
      <c r="O1850" s="1">
        <v>0.42991999999999997</v>
      </c>
      <c r="P1850" s="33">
        <v>0.35031000000003998</v>
      </c>
      <c r="Q1850" s="1">
        <v>0.53180000000000005</v>
      </c>
      <c r="R1850" s="1">
        <v>0.76910000000000001</v>
      </c>
      <c r="S1850" s="1">
        <v>0.48086000000000001</v>
      </c>
      <c r="T1850" s="1">
        <v>0.55970500000001999</v>
      </c>
    </row>
    <row r="1851" spans="12:20" x14ac:dyDescent="0.25">
      <c r="L1851" s="1">
        <v>224.90000000001399</v>
      </c>
      <c r="M1851" s="1">
        <v>0.48082999999999998</v>
      </c>
      <c r="N1851" s="1">
        <v>0.55957500000002003</v>
      </c>
      <c r="O1851" s="1">
        <v>0.42985999999999991</v>
      </c>
      <c r="P1851" s="33">
        <v>0.35005000000004005</v>
      </c>
      <c r="Q1851" s="1">
        <v>0.53180000000000005</v>
      </c>
      <c r="R1851" s="1">
        <v>0.76910000000000001</v>
      </c>
      <c r="S1851" s="1">
        <v>0.48082999999999998</v>
      </c>
      <c r="T1851" s="1">
        <v>0.55957500000002003</v>
      </c>
    </row>
    <row r="1852" spans="12:20" x14ac:dyDescent="0.25">
      <c r="L1852" s="1">
        <v>225.00000000001299</v>
      </c>
      <c r="M1852" s="1">
        <v>0.48080499999999998</v>
      </c>
      <c r="N1852" s="1">
        <v>0.55944500000002007</v>
      </c>
      <c r="O1852" s="1">
        <v>0.42980999999999991</v>
      </c>
      <c r="P1852" s="33">
        <v>0.34979000000004012</v>
      </c>
      <c r="Q1852" s="1">
        <v>0.53180000000000005</v>
      </c>
      <c r="R1852" s="1">
        <v>0.76910000000000001</v>
      </c>
      <c r="S1852" s="1">
        <v>0.48080499999999998</v>
      </c>
      <c r="T1852" s="1">
        <v>0.55944500000002007</v>
      </c>
    </row>
    <row r="1853" spans="12:20" x14ac:dyDescent="0.25">
      <c r="L1853" s="1">
        <v>225.10000000001301</v>
      </c>
      <c r="M1853" s="1">
        <v>0.48078500000000002</v>
      </c>
      <c r="N1853" s="1">
        <v>0.5593150000000201</v>
      </c>
      <c r="O1853" s="1">
        <v>0.42976999999999999</v>
      </c>
      <c r="P1853" s="33">
        <v>0.3495300000000402</v>
      </c>
      <c r="Q1853" s="1">
        <v>0.53180000000000005</v>
      </c>
      <c r="R1853" s="1">
        <v>0.76910000000000001</v>
      </c>
      <c r="S1853" s="1">
        <v>0.48078500000000002</v>
      </c>
      <c r="T1853" s="1">
        <v>0.5593150000000201</v>
      </c>
    </row>
    <row r="1854" spans="12:20" x14ac:dyDescent="0.25">
      <c r="L1854" s="1">
        <v>225.20000000001301</v>
      </c>
      <c r="M1854" s="1">
        <v>0.480765</v>
      </c>
      <c r="N1854" s="1">
        <v>0.55918500000002014</v>
      </c>
      <c r="O1854" s="1">
        <v>0.42972999999999995</v>
      </c>
      <c r="P1854" s="33">
        <v>0.34927000000004027</v>
      </c>
      <c r="Q1854" s="1">
        <v>0.53180000000000005</v>
      </c>
      <c r="R1854" s="1">
        <v>0.76910000000000001</v>
      </c>
      <c r="S1854" s="1">
        <v>0.480765</v>
      </c>
      <c r="T1854" s="1">
        <v>0.55918500000002014</v>
      </c>
    </row>
    <row r="1855" spans="12:20" x14ac:dyDescent="0.25">
      <c r="L1855" s="1">
        <v>225.30000000001399</v>
      </c>
      <c r="M1855" s="1">
        <v>0.48074499999999998</v>
      </c>
      <c r="N1855" s="1">
        <v>0.55905500000002017</v>
      </c>
      <c r="O1855" s="1">
        <v>0.42968999999999991</v>
      </c>
      <c r="P1855" s="33">
        <v>0.34901000000004034</v>
      </c>
      <c r="Q1855" s="1">
        <v>0.53180000000000005</v>
      </c>
      <c r="R1855" s="1">
        <v>0.76910000000000001</v>
      </c>
      <c r="S1855" s="1">
        <v>0.48074499999999998</v>
      </c>
      <c r="T1855" s="1">
        <v>0.55905500000002017</v>
      </c>
    </row>
    <row r="1856" spans="12:20" x14ac:dyDescent="0.25">
      <c r="L1856" s="1">
        <v>225.40000000001399</v>
      </c>
      <c r="M1856" s="1">
        <v>0.48072500000000001</v>
      </c>
      <c r="N1856" s="1">
        <v>0.55892500000002021</v>
      </c>
      <c r="O1856" s="1">
        <v>0.42964999999999998</v>
      </c>
      <c r="P1856" s="33">
        <v>0.34875000000004042</v>
      </c>
      <c r="Q1856" s="1">
        <v>0.53180000000000005</v>
      </c>
      <c r="R1856" s="1">
        <v>0.76910000000000001</v>
      </c>
      <c r="S1856" s="1">
        <v>0.48072500000000001</v>
      </c>
      <c r="T1856" s="1">
        <v>0.55892500000002021</v>
      </c>
    </row>
    <row r="1857" spans="12:20" x14ac:dyDescent="0.25">
      <c r="L1857" s="1">
        <v>225.50000000001401</v>
      </c>
      <c r="M1857" s="1">
        <v>0.48070499999999999</v>
      </c>
      <c r="N1857" s="1">
        <v>0.55879500000002025</v>
      </c>
      <c r="O1857" s="1">
        <v>0.42960999999999994</v>
      </c>
      <c r="P1857" s="33">
        <v>0.34849000000004049</v>
      </c>
      <c r="Q1857" s="1">
        <v>0.53180000000000005</v>
      </c>
      <c r="R1857" s="1">
        <v>0.76910000000000001</v>
      </c>
      <c r="S1857" s="1">
        <v>0.48070499999999999</v>
      </c>
      <c r="T1857" s="1">
        <v>0.55879500000002025</v>
      </c>
    </row>
    <row r="1858" spans="12:20" x14ac:dyDescent="0.25">
      <c r="L1858" s="1">
        <v>225.60000000001401</v>
      </c>
      <c r="M1858" s="1">
        <v>0.48068499999999997</v>
      </c>
      <c r="N1858" s="1">
        <v>0.55866500000002028</v>
      </c>
      <c r="O1858" s="1">
        <v>0.4295699999999999</v>
      </c>
      <c r="P1858" s="33">
        <v>0.34823000000004056</v>
      </c>
      <c r="Q1858" s="1">
        <v>0.53180000000000005</v>
      </c>
      <c r="R1858" s="1">
        <v>0.76910000000000001</v>
      </c>
      <c r="S1858" s="1">
        <v>0.48068499999999997</v>
      </c>
      <c r="T1858" s="1">
        <v>0.55866500000002028</v>
      </c>
    </row>
    <row r="1859" spans="12:20" x14ac:dyDescent="0.25">
      <c r="L1859" s="1">
        <v>225.700000000014</v>
      </c>
      <c r="M1859" s="1">
        <v>0.48066500000000001</v>
      </c>
      <c r="N1859" s="1">
        <v>0.55853500000002032</v>
      </c>
      <c r="O1859" s="1">
        <v>0.42952999999999997</v>
      </c>
      <c r="P1859" s="33">
        <v>0.34797000000004064</v>
      </c>
      <c r="Q1859" s="1">
        <v>0.53180000000000005</v>
      </c>
      <c r="R1859" s="1">
        <v>0.76910000000000001</v>
      </c>
      <c r="S1859" s="1">
        <v>0.48066500000000001</v>
      </c>
      <c r="T1859" s="1">
        <v>0.55853500000002032</v>
      </c>
    </row>
    <row r="1860" spans="12:20" x14ac:dyDescent="0.25">
      <c r="L1860" s="1">
        <v>225.80000000001399</v>
      </c>
      <c r="M1860" s="1">
        <v>0.48064499999999999</v>
      </c>
      <c r="N1860" s="1">
        <v>0.55840500000002036</v>
      </c>
      <c r="O1860" s="1">
        <v>0.42948999999999993</v>
      </c>
      <c r="P1860" s="33">
        <v>0.34771000000004071</v>
      </c>
      <c r="Q1860" s="1">
        <v>0.53180000000000005</v>
      </c>
      <c r="R1860" s="1">
        <v>0.76910000000000001</v>
      </c>
      <c r="S1860" s="1">
        <v>0.48064499999999999</v>
      </c>
      <c r="T1860" s="1">
        <v>0.55840500000002036</v>
      </c>
    </row>
    <row r="1861" spans="12:20" x14ac:dyDescent="0.25">
      <c r="L1861" s="1">
        <v>225.90000000001399</v>
      </c>
      <c r="M1861" s="1">
        <v>0.48062500000000002</v>
      </c>
      <c r="N1861" s="1">
        <v>0.55827500000002039</v>
      </c>
      <c r="O1861" s="1">
        <v>0.42945</v>
      </c>
      <c r="P1861" s="33">
        <v>0.34745000000004078</v>
      </c>
      <c r="Q1861" s="1">
        <v>0.53180000000000005</v>
      </c>
      <c r="R1861" s="1">
        <v>0.76910000000000001</v>
      </c>
      <c r="S1861" s="1">
        <v>0.48062500000000002</v>
      </c>
      <c r="T1861" s="1">
        <v>0.55827500000002039</v>
      </c>
    </row>
    <row r="1862" spans="12:20" x14ac:dyDescent="0.25">
      <c r="L1862" s="1">
        <v>226.00000000001401</v>
      </c>
      <c r="M1862" s="1">
        <v>0.480605</v>
      </c>
      <c r="N1862" s="1">
        <v>0.55814500000002043</v>
      </c>
      <c r="O1862" s="1">
        <v>0.42940999999999996</v>
      </c>
      <c r="P1862" s="33">
        <v>0.34719000000004085</v>
      </c>
      <c r="Q1862" s="1">
        <v>0.53180000000000005</v>
      </c>
      <c r="R1862" s="1">
        <v>0.76910000000000001</v>
      </c>
      <c r="S1862" s="1">
        <v>0.480605</v>
      </c>
      <c r="T1862" s="1">
        <v>0.55814500000002043</v>
      </c>
    </row>
    <row r="1863" spans="12:20" x14ac:dyDescent="0.25">
      <c r="L1863" s="1">
        <v>226.10000000001401</v>
      </c>
      <c r="M1863" s="1">
        <v>0.48058499999999998</v>
      </c>
      <c r="N1863" s="1">
        <v>0.55801500000002047</v>
      </c>
      <c r="O1863" s="1">
        <v>0.42936999999999992</v>
      </c>
      <c r="P1863" s="33">
        <v>0.34693000000004093</v>
      </c>
      <c r="Q1863" s="1">
        <v>0.53180000000000005</v>
      </c>
      <c r="R1863" s="1">
        <v>0.76910000000000001</v>
      </c>
      <c r="S1863" s="1">
        <v>0.48058499999999998</v>
      </c>
      <c r="T1863" s="1">
        <v>0.55801500000002047</v>
      </c>
    </row>
    <row r="1864" spans="12:20" x14ac:dyDescent="0.25">
      <c r="L1864" s="1">
        <v>226.200000000014</v>
      </c>
      <c r="M1864" s="1">
        <v>0.48056500000000002</v>
      </c>
      <c r="N1864" s="1">
        <v>0.5578850000000205</v>
      </c>
      <c r="O1864" s="1">
        <v>0.42932999999999999</v>
      </c>
      <c r="P1864" s="33">
        <v>0.346670000000041</v>
      </c>
      <c r="Q1864" s="1">
        <v>0.53180000000000005</v>
      </c>
      <c r="R1864" s="1">
        <v>0.76910000000000001</v>
      </c>
      <c r="S1864" s="1">
        <v>0.48056500000000002</v>
      </c>
      <c r="T1864" s="1">
        <v>0.5578850000000205</v>
      </c>
    </row>
    <row r="1865" spans="12:20" x14ac:dyDescent="0.25">
      <c r="L1865" s="1">
        <v>226.30000000001399</v>
      </c>
      <c r="M1865" s="1">
        <v>0.480545</v>
      </c>
      <c r="N1865" s="1">
        <v>0.55775500000002054</v>
      </c>
      <c r="O1865" s="1">
        <v>0.42928999999999995</v>
      </c>
      <c r="P1865" s="33">
        <v>0.34641000000004107</v>
      </c>
      <c r="Q1865" s="1">
        <v>0.53180000000000005</v>
      </c>
      <c r="R1865" s="1">
        <v>0.76910000000000001</v>
      </c>
      <c r="S1865" s="1">
        <v>0.480545</v>
      </c>
      <c r="T1865" s="1">
        <v>0.55775500000002054</v>
      </c>
    </row>
    <row r="1866" spans="12:20" x14ac:dyDescent="0.25">
      <c r="L1866" s="1">
        <v>226.40000000001399</v>
      </c>
      <c r="M1866" s="1">
        <v>0.48052499999999998</v>
      </c>
      <c r="N1866" s="1">
        <v>0.55762500000002058</v>
      </c>
      <c r="O1866" s="1">
        <v>0.42924999999999991</v>
      </c>
      <c r="P1866" s="33">
        <v>0.34615000000004115</v>
      </c>
      <c r="Q1866" s="1">
        <v>0.53180000000000005</v>
      </c>
      <c r="R1866" s="1">
        <v>0.76910000000000001</v>
      </c>
      <c r="S1866" s="1">
        <v>0.48052499999999998</v>
      </c>
      <c r="T1866" s="1">
        <v>0.55762500000002058</v>
      </c>
    </row>
    <row r="1867" spans="12:20" x14ac:dyDescent="0.25">
      <c r="L1867" s="1">
        <v>226.50000000001401</v>
      </c>
      <c r="M1867" s="1">
        <v>0.48050500000000002</v>
      </c>
      <c r="N1867" s="1">
        <v>0.55749500000002061</v>
      </c>
      <c r="O1867" s="1">
        <v>0.42920999999999998</v>
      </c>
      <c r="P1867" s="33">
        <v>0.34589000000004122</v>
      </c>
      <c r="Q1867" s="1">
        <v>0.53180000000000005</v>
      </c>
      <c r="R1867" s="1">
        <v>0.76910000000000001</v>
      </c>
      <c r="S1867" s="1">
        <v>0.48050500000000002</v>
      </c>
      <c r="T1867" s="1">
        <v>0.55749500000002061</v>
      </c>
    </row>
    <row r="1868" spans="12:20" x14ac:dyDescent="0.25">
      <c r="L1868" s="1">
        <v>226.60000000001401</v>
      </c>
      <c r="M1868" s="1">
        <v>0.480485</v>
      </c>
      <c r="N1868" s="1">
        <v>0.55736500000002065</v>
      </c>
      <c r="O1868" s="1">
        <v>0.42916999999999994</v>
      </c>
      <c r="P1868" s="33">
        <v>0.34563000000004129</v>
      </c>
      <c r="Q1868" s="1">
        <v>0.53180000000000005</v>
      </c>
      <c r="R1868" s="1">
        <v>0.76910000000000001</v>
      </c>
      <c r="S1868" s="1">
        <v>0.480485</v>
      </c>
      <c r="T1868" s="1">
        <v>0.55736500000002065</v>
      </c>
    </row>
    <row r="1869" spans="12:20" x14ac:dyDescent="0.25">
      <c r="L1869" s="1">
        <v>226.700000000014</v>
      </c>
      <c r="M1869" s="1">
        <v>0.48046499999999998</v>
      </c>
      <c r="N1869" s="1">
        <v>0.55723500000002069</v>
      </c>
      <c r="O1869" s="1">
        <v>0.4291299999999999</v>
      </c>
      <c r="P1869" s="33">
        <v>0.34537000000004137</v>
      </c>
      <c r="Q1869" s="1">
        <v>0.53180000000000005</v>
      </c>
      <c r="R1869" s="1">
        <v>0.76910000000000001</v>
      </c>
      <c r="S1869" s="1">
        <v>0.48046499999999998</v>
      </c>
      <c r="T1869" s="1">
        <v>0.55723500000002069</v>
      </c>
    </row>
    <row r="1870" spans="12:20" x14ac:dyDescent="0.25">
      <c r="L1870" s="1">
        <v>226.80000000001399</v>
      </c>
      <c r="M1870" s="1">
        <v>0.48044500000000001</v>
      </c>
      <c r="N1870" s="1">
        <v>0.55710500000002072</v>
      </c>
      <c r="O1870" s="1">
        <v>0.42908999999999997</v>
      </c>
      <c r="P1870" s="33">
        <v>0.34511000000004144</v>
      </c>
      <c r="Q1870" s="1">
        <v>0.53180000000000005</v>
      </c>
      <c r="R1870" s="1">
        <v>0.76910000000000001</v>
      </c>
      <c r="S1870" s="1">
        <v>0.48044500000000001</v>
      </c>
      <c r="T1870" s="1">
        <v>0.55710500000002072</v>
      </c>
    </row>
    <row r="1871" spans="12:20" x14ac:dyDescent="0.25">
      <c r="L1871" s="1">
        <v>226.90000000001399</v>
      </c>
      <c r="M1871" s="1">
        <v>0.48042499999999999</v>
      </c>
      <c r="N1871" s="1">
        <v>0.55697500000002076</v>
      </c>
      <c r="O1871" s="1">
        <v>0.42904999999999993</v>
      </c>
      <c r="P1871" s="33">
        <v>0.34485000000004151</v>
      </c>
      <c r="Q1871" s="1">
        <v>0.53180000000000005</v>
      </c>
      <c r="R1871" s="1">
        <v>0.76910000000000001</v>
      </c>
      <c r="S1871" s="1">
        <v>0.48042499999999999</v>
      </c>
      <c r="T1871" s="1">
        <v>0.55697500000002076</v>
      </c>
    </row>
    <row r="1872" spans="12:20" x14ac:dyDescent="0.25">
      <c r="L1872" s="1">
        <v>227.00000000001401</v>
      </c>
      <c r="M1872" s="1">
        <v>0.48040500000000003</v>
      </c>
      <c r="N1872" s="1">
        <v>0.5568450000000208</v>
      </c>
      <c r="O1872" s="1">
        <v>0.42901</v>
      </c>
      <c r="P1872" s="33">
        <v>0.34459000000004159</v>
      </c>
      <c r="Q1872" s="1">
        <v>0.53180000000000005</v>
      </c>
      <c r="R1872" s="1">
        <v>0.76910000000000001</v>
      </c>
      <c r="S1872" s="1">
        <v>0.48040500000000003</v>
      </c>
      <c r="T1872" s="1">
        <v>0.5568450000000208</v>
      </c>
    </row>
    <row r="1873" spans="12:20" x14ac:dyDescent="0.25">
      <c r="L1873" s="1">
        <v>227.10000000001401</v>
      </c>
      <c r="M1873" s="1">
        <v>0.48038500000000001</v>
      </c>
      <c r="N1873" s="1">
        <v>0.55671500000002083</v>
      </c>
      <c r="O1873" s="1">
        <v>0.42896999999999996</v>
      </c>
      <c r="P1873" s="33">
        <v>0.34433000000004166</v>
      </c>
      <c r="Q1873" s="1">
        <v>0.53180000000000005</v>
      </c>
      <c r="R1873" s="1">
        <v>0.76910000000000001</v>
      </c>
      <c r="S1873" s="1">
        <v>0.48038500000000001</v>
      </c>
      <c r="T1873" s="1">
        <v>0.55671500000002083</v>
      </c>
    </row>
    <row r="1874" spans="12:20" x14ac:dyDescent="0.25">
      <c r="L1874" s="1">
        <v>227.200000000014</v>
      </c>
      <c r="M1874" s="1">
        <v>0.48036499999999999</v>
      </c>
      <c r="N1874" s="1">
        <v>0.55658500000002087</v>
      </c>
      <c r="O1874" s="1">
        <v>0.42892999999999992</v>
      </c>
      <c r="P1874" s="33">
        <v>0.34407000000004173</v>
      </c>
      <c r="Q1874" s="1">
        <v>0.53180000000000005</v>
      </c>
      <c r="R1874" s="1">
        <v>0.76910000000000001</v>
      </c>
      <c r="S1874" s="1">
        <v>0.48036499999999999</v>
      </c>
      <c r="T1874" s="1">
        <v>0.55658500000002087</v>
      </c>
    </row>
    <row r="1875" spans="12:20" x14ac:dyDescent="0.25">
      <c r="L1875" s="1">
        <v>227.30000000001399</v>
      </c>
      <c r="M1875" s="1">
        <v>0.48034500000000002</v>
      </c>
      <c r="N1875" s="1">
        <v>0.55645500000002091</v>
      </c>
      <c r="O1875" s="1">
        <v>0.42888999999999999</v>
      </c>
      <c r="P1875" s="33">
        <v>0.3438100000000418</v>
      </c>
      <c r="Q1875" s="1">
        <v>0.53180000000000005</v>
      </c>
      <c r="R1875" s="1">
        <v>0.76910000000000001</v>
      </c>
      <c r="S1875" s="1">
        <v>0.48034500000000002</v>
      </c>
      <c r="T1875" s="1">
        <v>0.55645500000002091</v>
      </c>
    </row>
    <row r="1876" spans="12:20" x14ac:dyDescent="0.25">
      <c r="L1876" s="1">
        <v>227.40000000001399</v>
      </c>
      <c r="M1876" s="1">
        <v>0.480325</v>
      </c>
      <c r="N1876" s="1">
        <v>0.55632500000002094</v>
      </c>
      <c r="O1876" s="1">
        <v>0.42884999999999995</v>
      </c>
      <c r="P1876" s="33">
        <v>0.34355000000004188</v>
      </c>
      <c r="Q1876" s="1">
        <v>0.53180000000000005</v>
      </c>
      <c r="R1876" s="1">
        <v>0.76910000000000001</v>
      </c>
      <c r="S1876" s="1">
        <v>0.480325</v>
      </c>
      <c r="T1876" s="1">
        <v>0.55632500000002094</v>
      </c>
    </row>
    <row r="1877" spans="12:20" x14ac:dyDescent="0.25">
      <c r="L1877" s="1">
        <v>227.50000000001401</v>
      </c>
      <c r="M1877" s="1">
        <v>0.48030499999999998</v>
      </c>
      <c r="N1877" s="1">
        <v>0.55619500000002098</v>
      </c>
      <c r="O1877" s="1">
        <v>0.42880999999999991</v>
      </c>
      <c r="P1877" s="33">
        <v>0.34329000000004195</v>
      </c>
      <c r="Q1877" s="1">
        <v>0.53180000000000005</v>
      </c>
      <c r="R1877" s="1">
        <v>0.76910000000000001</v>
      </c>
      <c r="S1877" s="1">
        <v>0.48030499999999998</v>
      </c>
      <c r="T1877" s="1">
        <v>0.55619500000002098</v>
      </c>
    </row>
    <row r="1878" spans="12:20" x14ac:dyDescent="0.25">
      <c r="L1878" s="1">
        <v>227.60000000001401</v>
      </c>
      <c r="M1878" s="1">
        <v>0.48028500000000002</v>
      </c>
      <c r="N1878" s="1">
        <v>0.55606500000002101</v>
      </c>
      <c r="O1878" s="1">
        <v>0.42876999999999998</v>
      </c>
      <c r="P1878" s="33">
        <v>0.34303000000004202</v>
      </c>
      <c r="Q1878" s="1">
        <v>0.53180000000000005</v>
      </c>
      <c r="R1878" s="1">
        <v>0.76910000000000001</v>
      </c>
      <c r="S1878" s="1">
        <v>0.48028500000000002</v>
      </c>
      <c r="T1878" s="1">
        <v>0.55606500000002101</v>
      </c>
    </row>
    <row r="1879" spans="12:20" x14ac:dyDescent="0.25">
      <c r="L1879" s="1">
        <v>227.700000000014</v>
      </c>
      <c r="M1879" s="1">
        <v>0.480265</v>
      </c>
      <c r="N1879" s="1">
        <v>0.55593500000002105</v>
      </c>
      <c r="O1879" s="1">
        <v>0.42872999999999994</v>
      </c>
      <c r="P1879" s="33">
        <v>0.3427700000000421</v>
      </c>
      <c r="Q1879" s="1">
        <v>0.53180000000000005</v>
      </c>
      <c r="R1879" s="1">
        <v>0.76910000000000001</v>
      </c>
      <c r="S1879" s="1">
        <v>0.480265</v>
      </c>
      <c r="T1879" s="1">
        <v>0.55593500000002105</v>
      </c>
    </row>
    <row r="1880" spans="12:20" x14ac:dyDescent="0.25">
      <c r="L1880" s="1">
        <v>227.80000000001399</v>
      </c>
      <c r="M1880" s="1">
        <v>0.48024499999999998</v>
      </c>
      <c r="N1880" s="1">
        <v>0.55580500000002109</v>
      </c>
      <c r="O1880" s="1">
        <v>0.4286899999999999</v>
      </c>
      <c r="P1880" s="33">
        <v>0.34251000000004217</v>
      </c>
      <c r="Q1880" s="1">
        <v>0.53180000000000005</v>
      </c>
      <c r="R1880" s="1">
        <v>0.76910000000000001</v>
      </c>
      <c r="S1880" s="1">
        <v>0.48024499999999998</v>
      </c>
      <c r="T1880" s="1">
        <v>0.55580500000002109</v>
      </c>
    </row>
    <row r="1881" spans="12:20" x14ac:dyDescent="0.25">
      <c r="L1881" s="1">
        <v>227.90000000001399</v>
      </c>
      <c r="M1881" s="1">
        <v>0.48022500000000001</v>
      </c>
      <c r="N1881" s="1">
        <v>0.55567500000002112</v>
      </c>
      <c r="O1881" s="1">
        <v>0.42864999999999998</v>
      </c>
      <c r="P1881" s="33">
        <v>0.34225000000004224</v>
      </c>
      <c r="Q1881" s="1">
        <v>0.53180000000000005</v>
      </c>
      <c r="R1881" s="1">
        <v>0.76910000000000001</v>
      </c>
      <c r="S1881" s="1">
        <v>0.48022500000000001</v>
      </c>
      <c r="T1881" s="1">
        <v>0.55567500000002112</v>
      </c>
    </row>
    <row r="1882" spans="12:20" x14ac:dyDescent="0.25">
      <c r="L1882" s="1">
        <v>228.00000000001401</v>
      </c>
      <c r="M1882" s="1">
        <v>0.48020499999999999</v>
      </c>
      <c r="N1882" s="1">
        <v>0.55554500000002116</v>
      </c>
      <c r="O1882" s="1">
        <v>0.42860999999999994</v>
      </c>
      <c r="P1882" s="33">
        <v>0.34199000000004232</v>
      </c>
      <c r="Q1882" s="1">
        <v>0.53180000000000005</v>
      </c>
      <c r="R1882" s="1">
        <v>0.76910000000000001</v>
      </c>
      <c r="S1882" s="1">
        <v>0.48020499999999999</v>
      </c>
      <c r="T1882" s="1">
        <v>0.55554500000002116</v>
      </c>
    </row>
    <row r="1883" spans="12:20" x14ac:dyDescent="0.25">
      <c r="L1883" s="1">
        <v>228.10000000001401</v>
      </c>
      <c r="M1883" s="1">
        <v>0.48018499999999997</v>
      </c>
      <c r="N1883" s="1">
        <v>0.5554150000000212</v>
      </c>
      <c r="O1883" s="1">
        <v>0.4285699999999999</v>
      </c>
      <c r="P1883" s="33">
        <v>0.34173000000004239</v>
      </c>
      <c r="Q1883" s="1">
        <v>0.53180000000000005</v>
      </c>
      <c r="R1883" s="1">
        <v>0.76910000000000001</v>
      </c>
      <c r="S1883" s="1">
        <v>0.48018499999999997</v>
      </c>
      <c r="T1883" s="1">
        <v>0.5554150000000212</v>
      </c>
    </row>
    <row r="1884" spans="12:20" x14ac:dyDescent="0.25">
      <c r="L1884" s="1">
        <v>228.200000000014</v>
      </c>
      <c r="M1884" s="1">
        <v>0.48016500000000001</v>
      </c>
      <c r="N1884" s="1">
        <v>0.55528500000002123</v>
      </c>
      <c r="O1884" s="1">
        <v>0.42852999999999997</v>
      </c>
      <c r="P1884" s="33">
        <v>0.34147000000004246</v>
      </c>
      <c r="Q1884" s="1">
        <v>0.53180000000000005</v>
      </c>
      <c r="R1884" s="1">
        <v>0.76910000000000001</v>
      </c>
      <c r="S1884" s="1">
        <v>0.48016500000000001</v>
      </c>
      <c r="T1884" s="1">
        <v>0.55528500000002123</v>
      </c>
    </row>
    <row r="1885" spans="12:20" x14ac:dyDescent="0.25">
      <c r="L1885" s="1">
        <v>228.30000000001399</v>
      </c>
      <c r="M1885" s="1">
        <v>0.48014499999999999</v>
      </c>
      <c r="N1885" s="1">
        <v>0.55515500000002127</v>
      </c>
      <c r="O1885" s="1">
        <v>0.42848999999999993</v>
      </c>
      <c r="P1885" s="33">
        <v>0.34121000000004253</v>
      </c>
      <c r="Q1885" s="1">
        <v>0.53180000000000005</v>
      </c>
      <c r="R1885" s="1">
        <v>0.76910000000000001</v>
      </c>
      <c r="S1885" s="1">
        <v>0.48014499999999999</v>
      </c>
      <c r="T1885" s="1">
        <v>0.55515500000002127</v>
      </c>
    </row>
    <row r="1886" spans="12:20" x14ac:dyDescent="0.25">
      <c r="L1886" s="1">
        <v>228.40000000001399</v>
      </c>
      <c r="M1886" s="1">
        <v>0.48012500000000002</v>
      </c>
      <c r="N1886" s="1">
        <v>0.55502500000002131</v>
      </c>
      <c r="O1886" s="1">
        <v>0.42845</v>
      </c>
      <c r="P1886" s="33">
        <v>0.34095000000004261</v>
      </c>
      <c r="Q1886" s="1">
        <v>0.53180000000000005</v>
      </c>
      <c r="R1886" s="1">
        <v>0.76910000000000001</v>
      </c>
      <c r="S1886" s="1">
        <v>0.48012500000000002</v>
      </c>
      <c r="T1886" s="1">
        <v>0.55502500000002131</v>
      </c>
    </row>
    <row r="1887" spans="12:20" x14ac:dyDescent="0.25">
      <c r="L1887" s="1">
        <v>228.50000000001401</v>
      </c>
      <c r="M1887" s="1">
        <v>0.480105</v>
      </c>
      <c r="N1887" s="1">
        <v>0.55489500000002134</v>
      </c>
      <c r="O1887" s="1">
        <v>0.42840999999999996</v>
      </c>
      <c r="P1887" s="33">
        <v>0.34069000000004268</v>
      </c>
      <c r="Q1887" s="1">
        <v>0.53180000000000005</v>
      </c>
      <c r="R1887" s="1">
        <v>0.76910000000000001</v>
      </c>
      <c r="S1887" s="1">
        <v>0.480105</v>
      </c>
      <c r="T1887" s="1">
        <v>0.55489500000002134</v>
      </c>
    </row>
    <row r="1888" spans="12:20" x14ac:dyDescent="0.25">
      <c r="L1888" s="1">
        <v>228.60000000001401</v>
      </c>
      <c r="M1888" s="1">
        <v>0.48008499999999998</v>
      </c>
      <c r="N1888" s="1">
        <v>0.55476500000002138</v>
      </c>
      <c r="O1888" s="1">
        <v>0.42836999999999992</v>
      </c>
      <c r="P1888" s="33">
        <v>0.34043000000004275</v>
      </c>
      <c r="Q1888" s="1">
        <v>0.53180000000000005</v>
      </c>
      <c r="R1888" s="1">
        <v>0.76910000000000001</v>
      </c>
      <c r="S1888" s="1">
        <v>0.48008499999999998</v>
      </c>
      <c r="T1888" s="1">
        <v>0.55476500000002138</v>
      </c>
    </row>
    <row r="1889" spans="12:20" x14ac:dyDescent="0.25">
      <c r="L1889" s="1">
        <v>228.700000000014</v>
      </c>
      <c r="M1889" s="1">
        <v>0.48006500000000002</v>
      </c>
      <c r="N1889" s="1">
        <v>0.55463500000002142</v>
      </c>
      <c r="O1889" s="1">
        <v>0.42832999999999999</v>
      </c>
      <c r="P1889" s="33">
        <v>0.34017000000004283</v>
      </c>
      <c r="Q1889" s="1">
        <v>0.53180000000000005</v>
      </c>
      <c r="R1889" s="1">
        <v>0.76910000000000001</v>
      </c>
      <c r="S1889" s="1">
        <v>0.48006500000000002</v>
      </c>
      <c r="T1889" s="1">
        <v>0.55463500000002142</v>
      </c>
    </row>
    <row r="1890" spans="12:20" x14ac:dyDescent="0.25">
      <c r="L1890" s="1">
        <v>228.80000000001399</v>
      </c>
      <c r="M1890" s="1">
        <v>0.480045</v>
      </c>
      <c r="N1890" s="1">
        <v>0.55450500000002145</v>
      </c>
      <c r="O1890" s="1">
        <v>0.42828999999999995</v>
      </c>
      <c r="P1890" s="33">
        <v>0.3399100000000429</v>
      </c>
      <c r="Q1890" s="1">
        <v>0.53180000000000005</v>
      </c>
      <c r="R1890" s="1">
        <v>0.76910000000000001</v>
      </c>
      <c r="S1890" s="1">
        <v>0.480045</v>
      </c>
      <c r="T1890" s="1">
        <v>0.55450500000002145</v>
      </c>
    </row>
    <row r="1891" spans="12:20" x14ac:dyDescent="0.25">
      <c r="L1891" s="1">
        <v>228.90000000001399</v>
      </c>
      <c r="M1891" s="1">
        <v>0.48002499999999998</v>
      </c>
      <c r="N1891" s="1">
        <v>0.55437500000002149</v>
      </c>
      <c r="O1891" s="1">
        <v>0.42824999999999991</v>
      </c>
      <c r="P1891" s="33">
        <v>0.33965000000004297</v>
      </c>
      <c r="Q1891" s="1">
        <v>0.53180000000000005</v>
      </c>
      <c r="R1891" s="1">
        <v>0.76910000000000001</v>
      </c>
      <c r="S1891" s="1">
        <v>0.48002499999999998</v>
      </c>
      <c r="T1891" s="1">
        <v>0.55437500000002149</v>
      </c>
    </row>
    <row r="1892" spans="12:20" x14ac:dyDescent="0.25">
      <c r="L1892" s="1">
        <v>229.00000000001401</v>
      </c>
      <c r="M1892" s="1">
        <v>0.48000500000000001</v>
      </c>
      <c r="N1892" s="1">
        <v>0.55424500000002153</v>
      </c>
      <c r="O1892" s="1">
        <v>0.42820999999999998</v>
      </c>
      <c r="P1892" s="33">
        <v>0.33939000000004305</v>
      </c>
      <c r="Q1892" s="1">
        <v>0.53180000000000005</v>
      </c>
      <c r="R1892" s="1">
        <v>0.76910000000000001</v>
      </c>
      <c r="S1892" s="1">
        <v>0.48000500000000001</v>
      </c>
      <c r="T1892" s="1">
        <v>0.55424500000002153</v>
      </c>
    </row>
    <row r="1893" spans="12:20" x14ac:dyDescent="0.25">
      <c r="L1893" s="1">
        <v>229.10000000001401</v>
      </c>
      <c r="M1893" s="1">
        <v>0.47908499999999998</v>
      </c>
      <c r="N1893" s="1">
        <v>0.55411500000002156</v>
      </c>
      <c r="O1893" s="1">
        <v>0.42636999999999992</v>
      </c>
      <c r="P1893" s="33">
        <v>0.33913000000004312</v>
      </c>
      <c r="Q1893" s="1">
        <v>0.53180000000000005</v>
      </c>
      <c r="R1893" s="1">
        <v>0.76910000000000001</v>
      </c>
      <c r="S1893" s="1">
        <v>0.47908499999999998</v>
      </c>
      <c r="T1893" s="1">
        <v>0.55411500000002156</v>
      </c>
    </row>
    <row r="1894" spans="12:20" x14ac:dyDescent="0.25">
      <c r="L1894" s="1">
        <v>229.200000000014</v>
      </c>
      <c r="M1894" s="1">
        <v>0.47906500000000002</v>
      </c>
      <c r="N1894" s="1">
        <v>0.5539850000000216</v>
      </c>
      <c r="O1894" s="1">
        <v>0.42632999999999999</v>
      </c>
      <c r="P1894" s="33">
        <v>0.33887000000004319</v>
      </c>
      <c r="Q1894" s="1">
        <v>0.53180000000000005</v>
      </c>
      <c r="R1894" s="1">
        <v>0.76910000000000001</v>
      </c>
      <c r="S1894" s="1">
        <v>0.47906500000000002</v>
      </c>
      <c r="T1894" s="1">
        <v>0.5539850000000216</v>
      </c>
    </row>
    <row r="1895" spans="12:20" x14ac:dyDescent="0.25">
      <c r="L1895" s="1">
        <v>229.30000000001399</v>
      </c>
      <c r="M1895" s="1">
        <v>0.479045</v>
      </c>
      <c r="N1895" s="1">
        <v>0.55385500000002164</v>
      </c>
      <c r="O1895" s="1">
        <v>0.42628999999999995</v>
      </c>
      <c r="P1895" s="33">
        <v>0.33861000000004327</v>
      </c>
      <c r="Q1895" s="1">
        <v>0.53180000000000005</v>
      </c>
      <c r="R1895" s="1">
        <v>0.76910000000000001</v>
      </c>
      <c r="S1895" s="1">
        <v>0.479045</v>
      </c>
      <c r="T1895" s="1">
        <v>0.55385500000002164</v>
      </c>
    </row>
    <row r="1896" spans="12:20" x14ac:dyDescent="0.25">
      <c r="L1896" s="1">
        <v>229.40000000001399</v>
      </c>
      <c r="M1896" s="1">
        <v>0.47902499999999998</v>
      </c>
      <c r="N1896" s="1">
        <v>0.55372500000002167</v>
      </c>
      <c r="O1896" s="1">
        <v>0.42625000000000002</v>
      </c>
      <c r="P1896" s="33">
        <v>0.33835000000004334</v>
      </c>
      <c r="Q1896" s="1">
        <v>0.53180000000000005</v>
      </c>
      <c r="R1896" s="1">
        <v>0.76910000000000001</v>
      </c>
      <c r="S1896" s="1">
        <v>0.47902499999999998</v>
      </c>
      <c r="T1896" s="1">
        <v>0.55372500000002167</v>
      </c>
    </row>
    <row r="1897" spans="12:20" x14ac:dyDescent="0.25">
      <c r="L1897" s="1">
        <v>229.50000000001401</v>
      </c>
      <c r="M1897" s="1">
        <v>0.47900500000000001</v>
      </c>
      <c r="N1897" s="1">
        <v>0.55359500000002171</v>
      </c>
      <c r="O1897" s="1">
        <v>0.42620999999999998</v>
      </c>
      <c r="P1897" s="33">
        <v>0.33809000000004341</v>
      </c>
      <c r="Q1897" s="1">
        <v>0.53180000000000005</v>
      </c>
      <c r="R1897" s="1">
        <v>0.76910000000000001</v>
      </c>
      <c r="S1897" s="1">
        <v>0.47900500000000001</v>
      </c>
      <c r="T1897" s="1">
        <v>0.55359500000002171</v>
      </c>
    </row>
    <row r="1898" spans="12:20" x14ac:dyDescent="0.25">
      <c r="L1898" s="1">
        <v>229.60000000001401</v>
      </c>
      <c r="M1898" s="1">
        <v>0.47898499999999999</v>
      </c>
      <c r="N1898" s="1">
        <v>0.55346500000002175</v>
      </c>
      <c r="O1898" s="1">
        <v>0.42616999999999994</v>
      </c>
      <c r="P1898" s="33">
        <v>0.33783000000004348</v>
      </c>
      <c r="Q1898" s="1">
        <v>0.53180000000000005</v>
      </c>
      <c r="R1898" s="1">
        <v>0.76910000000000001</v>
      </c>
      <c r="S1898" s="1">
        <v>0.47898499999999999</v>
      </c>
      <c r="T1898" s="1">
        <v>0.55346500000002175</v>
      </c>
    </row>
    <row r="1899" spans="12:20" x14ac:dyDescent="0.25">
      <c r="L1899" s="1">
        <v>229.700000000015</v>
      </c>
      <c r="M1899" s="1">
        <v>0.47896499999999997</v>
      </c>
      <c r="N1899" s="1">
        <v>0.55333500000002178</v>
      </c>
      <c r="O1899" s="1">
        <v>0.4261299999999999</v>
      </c>
      <c r="P1899" s="33">
        <v>0.33757000000004356</v>
      </c>
      <c r="Q1899" s="1">
        <v>0.53180000000000005</v>
      </c>
      <c r="R1899" s="1">
        <v>0.76910000000000001</v>
      </c>
      <c r="S1899" s="1">
        <v>0.47896499999999997</v>
      </c>
      <c r="T1899" s="1">
        <v>0.55333500000002178</v>
      </c>
    </row>
    <row r="1900" spans="12:20" x14ac:dyDescent="0.25">
      <c r="L1900" s="1">
        <v>229.80000000001499</v>
      </c>
      <c r="M1900" s="1">
        <v>0.47894500000000001</v>
      </c>
      <c r="N1900" s="1">
        <v>0.55320500000002182</v>
      </c>
      <c r="O1900" s="1">
        <v>0.42608999999999997</v>
      </c>
      <c r="P1900" s="33">
        <v>0.33731000000004363</v>
      </c>
      <c r="Q1900" s="1">
        <v>0.53180000000000005</v>
      </c>
      <c r="R1900" s="1">
        <v>0.76910000000000001</v>
      </c>
      <c r="S1900" s="1">
        <v>0.47894500000000001</v>
      </c>
      <c r="T1900" s="1">
        <v>0.55320500000002182</v>
      </c>
    </row>
    <row r="1901" spans="12:20" x14ac:dyDescent="0.25">
      <c r="L1901" s="1">
        <v>229.90000000001501</v>
      </c>
      <c r="M1901" s="1">
        <v>0.47892499999999999</v>
      </c>
      <c r="N1901" s="1">
        <v>0.55307500000002185</v>
      </c>
      <c r="O1901" s="1">
        <v>0.42604999999999993</v>
      </c>
      <c r="P1901" s="33">
        <v>0.3370500000000437</v>
      </c>
      <c r="Q1901" s="1">
        <v>0.53180000000000005</v>
      </c>
      <c r="R1901" s="1">
        <v>0.76910000000000001</v>
      </c>
      <c r="S1901" s="1">
        <v>0.47892499999999999</v>
      </c>
      <c r="T1901" s="1">
        <v>0.55307500000002185</v>
      </c>
    </row>
    <row r="1902" spans="12:20" x14ac:dyDescent="0.25">
      <c r="L1902" s="1">
        <v>230.00000000001501</v>
      </c>
      <c r="M1902" s="1">
        <v>0.47890500000000003</v>
      </c>
      <c r="N1902" s="1">
        <v>0.55294500000002189</v>
      </c>
      <c r="O1902" s="1">
        <v>0.42601</v>
      </c>
      <c r="P1902" s="33">
        <v>0.33679000000004378</v>
      </c>
      <c r="Q1902" s="1">
        <v>0.53180000000000005</v>
      </c>
      <c r="R1902" s="1">
        <v>0.76910000000000001</v>
      </c>
      <c r="S1902" s="1">
        <v>0.47890500000000003</v>
      </c>
      <c r="T1902" s="1">
        <v>0.55294500000002189</v>
      </c>
    </row>
    <row r="1903" spans="12:20" x14ac:dyDescent="0.25">
      <c r="L1903" s="1">
        <v>230.100000000015</v>
      </c>
      <c r="M1903" s="1">
        <v>0.47888500000000001</v>
      </c>
      <c r="N1903" s="1">
        <v>0.55281500000002193</v>
      </c>
      <c r="O1903" s="1">
        <v>0.42596999999999996</v>
      </c>
      <c r="P1903" s="33">
        <v>0.33653000000004385</v>
      </c>
      <c r="Q1903" s="1">
        <v>0.53180000000000005</v>
      </c>
      <c r="R1903" s="1">
        <v>0.76910000000000001</v>
      </c>
      <c r="S1903" s="1">
        <v>0.47888500000000001</v>
      </c>
      <c r="T1903" s="1">
        <v>0.55281500000002193</v>
      </c>
    </row>
    <row r="1904" spans="12:20" x14ac:dyDescent="0.25">
      <c r="L1904" s="1">
        <v>230.200000000015</v>
      </c>
      <c r="M1904" s="1">
        <v>0.47886499999999999</v>
      </c>
      <c r="N1904" s="1">
        <v>0.55268500000002196</v>
      </c>
      <c r="O1904" s="1">
        <v>0.42592999999999992</v>
      </c>
      <c r="P1904" s="33">
        <v>0.33627000000004392</v>
      </c>
      <c r="Q1904" s="1">
        <v>0.53180000000000005</v>
      </c>
      <c r="R1904" s="1">
        <v>0.76910000000000001</v>
      </c>
      <c r="S1904" s="1">
        <v>0.47886499999999999</v>
      </c>
      <c r="T1904" s="1">
        <v>0.55268500000002196</v>
      </c>
    </row>
    <row r="1905" spans="12:20" x14ac:dyDescent="0.25">
      <c r="L1905" s="1">
        <v>230.30000000001499</v>
      </c>
      <c r="M1905" s="1">
        <v>0.47884500000000002</v>
      </c>
      <c r="N1905" s="1">
        <v>0.552555000000022</v>
      </c>
      <c r="O1905" s="1">
        <v>0.42588999999999999</v>
      </c>
      <c r="P1905" s="33">
        <v>0.336010000000044</v>
      </c>
      <c r="Q1905" s="1">
        <v>0.53180000000000005</v>
      </c>
      <c r="R1905" s="1">
        <v>0.76910000000000001</v>
      </c>
      <c r="S1905" s="1">
        <v>0.47884500000000002</v>
      </c>
      <c r="T1905" s="1">
        <v>0.552555000000022</v>
      </c>
    </row>
    <row r="1906" spans="12:20" x14ac:dyDescent="0.25">
      <c r="L1906" s="1">
        <v>230.40000000001501</v>
      </c>
      <c r="M1906" s="1">
        <v>0.478825</v>
      </c>
      <c r="N1906" s="1">
        <v>0.55242500000002204</v>
      </c>
      <c r="O1906" s="1">
        <v>0.42584999999999995</v>
      </c>
      <c r="P1906" s="33">
        <v>0.33575000000004407</v>
      </c>
      <c r="Q1906" s="1">
        <v>0.53180000000000005</v>
      </c>
      <c r="R1906" s="1">
        <v>0.76910000000000001</v>
      </c>
      <c r="S1906" s="1">
        <v>0.478825</v>
      </c>
      <c r="T1906" s="1">
        <v>0.55242500000002204</v>
      </c>
    </row>
    <row r="1907" spans="12:20" x14ac:dyDescent="0.25">
      <c r="L1907" s="1">
        <v>230.50000000001501</v>
      </c>
      <c r="M1907" s="1">
        <v>0.47880499999999998</v>
      </c>
      <c r="N1907" s="1">
        <v>0.55229500000002207</v>
      </c>
      <c r="O1907" s="1">
        <v>0.42580999999999991</v>
      </c>
      <c r="P1907" s="33">
        <v>0.33549000000004414</v>
      </c>
      <c r="Q1907" s="1">
        <v>0.53180000000000005</v>
      </c>
      <c r="R1907" s="1">
        <v>0.76910000000000001</v>
      </c>
      <c r="S1907" s="1">
        <v>0.47880499999999998</v>
      </c>
      <c r="T1907" s="1">
        <v>0.55229500000002207</v>
      </c>
    </row>
    <row r="1908" spans="12:20" x14ac:dyDescent="0.25">
      <c r="L1908" s="1">
        <v>230.600000000015</v>
      </c>
      <c r="M1908" s="1">
        <v>0.47878500000000002</v>
      </c>
      <c r="N1908" s="1">
        <v>0.55216500000002211</v>
      </c>
      <c r="O1908" s="1">
        <v>0.42576999999999998</v>
      </c>
      <c r="P1908" s="33">
        <v>0.33523000000004421</v>
      </c>
      <c r="Q1908" s="1">
        <v>0.53180000000000005</v>
      </c>
      <c r="R1908" s="1">
        <v>0.76910000000000001</v>
      </c>
      <c r="S1908" s="1">
        <v>0.47878500000000002</v>
      </c>
      <c r="T1908" s="1">
        <v>0.55216500000002211</v>
      </c>
    </row>
    <row r="1909" spans="12:20" x14ac:dyDescent="0.25">
      <c r="L1909" s="1">
        <v>230.700000000015</v>
      </c>
      <c r="M1909" s="1">
        <v>0.478765</v>
      </c>
      <c r="N1909" s="1">
        <v>0.55203500000002215</v>
      </c>
      <c r="O1909" s="1">
        <v>0.42572999999999994</v>
      </c>
      <c r="P1909" s="33">
        <v>0.33497000000004429</v>
      </c>
      <c r="Q1909" s="1">
        <v>0.53180000000000005</v>
      </c>
      <c r="R1909" s="1">
        <v>0.76910000000000001</v>
      </c>
      <c r="S1909" s="1">
        <v>0.478765</v>
      </c>
      <c r="T1909" s="1">
        <v>0.55203500000002215</v>
      </c>
    </row>
    <row r="1910" spans="12:20" x14ac:dyDescent="0.25">
      <c r="L1910" s="1">
        <v>230.80000000001499</v>
      </c>
      <c r="M1910" s="1">
        <v>0.47874499999999998</v>
      </c>
      <c r="N1910" s="1">
        <v>0.55190500000002218</v>
      </c>
      <c r="O1910" s="1">
        <v>0.4256899999999999</v>
      </c>
      <c r="P1910" s="33">
        <v>0.33471000000004436</v>
      </c>
      <c r="Q1910" s="1">
        <v>0.53180000000000005</v>
      </c>
      <c r="R1910" s="1">
        <v>0.76910000000000001</v>
      </c>
      <c r="S1910" s="1">
        <v>0.47874499999999998</v>
      </c>
      <c r="T1910" s="1">
        <v>0.55190500000002218</v>
      </c>
    </row>
    <row r="1911" spans="12:20" x14ac:dyDescent="0.25">
      <c r="L1911" s="1">
        <v>230.90000000001501</v>
      </c>
      <c r="M1911" s="1">
        <v>0.53180000000000005</v>
      </c>
      <c r="N1911" s="1">
        <v>0.76910000000000001</v>
      </c>
      <c r="O1911" s="1">
        <v>0.42564999999999997</v>
      </c>
      <c r="P1911" s="33">
        <v>0.33445000000004443</v>
      </c>
      <c r="Q1911" s="1">
        <v>0.53180000000000005</v>
      </c>
      <c r="R1911" s="1">
        <v>0.76910000000000001</v>
      </c>
      <c r="S1911" s="1">
        <v>0.47872500000000001</v>
      </c>
      <c r="T1911" s="1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8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  <customProperties>
    <customPr name="DVSECTIONID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2:N28"/>
  <sheetViews>
    <sheetView workbookViewId="0">
      <selection activeCell="B11" sqref="B11:N11"/>
    </sheetView>
  </sheetViews>
  <sheetFormatPr defaultRowHeight="13.2" x14ac:dyDescent="0.25"/>
  <sheetData>
    <row r="2" spans="2:14" x14ac:dyDescent="0.25">
      <c r="B2" s="63" t="s">
        <v>60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x14ac:dyDescent="0.25">
      <c r="B3" s="63" t="s">
        <v>61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x14ac:dyDescent="0.25">
      <c r="B4" s="63" t="s">
        <v>23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x14ac:dyDescent="0.25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B7" s="63" t="s">
        <v>62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25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2:14" x14ac:dyDescent="0.25">
      <c r="B9" s="63" t="s">
        <v>24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2:14" x14ac:dyDescent="0.25">
      <c r="B10" s="63" t="s">
        <v>65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2:14" x14ac:dyDescent="0.25">
      <c r="B11" s="63" t="s">
        <v>25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 x14ac:dyDescent="0.25">
      <c r="B12" s="63" t="s">
        <v>64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2:14" x14ac:dyDescent="0.25">
      <c r="B13" s="63" t="s">
        <v>26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2:14" x14ac:dyDescent="0.25">
      <c r="B14" s="5"/>
    </row>
    <row r="15" spans="2:14" x14ac:dyDescent="0.25">
      <c r="B15" s="5" t="s">
        <v>27</v>
      </c>
    </row>
    <row r="16" spans="2:14" x14ac:dyDescent="0.25">
      <c r="B16" s="5"/>
    </row>
    <row r="17" spans="2:7" x14ac:dyDescent="0.25">
      <c r="B17" s="5" t="s">
        <v>28</v>
      </c>
    </row>
    <row r="18" spans="2:7" x14ac:dyDescent="0.25">
      <c r="B18" t="s">
        <v>29</v>
      </c>
    </row>
    <row r="20" spans="2:7" x14ac:dyDescent="0.25">
      <c r="B20" t="s">
        <v>30</v>
      </c>
    </row>
    <row r="21" spans="2:7" x14ac:dyDescent="0.25">
      <c r="B21" t="s">
        <v>31</v>
      </c>
      <c r="C21" s="6" t="s">
        <v>32</v>
      </c>
    </row>
    <row r="22" spans="2:7" x14ac:dyDescent="0.25">
      <c r="B22" t="s">
        <v>33</v>
      </c>
      <c r="C22" s="6" t="s">
        <v>34</v>
      </c>
    </row>
    <row r="24" spans="2:7" x14ac:dyDescent="0.25">
      <c r="B24" t="s">
        <v>35</v>
      </c>
    </row>
    <row r="25" spans="2:7" x14ac:dyDescent="0.25">
      <c r="B25" t="s">
        <v>31</v>
      </c>
      <c r="C25" t="s">
        <v>36</v>
      </c>
    </row>
    <row r="26" spans="2:7" x14ac:dyDescent="0.25">
      <c r="B26" t="s">
        <v>33</v>
      </c>
      <c r="C26" t="s">
        <v>37</v>
      </c>
    </row>
    <row r="27" spans="2:7" x14ac:dyDescent="0.25">
      <c r="B27" t="s">
        <v>38</v>
      </c>
      <c r="C27" t="s">
        <v>42</v>
      </c>
    </row>
    <row r="28" spans="2:7" x14ac:dyDescent="0.25">
      <c r="G28" s="5"/>
    </row>
  </sheetData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phoneticPr fontId="0" type="noConversion"/>
  <hyperlinks>
    <hyperlink ref="C21" r:id="rId1" xr:uid="{00000000-0004-0000-0B00-000000000000}"/>
    <hyperlink ref="C22" r:id="rId2" xr:uid="{00000000-0004-0000-0B00-000001000000}"/>
  </hyperlinks>
  <pageMargins left="0.75" right="0.75" top="1" bottom="1" header="0.5" footer="0.5"/>
  <headerFooter alignWithMargins="0"/>
  <customProperties>
    <customPr name="DVSECTION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Q260"/>
  <sheetViews>
    <sheetView showZeros="0" showOutlineSymbols="0" zoomScaleNormal="100" zoomScaleSheetLayoutView="100" workbookViewId="0">
      <pane ySplit="3" topLeftCell="A4" activePane="bottomLeft" state="frozen"/>
      <selection pane="bottomLeft" activeCell="E2" sqref="E2"/>
    </sheetView>
  </sheetViews>
  <sheetFormatPr defaultColWidth="9.109375" defaultRowHeight="12.75" customHeight="1" x14ac:dyDescent="0.25"/>
  <cols>
    <col min="1" max="1" width="9.6640625" style="45" customWidth="1"/>
    <col min="2" max="2" width="4.6640625" style="48" customWidth="1"/>
    <col min="3" max="3" width="4.6640625" style="49" customWidth="1"/>
    <col min="4" max="4" width="4.6640625" style="48" customWidth="1"/>
    <col min="5" max="5" width="4.6640625" style="49" customWidth="1"/>
    <col min="6" max="6" width="4.6640625" style="48" customWidth="1"/>
    <col min="7" max="7" width="4.6640625" style="49" customWidth="1"/>
    <col min="8" max="8" width="4.6640625" style="48" customWidth="1"/>
    <col min="9" max="9" width="4.6640625" style="49" customWidth="1"/>
    <col min="10" max="10" width="4.6640625" style="48" customWidth="1"/>
    <col min="11" max="11" width="7.33203125" style="49" customWidth="1"/>
    <col min="12" max="13" width="9.109375" style="45" hidden="1" customWidth="1"/>
    <col min="14" max="14" width="0" style="45" hidden="1" customWidth="1"/>
    <col min="15" max="17" width="9.109375" style="45" hidden="1" customWidth="1"/>
    <col min="18" max="18" width="0" style="45" hidden="1" customWidth="1"/>
    <col min="19" max="16384" width="9.109375" style="45"/>
  </cols>
  <sheetData>
    <row r="1" spans="1:17" s="39" customFormat="1" ht="25.5" customHeight="1" x14ac:dyDescent="0.25">
      <c r="A1" s="35" t="s">
        <v>70</v>
      </c>
      <c r="B1" s="36">
        <v>4</v>
      </c>
      <c r="C1" s="37">
        <v>0</v>
      </c>
      <c r="D1" s="36">
        <v>0</v>
      </c>
      <c r="E1" s="37">
        <v>16</v>
      </c>
      <c r="F1" s="36">
        <v>2</v>
      </c>
      <c r="G1" s="37">
        <v>2</v>
      </c>
      <c r="H1" s="36">
        <v>4</v>
      </c>
      <c r="I1" s="37">
        <v>2</v>
      </c>
      <c r="J1" s="36">
        <v>2</v>
      </c>
      <c r="K1" s="37" t="s">
        <v>71</v>
      </c>
      <c r="L1" s="38">
        <f>K2+B2*B1+C2*C1+D2*D1+E2*E1+F2*F1+G2*G1+H2*H1+I2*I1+J2*J1</f>
        <v>630</v>
      </c>
      <c r="M1" s="38"/>
    </row>
    <row r="2" spans="1:17" ht="12.75" customHeight="1" x14ac:dyDescent="0.25">
      <c r="A2" s="40" t="s">
        <v>43</v>
      </c>
      <c r="B2" s="41">
        <f>IF($A$2="Kilos",50,110)</f>
        <v>50</v>
      </c>
      <c r="C2" s="42">
        <f>IF($A$2="Kilos",45,100)</f>
        <v>45</v>
      </c>
      <c r="D2" s="41">
        <f>IF($A$2="Kilos",25,55)</f>
        <v>25</v>
      </c>
      <c r="E2" s="42">
        <f>IF($A$2="Kilos",20,45)</f>
        <v>20</v>
      </c>
      <c r="F2" s="41">
        <f>IF($A$2="Kilos",15,35)</f>
        <v>15</v>
      </c>
      <c r="G2" s="42">
        <f>IF($A$2="Kilos",10,25)</f>
        <v>10</v>
      </c>
      <c r="H2" s="41">
        <f>IF($A$2="Kilos",5,10)</f>
        <v>5</v>
      </c>
      <c r="I2" s="42">
        <f>IF($A$2="Kilos",2.5,5)</f>
        <v>2.5</v>
      </c>
      <c r="J2" s="41">
        <f>IF($A$2="Kilos",1.25,2.5)</f>
        <v>1.25</v>
      </c>
      <c r="K2" s="43">
        <v>32.5</v>
      </c>
      <c r="L2" s="44" t="s">
        <v>72</v>
      </c>
      <c r="M2" s="44"/>
      <c r="O2" s="45">
        <f>IF($A$2="Pounds",P2,Q2)</f>
        <v>20</v>
      </c>
      <c r="P2" s="45">
        <v>45</v>
      </c>
      <c r="Q2" s="45">
        <v>20</v>
      </c>
    </row>
    <row r="3" spans="1:17" ht="12.75" customHeight="1" x14ac:dyDescent="0.25">
      <c r="A3" s="46" t="s">
        <v>73</v>
      </c>
      <c r="B3" s="41"/>
      <c r="C3" s="42"/>
      <c r="D3" s="41"/>
      <c r="E3" s="42"/>
      <c r="F3" s="41"/>
      <c r="G3" s="42"/>
      <c r="H3" s="41"/>
      <c r="I3" s="42"/>
      <c r="J3" s="41"/>
      <c r="K3" s="42"/>
      <c r="L3" s="44"/>
      <c r="M3" s="44" t="s">
        <v>74</v>
      </c>
      <c r="O3" s="45">
        <f>IF($A$2="Pounds",P3,Q3)</f>
        <v>22.5</v>
      </c>
      <c r="P3" s="45">
        <v>50</v>
      </c>
      <c r="Q3" s="45">
        <v>22.5</v>
      </c>
    </row>
    <row r="4" spans="1:17" ht="12.75" customHeight="1" x14ac:dyDescent="0.25">
      <c r="A4" s="46">
        <f>IF(M4+$K$2&gt;$L$1,0,M4+$K$2)</f>
        <v>32.5</v>
      </c>
      <c r="B4" s="41">
        <f>IF(A4=0,0,MIN($B$1/2,INT(M4/(2*$B$2))))</f>
        <v>0</v>
      </c>
      <c r="C4" s="42">
        <f>IF(A4=0,0,MIN($C$1/2,INT(($M4-2*$B4*$B$2)/(2*$C$2))))</f>
        <v>0</v>
      </c>
      <c r="D4" s="41">
        <f>IF(A4=0,0,MIN($D$1/2,INT(($M4-2*$B4*$B$2-2*$C4*$C$2)/(2*$D$2))))</f>
        <v>0</v>
      </c>
      <c r="E4" s="42">
        <f>IF(A4=0,0,MIN($E$1/2,INT(($M4-2*$B4*$B$2-2*$C4*$C$2-2*$D4*$D$2)/(2*$E$2))))</f>
        <v>0</v>
      </c>
      <c r="F4" s="41">
        <f>IF(A4=0,0,MIN($F$1/2,INT(($M4-2*$B4*$B$2-2*$C4*$C$2-2*$D4*$D$2-2*$E4*$E$2)/(2*$F$2))))</f>
        <v>0</v>
      </c>
      <c r="G4" s="42">
        <f>IF(A4=0,0,MIN($G$1/2,INT(($M4-2*$B4*$B$2-2*$C4*$C$2-2*$D4*$D$2-2*$E4*$E$2-2*$F4*$F$2)/(2*$G$2))))</f>
        <v>0</v>
      </c>
      <c r="H4" s="41">
        <f>IF(A4=0,0,MIN($H$1/2,INT(($M4-2*$B4*$B$2-2*$C4*$C$2-2*$D4*$D$2-2*$E4*$E$2-2*$F4*$F$2-2*$G4*$G$2)/(2*$H$2))))</f>
        <v>0</v>
      </c>
      <c r="I4" s="42">
        <f>IF(A4=0,0,MIN($I$1/2,INT(($M4-2*$B4*$B$2-2*$C4*$C$2-2*$D4*$D$2-2*$E4*$E$2-2*$F4*$F$2-2*$G4*$G$2-2*$H4*$H$2)/(2*$I$2))))</f>
        <v>0</v>
      </c>
      <c r="J4" s="41">
        <f>IF(A4=0,0,MIN($J$1/2,INT(($M4-2*$B4*$B$2-2*$C4*$C$2-2*$D4*$D$2-2*$E4*$E$2-2*$F4*$F$2-2*$G4*$G$2-2*$H4*$H$2-2*$I4*$I$2)/(2*$J$2))))</f>
        <v>0</v>
      </c>
      <c r="K4" s="42"/>
      <c r="L4" s="44">
        <v>0</v>
      </c>
      <c r="M4" s="47">
        <v>0</v>
      </c>
      <c r="N4" s="45" t="str">
        <f>IF($K$2+2*(B4*$B$2+C4*$C$2+D4*$D$2+E4*$E$2+F4*$F$2+G4*$G$2+H4*$H$2+I4*$I$2+J4*$J$2)=A4,"","Not enough weight for this load")</f>
        <v/>
      </c>
      <c r="O4" s="45">
        <f>IF($A$2="Pounds",P4,Q4)</f>
        <v>25</v>
      </c>
      <c r="P4" s="45">
        <v>55</v>
      </c>
      <c r="Q4" s="45">
        <v>25</v>
      </c>
    </row>
    <row r="5" spans="1:17" ht="12.75" customHeight="1" x14ac:dyDescent="0.25">
      <c r="A5" s="46">
        <f t="shared" ref="A5:A68" si="0">IF(M5+$K$2&gt;$L$1,0,M5+$K$2)</f>
        <v>35</v>
      </c>
      <c r="B5" s="41">
        <f t="shared" ref="B5:B68" si="1">IF(A5=0,0,MIN($B$1/2,INT(M5/(2*$B$2))))</f>
        <v>0</v>
      </c>
      <c r="C5" s="42">
        <f t="shared" ref="C5:C68" si="2">IF(A5=0,0,MIN($C$1/2,INT(($M5-2*$B5*$B$2)/(2*$C$2))))</f>
        <v>0</v>
      </c>
      <c r="D5" s="41">
        <f t="shared" ref="D5:D68" si="3">IF(A5=0,0,MIN($D$1/2,INT(($M5-2*$B5*$B$2-2*$C5*$C$2)/(2*$D$2))))</f>
        <v>0</v>
      </c>
      <c r="E5" s="42">
        <f t="shared" ref="E5:E68" si="4">IF(A5=0,0,MIN($E$1/2,INT(($M5-2*$B5*$B$2-2*$C5*$C$2-2*$D5*$D$2)/(2*$E$2))))</f>
        <v>0</v>
      </c>
      <c r="F5" s="41">
        <f t="shared" ref="F5:F68" si="5">IF(A5=0,0,MIN($F$1/2,INT(($M5-2*$B5*$B$2-2*$C5*$C$2-2*$D5*$D$2-2*$E5*$E$2)/(2*$F$2))))</f>
        <v>0</v>
      </c>
      <c r="G5" s="42">
        <f t="shared" ref="G5:G68" si="6">IF(A5=0,0,MIN($G$1/2,INT(($M5-2*$B5*$B$2-2*$C5*$C$2-2*$D5*$D$2-2*$E5*$E$2-2*$F5*$F$2)/(2*$G$2))))</f>
        <v>0</v>
      </c>
      <c r="H5" s="41">
        <f t="shared" ref="H5:H68" si="7">IF(A5=0,0,MIN($H$1/2,INT(($M5-2*$B5*$B$2-2*$C5*$C$2-2*$D5*$D$2-2*$E5*$E$2-2*$F5*$F$2-2*$G5*$G$2)/(2*$H$2))))</f>
        <v>0</v>
      </c>
      <c r="I5" s="42">
        <f t="shared" ref="I5:I68" si="8">IF(A5=0,0,MIN($I$1/2,INT(($M5-2*$B5*$B$2-2*$C5*$C$2-2*$D5*$D$2-2*$E5*$E$2-2*$F5*$F$2-2*$G5*$G$2-2*$H5*$H$2)/(2*$I$2))))</f>
        <v>0</v>
      </c>
      <c r="J5" s="41">
        <f t="shared" ref="J5:J68" si="9">IF(A5=0,0,MIN($J$1/2,INT(($M5-2*$B5*$B$2-2*$C5*$C$2-2*$D5*$D$2-2*$E5*$E$2-2*$F5*$F$2-2*$G5*$G$2-2*$H5*$H$2-2*$I5*$I$2)/(2*$J$2))))</f>
        <v>1</v>
      </c>
      <c r="K5" s="42"/>
      <c r="L5" s="44">
        <v>1</v>
      </c>
      <c r="M5" s="44">
        <f t="shared" ref="M5:M68" si="10">IF($A$2="Pounds",5*L5,2.5*L5)</f>
        <v>2.5</v>
      </c>
      <c r="O5" s="45">
        <f>IF($A$2="Pounds",P5,Q5)</f>
        <v>30</v>
      </c>
      <c r="P5" s="45">
        <v>65</v>
      </c>
      <c r="Q5" s="45">
        <v>30</v>
      </c>
    </row>
    <row r="6" spans="1:17" ht="12.75" customHeight="1" x14ac:dyDescent="0.25">
      <c r="A6" s="46">
        <f t="shared" si="0"/>
        <v>37.5</v>
      </c>
      <c r="B6" s="41">
        <f t="shared" si="1"/>
        <v>0</v>
      </c>
      <c r="C6" s="42">
        <f t="shared" si="2"/>
        <v>0</v>
      </c>
      <c r="D6" s="41">
        <f t="shared" si="3"/>
        <v>0</v>
      </c>
      <c r="E6" s="42">
        <f t="shared" si="4"/>
        <v>0</v>
      </c>
      <c r="F6" s="41">
        <f t="shared" si="5"/>
        <v>0</v>
      </c>
      <c r="G6" s="42">
        <f t="shared" si="6"/>
        <v>0</v>
      </c>
      <c r="H6" s="41">
        <f t="shared" si="7"/>
        <v>0</v>
      </c>
      <c r="I6" s="42">
        <f t="shared" si="8"/>
        <v>1</v>
      </c>
      <c r="J6" s="41">
        <f t="shared" si="9"/>
        <v>0</v>
      </c>
      <c r="K6" s="42"/>
      <c r="L6" s="44">
        <v>2</v>
      </c>
      <c r="M6" s="44">
        <f t="shared" si="10"/>
        <v>5</v>
      </c>
      <c r="O6" s="45">
        <f>IF($A$2="Pounds",P6,Q6)</f>
        <v>32.5</v>
      </c>
      <c r="P6" s="45">
        <v>70</v>
      </c>
      <c r="Q6" s="45">
        <v>32.5</v>
      </c>
    </row>
    <row r="7" spans="1:17" ht="12.75" customHeight="1" x14ac:dyDescent="0.25">
      <c r="A7" s="46">
        <f t="shared" si="0"/>
        <v>40</v>
      </c>
      <c r="B7" s="41">
        <f t="shared" si="1"/>
        <v>0</v>
      </c>
      <c r="C7" s="42">
        <f t="shared" si="2"/>
        <v>0</v>
      </c>
      <c r="D7" s="41">
        <f t="shared" si="3"/>
        <v>0</v>
      </c>
      <c r="E7" s="42">
        <f t="shared" si="4"/>
        <v>0</v>
      </c>
      <c r="F7" s="41">
        <f t="shared" si="5"/>
        <v>0</v>
      </c>
      <c r="G7" s="42">
        <f t="shared" si="6"/>
        <v>0</v>
      </c>
      <c r="H7" s="41">
        <f t="shared" si="7"/>
        <v>0</v>
      </c>
      <c r="I7" s="42">
        <f t="shared" si="8"/>
        <v>1</v>
      </c>
      <c r="J7" s="41">
        <f t="shared" si="9"/>
        <v>1</v>
      </c>
      <c r="K7" s="42"/>
      <c r="L7" s="44">
        <v>3</v>
      </c>
      <c r="M7" s="44">
        <f t="shared" si="10"/>
        <v>7.5</v>
      </c>
    </row>
    <row r="8" spans="1:17" ht="12.75" customHeight="1" x14ac:dyDescent="0.25">
      <c r="A8" s="46">
        <f t="shared" si="0"/>
        <v>42.5</v>
      </c>
      <c r="B8" s="41">
        <f t="shared" si="1"/>
        <v>0</v>
      </c>
      <c r="C8" s="42">
        <f t="shared" si="2"/>
        <v>0</v>
      </c>
      <c r="D8" s="41">
        <f t="shared" si="3"/>
        <v>0</v>
      </c>
      <c r="E8" s="42">
        <f t="shared" si="4"/>
        <v>0</v>
      </c>
      <c r="F8" s="41">
        <f t="shared" si="5"/>
        <v>0</v>
      </c>
      <c r="G8" s="42">
        <f t="shared" si="6"/>
        <v>0</v>
      </c>
      <c r="H8" s="41">
        <f t="shared" si="7"/>
        <v>1</v>
      </c>
      <c r="I8" s="42">
        <f t="shared" si="8"/>
        <v>0</v>
      </c>
      <c r="J8" s="41">
        <f t="shared" si="9"/>
        <v>0</v>
      </c>
      <c r="K8" s="42"/>
      <c r="L8" s="44">
        <v>4</v>
      </c>
      <c r="M8" s="44">
        <f t="shared" si="10"/>
        <v>10</v>
      </c>
    </row>
    <row r="9" spans="1:17" ht="12.75" customHeight="1" x14ac:dyDescent="0.25">
      <c r="A9" s="46">
        <f t="shared" si="0"/>
        <v>45</v>
      </c>
      <c r="B9" s="41">
        <f t="shared" si="1"/>
        <v>0</v>
      </c>
      <c r="C9" s="42">
        <f t="shared" si="2"/>
        <v>0</v>
      </c>
      <c r="D9" s="41">
        <f t="shared" si="3"/>
        <v>0</v>
      </c>
      <c r="E9" s="42">
        <f t="shared" si="4"/>
        <v>0</v>
      </c>
      <c r="F9" s="41">
        <f t="shared" si="5"/>
        <v>0</v>
      </c>
      <c r="G9" s="42">
        <f t="shared" si="6"/>
        <v>0</v>
      </c>
      <c r="H9" s="41">
        <f t="shared" si="7"/>
        <v>1</v>
      </c>
      <c r="I9" s="42">
        <f t="shared" si="8"/>
        <v>0</v>
      </c>
      <c r="J9" s="41">
        <f t="shared" si="9"/>
        <v>1</v>
      </c>
      <c r="K9" s="42"/>
      <c r="L9" s="44">
        <v>5</v>
      </c>
      <c r="M9" s="44">
        <f t="shared" si="10"/>
        <v>12.5</v>
      </c>
    </row>
    <row r="10" spans="1:17" ht="12.75" customHeight="1" x14ac:dyDescent="0.25">
      <c r="A10" s="46">
        <f t="shared" si="0"/>
        <v>47.5</v>
      </c>
      <c r="B10" s="41">
        <f t="shared" si="1"/>
        <v>0</v>
      </c>
      <c r="C10" s="42">
        <f t="shared" si="2"/>
        <v>0</v>
      </c>
      <c r="D10" s="41">
        <f t="shared" si="3"/>
        <v>0</v>
      </c>
      <c r="E10" s="42">
        <f t="shared" si="4"/>
        <v>0</v>
      </c>
      <c r="F10" s="41">
        <f t="shared" si="5"/>
        <v>0</v>
      </c>
      <c r="G10" s="42">
        <f t="shared" si="6"/>
        <v>0</v>
      </c>
      <c r="H10" s="41">
        <f t="shared" si="7"/>
        <v>1</v>
      </c>
      <c r="I10" s="42">
        <f t="shared" si="8"/>
        <v>1</v>
      </c>
      <c r="J10" s="41">
        <f t="shared" si="9"/>
        <v>0</v>
      </c>
      <c r="K10" s="42"/>
      <c r="L10" s="44">
        <v>6</v>
      </c>
      <c r="M10" s="44">
        <f t="shared" si="10"/>
        <v>15</v>
      </c>
    </row>
    <row r="11" spans="1:17" ht="12.75" customHeight="1" x14ac:dyDescent="0.25">
      <c r="A11" s="46">
        <f t="shared" si="0"/>
        <v>50</v>
      </c>
      <c r="B11" s="41">
        <f t="shared" si="1"/>
        <v>0</v>
      </c>
      <c r="C11" s="42">
        <f t="shared" si="2"/>
        <v>0</v>
      </c>
      <c r="D11" s="41">
        <f t="shared" si="3"/>
        <v>0</v>
      </c>
      <c r="E11" s="42">
        <f t="shared" si="4"/>
        <v>0</v>
      </c>
      <c r="F11" s="41">
        <f t="shared" si="5"/>
        <v>0</v>
      </c>
      <c r="G11" s="42">
        <f t="shared" si="6"/>
        <v>0</v>
      </c>
      <c r="H11" s="41">
        <f t="shared" si="7"/>
        <v>1</v>
      </c>
      <c r="I11" s="42">
        <f t="shared" si="8"/>
        <v>1</v>
      </c>
      <c r="J11" s="41">
        <f t="shared" si="9"/>
        <v>1</v>
      </c>
      <c r="K11" s="42"/>
      <c r="L11" s="44">
        <v>7</v>
      </c>
      <c r="M11" s="44">
        <f t="shared" si="10"/>
        <v>17.5</v>
      </c>
    </row>
    <row r="12" spans="1:17" ht="12.75" customHeight="1" x14ac:dyDescent="0.25">
      <c r="A12" s="46">
        <f t="shared" si="0"/>
        <v>52.5</v>
      </c>
      <c r="B12" s="41">
        <f t="shared" si="1"/>
        <v>0</v>
      </c>
      <c r="C12" s="42">
        <f t="shared" si="2"/>
        <v>0</v>
      </c>
      <c r="D12" s="41">
        <f t="shared" si="3"/>
        <v>0</v>
      </c>
      <c r="E12" s="42">
        <f t="shared" si="4"/>
        <v>0</v>
      </c>
      <c r="F12" s="41">
        <f t="shared" si="5"/>
        <v>0</v>
      </c>
      <c r="G12" s="42">
        <f t="shared" si="6"/>
        <v>1</v>
      </c>
      <c r="H12" s="41">
        <f t="shared" si="7"/>
        <v>0</v>
      </c>
      <c r="I12" s="42">
        <f t="shared" si="8"/>
        <v>0</v>
      </c>
      <c r="J12" s="41">
        <f t="shared" si="9"/>
        <v>0</v>
      </c>
      <c r="K12" s="42"/>
      <c r="L12" s="44">
        <v>8</v>
      </c>
      <c r="M12" s="44">
        <f t="shared" si="10"/>
        <v>20</v>
      </c>
    </row>
    <row r="13" spans="1:17" ht="12.75" customHeight="1" x14ac:dyDescent="0.25">
      <c r="A13" s="46">
        <f t="shared" si="0"/>
        <v>55</v>
      </c>
      <c r="B13" s="41">
        <f t="shared" si="1"/>
        <v>0</v>
      </c>
      <c r="C13" s="42">
        <f t="shared" si="2"/>
        <v>0</v>
      </c>
      <c r="D13" s="41">
        <f t="shared" si="3"/>
        <v>0</v>
      </c>
      <c r="E13" s="42">
        <f t="shared" si="4"/>
        <v>0</v>
      </c>
      <c r="F13" s="41">
        <f t="shared" si="5"/>
        <v>0</v>
      </c>
      <c r="G13" s="42">
        <f t="shared" si="6"/>
        <v>1</v>
      </c>
      <c r="H13" s="41">
        <f t="shared" si="7"/>
        <v>0</v>
      </c>
      <c r="I13" s="42">
        <f t="shared" si="8"/>
        <v>0</v>
      </c>
      <c r="J13" s="41">
        <f t="shared" si="9"/>
        <v>1</v>
      </c>
      <c r="K13" s="42"/>
      <c r="L13" s="44">
        <f t="shared" ref="L13:L76" si="11">L12+1</f>
        <v>9</v>
      </c>
      <c r="M13" s="44">
        <f t="shared" si="10"/>
        <v>22.5</v>
      </c>
    </row>
    <row r="14" spans="1:17" ht="12.75" customHeight="1" x14ac:dyDescent="0.25">
      <c r="A14" s="46">
        <f t="shared" si="0"/>
        <v>57.5</v>
      </c>
      <c r="B14" s="41">
        <f t="shared" si="1"/>
        <v>0</v>
      </c>
      <c r="C14" s="42">
        <f t="shared" si="2"/>
        <v>0</v>
      </c>
      <c r="D14" s="41">
        <f t="shared" si="3"/>
        <v>0</v>
      </c>
      <c r="E14" s="42">
        <f t="shared" si="4"/>
        <v>0</v>
      </c>
      <c r="F14" s="41">
        <f t="shared" si="5"/>
        <v>0</v>
      </c>
      <c r="G14" s="42">
        <f t="shared" si="6"/>
        <v>1</v>
      </c>
      <c r="H14" s="41">
        <f t="shared" si="7"/>
        <v>0</v>
      </c>
      <c r="I14" s="42">
        <f t="shared" si="8"/>
        <v>1</v>
      </c>
      <c r="J14" s="41">
        <f t="shared" si="9"/>
        <v>0</v>
      </c>
      <c r="K14" s="42"/>
      <c r="L14" s="44">
        <f t="shared" si="11"/>
        <v>10</v>
      </c>
      <c r="M14" s="44">
        <f t="shared" si="10"/>
        <v>25</v>
      </c>
    </row>
    <row r="15" spans="1:17" ht="12.75" customHeight="1" x14ac:dyDescent="0.25">
      <c r="A15" s="46">
        <f t="shared" si="0"/>
        <v>60</v>
      </c>
      <c r="B15" s="41">
        <f t="shared" si="1"/>
        <v>0</v>
      </c>
      <c r="C15" s="42">
        <f t="shared" si="2"/>
        <v>0</v>
      </c>
      <c r="D15" s="41">
        <f t="shared" si="3"/>
        <v>0</v>
      </c>
      <c r="E15" s="42">
        <f t="shared" si="4"/>
        <v>0</v>
      </c>
      <c r="F15" s="41">
        <f t="shared" si="5"/>
        <v>0</v>
      </c>
      <c r="G15" s="42">
        <f t="shared" si="6"/>
        <v>1</v>
      </c>
      <c r="H15" s="41">
        <f t="shared" si="7"/>
        <v>0</v>
      </c>
      <c r="I15" s="42">
        <f t="shared" si="8"/>
        <v>1</v>
      </c>
      <c r="J15" s="41">
        <f t="shared" si="9"/>
        <v>1</v>
      </c>
      <c r="K15" s="42"/>
      <c r="L15" s="44">
        <f t="shared" si="11"/>
        <v>11</v>
      </c>
      <c r="M15" s="44">
        <f t="shared" si="10"/>
        <v>27.5</v>
      </c>
    </row>
    <row r="16" spans="1:17" ht="12.75" customHeight="1" x14ac:dyDescent="0.25">
      <c r="A16" s="46">
        <f t="shared" si="0"/>
        <v>62.5</v>
      </c>
      <c r="B16" s="41">
        <f t="shared" si="1"/>
        <v>0</v>
      </c>
      <c r="C16" s="42">
        <f t="shared" si="2"/>
        <v>0</v>
      </c>
      <c r="D16" s="41">
        <f t="shared" si="3"/>
        <v>0</v>
      </c>
      <c r="E16" s="42">
        <f t="shared" si="4"/>
        <v>0</v>
      </c>
      <c r="F16" s="41">
        <f t="shared" si="5"/>
        <v>1</v>
      </c>
      <c r="G16" s="42">
        <f t="shared" si="6"/>
        <v>0</v>
      </c>
      <c r="H16" s="41">
        <f t="shared" si="7"/>
        <v>0</v>
      </c>
      <c r="I16" s="42">
        <f t="shared" si="8"/>
        <v>0</v>
      </c>
      <c r="J16" s="41">
        <f t="shared" si="9"/>
        <v>0</v>
      </c>
      <c r="K16" s="42"/>
      <c r="L16" s="44">
        <f t="shared" si="11"/>
        <v>12</v>
      </c>
      <c r="M16" s="44">
        <f t="shared" si="10"/>
        <v>30</v>
      </c>
    </row>
    <row r="17" spans="1:13" ht="12.75" customHeight="1" x14ac:dyDescent="0.25">
      <c r="A17" s="46">
        <f t="shared" si="0"/>
        <v>65</v>
      </c>
      <c r="B17" s="41">
        <f t="shared" si="1"/>
        <v>0</v>
      </c>
      <c r="C17" s="42">
        <f t="shared" si="2"/>
        <v>0</v>
      </c>
      <c r="D17" s="41">
        <f t="shared" si="3"/>
        <v>0</v>
      </c>
      <c r="E17" s="42">
        <f t="shared" si="4"/>
        <v>0</v>
      </c>
      <c r="F17" s="41">
        <f t="shared" si="5"/>
        <v>1</v>
      </c>
      <c r="G17" s="42">
        <f t="shared" si="6"/>
        <v>0</v>
      </c>
      <c r="H17" s="41">
        <f t="shared" si="7"/>
        <v>0</v>
      </c>
      <c r="I17" s="42">
        <f t="shared" si="8"/>
        <v>0</v>
      </c>
      <c r="J17" s="41">
        <f t="shared" si="9"/>
        <v>1</v>
      </c>
      <c r="K17" s="42"/>
      <c r="L17" s="44">
        <f t="shared" si="11"/>
        <v>13</v>
      </c>
      <c r="M17" s="44">
        <f t="shared" si="10"/>
        <v>32.5</v>
      </c>
    </row>
    <row r="18" spans="1:13" ht="12.75" customHeight="1" x14ac:dyDescent="0.25">
      <c r="A18" s="46">
        <f t="shared" si="0"/>
        <v>67.5</v>
      </c>
      <c r="B18" s="41">
        <f t="shared" si="1"/>
        <v>0</v>
      </c>
      <c r="C18" s="42">
        <f t="shared" si="2"/>
        <v>0</v>
      </c>
      <c r="D18" s="41">
        <f t="shared" si="3"/>
        <v>0</v>
      </c>
      <c r="E18" s="42">
        <f t="shared" si="4"/>
        <v>0</v>
      </c>
      <c r="F18" s="41">
        <f t="shared" si="5"/>
        <v>1</v>
      </c>
      <c r="G18" s="42">
        <f t="shared" si="6"/>
        <v>0</v>
      </c>
      <c r="H18" s="41">
        <f t="shared" si="7"/>
        <v>0</v>
      </c>
      <c r="I18" s="42">
        <f t="shared" si="8"/>
        <v>1</v>
      </c>
      <c r="J18" s="41">
        <f t="shared" si="9"/>
        <v>0</v>
      </c>
      <c r="K18" s="42"/>
      <c r="L18" s="44">
        <f t="shared" si="11"/>
        <v>14</v>
      </c>
      <c r="M18" s="44">
        <f t="shared" si="10"/>
        <v>35</v>
      </c>
    </row>
    <row r="19" spans="1:13" ht="12.75" customHeight="1" x14ac:dyDescent="0.25">
      <c r="A19" s="46">
        <f t="shared" si="0"/>
        <v>70</v>
      </c>
      <c r="B19" s="41">
        <f t="shared" si="1"/>
        <v>0</v>
      </c>
      <c r="C19" s="42">
        <f t="shared" si="2"/>
        <v>0</v>
      </c>
      <c r="D19" s="41">
        <f t="shared" si="3"/>
        <v>0</v>
      </c>
      <c r="E19" s="42">
        <f t="shared" si="4"/>
        <v>0</v>
      </c>
      <c r="F19" s="41">
        <f t="shared" si="5"/>
        <v>1</v>
      </c>
      <c r="G19" s="42">
        <f t="shared" si="6"/>
        <v>0</v>
      </c>
      <c r="H19" s="41">
        <f t="shared" si="7"/>
        <v>0</v>
      </c>
      <c r="I19" s="42">
        <f t="shared" si="8"/>
        <v>1</v>
      </c>
      <c r="J19" s="41">
        <f t="shared" si="9"/>
        <v>1</v>
      </c>
      <c r="K19" s="42"/>
      <c r="L19" s="44">
        <f t="shared" si="11"/>
        <v>15</v>
      </c>
      <c r="M19" s="44">
        <f t="shared" si="10"/>
        <v>37.5</v>
      </c>
    </row>
    <row r="20" spans="1:13" ht="12.75" customHeight="1" x14ac:dyDescent="0.25">
      <c r="A20" s="46">
        <f t="shared" si="0"/>
        <v>72.5</v>
      </c>
      <c r="B20" s="41">
        <f t="shared" si="1"/>
        <v>0</v>
      </c>
      <c r="C20" s="42">
        <f t="shared" si="2"/>
        <v>0</v>
      </c>
      <c r="D20" s="41">
        <f t="shared" si="3"/>
        <v>0</v>
      </c>
      <c r="E20" s="42">
        <f t="shared" si="4"/>
        <v>1</v>
      </c>
      <c r="F20" s="41">
        <f t="shared" si="5"/>
        <v>0</v>
      </c>
      <c r="G20" s="42">
        <f t="shared" si="6"/>
        <v>0</v>
      </c>
      <c r="H20" s="41">
        <f t="shared" si="7"/>
        <v>0</v>
      </c>
      <c r="I20" s="42">
        <f t="shared" si="8"/>
        <v>0</v>
      </c>
      <c r="J20" s="41">
        <f t="shared" si="9"/>
        <v>0</v>
      </c>
      <c r="K20" s="42"/>
      <c r="L20" s="44">
        <f t="shared" si="11"/>
        <v>16</v>
      </c>
      <c r="M20" s="44">
        <f t="shared" si="10"/>
        <v>40</v>
      </c>
    </row>
    <row r="21" spans="1:13" ht="12.75" customHeight="1" x14ac:dyDescent="0.25">
      <c r="A21" s="46">
        <f t="shared" si="0"/>
        <v>75</v>
      </c>
      <c r="B21" s="41">
        <f t="shared" si="1"/>
        <v>0</v>
      </c>
      <c r="C21" s="42">
        <f t="shared" si="2"/>
        <v>0</v>
      </c>
      <c r="D21" s="41">
        <f t="shared" si="3"/>
        <v>0</v>
      </c>
      <c r="E21" s="42">
        <f t="shared" si="4"/>
        <v>1</v>
      </c>
      <c r="F21" s="41">
        <f t="shared" si="5"/>
        <v>0</v>
      </c>
      <c r="G21" s="42">
        <f t="shared" si="6"/>
        <v>0</v>
      </c>
      <c r="H21" s="41">
        <f t="shared" si="7"/>
        <v>0</v>
      </c>
      <c r="I21" s="42">
        <f t="shared" si="8"/>
        <v>0</v>
      </c>
      <c r="J21" s="41">
        <f t="shared" si="9"/>
        <v>1</v>
      </c>
      <c r="K21" s="42"/>
      <c r="L21" s="44">
        <f t="shared" si="11"/>
        <v>17</v>
      </c>
      <c r="M21" s="44">
        <f t="shared" si="10"/>
        <v>42.5</v>
      </c>
    </row>
    <row r="22" spans="1:13" ht="12.75" customHeight="1" x14ac:dyDescent="0.25">
      <c r="A22" s="46">
        <f t="shared" si="0"/>
        <v>77.5</v>
      </c>
      <c r="B22" s="41">
        <f t="shared" si="1"/>
        <v>0</v>
      </c>
      <c r="C22" s="42">
        <f t="shared" si="2"/>
        <v>0</v>
      </c>
      <c r="D22" s="41">
        <f t="shared" si="3"/>
        <v>0</v>
      </c>
      <c r="E22" s="42">
        <f t="shared" si="4"/>
        <v>1</v>
      </c>
      <c r="F22" s="41">
        <f t="shared" si="5"/>
        <v>0</v>
      </c>
      <c r="G22" s="42">
        <f t="shared" si="6"/>
        <v>0</v>
      </c>
      <c r="H22" s="41">
        <f t="shared" si="7"/>
        <v>0</v>
      </c>
      <c r="I22" s="42">
        <f t="shared" si="8"/>
        <v>1</v>
      </c>
      <c r="J22" s="41">
        <f t="shared" si="9"/>
        <v>0</v>
      </c>
      <c r="K22" s="42"/>
      <c r="L22" s="44">
        <f t="shared" si="11"/>
        <v>18</v>
      </c>
      <c r="M22" s="44">
        <f t="shared" si="10"/>
        <v>45</v>
      </c>
    </row>
    <row r="23" spans="1:13" ht="12.75" customHeight="1" x14ac:dyDescent="0.25">
      <c r="A23" s="46">
        <f t="shared" si="0"/>
        <v>80</v>
      </c>
      <c r="B23" s="41">
        <f t="shared" si="1"/>
        <v>0</v>
      </c>
      <c r="C23" s="42">
        <f t="shared" si="2"/>
        <v>0</v>
      </c>
      <c r="D23" s="41">
        <f t="shared" si="3"/>
        <v>0</v>
      </c>
      <c r="E23" s="42">
        <f t="shared" si="4"/>
        <v>1</v>
      </c>
      <c r="F23" s="41">
        <f t="shared" si="5"/>
        <v>0</v>
      </c>
      <c r="G23" s="42">
        <f t="shared" si="6"/>
        <v>0</v>
      </c>
      <c r="H23" s="41">
        <f t="shared" si="7"/>
        <v>0</v>
      </c>
      <c r="I23" s="42">
        <f t="shared" si="8"/>
        <v>1</v>
      </c>
      <c r="J23" s="41">
        <f t="shared" si="9"/>
        <v>1</v>
      </c>
      <c r="K23" s="42"/>
      <c r="L23" s="44">
        <f t="shared" si="11"/>
        <v>19</v>
      </c>
      <c r="M23" s="44">
        <f t="shared" si="10"/>
        <v>47.5</v>
      </c>
    </row>
    <row r="24" spans="1:13" ht="12.75" customHeight="1" x14ac:dyDescent="0.25">
      <c r="A24" s="46">
        <f t="shared" si="0"/>
        <v>82.5</v>
      </c>
      <c r="B24" s="41">
        <f t="shared" si="1"/>
        <v>0</v>
      </c>
      <c r="C24" s="42">
        <f t="shared" si="2"/>
        <v>0</v>
      </c>
      <c r="D24" s="41">
        <f t="shared" si="3"/>
        <v>0</v>
      </c>
      <c r="E24" s="42">
        <f t="shared" si="4"/>
        <v>1</v>
      </c>
      <c r="F24" s="41">
        <f t="shared" si="5"/>
        <v>0</v>
      </c>
      <c r="G24" s="42">
        <f t="shared" si="6"/>
        <v>0</v>
      </c>
      <c r="H24" s="41">
        <f t="shared" si="7"/>
        <v>1</v>
      </c>
      <c r="I24" s="42">
        <f t="shared" si="8"/>
        <v>0</v>
      </c>
      <c r="J24" s="41">
        <f t="shared" si="9"/>
        <v>0</v>
      </c>
      <c r="K24" s="42"/>
      <c r="L24" s="44">
        <f t="shared" si="11"/>
        <v>20</v>
      </c>
      <c r="M24" s="44">
        <f t="shared" si="10"/>
        <v>50</v>
      </c>
    </row>
    <row r="25" spans="1:13" ht="12.75" customHeight="1" x14ac:dyDescent="0.25">
      <c r="A25" s="46">
        <f t="shared" si="0"/>
        <v>85</v>
      </c>
      <c r="B25" s="41">
        <f t="shared" si="1"/>
        <v>0</v>
      </c>
      <c r="C25" s="42">
        <f t="shared" si="2"/>
        <v>0</v>
      </c>
      <c r="D25" s="41">
        <f t="shared" si="3"/>
        <v>0</v>
      </c>
      <c r="E25" s="42">
        <f t="shared" si="4"/>
        <v>1</v>
      </c>
      <c r="F25" s="41">
        <f t="shared" si="5"/>
        <v>0</v>
      </c>
      <c r="G25" s="42">
        <f t="shared" si="6"/>
        <v>0</v>
      </c>
      <c r="H25" s="41">
        <f t="shared" si="7"/>
        <v>1</v>
      </c>
      <c r="I25" s="42">
        <f t="shared" si="8"/>
        <v>0</v>
      </c>
      <c r="J25" s="41">
        <f t="shared" si="9"/>
        <v>1</v>
      </c>
      <c r="K25" s="42"/>
      <c r="L25" s="44">
        <f t="shared" si="11"/>
        <v>21</v>
      </c>
      <c r="M25" s="44">
        <f t="shared" si="10"/>
        <v>52.5</v>
      </c>
    </row>
    <row r="26" spans="1:13" ht="12.75" customHeight="1" x14ac:dyDescent="0.25">
      <c r="A26" s="46">
        <f t="shared" si="0"/>
        <v>87.5</v>
      </c>
      <c r="B26" s="41">
        <f t="shared" si="1"/>
        <v>0</v>
      </c>
      <c r="C26" s="42">
        <f t="shared" si="2"/>
        <v>0</v>
      </c>
      <c r="D26" s="41">
        <f t="shared" si="3"/>
        <v>0</v>
      </c>
      <c r="E26" s="42">
        <f t="shared" si="4"/>
        <v>1</v>
      </c>
      <c r="F26" s="41">
        <f t="shared" si="5"/>
        <v>0</v>
      </c>
      <c r="G26" s="42">
        <f t="shared" si="6"/>
        <v>0</v>
      </c>
      <c r="H26" s="41">
        <f t="shared" si="7"/>
        <v>1</v>
      </c>
      <c r="I26" s="42">
        <f t="shared" si="8"/>
        <v>1</v>
      </c>
      <c r="J26" s="41">
        <f t="shared" si="9"/>
        <v>0</v>
      </c>
      <c r="K26" s="42"/>
      <c r="L26" s="44">
        <f t="shared" si="11"/>
        <v>22</v>
      </c>
      <c r="M26" s="44">
        <f t="shared" si="10"/>
        <v>55</v>
      </c>
    </row>
    <row r="27" spans="1:13" ht="12.75" customHeight="1" x14ac:dyDescent="0.25">
      <c r="A27" s="46">
        <f t="shared" si="0"/>
        <v>90</v>
      </c>
      <c r="B27" s="41">
        <f t="shared" si="1"/>
        <v>0</v>
      </c>
      <c r="C27" s="42">
        <f t="shared" si="2"/>
        <v>0</v>
      </c>
      <c r="D27" s="41">
        <f t="shared" si="3"/>
        <v>0</v>
      </c>
      <c r="E27" s="42">
        <f t="shared" si="4"/>
        <v>1</v>
      </c>
      <c r="F27" s="41">
        <f t="shared" si="5"/>
        <v>0</v>
      </c>
      <c r="G27" s="42">
        <f t="shared" si="6"/>
        <v>0</v>
      </c>
      <c r="H27" s="41">
        <f t="shared" si="7"/>
        <v>1</v>
      </c>
      <c r="I27" s="42">
        <f t="shared" si="8"/>
        <v>1</v>
      </c>
      <c r="J27" s="41">
        <f t="shared" si="9"/>
        <v>1</v>
      </c>
      <c r="K27" s="42"/>
      <c r="L27" s="44">
        <f t="shared" si="11"/>
        <v>23</v>
      </c>
      <c r="M27" s="44">
        <f t="shared" si="10"/>
        <v>57.5</v>
      </c>
    </row>
    <row r="28" spans="1:13" ht="12.75" customHeight="1" x14ac:dyDescent="0.25">
      <c r="A28" s="46">
        <f t="shared" si="0"/>
        <v>92.5</v>
      </c>
      <c r="B28" s="41">
        <f t="shared" si="1"/>
        <v>0</v>
      </c>
      <c r="C28" s="42">
        <f t="shared" si="2"/>
        <v>0</v>
      </c>
      <c r="D28" s="41">
        <f t="shared" si="3"/>
        <v>0</v>
      </c>
      <c r="E28" s="42">
        <f t="shared" si="4"/>
        <v>1</v>
      </c>
      <c r="F28" s="41">
        <f t="shared" si="5"/>
        <v>0</v>
      </c>
      <c r="G28" s="42">
        <f t="shared" si="6"/>
        <v>1</v>
      </c>
      <c r="H28" s="41">
        <f t="shared" si="7"/>
        <v>0</v>
      </c>
      <c r="I28" s="42">
        <f t="shared" si="8"/>
        <v>0</v>
      </c>
      <c r="J28" s="41">
        <f t="shared" si="9"/>
        <v>0</v>
      </c>
      <c r="K28" s="42"/>
      <c r="L28" s="44">
        <f t="shared" si="11"/>
        <v>24</v>
      </c>
      <c r="M28" s="44">
        <f t="shared" si="10"/>
        <v>60</v>
      </c>
    </row>
    <row r="29" spans="1:13" ht="12.75" customHeight="1" x14ac:dyDescent="0.25">
      <c r="A29" s="46">
        <f t="shared" si="0"/>
        <v>95</v>
      </c>
      <c r="B29" s="41">
        <f t="shared" si="1"/>
        <v>0</v>
      </c>
      <c r="C29" s="42">
        <f t="shared" si="2"/>
        <v>0</v>
      </c>
      <c r="D29" s="41">
        <f t="shared" si="3"/>
        <v>0</v>
      </c>
      <c r="E29" s="42">
        <f t="shared" si="4"/>
        <v>1</v>
      </c>
      <c r="F29" s="41">
        <f t="shared" si="5"/>
        <v>0</v>
      </c>
      <c r="G29" s="42">
        <f t="shared" si="6"/>
        <v>1</v>
      </c>
      <c r="H29" s="41">
        <f t="shared" si="7"/>
        <v>0</v>
      </c>
      <c r="I29" s="42">
        <f t="shared" si="8"/>
        <v>0</v>
      </c>
      <c r="J29" s="41">
        <f t="shared" si="9"/>
        <v>1</v>
      </c>
      <c r="K29" s="42"/>
      <c r="L29" s="44">
        <f t="shared" si="11"/>
        <v>25</v>
      </c>
      <c r="M29" s="44">
        <f t="shared" si="10"/>
        <v>62.5</v>
      </c>
    </row>
    <row r="30" spans="1:13" ht="12.75" customHeight="1" x14ac:dyDescent="0.25">
      <c r="A30" s="46">
        <f t="shared" si="0"/>
        <v>97.5</v>
      </c>
      <c r="B30" s="41">
        <f t="shared" si="1"/>
        <v>0</v>
      </c>
      <c r="C30" s="42">
        <f t="shared" si="2"/>
        <v>0</v>
      </c>
      <c r="D30" s="41">
        <f t="shared" si="3"/>
        <v>0</v>
      </c>
      <c r="E30" s="42">
        <f t="shared" si="4"/>
        <v>1</v>
      </c>
      <c r="F30" s="41">
        <f t="shared" si="5"/>
        <v>0</v>
      </c>
      <c r="G30" s="42">
        <f t="shared" si="6"/>
        <v>1</v>
      </c>
      <c r="H30" s="41">
        <f t="shared" si="7"/>
        <v>0</v>
      </c>
      <c r="I30" s="42">
        <f t="shared" si="8"/>
        <v>1</v>
      </c>
      <c r="J30" s="41">
        <f t="shared" si="9"/>
        <v>0</v>
      </c>
      <c r="K30" s="42"/>
      <c r="L30" s="44">
        <f t="shared" si="11"/>
        <v>26</v>
      </c>
      <c r="M30" s="44">
        <f t="shared" si="10"/>
        <v>65</v>
      </c>
    </row>
    <row r="31" spans="1:13" ht="12.75" customHeight="1" x14ac:dyDescent="0.25">
      <c r="A31" s="46">
        <f t="shared" si="0"/>
        <v>100</v>
      </c>
      <c r="B31" s="41">
        <f t="shared" si="1"/>
        <v>0</v>
      </c>
      <c r="C31" s="42">
        <f t="shared" si="2"/>
        <v>0</v>
      </c>
      <c r="D31" s="41">
        <f t="shared" si="3"/>
        <v>0</v>
      </c>
      <c r="E31" s="42">
        <f t="shared" si="4"/>
        <v>1</v>
      </c>
      <c r="F31" s="41">
        <f t="shared" si="5"/>
        <v>0</v>
      </c>
      <c r="G31" s="42">
        <f t="shared" si="6"/>
        <v>1</v>
      </c>
      <c r="H31" s="41">
        <f t="shared" si="7"/>
        <v>0</v>
      </c>
      <c r="I31" s="42">
        <f t="shared" si="8"/>
        <v>1</v>
      </c>
      <c r="J31" s="41">
        <f t="shared" si="9"/>
        <v>1</v>
      </c>
      <c r="K31" s="42"/>
      <c r="L31" s="44">
        <f t="shared" si="11"/>
        <v>27</v>
      </c>
      <c r="M31" s="44">
        <f t="shared" si="10"/>
        <v>67.5</v>
      </c>
    </row>
    <row r="32" spans="1:13" ht="12.75" customHeight="1" x14ac:dyDescent="0.25">
      <c r="A32" s="46">
        <f t="shared" si="0"/>
        <v>102.5</v>
      </c>
      <c r="B32" s="41">
        <f t="shared" si="1"/>
        <v>0</v>
      </c>
      <c r="C32" s="42">
        <f t="shared" si="2"/>
        <v>0</v>
      </c>
      <c r="D32" s="41">
        <f t="shared" si="3"/>
        <v>0</v>
      </c>
      <c r="E32" s="42">
        <f t="shared" si="4"/>
        <v>1</v>
      </c>
      <c r="F32" s="41">
        <f t="shared" si="5"/>
        <v>1</v>
      </c>
      <c r="G32" s="42">
        <f t="shared" si="6"/>
        <v>0</v>
      </c>
      <c r="H32" s="41">
        <f t="shared" si="7"/>
        <v>0</v>
      </c>
      <c r="I32" s="42">
        <f t="shared" si="8"/>
        <v>0</v>
      </c>
      <c r="J32" s="41">
        <f t="shared" si="9"/>
        <v>0</v>
      </c>
      <c r="K32" s="42"/>
      <c r="L32" s="44">
        <f t="shared" si="11"/>
        <v>28</v>
      </c>
      <c r="M32" s="44">
        <f t="shared" si="10"/>
        <v>70</v>
      </c>
    </row>
    <row r="33" spans="1:13" ht="12.75" customHeight="1" x14ac:dyDescent="0.25">
      <c r="A33" s="46">
        <f t="shared" si="0"/>
        <v>105</v>
      </c>
      <c r="B33" s="41">
        <f t="shared" si="1"/>
        <v>0</v>
      </c>
      <c r="C33" s="42">
        <f t="shared" si="2"/>
        <v>0</v>
      </c>
      <c r="D33" s="41">
        <f t="shared" si="3"/>
        <v>0</v>
      </c>
      <c r="E33" s="42">
        <f t="shared" si="4"/>
        <v>1</v>
      </c>
      <c r="F33" s="41">
        <f t="shared" si="5"/>
        <v>1</v>
      </c>
      <c r="G33" s="42">
        <f t="shared" si="6"/>
        <v>0</v>
      </c>
      <c r="H33" s="41">
        <f t="shared" si="7"/>
        <v>0</v>
      </c>
      <c r="I33" s="42">
        <f t="shared" si="8"/>
        <v>0</v>
      </c>
      <c r="J33" s="41">
        <f t="shared" si="9"/>
        <v>1</v>
      </c>
      <c r="K33" s="42"/>
      <c r="L33" s="44">
        <f t="shared" si="11"/>
        <v>29</v>
      </c>
      <c r="M33" s="44">
        <f t="shared" si="10"/>
        <v>72.5</v>
      </c>
    </row>
    <row r="34" spans="1:13" ht="12.75" customHeight="1" x14ac:dyDescent="0.25">
      <c r="A34" s="46">
        <f t="shared" si="0"/>
        <v>107.5</v>
      </c>
      <c r="B34" s="41">
        <f t="shared" si="1"/>
        <v>0</v>
      </c>
      <c r="C34" s="42">
        <f t="shared" si="2"/>
        <v>0</v>
      </c>
      <c r="D34" s="41">
        <f t="shared" si="3"/>
        <v>0</v>
      </c>
      <c r="E34" s="42">
        <f t="shared" si="4"/>
        <v>1</v>
      </c>
      <c r="F34" s="41">
        <f t="shared" si="5"/>
        <v>1</v>
      </c>
      <c r="G34" s="42">
        <f t="shared" si="6"/>
        <v>0</v>
      </c>
      <c r="H34" s="41">
        <f t="shared" si="7"/>
        <v>0</v>
      </c>
      <c r="I34" s="42">
        <f t="shared" si="8"/>
        <v>1</v>
      </c>
      <c r="J34" s="41">
        <f t="shared" si="9"/>
        <v>0</v>
      </c>
      <c r="K34" s="42"/>
      <c r="L34" s="44">
        <f t="shared" si="11"/>
        <v>30</v>
      </c>
      <c r="M34" s="44">
        <f t="shared" si="10"/>
        <v>75</v>
      </c>
    </row>
    <row r="35" spans="1:13" ht="12.75" customHeight="1" x14ac:dyDescent="0.25">
      <c r="A35" s="46">
        <f t="shared" si="0"/>
        <v>110</v>
      </c>
      <c r="B35" s="41">
        <f t="shared" si="1"/>
        <v>0</v>
      </c>
      <c r="C35" s="42">
        <f t="shared" si="2"/>
        <v>0</v>
      </c>
      <c r="D35" s="41">
        <f t="shared" si="3"/>
        <v>0</v>
      </c>
      <c r="E35" s="42">
        <f t="shared" si="4"/>
        <v>1</v>
      </c>
      <c r="F35" s="41">
        <f t="shared" si="5"/>
        <v>1</v>
      </c>
      <c r="G35" s="42">
        <f t="shared" si="6"/>
        <v>0</v>
      </c>
      <c r="H35" s="41">
        <f t="shared" si="7"/>
        <v>0</v>
      </c>
      <c r="I35" s="42">
        <f t="shared" si="8"/>
        <v>1</v>
      </c>
      <c r="J35" s="41">
        <f t="shared" si="9"/>
        <v>1</v>
      </c>
      <c r="K35" s="42"/>
      <c r="L35" s="44">
        <f t="shared" si="11"/>
        <v>31</v>
      </c>
      <c r="M35" s="44">
        <f t="shared" si="10"/>
        <v>77.5</v>
      </c>
    </row>
    <row r="36" spans="1:13" ht="12.75" customHeight="1" x14ac:dyDescent="0.25">
      <c r="A36" s="46">
        <f t="shared" si="0"/>
        <v>112.5</v>
      </c>
      <c r="B36" s="41">
        <f t="shared" si="1"/>
        <v>0</v>
      </c>
      <c r="C36" s="42">
        <f t="shared" si="2"/>
        <v>0</v>
      </c>
      <c r="D36" s="41">
        <f t="shared" si="3"/>
        <v>0</v>
      </c>
      <c r="E36" s="42">
        <f t="shared" si="4"/>
        <v>2</v>
      </c>
      <c r="F36" s="41">
        <f t="shared" si="5"/>
        <v>0</v>
      </c>
      <c r="G36" s="42">
        <f t="shared" si="6"/>
        <v>0</v>
      </c>
      <c r="H36" s="41">
        <f t="shared" si="7"/>
        <v>0</v>
      </c>
      <c r="I36" s="42">
        <f t="shared" si="8"/>
        <v>0</v>
      </c>
      <c r="J36" s="41">
        <f t="shared" si="9"/>
        <v>0</v>
      </c>
      <c r="K36" s="42"/>
      <c r="L36" s="44">
        <f t="shared" si="11"/>
        <v>32</v>
      </c>
      <c r="M36" s="44">
        <f t="shared" si="10"/>
        <v>80</v>
      </c>
    </row>
    <row r="37" spans="1:13" ht="12.75" customHeight="1" x14ac:dyDescent="0.25">
      <c r="A37" s="46">
        <f t="shared" si="0"/>
        <v>115</v>
      </c>
      <c r="B37" s="41">
        <f t="shared" si="1"/>
        <v>0</v>
      </c>
      <c r="C37" s="42">
        <f t="shared" si="2"/>
        <v>0</v>
      </c>
      <c r="D37" s="41">
        <f t="shared" si="3"/>
        <v>0</v>
      </c>
      <c r="E37" s="42">
        <f t="shared" si="4"/>
        <v>2</v>
      </c>
      <c r="F37" s="41">
        <f t="shared" si="5"/>
        <v>0</v>
      </c>
      <c r="G37" s="42">
        <f t="shared" si="6"/>
        <v>0</v>
      </c>
      <c r="H37" s="41">
        <f t="shared" si="7"/>
        <v>0</v>
      </c>
      <c r="I37" s="42">
        <f t="shared" si="8"/>
        <v>0</v>
      </c>
      <c r="J37" s="41">
        <f t="shared" si="9"/>
        <v>1</v>
      </c>
      <c r="K37" s="42"/>
      <c r="L37" s="44">
        <f t="shared" si="11"/>
        <v>33</v>
      </c>
      <c r="M37" s="44">
        <f t="shared" si="10"/>
        <v>82.5</v>
      </c>
    </row>
    <row r="38" spans="1:13" ht="12.75" customHeight="1" x14ac:dyDescent="0.25">
      <c r="A38" s="46">
        <f t="shared" si="0"/>
        <v>117.5</v>
      </c>
      <c r="B38" s="41">
        <f t="shared" si="1"/>
        <v>0</v>
      </c>
      <c r="C38" s="42">
        <f t="shared" si="2"/>
        <v>0</v>
      </c>
      <c r="D38" s="41">
        <f t="shared" si="3"/>
        <v>0</v>
      </c>
      <c r="E38" s="42">
        <f t="shared" si="4"/>
        <v>2</v>
      </c>
      <c r="F38" s="41">
        <f t="shared" si="5"/>
        <v>0</v>
      </c>
      <c r="G38" s="42">
        <f t="shared" si="6"/>
        <v>0</v>
      </c>
      <c r="H38" s="41">
        <f t="shared" si="7"/>
        <v>0</v>
      </c>
      <c r="I38" s="42">
        <f t="shared" si="8"/>
        <v>1</v>
      </c>
      <c r="J38" s="41">
        <f t="shared" si="9"/>
        <v>0</v>
      </c>
      <c r="K38" s="42"/>
      <c r="L38" s="44">
        <f t="shared" si="11"/>
        <v>34</v>
      </c>
      <c r="M38" s="44">
        <f t="shared" si="10"/>
        <v>85</v>
      </c>
    </row>
    <row r="39" spans="1:13" ht="12.75" customHeight="1" x14ac:dyDescent="0.25">
      <c r="A39" s="46">
        <f t="shared" si="0"/>
        <v>120</v>
      </c>
      <c r="B39" s="41">
        <f t="shared" si="1"/>
        <v>0</v>
      </c>
      <c r="C39" s="42">
        <f t="shared" si="2"/>
        <v>0</v>
      </c>
      <c r="D39" s="41">
        <f t="shared" si="3"/>
        <v>0</v>
      </c>
      <c r="E39" s="42">
        <f t="shared" si="4"/>
        <v>2</v>
      </c>
      <c r="F39" s="41">
        <f t="shared" si="5"/>
        <v>0</v>
      </c>
      <c r="G39" s="42">
        <f t="shared" si="6"/>
        <v>0</v>
      </c>
      <c r="H39" s="41">
        <f t="shared" si="7"/>
        <v>0</v>
      </c>
      <c r="I39" s="42">
        <f t="shared" si="8"/>
        <v>1</v>
      </c>
      <c r="J39" s="41">
        <f t="shared" si="9"/>
        <v>1</v>
      </c>
      <c r="K39" s="42"/>
      <c r="L39" s="44">
        <f t="shared" si="11"/>
        <v>35</v>
      </c>
      <c r="M39" s="44">
        <f t="shared" si="10"/>
        <v>87.5</v>
      </c>
    </row>
    <row r="40" spans="1:13" ht="12.75" customHeight="1" x14ac:dyDescent="0.25">
      <c r="A40" s="46">
        <f t="shared" si="0"/>
        <v>122.5</v>
      </c>
      <c r="B40" s="41">
        <f t="shared" si="1"/>
        <v>0</v>
      </c>
      <c r="C40" s="42">
        <f t="shared" si="2"/>
        <v>0</v>
      </c>
      <c r="D40" s="41">
        <f t="shared" si="3"/>
        <v>0</v>
      </c>
      <c r="E40" s="42">
        <f t="shared" si="4"/>
        <v>2</v>
      </c>
      <c r="F40" s="41">
        <f t="shared" si="5"/>
        <v>0</v>
      </c>
      <c r="G40" s="42">
        <f t="shared" si="6"/>
        <v>0</v>
      </c>
      <c r="H40" s="41">
        <f t="shared" si="7"/>
        <v>1</v>
      </c>
      <c r="I40" s="42">
        <f t="shared" si="8"/>
        <v>0</v>
      </c>
      <c r="J40" s="41">
        <f t="shared" si="9"/>
        <v>0</v>
      </c>
      <c r="K40" s="42"/>
      <c r="L40" s="44">
        <f t="shared" si="11"/>
        <v>36</v>
      </c>
      <c r="M40" s="44">
        <f t="shared" si="10"/>
        <v>90</v>
      </c>
    </row>
    <row r="41" spans="1:13" ht="12.75" customHeight="1" x14ac:dyDescent="0.25">
      <c r="A41" s="46">
        <f t="shared" si="0"/>
        <v>125</v>
      </c>
      <c r="B41" s="41">
        <f t="shared" si="1"/>
        <v>0</v>
      </c>
      <c r="C41" s="42">
        <f t="shared" si="2"/>
        <v>0</v>
      </c>
      <c r="D41" s="41">
        <f t="shared" si="3"/>
        <v>0</v>
      </c>
      <c r="E41" s="42">
        <f t="shared" si="4"/>
        <v>2</v>
      </c>
      <c r="F41" s="41">
        <f t="shared" si="5"/>
        <v>0</v>
      </c>
      <c r="G41" s="42">
        <f t="shared" si="6"/>
        <v>0</v>
      </c>
      <c r="H41" s="41">
        <f t="shared" si="7"/>
        <v>1</v>
      </c>
      <c r="I41" s="42">
        <f t="shared" si="8"/>
        <v>0</v>
      </c>
      <c r="J41" s="41">
        <f t="shared" si="9"/>
        <v>1</v>
      </c>
      <c r="K41" s="42"/>
      <c r="L41" s="44">
        <f t="shared" si="11"/>
        <v>37</v>
      </c>
      <c r="M41" s="44">
        <f t="shared" si="10"/>
        <v>92.5</v>
      </c>
    </row>
    <row r="42" spans="1:13" ht="12.75" customHeight="1" x14ac:dyDescent="0.25">
      <c r="A42" s="46">
        <f t="shared" si="0"/>
        <v>127.5</v>
      </c>
      <c r="B42" s="41">
        <f t="shared" si="1"/>
        <v>0</v>
      </c>
      <c r="C42" s="42">
        <f t="shared" si="2"/>
        <v>0</v>
      </c>
      <c r="D42" s="41">
        <f t="shared" si="3"/>
        <v>0</v>
      </c>
      <c r="E42" s="42">
        <f t="shared" si="4"/>
        <v>2</v>
      </c>
      <c r="F42" s="41">
        <f t="shared" si="5"/>
        <v>0</v>
      </c>
      <c r="G42" s="42">
        <f t="shared" si="6"/>
        <v>0</v>
      </c>
      <c r="H42" s="41">
        <f t="shared" si="7"/>
        <v>1</v>
      </c>
      <c r="I42" s="42">
        <f t="shared" si="8"/>
        <v>1</v>
      </c>
      <c r="J42" s="41">
        <f t="shared" si="9"/>
        <v>0</v>
      </c>
      <c r="K42" s="42"/>
      <c r="L42" s="44">
        <f t="shared" si="11"/>
        <v>38</v>
      </c>
      <c r="M42" s="44">
        <f t="shared" si="10"/>
        <v>95</v>
      </c>
    </row>
    <row r="43" spans="1:13" ht="12.75" customHeight="1" x14ac:dyDescent="0.25">
      <c r="A43" s="46">
        <f t="shared" si="0"/>
        <v>130</v>
      </c>
      <c r="B43" s="41">
        <f t="shared" si="1"/>
        <v>0</v>
      </c>
      <c r="C43" s="42">
        <f t="shared" si="2"/>
        <v>0</v>
      </c>
      <c r="D43" s="41">
        <f t="shared" si="3"/>
        <v>0</v>
      </c>
      <c r="E43" s="42">
        <f t="shared" si="4"/>
        <v>2</v>
      </c>
      <c r="F43" s="41">
        <f t="shared" si="5"/>
        <v>0</v>
      </c>
      <c r="G43" s="42">
        <f t="shared" si="6"/>
        <v>0</v>
      </c>
      <c r="H43" s="41">
        <f t="shared" si="7"/>
        <v>1</v>
      </c>
      <c r="I43" s="42">
        <f t="shared" si="8"/>
        <v>1</v>
      </c>
      <c r="J43" s="41">
        <f t="shared" si="9"/>
        <v>1</v>
      </c>
      <c r="K43" s="42"/>
      <c r="L43" s="44">
        <f t="shared" si="11"/>
        <v>39</v>
      </c>
      <c r="M43" s="44">
        <f t="shared" si="10"/>
        <v>97.5</v>
      </c>
    </row>
    <row r="44" spans="1:13" ht="12.75" customHeight="1" x14ac:dyDescent="0.25">
      <c r="A44" s="46">
        <f t="shared" si="0"/>
        <v>132.5</v>
      </c>
      <c r="B44" s="41">
        <f t="shared" si="1"/>
        <v>1</v>
      </c>
      <c r="C44" s="42">
        <f t="shared" si="2"/>
        <v>0</v>
      </c>
      <c r="D44" s="41">
        <f t="shared" si="3"/>
        <v>0</v>
      </c>
      <c r="E44" s="42">
        <f t="shared" si="4"/>
        <v>0</v>
      </c>
      <c r="F44" s="41">
        <f t="shared" si="5"/>
        <v>0</v>
      </c>
      <c r="G44" s="42">
        <f t="shared" si="6"/>
        <v>0</v>
      </c>
      <c r="H44" s="41">
        <f t="shared" si="7"/>
        <v>0</v>
      </c>
      <c r="I44" s="42">
        <f t="shared" si="8"/>
        <v>0</v>
      </c>
      <c r="J44" s="41">
        <f t="shared" si="9"/>
        <v>0</v>
      </c>
      <c r="K44" s="42"/>
      <c r="L44" s="44">
        <f t="shared" si="11"/>
        <v>40</v>
      </c>
      <c r="M44" s="44">
        <f t="shared" si="10"/>
        <v>100</v>
      </c>
    </row>
    <row r="45" spans="1:13" ht="12.75" customHeight="1" x14ac:dyDescent="0.25">
      <c r="A45" s="46">
        <f t="shared" si="0"/>
        <v>135</v>
      </c>
      <c r="B45" s="41">
        <f t="shared" si="1"/>
        <v>1</v>
      </c>
      <c r="C45" s="42">
        <f t="shared" si="2"/>
        <v>0</v>
      </c>
      <c r="D45" s="41">
        <f t="shared" si="3"/>
        <v>0</v>
      </c>
      <c r="E45" s="42">
        <f t="shared" si="4"/>
        <v>0</v>
      </c>
      <c r="F45" s="41">
        <f t="shared" si="5"/>
        <v>0</v>
      </c>
      <c r="G45" s="42">
        <f t="shared" si="6"/>
        <v>0</v>
      </c>
      <c r="H45" s="41">
        <f t="shared" si="7"/>
        <v>0</v>
      </c>
      <c r="I45" s="42">
        <f t="shared" si="8"/>
        <v>0</v>
      </c>
      <c r="J45" s="41">
        <f t="shared" si="9"/>
        <v>1</v>
      </c>
      <c r="K45" s="42"/>
      <c r="L45" s="44">
        <f t="shared" si="11"/>
        <v>41</v>
      </c>
      <c r="M45" s="44">
        <f t="shared" si="10"/>
        <v>102.5</v>
      </c>
    </row>
    <row r="46" spans="1:13" ht="12.75" customHeight="1" x14ac:dyDescent="0.25">
      <c r="A46" s="46">
        <f t="shared" si="0"/>
        <v>137.5</v>
      </c>
      <c r="B46" s="41">
        <f t="shared" si="1"/>
        <v>1</v>
      </c>
      <c r="C46" s="42">
        <f t="shared" si="2"/>
        <v>0</v>
      </c>
      <c r="D46" s="41">
        <f t="shared" si="3"/>
        <v>0</v>
      </c>
      <c r="E46" s="42">
        <f t="shared" si="4"/>
        <v>0</v>
      </c>
      <c r="F46" s="41">
        <f t="shared" si="5"/>
        <v>0</v>
      </c>
      <c r="G46" s="42">
        <f t="shared" si="6"/>
        <v>0</v>
      </c>
      <c r="H46" s="41">
        <f t="shared" si="7"/>
        <v>0</v>
      </c>
      <c r="I46" s="42">
        <f t="shared" si="8"/>
        <v>1</v>
      </c>
      <c r="J46" s="41">
        <f t="shared" si="9"/>
        <v>0</v>
      </c>
      <c r="K46" s="42"/>
      <c r="L46" s="44">
        <f t="shared" si="11"/>
        <v>42</v>
      </c>
      <c r="M46" s="44">
        <f t="shared" si="10"/>
        <v>105</v>
      </c>
    </row>
    <row r="47" spans="1:13" ht="12.75" customHeight="1" x14ac:dyDescent="0.25">
      <c r="A47" s="46">
        <f t="shared" si="0"/>
        <v>140</v>
      </c>
      <c r="B47" s="41">
        <f t="shared" si="1"/>
        <v>1</v>
      </c>
      <c r="C47" s="42">
        <f t="shared" si="2"/>
        <v>0</v>
      </c>
      <c r="D47" s="41">
        <f t="shared" si="3"/>
        <v>0</v>
      </c>
      <c r="E47" s="42">
        <f t="shared" si="4"/>
        <v>0</v>
      </c>
      <c r="F47" s="41">
        <f t="shared" si="5"/>
        <v>0</v>
      </c>
      <c r="G47" s="42">
        <f t="shared" si="6"/>
        <v>0</v>
      </c>
      <c r="H47" s="41">
        <f t="shared" si="7"/>
        <v>0</v>
      </c>
      <c r="I47" s="42">
        <f t="shared" si="8"/>
        <v>1</v>
      </c>
      <c r="J47" s="41">
        <f t="shared" si="9"/>
        <v>1</v>
      </c>
      <c r="K47" s="42"/>
      <c r="L47" s="44">
        <f t="shared" si="11"/>
        <v>43</v>
      </c>
      <c r="M47" s="44">
        <f t="shared" si="10"/>
        <v>107.5</v>
      </c>
    </row>
    <row r="48" spans="1:13" ht="12.75" customHeight="1" x14ac:dyDescent="0.25">
      <c r="A48" s="46">
        <f t="shared" si="0"/>
        <v>142.5</v>
      </c>
      <c r="B48" s="41">
        <f t="shared" si="1"/>
        <v>1</v>
      </c>
      <c r="C48" s="42">
        <f t="shared" si="2"/>
        <v>0</v>
      </c>
      <c r="D48" s="41">
        <f t="shared" si="3"/>
        <v>0</v>
      </c>
      <c r="E48" s="42">
        <f t="shared" si="4"/>
        <v>0</v>
      </c>
      <c r="F48" s="41">
        <f t="shared" si="5"/>
        <v>0</v>
      </c>
      <c r="G48" s="42">
        <f t="shared" si="6"/>
        <v>0</v>
      </c>
      <c r="H48" s="41">
        <f t="shared" si="7"/>
        <v>1</v>
      </c>
      <c r="I48" s="42">
        <f t="shared" si="8"/>
        <v>0</v>
      </c>
      <c r="J48" s="41">
        <f t="shared" si="9"/>
        <v>0</v>
      </c>
      <c r="K48" s="42"/>
      <c r="L48" s="44">
        <f t="shared" si="11"/>
        <v>44</v>
      </c>
      <c r="M48" s="44">
        <f t="shared" si="10"/>
        <v>110</v>
      </c>
    </row>
    <row r="49" spans="1:13" ht="12.75" customHeight="1" x14ac:dyDescent="0.25">
      <c r="A49" s="46">
        <f t="shared" si="0"/>
        <v>145</v>
      </c>
      <c r="B49" s="41">
        <f t="shared" si="1"/>
        <v>1</v>
      </c>
      <c r="C49" s="42">
        <f t="shared" si="2"/>
        <v>0</v>
      </c>
      <c r="D49" s="41">
        <f t="shared" si="3"/>
        <v>0</v>
      </c>
      <c r="E49" s="42">
        <f t="shared" si="4"/>
        <v>0</v>
      </c>
      <c r="F49" s="41">
        <f t="shared" si="5"/>
        <v>0</v>
      </c>
      <c r="G49" s="42">
        <f t="shared" si="6"/>
        <v>0</v>
      </c>
      <c r="H49" s="41">
        <f t="shared" si="7"/>
        <v>1</v>
      </c>
      <c r="I49" s="42">
        <f t="shared" si="8"/>
        <v>0</v>
      </c>
      <c r="J49" s="41">
        <f t="shared" si="9"/>
        <v>1</v>
      </c>
      <c r="K49" s="42"/>
      <c r="L49" s="44">
        <f t="shared" si="11"/>
        <v>45</v>
      </c>
      <c r="M49" s="44">
        <f t="shared" si="10"/>
        <v>112.5</v>
      </c>
    </row>
    <row r="50" spans="1:13" ht="12.75" customHeight="1" x14ac:dyDescent="0.25">
      <c r="A50" s="46">
        <f t="shared" si="0"/>
        <v>147.5</v>
      </c>
      <c r="B50" s="41">
        <f t="shared" si="1"/>
        <v>1</v>
      </c>
      <c r="C50" s="42">
        <f t="shared" si="2"/>
        <v>0</v>
      </c>
      <c r="D50" s="41">
        <f t="shared" si="3"/>
        <v>0</v>
      </c>
      <c r="E50" s="42">
        <f t="shared" si="4"/>
        <v>0</v>
      </c>
      <c r="F50" s="41">
        <f t="shared" si="5"/>
        <v>0</v>
      </c>
      <c r="G50" s="42">
        <f t="shared" si="6"/>
        <v>0</v>
      </c>
      <c r="H50" s="41">
        <f t="shared" si="7"/>
        <v>1</v>
      </c>
      <c r="I50" s="42">
        <f t="shared" si="8"/>
        <v>1</v>
      </c>
      <c r="J50" s="41">
        <f t="shared" si="9"/>
        <v>0</v>
      </c>
      <c r="K50" s="42"/>
      <c r="L50" s="44">
        <f t="shared" si="11"/>
        <v>46</v>
      </c>
      <c r="M50" s="44">
        <f t="shared" si="10"/>
        <v>115</v>
      </c>
    </row>
    <row r="51" spans="1:13" ht="12.75" customHeight="1" x14ac:dyDescent="0.25">
      <c r="A51" s="46">
        <f t="shared" si="0"/>
        <v>150</v>
      </c>
      <c r="B51" s="41">
        <f t="shared" si="1"/>
        <v>1</v>
      </c>
      <c r="C51" s="42">
        <f t="shared" si="2"/>
        <v>0</v>
      </c>
      <c r="D51" s="41">
        <f t="shared" si="3"/>
        <v>0</v>
      </c>
      <c r="E51" s="42">
        <f t="shared" si="4"/>
        <v>0</v>
      </c>
      <c r="F51" s="41">
        <f t="shared" si="5"/>
        <v>0</v>
      </c>
      <c r="G51" s="42">
        <f t="shared" si="6"/>
        <v>0</v>
      </c>
      <c r="H51" s="41">
        <f t="shared" si="7"/>
        <v>1</v>
      </c>
      <c r="I51" s="42">
        <f t="shared" si="8"/>
        <v>1</v>
      </c>
      <c r="J51" s="41">
        <f t="shared" si="9"/>
        <v>1</v>
      </c>
      <c r="K51" s="42"/>
      <c r="L51" s="44">
        <f t="shared" si="11"/>
        <v>47</v>
      </c>
      <c r="M51" s="44">
        <f t="shared" si="10"/>
        <v>117.5</v>
      </c>
    </row>
    <row r="52" spans="1:13" ht="12.75" customHeight="1" x14ac:dyDescent="0.25">
      <c r="A52" s="46">
        <f t="shared" si="0"/>
        <v>152.5</v>
      </c>
      <c r="B52" s="41">
        <f t="shared" si="1"/>
        <v>1</v>
      </c>
      <c r="C52" s="42">
        <f t="shared" si="2"/>
        <v>0</v>
      </c>
      <c r="D52" s="41">
        <f t="shared" si="3"/>
        <v>0</v>
      </c>
      <c r="E52" s="42">
        <f t="shared" si="4"/>
        <v>0</v>
      </c>
      <c r="F52" s="41">
        <f t="shared" si="5"/>
        <v>0</v>
      </c>
      <c r="G52" s="42">
        <f t="shared" si="6"/>
        <v>1</v>
      </c>
      <c r="H52" s="41">
        <f t="shared" si="7"/>
        <v>0</v>
      </c>
      <c r="I52" s="42">
        <f t="shared" si="8"/>
        <v>0</v>
      </c>
      <c r="J52" s="41">
        <f t="shared" si="9"/>
        <v>0</v>
      </c>
      <c r="K52" s="42"/>
      <c r="L52" s="44">
        <f t="shared" si="11"/>
        <v>48</v>
      </c>
      <c r="M52" s="44">
        <f t="shared" si="10"/>
        <v>120</v>
      </c>
    </row>
    <row r="53" spans="1:13" ht="12.75" customHeight="1" x14ac:dyDescent="0.25">
      <c r="A53" s="46">
        <f t="shared" si="0"/>
        <v>155</v>
      </c>
      <c r="B53" s="41">
        <f t="shared" si="1"/>
        <v>1</v>
      </c>
      <c r="C53" s="42">
        <f t="shared" si="2"/>
        <v>0</v>
      </c>
      <c r="D53" s="41">
        <f t="shared" si="3"/>
        <v>0</v>
      </c>
      <c r="E53" s="42">
        <f t="shared" si="4"/>
        <v>0</v>
      </c>
      <c r="F53" s="41">
        <f t="shared" si="5"/>
        <v>0</v>
      </c>
      <c r="G53" s="42">
        <f t="shared" si="6"/>
        <v>1</v>
      </c>
      <c r="H53" s="41">
        <f t="shared" si="7"/>
        <v>0</v>
      </c>
      <c r="I53" s="42">
        <f t="shared" si="8"/>
        <v>0</v>
      </c>
      <c r="J53" s="41">
        <f t="shared" si="9"/>
        <v>1</v>
      </c>
      <c r="K53" s="42"/>
      <c r="L53" s="44">
        <f t="shared" si="11"/>
        <v>49</v>
      </c>
      <c r="M53" s="44">
        <f t="shared" si="10"/>
        <v>122.5</v>
      </c>
    </row>
    <row r="54" spans="1:13" ht="12.75" customHeight="1" x14ac:dyDescent="0.25">
      <c r="A54" s="46">
        <f t="shared" si="0"/>
        <v>157.5</v>
      </c>
      <c r="B54" s="41">
        <f t="shared" si="1"/>
        <v>1</v>
      </c>
      <c r="C54" s="42">
        <f t="shared" si="2"/>
        <v>0</v>
      </c>
      <c r="D54" s="41">
        <f t="shared" si="3"/>
        <v>0</v>
      </c>
      <c r="E54" s="42">
        <f t="shared" si="4"/>
        <v>0</v>
      </c>
      <c r="F54" s="41">
        <f t="shared" si="5"/>
        <v>0</v>
      </c>
      <c r="G54" s="42">
        <f t="shared" si="6"/>
        <v>1</v>
      </c>
      <c r="H54" s="41">
        <f t="shared" si="7"/>
        <v>0</v>
      </c>
      <c r="I54" s="42">
        <f t="shared" si="8"/>
        <v>1</v>
      </c>
      <c r="J54" s="41">
        <f t="shared" si="9"/>
        <v>0</v>
      </c>
      <c r="K54" s="42"/>
      <c r="L54" s="44">
        <f t="shared" si="11"/>
        <v>50</v>
      </c>
      <c r="M54" s="44">
        <f t="shared" si="10"/>
        <v>125</v>
      </c>
    </row>
    <row r="55" spans="1:13" ht="12.75" customHeight="1" x14ac:dyDescent="0.25">
      <c r="A55" s="46">
        <f t="shared" si="0"/>
        <v>160</v>
      </c>
      <c r="B55" s="41">
        <f t="shared" si="1"/>
        <v>1</v>
      </c>
      <c r="C55" s="42">
        <f t="shared" si="2"/>
        <v>0</v>
      </c>
      <c r="D55" s="41">
        <f t="shared" si="3"/>
        <v>0</v>
      </c>
      <c r="E55" s="42">
        <f t="shared" si="4"/>
        <v>0</v>
      </c>
      <c r="F55" s="41">
        <f t="shared" si="5"/>
        <v>0</v>
      </c>
      <c r="G55" s="42">
        <f t="shared" si="6"/>
        <v>1</v>
      </c>
      <c r="H55" s="41">
        <f t="shared" si="7"/>
        <v>0</v>
      </c>
      <c r="I55" s="42">
        <f t="shared" si="8"/>
        <v>1</v>
      </c>
      <c r="J55" s="41">
        <f t="shared" si="9"/>
        <v>1</v>
      </c>
      <c r="K55" s="42"/>
      <c r="L55" s="44">
        <f t="shared" si="11"/>
        <v>51</v>
      </c>
      <c r="M55" s="44">
        <f t="shared" si="10"/>
        <v>127.5</v>
      </c>
    </row>
    <row r="56" spans="1:13" ht="12.75" customHeight="1" x14ac:dyDescent="0.25">
      <c r="A56" s="46">
        <f t="shared" si="0"/>
        <v>162.5</v>
      </c>
      <c r="B56" s="41">
        <f t="shared" si="1"/>
        <v>1</v>
      </c>
      <c r="C56" s="42">
        <f t="shared" si="2"/>
        <v>0</v>
      </c>
      <c r="D56" s="41">
        <f t="shared" si="3"/>
        <v>0</v>
      </c>
      <c r="E56" s="42">
        <f t="shared" si="4"/>
        <v>0</v>
      </c>
      <c r="F56" s="41">
        <f t="shared" si="5"/>
        <v>1</v>
      </c>
      <c r="G56" s="42">
        <f t="shared" si="6"/>
        <v>0</v>
      </c>
      <c r="H56" s="41">
        <f t="shared" si="7"/>
        <v>0</v>
      </c>
      <c r="I56" s="42">
        <f t="shared" si="8"/>
        <v>0</v>
      </c>
      <c r="J56" s="41">
        <f t="shared" si="9"/>
        <v>0</v>
      </c>
      <c r="K56" s="42"/>
      <c r="L56" s="44">
        <f t="shared" si="11"/>
        <v>52</v>
      </c>
      <c r="M56" s="44">
        <f t="shared" si="10"/>
        <v>130</v>
      </c>
    </row>
    <row r="57" spans="1:13" ht="12.75" customHeight="1" x14ac:dyDescent="0.25">
      <c r="A57" s="46">
        <f t="shared" si="0"/>
        <v>165</v>
      </c>
      <c r="B57" s="41">
        <f t="shared" si="1"/>
        <v>1</v>
      </c>
      <c r="C57" s="42">
        <f t="shared" si="2"/>
        <v>0</v>
      </c>
      <c r="D57" s="41">
        <f t="shared" si="3"/>
        <v>0</v>
      </c>
      <c r="E57" s="42">
        <f t="shared" si="4"/>
        <v>0</v>
      </c>
      <c r="F57" s="41">
        <f t="shared" si="5"/>
        <v>1</v>
      </c>
      <c r="G57" s="42">
        <f t="shared" si="6"/>
        <v>0</v>
      </c>
      <c r="H57" s="41">
        <f t="shared" si="7"/>
        <v>0</v>
      </c>
      <c r="I57" s="42">
        <f t="shared" si="8"/>
        <v>0</v>
      </c>
      <c r="J57" s="41">
        <f t="shared" si="9"/>
        <v>1</v>
      </c>
      <c r="K57" s="42"/>
      <c r="L57" s="44">
        <f t="shared" si="11"/>
        <v>53</v>
      </c>
      <c r="M57" s="44">
        <f t="shared" si="10"/>
        <v>132.5</v>
      </c>
    </row>
    <row r="58" spans="1:13" ht="12.75" customHeight="1" x14ac:dyDescent="0.25">
      <c r="A58" s="46">
        <f t="shared" si="0"/>
        <v>167.5</v>
      </c>
      <c r="B58" s="41">
        <f t="shared" si="1"/>
        <v>1</v>
      </c>
      <c r="C58" s="42">
        <f t="shared" si="2"/>
        <v>0</v>
      </c>
      <c r="D58" s="41">
        <f t="shared" si="3"/>
        <v>0</v>
      </c>
      <c r="E58" s="42">
        <f t="shared" si="4"/>
        <v>0</v>
      </c>
      <c r="F58" s="41">
        <f t="shared" si="5"/>
        <v>1</v>
      </c>
      <c r="G58" s="42">
        <f t="shared" si="6"/>
        <v>0</v>
      </c>
      <c r="H58" s="41">
        <f t="shared" si="7"/>
        <v>0</v>
      </c>
      <c r="I58" s="42">
        <f t="shared" si="8"/>
        <v>1</v>
      </c>
      <c r="J58" s="41">
        <f t="shared" si="9"/>
        <v>0</v>
      </c>
      <c r="K58" s="42"/>
      <c r="L58" s="44">
        <f t="shared" si="11"/>
        <v>54</v>
      </c>
      <c r="M58" s="44">
        <f t="shared" si="10"/>
        <v>135</v>
      </c>
    </row>
    <row r="59" spans="1:13" ht="12.75" customHeight="1" x14ac:dyDescent="0.25">
      <c r="A59" s="46">
        <f t="shared" si="0"/>
        <v>170</v>
      </c>
      <c r="B59" s="41">
        <f t="shared" si="1"/>
        <v>1</v>
      </c>
      <c r="C59" s="42">
        <f t="shared" si="2"/>
        <v>0</v>
      </c>
      <c r="D59" s="41">
        <f t="shared" si="3"/>
        <v>0</v>
      </c>
      <c r="E59" s="42">
        <f t="shared" si="4"/>
        <v>0</v>
      </c>
      <c r="F59" s="41">
        <f t="shared" si="5"/>
        <v>1</v>
      </c>
      <c r="G59" s="42">
        <f t="shared" si="6"/>
        <v>0</v>
      </c>
      <c r="H59" s="41">
        <f t="shared" si="7"/>
        <v>0</v>
      </c>
      <c r="I59" s="42">
        <f t="shared" si="8"/>
        <v>1</v>
      </c>
      <c r="J59" s="41">
        <f t="shared" si="9"/>
        <v>1</v>
      </c>
      <c r="K59" s="42"/>
      <c r="L59" s="44">
        <f t="shared" si="11"/>
        <v>55</v>
      </c>
      <c r="M59" s="44">
        <f t="shared" si="10"/>
        <v>137.5</v>
      </c>
    </row>
    <row r="60" spans="1:13" ht="12.75" customHeight="1" x14ac:dyDescent="0.25">
      <c r="A60" s="46">
        <f t="shared" si="0"/>
        <v>172.5</v>
      </c>
      <c r="B60" s="41">
        <f t="shared" si="1"/>
        <v>1</v>
      </c>
      <c r="C60" s="42">
        <f t="shared" si="2"/>
        <v>0</v>
      </c>
      <c r="D60" s="41">
        <f t="shared" si="3"/>
        <v>0</v>
      </c>
      <c r="E60" s="42">
        <f t="shared" si="4"/>
        <v>1</v>
      </c>
      <c r="F60" s="41">
        <f t="shared" si="5"/>
        <v>0</v>
      </c>
      <c r="G60" s="42">
        <f t="shared" si="6"/>
        <v>0</v>
      </c>
      <c r="H60" s="41">
        <f t="shared" si="7"/>
        <v>0</v>
      </c>
      <c r="I60" s="42">
        <f t="shared" si="8"/>
        <v>0</v>
      </c>
      <c r="J60" s="41">
        <f t="shared" si="9"/>
        <v>0</v>
      </c>
      <c r="K60" s="42"/>
      <c r="L60" s="44">
        <f t="shared" si="11"/>
        <v>56</v>
      </c>
      <c r="M60" s="44">
        <f t="shared" si="10"/>
        <v>140</v>
      </c>
    </row>
    <row r="61" spans="1:13" ht="12.75" customHeight="1" x14ac:dyDescent="0.25">
      <c r="A61" s="46">
        <f t="shared" si="0"/>
        <v>175</v>
      </c>
      <c r="B61" s="41">
        <f t="shared" si="1"/>
        <v>1</v>
      </c>
      <c r="C61" s="42">
        <f t="shared" si="2"/>
        <v>0</v>
      </c>
      <c r="D61" s="41">
        <f t="shared" si="3"/>
        <v>0</v>
      </c>
      <c r="E61" s="42">
        <f t="shared" si="4"/>
        <v>1</v>
      </c>
      <c r="F61" s="41">
        <f t="shared" si="5"/>
        <v>0</v>
      </c>
      <c r="G61" s="42">
        <f t="shared" si="6"/>
        <v>0</v>
      </c>
      <c r="H61" s="41">
        <f t="shared" si="7"/>
        <v>0</v>
      </c>
      <c r="I61" s="42">
        <f t="shared" si="8"/>
        <v>0</v>
      </c>
      <c r="J61" s="41">
        <f t="shared" si="9"/>
        <v>1</v>
      </c>
      <c r="K61" s="42"/>
      <c r="L61" s="44">
        <f t="shared" si="11"/>
        <v>57</v>
      </c>
      <c r="M61" s="44">
        <f t="shared" si="10"/>
        <v>142.5</v>
      </c>
    </row>
    <row r="62" spans="1:13" ht="12.75" customHeight="1" x14ac:dyDescent="0.25">
      <c r="A62" s="46">
        <f t="shared" si="0"/>
        <v>177.5</v>
      </c>
      <c r="B62" s="41">
        <f t="shared" si="1"/>
        <v>1</v>
      </c>
      <c r="C62" s="42">
        <f t="shared" si="2"/>
        <v>0</v>
      </c>
      <c r="D62" s="41">
        <f t="shared" si="3"/>
        <v>0</v>
      </c>
      <c r="E62" s="42">
        <f t="shared" si="4"/>
        <v>1</v>
      </c>
      <c r="F62" s="41">
        <f t="shared" si="5"/>
        <v>0</v>
      </c>
      <c r="G62" s="42">
        <f t="shared" si="6"/>
        <v>0</v>
      </c>
      <c r="H62" s="41">
        <f t="shared" si="7"/>
        <v>0</v>
      </c>
      <c r="I62" s="42">
        <f t="shared" si="8"/>
        <v>1</v>
      </c>
      <c r="J62" s="41">
        <f t="shared" si="9"/>
        <v>0</v>
      </c>
      <c r="K62" s="42"/>
      <c r="L62" s="44">
        <f t="shared" si="11"/>
        <v>58</v>
      </c>
      <c r="M62" s="44">
        <f t="shared" si="10"/>
        <v>145</v>
      </c>
    </row>
    <row r="63" spans="1:13" ht="12.75" customHeight="1" x14ac:dyDescent="0.25">
      <c r="A63" s="46">
        <f t="shared" si="0"/>
        <v>180</v>
      </c>
      <c r="B63" s="41">
        <f t="shared" si="1"/>
        <v>1</v>
      </c>
      <c r="C63" s="42">
        <f t="shared" si="2"/>
        <v>0</v>
      </c>
      <c r="D63" s="41">
        <f t="shared" si="3"/>
        <v>0</v>
      </c>
      <c r="E63" s="42">
        <f t="shared" si="4"/>
        <v>1</v>
      </c>
      <c r="F63" s="41">
        <f t="shared" si="5"/>
        <v>0</v>
      </c>
      <c r="G63" s="42">
        <f t="shared" si="6"/>
        <v>0</v>
      </c>
      <c r="H63" s="41">
        <f t="shared" si="7"/>
        <v>0</v>
      </c>
      <c r="I63" s="42">
        <f t="shared" si="8"/>
        <v>1</v>
      </c>
      <c r="J63" s="41">
        <f t="shared" si="9"/>
        <v>1</v>
      </c>
      <c r="K63" s="42"/>
      <c r="L63" s="44">
        <f t="shared" si="11"/>
        <v>59</v>
      </c>
      <c r="M63" s="44">
        <f t="shared" si="10"/>
        <v>147.5</v>
      </c>
    </row>
    <row r="64" spans="1:13" ht="12.75" customHeight="1" x14ac:dyDescent="0.25">
      <c r="A64" s="46">
        <f t="shared" si="0"/>
        <v>182.5</v>
      </c>
      <c r="B64" s="41">
        <f t="shared" si="1"/>
        <v>1</v>
      </c>
      <c r="C64" s="42">
        <f t="shared" si="2"/>
        <v>0</v>
      </c>
      <c r="D64" s="41">
        <f t="shared" si="3"/>
        <v>0</v>
      </c>
      <c r="E64" s="42">
        <f t="shared" si="4"/>
        <v>1</v>
      </c>
      <c r="F64" s="41">
        <f t="shared" si="5"/>
        <v>0</v>
      </c>
      <c r="G64" s="42">
        <f t="shared" si="6"/>
        <v>0</v>
      </c>
      <c r="H64" s="41">
        <f t="shared" si="7"/>
        <v>1</v>
      </c>
      <c r="I64" s="42">
        <f t="shared" si="8"/>
        <v>0</v>
      </c>
      <c r="J64" s="41">
        <f t="shared" si="9"/>
        <v>0</v>
      </c>
      <c r="K64" s="42"/>
      <c r="L64" s="44">
        <f t="shared" si="11"/>
        <v>60</v>
      </c>
      <c r="M64" s="44">
        <f t="shared" si="10"/>
        <v>150</v>
      </c>
    </row>
    <row r="65" spans="1:13" ht="12.75" customHeight="1" x14ac:dyDescent="0.25">
      <c r="A65" s="46">
        <f t="shared" si="0"/>
        <v>185</v>
      </c>
      <c r="B65" s="41">
        <f t="shared" si="1"/>
        <v>1</v>
      </c>
      <c r="C65" s="42">
        <f t="shared" si="2"/>
        <v>0</v>
      </c>
      <c r="D65" s="41">
        <f t="shared" si="3"/>
        <v>0</v>
      </c>
      <c r="E65" s="42">
        <f t="shared" si="4"/>
        <v>1</v>
      </c>
      <c r="F65" s="41">
        <f t="shared" si="5"/>
        <v>0</v>
      </c>
      <c r="G65" s="42">
        <f t="shared" si="6"/>
        <v>0</v>
      </c>
      <c r="H65" s="41">
        <f t="shared" si="7"/>
        <v>1</v>
      </c>
      <c r="I65" s="42">
        <f t="shared" si="8"/>
        <v>0</v>
      </c>
      <c r="J65" s="41">
        <f t="shared" si="9"/>
        <v>1</v>
      </c>
      <c r="K65" s="42"/>
      <c r="L65" s="44">
        <f t="shared" si="11"/>
        <v>61</v>
      </c>
      <c r="M65" s="44">
        <f t="shared" si="10"/>
        <v>152.5</v>
      </c>
    </row>
    <row r="66" spans="1:13" ht="12.75" customHeight="1" x14ac:dyDescent="0.25">
      <c r="A66" s="46">
        <f t="shared" si="0"/>
        <v>187.5</v>
      </c>
      <c r="B66" s="41">
        <f t="shared" si="1"/>
        <v>1</v>
      </c>
      <c r="C66" s="42">
        <f t="shared" si="2"/>
        <v>0</v>
      </c>
      <c r="D66" s="41">
        <f t="shared" si="3"/>
        <v>0</v>
      </c>
      <c r="E66" s="42">
        <f t="shared" si="4"/>
        <v>1</v>
      </c>
      <c r="F66" s="41">
        <f t="shared" si="5"/>
        <v>0</v>
      </c>
      <c r="G66" s="42">
        <f t="shared" si="6"/>
        <v>0</v>
      </c>
      <c r="H66" s="41">
        <f t="shared" si="7"/>
        <v>1</v>
      </c>
      <c r="I66" s="42">
        <f t="shared" si="8"/>
        <v>1</v>
      </c>
      <c r="J66" s="41">
        <f t="shared" si="9"/>
        <v>0</v>
      </c>
      <c r="K66" s="42"/>
      <c r="L66" s="44">
        <f t="shared" si="11"/>
        <v>62</v>
      </c>
      <c r="M66" s="44">
        <f t="shared" si="10"/>
        <v>155</v>
      </c>
    </row>
    <row r="67" spans="1:13" ht="12.75" customHeight="1" x14ac:dyDescent="0.25">
      <c r="A67" s="46">
        <f t="shared" si="0"/>
        <v>190</v>
      </c>
      <c r="B67" s="41">
        <f t="shared" si="1"/>
        <v>1</v>
      </c>
      <c r="C67" s="42">
        <f t="shared" si="2"/>
        <v>0</v>
      </c>
      <c r="D67" s="41">
        <f t="shared" si="3"/>
        <v>0</v>
      </c>
      <c r="E67" s="42">
        <f t="shared" si="4"/>
        <v>1</v>
      </c>
      <c r="F67" s="41">
        <f t="shared" si="5"/>
        <v>0</v>
      </c>
      <c r="G67" s="42">
        <f t="shared" si="6"/>
        <v>0</v>
      </c>
      <c r="H67" s="41">
        <f t="shared" si="7"/>
        <v>1</v>
      </c>
      <c r="I67" s="42">
        <f t="shared" si="8"/>
        <v>1</v>
      </c>
      <c r="J67" s="41">
        <f t="shared" si="9"/>
        <v>1</v>
      </c>
      <c r="K67" s="42"/>
      <c r="L67" s="44">
        <f t="shared" si="11"/>
        <v>63</v>
      </c>
      <c r="M67" s="44">
        <f t="shared" si="10"/>
        <v>157.5</v>
      </c>
    </row>
    <row r="68" spans="1:13" ht="12.75" customHeight="1" x14ac:dyDescent="0.25">
      <c r="A68" s="46">
        <f t="shared" si="0"/>
        <v>192.5</v>
      </c>
      <c r="B68" s="41">
        <f t="shared" si="1"/>
        <v>1</v>
      </c>
      <c r="C68" s="42">
        <f t="shared" si="2"/>
        <v>0</v>
      </c>
      <c r="D68" s="41">
        <f t="shared" si="3"/>
        <v>0</v>
      </c>
      <c r="E68" s="42">
        <f t="shared" si="4"/>
        <v>1</v>
      </c>
      <c r="F68" s="41">
        <f t="shared" si="5"/>
        <v>0</v>
      </c>
      <c r="G68" s="42">
        <f t="shared" si="6"/>
        <v>1</v>
      </c>
      <c r="H68" s="41">
        <f t="shared" si="7"/>
        <v>0</v>
      </c>
      <c r="I68" s="42">
        <f t="shared" si="8"/>
        <v>0</v>
      </c>
      <c r="J68" s="41">
        <f t="shared" si="9"/>
        <v>0</v>
      </c>
      <c r="K68" s="42"/>
      <c r="L68" s="44">
        <f t="shared" si="11"/>
        <v>64</v>
      </c>
      <c r="M68" s="44">
        <f t="shared" si="10"/>
        <v>160</v>
      </c>
    </row>
    <row r="69" spans="1:13" ht="12.75" customHeight="1" x14ac:dyDescent="0.25">
      <c r="A69" s="46">
        <f t="shared" ref="A69:A132" si="12">IF(M69+$K$2&gt;$L$1,0,M69+$K$2)</f>
        <v>195</v>
      </c>
      <c r="B69" s="41">
        <f t="shared" ref="B69:B132" si="13">IF(A69=0,0,MIN($B$1/2,INT(M69/(2*$B$2))))</f>
        <v>1</v>
      </c>
      <c r="C69" s="42">
        <f t="shared" ref="C69:C132" si="14">IF(A69=0,0,MIN($C$1/2,INT(($M69-2*$B69*$B$2)/(2*$C$2))))</f>
        <v>0</v>
      </c>
      <c r="D69" s="41">
        <f t="shared" ref="D69:D132" si="15">IF(A69=0,0,MIN($D$1/2,INT(($M69-2*$B69*$B$2-2*$C69*$C$2)/(2*$D$2))))</f>
        <v>0</v>
      </c>
      <c r="E69" s="42">
        <f t="shared" ref="E69:E132" si="16">IF(A69=0,0,MIN($E$1/2,INT(($M69-2*$B69*$B$2-2*$C69*$C$2-2*$D69*$D$2)/(2*$E$2))))</f>
        <v>1</v>
      </c>
      <c r="F69" s="41">
        <f t="shared" ref="F69:F132" si="17">IF(A69=0,0,MIN($F$1/2,INT(($M69-2*$B69*$B$2-2*$C69*$C$2-2*$D69*$D$2-2*$E69*$E$2)/(2*$F$2))))</f>
        <v>0</v>
      </c>
      <c r="G69" s="42">
        <f t="shared" ref="G69:G132" si="18">IF(A69=0,0,MIN($G$1/2,INT(($M69-2*$B69*$B$2-2*$C69*$C$2-2*$D69*$D$2-2*$E69*$E$2-2*$F69*$F$2)/(2*$G$2))))</f>
        <v>1</v>
      </c>
      <c r="H69" s="41">
        <f t="shared" ref="H69:H132" si="19">IF(A69=0,0,MIN($H$1/2,INT(($M69-2*$B69*$B$2-2*$C69*$C$2-2*$D69*$D$2-2*$E69*$E$2-2*$F69*$F$2-2*$G69*$G$2)/(2*$H$2))))</f>
        <v>0</v>
      </c>
      <c r="I69" s="42">
        <f t="shared" ref="I69:I132" si="20">IF(A69=0,0,MIN($I$1/2,INT(($M69-2*$B69*$B$2-2*$C69*$C$2-2*$D69*$D$2-2*$E69*$E$2-2*$F69*$F$2-2*$G69*$G$2-2*$H69*$H$2)/(2*$I$2))))</f>
        <v>0</v>
      </c>
      <c r="J69" s="41">
        <f t="shared" ref="J69:J132" si="21">IF(A69=0,0,MIN($J$1/2,INT(($M69-2*$B69*$B$2-2*$C69*$C$2-2*$D69*$D$2-2*$E69*$E$2-2*$F69*$F$2-2*$G69*$G$2-2*$H69*$H$2-2*$I69*$I$2)/(2*$J$2))))</f>
        <v>1</v>
      </c>
      <c r="K69" s="42"/>
      <c r="L69" s="44">
        <f t="shared" si="11"/>
        <v>65</v>
      </c>
      <c r="M69" s="44">
        <f t="shared" ref="M69:M132" si="22">IF($A$2="Pounds",5*L69,2.5*L69)</f>
        <v>162.5</v>
      </c>
    </row>
    <row r="70" spans="1:13" ht="12.75" customHeight="1" x14ac:dyDescent="0.25">
      <c r="A70" s="46">
        <f t="shared" si="12"/>
        <v>197.5</v>
      </c>
      <c r="B70" s="41">
        <f t="shared" si="13"/>
        <v>1</v>
      </c>
      <c r="C70" s="42">
        <f t="shared" si="14"/>
        <v>0</v>
      </c>
      <c r="D70" s="41">
        <f t="shared" si="15"/>
        <v>0</v>
      </c>
      <c r="E70" s="42">
        <f t="shared" si="16"/>
        <v>1</v>
      </c>
      <c r="F70" s="41">
        <f t="shared" si="17"/>
        <v>0</v>
      </c>
      <c r="G70" s="42">
        <f t="shared" si="18"/>
        <v>1</v>
      </c>
      <c r="H70" s="41">
        <f t="shared" si="19"/>
        <v>0</v>
      </c>
      <c r="I70" s="42">
        <f t="shared" si="20"/>
        <v>1</v>
      </c>
      <c r="J70" s="41">
        <f t="shared" si="21"/>
        <v>0</v>
      </c>
      <c r="K70" s="42"/>
      <c r="L70" s="44">
        <f t="shared" si="11"/>
        <v>66</v>
      </c>
      <c r="M70" s="44">
        <f t="shared" si="22"/>
        <v>165</v>
      </c>
    </row>
    <row r="71" spans="1:13" ht="12.75" customHeight="1" x14ac:dyDescent="0.25">
      <c r="A71" s="46">
        <f t="shared" si="12"/>
        <v>200</v>
      </c>
      <c r="B71" s="41">
        <f t="shared" si="13"/>
        <v>1</v>
      </c>
      <c r="C71" s="42">
        <f t="shared" si="14"/>
        <v>0</v>
      </c>
      <c r="D71" s="41">
        <f t="shared" si="15"/>
        <v>0</v>
      </c>
      <c r="E71" s="42">
        <f t="shared" si="16"/>
        <v>1</v>
      </c>
      <c r="F71" s="41">
        <f t="shared" si="17"/>
        <v>0</v>
      </c>
      <c r="G71" s="42">
        <f t="shared" si="18"/>
        <v>1</v>
      </c>
      <c r="H71" s="41">
        <f t="shared" si="19"/>
        <v>0</v>
      </c>
      <c r="I71" s="42">
        <f t="shared" si="20"/>
        <v>1</v>
      </c>
      <c r="J71" s="41">
        <f t="shared" si="21"/>
        <v>1</v>
      </c>
      <c r="K71" s="42"/>
      <c r="L71" s="44">
        <f t="shared" si="11"/>
        <v>67</v>
      </c>
      <c r="M71" s="44">
        <f t="shared" si="22"/>
        <v>167.5</v>
      </c>
    </row>
    <row r="72" spans="1:13" ht="12.75" customHeight="1" x14ac:dyDescent="0.25">
      <c r="A72" s="46">
        <f t="shared" si="12"/>
        <v>202.5</v>
      </c>
      <c r="B72" s="41">
        <f t="shared" si="13"/>
        <v>1</v>
      </c>
      <c r="C72" s="42">
        <f t="shared" si="14"/>
        <v>0</v>
      </c>
      <c r="D72" s="41">
        <f t="shared" si="15"/>
        <v>0</v>
      </c>
      <c r="E72" s="42">
        <f t="shared" si="16"/>
        <v>1</v>
      </c>
      <c r="F72" s="41">
        <f t="shared" si="17"/>
        <v>1</v>
      </c>
      <c r="G72" s="42">
        <f t="shared" si="18"/>
        <v>0</v>
      </c>
      <c r="H72" s="41">
        <f t="shared" si="19"/>
        <v>0</v>
      </c>
      <c r="I72" s="42">
        <f t="shared" si="20"/>
        <v>0</v>
      </c>
      <c r="J72" s="41">
        <f t="shared" si="21"/>
        <v>0</v>
      </c>
      <c r="K72" s="42"/>
      <c r="L72" s="44">
        <f t="shared" si="11"/>
        <v>68</v>
      </c>
      <c r="M72" s="44">
        <f t="shared" si="22"/>
        <v>170</v>
      </c>
    </row>
    <row r="73" spans="1:13" ht="12.75" customHeight="1" x14ac:dyDescent="0.25">
      <c r="A73" s="46">
        <f t="shared" si="12"/>
        <v>205</v>
      </c>
      <c r="B73" s="41">
        <f t="shared" si="13"/>
        <v>1</v>
      </c>
      <c r="C73" s="42">
        <f t="shared" si="14"/>
        <v>0</v>
      </c>
      <c r="D73" s="41">
        <f t="shared" si="15"/>
        <v>0</v>
      </c>
      <c r="E73" s="42">
        <f t="shared" si="16"/>
        <v>1</v>
      </c>
      <c r="F73" s="41">
        <f t="shared" si="17"/>
        <v>1</v>
      </c>
      <c r="G73" s="42">
        <f t="shared" si="18"/>
        <v>0</v>
      </c>
      <c r="H73" s="41">
        <f t="shared" si="19"/>
        <v>0</v>
      </c>
      <c r="I73" s="42">
        <f t="shared" si="20"/>
        <v>0</v>
      </c>
      <c r="J73" s="41">
        <f t="shared" si="21"/>
        <v>1</v>
      </c>
      <c r="K73" s="42"/>
      <c r="L73" s="44">
        <f t="shared" si="11"/>
        <v>69</v>
      </c>
      <c r="M73" s="44">
        <f t="shared" si="22"/>
        <v>172.5</v>
      </c>
    </row>
    <row r="74" spans="1:13" ht="12.75" customHeight="1" x14ac:dyDescent="0.25">
      <c r="A74" s="46">
        <f t="shared" si="12"/>
        <v>207.5</v>
      </c>
      <c r="B74" s="41">
        <f t="shared" si="13"/>
        <v>1</v>
      </c>
      <c r="C74" s="42">
        <f t="shared" si="14"/>
        <v>0</v>
      </c>
      <c r="D74" s="41">
        <f t="shared" si="15"/>
        <v>0</v>
      </c>
      <c r="E74" s="42">
        <f t="shared" si="16"/>
        <v>1</v>
      </c>
      <c r="F74" s="41">
        <f t="shared" si="17"/>
        <v>1</v>
      </c>
      <c r="G74" s="42">
        <f t="shared" si="18"/>
        <v>0</v>
      </c>
      <c r="H74" s="41">
        <f t="shared" si="19"/>
        <v>0</v>
      </c>
      <c r="I74" s="42">
        <f t="shared" si="20"/>
        <v>1</v>
      </c>
      <c r="J74" s="41">
        <f t="shared" si="21"/>
        <v>0</v>
      </c>
      <c r="K74" s="42"/>
      <c r="L74" s="44">
        <f t="shared" si="11"/>
        <v>70</v>
      </c>
      <c r="M74" s="44">
        <f t="shared" si="22"/>
        <v>175</v>
      </c>
    </row>
    <row r="75" spans="1:13" ht="12.75" customHeight="1" x14ac:dyDescent="0.25">
      <c r="A75" s="46">
        <f t="shared" si="12"/>
        <v>210</v>
      </c>
      <c r="B75" s="41">
        <f t="shared" si="13"/>
        <v>1</v>
      </c>
      <c r="C75" s="42">
        <f t="shared" si="14"/>
        <v>0</v>
      </c>
      <c r="D75" s="41">
        <f t="shared" si="15"/>
        <v>0</v>
      </c>
      <c r="E75" s="42">
        <f t="shared" si="16"/>
        <v>1</v>
      </c>
      <c r="F75" s="41">
        <f t="shared" si="17"/>
        <v>1</v>
      </c>
      <c r="G75" s="42">
        <f t="shared" si="18"/>
        <v>0</v>
      </c>
      <c r="H75" s="41">
        <f t="shared" si="19"/>
        <v>0</v>
      </c>
      <c r="I75" s="42">
        <f t="shared" si="20"/>
        <v>1</v>
      </c>
      <c r="J75" s="41">
        <f t="shared" si="21"/>
        <v>1</v>
      </c>
      <c r="K75" s="42"/>
      <c r="L75" s="44">
        <f t="shared" si="11"/>
        <v>71</v>
      </c>
      <c r="M75" s="44">
        <f t="shared" si="22"/>
        <v>177.5</v>
      </c>
    </row>
    <row r="76" spans="1:13" ht="12.75" customHeight="1" x14ac:dyDescent="0.25">
      <c r="A76" s="46">
        <f t="shared" si="12"/>
        <v>212.5</v>
      </c>
      <c r="B76" s="41">
        <f t="shared" si="13"/>
        <v>1</v>
      </c>
      <c r="C76" s="42">
        <f t="shared" si="14"/>
        <v>0</v>
      </c>
      <c r="D76" s="41">
        <f t="shared" si="15"/>
        <v>0</v>
      </c>
      <c r="E76" s="42">
        <f t="shared" si="16"/>
        <v>2</v>
      </c>
      <c r="F76" s="41">
        <f t="shared" si="17"/>
        <v>0</v>
      </c>
      <c r="G76" s="42">
        <f t="shared" si="18"/>
        <v>0</v>
      </c>
      <c r="H76" s="41">
        <f t="shared" si="19"/>
        <v>0</v>
      </c>
      <c r="I76" s="42">
        <f t="shared" si="20"/>
        <v>0</v>
      </c>
      <c r="J76" s="41">
        <f t="shared" si="21"/>
        <v>0</v>
      </c>
      <c r="K76" s="42"/>
      <c r="L76" s="44">
        <f t="shared" si="11"/>
        <v>72</v>
      </c>
      <c r="M76" s="44">
        <f t="shared" si="22"/>
        <v>180</v>
      </c>
    </row>
    <row r="77" spans="1:13" ht="12.75" customHeight="1" x14ac:dyDescent="0.25">
      <c r="A77" s="46">
        <f t="shared" si="12"/>
        <v>215</v>
      </c>
      <c r="B77" s="41">
        <f t="shared" si="13"/>
        <v>1</v>
      </c>
      <c r="C77" s="42">
        <f t="shared" si="14"/>
        <v>0</v>
      </c>
      <c r="D77" s="41">
        <f t="shared" si="15"/>
        <v>0</v>
      </c>
      <c r="E77" s="42">
        <f t="shared" si="16"/>
        <v>2</v>
      </c>
      <c r="F77" s="41">
        <f t="shared" si="17"/>
        <v>0</v>
      </c>
      <c r="G77" s="42">
        <f t="shared" si="18"/>
        <v>0</v>
      </c>
      <c r="H77" s="41">
        <f t="shared" si="19"/>
        <v>0</v>
      </c>
      <c r="I77" s="42">
        <f t="shared" si="20"/>
        <v>0</v>
      </c>
      <c r="J77" s="41">
        <f t="shared" si="21"/>
        <v>1</v>
      </c>
      <c r="K77" s="42"/>
      <c r="L77" s="44">
        <f t="shared" ref="L77:L140" si="23">L76+1</f>
        <v>73</v>
      </c>
      <c r="M77" s="44">
        <f t="shared" si="22"/>
        <v>182.5</v>
      </c>
    </row>
    <row r="78" spans="1:13" ht="12.75" customHeight="1" x14ac:dyDescent="0.25">
      <c r="A78" s="46">
        <f t="shared" si="12"/>
        <v>217.5</v>
      </c>
      <c r="B78" s="41">
        <f t="shared" si="13"/>
        <v>1</v>
      </c>
      <c r="C78" s="42">
        <f t="shared" si="14"/>
        <v>0</v>
      </c>
      <c r="D78" s="41">
        <f t="shared" si="15"/>
        <v>0</v>
      </c>
      <c r="E78" s="42">
        <f t="shared" si="16"/>
        <v>2</v>
      </c>
      <c r="F78" s="41">
        <f t="shared" si="17"/>
        <v>0</v>
      </c>
      <c r="G78" s="42">
        <f t="shared" si="18"/>
        <v>0</v>
      </c>
      <c r="H78" s="41">
        <f t="shared" si="19"/>
        <v>0</v>
      </c>
      <c r="I78" s="42">
        <f t="shared" si="20"/>
        <v>1</v>
      </c>
      <c r="J78" s="41">
        <f t="shared" si="21"/>
        <v>0</v>
      </c>
      <c r="K78" s="42"/>
      <c r="L78" s="44">
        <f t="shared" si="23"/>
        <v>74</v>
      </c>
      <c r="M78" s="44">
        <f t="shared" si="22"/>
        <v>185</v>
      </c>
    </row>
    <row r="79" spans="1:13" ht="12.75" customHeight="1" x14ac:dyDescent="0.25">
      <c r="A79" s="46">
        <f t="shared" si="12"/>
        <v>220</v>
      </c>
      <c r="B79" s="41">
        <f t="shared" si="13"/>
        <v>1</v>
      </c>
      <c r="C79" s="42">
        <f t="shared" si="14"/>
        <v>0</v>
      </c>
      <c r="D79" s="41">
        <f t="shared" si="15"/>
        <v>0</v>
      </c>
      <c r="E79" s="42">
        <f t="shared" si="16"/>
        <v>2</v>
      </c>
      <c r="F79" s="41">
        <f t="shared" si="17"/>
        <v>0</v>
      </c>
      <c r="G79" s="42">
        <f t="shared" si="18"/>
        <v>0</v>
      </c>
      <c r="H79" s="41">
        <f t="shared" si="19"/>
        <v>0</v>
      </c>
      <c r="I79" s="42">
        <f t="shared" si="20"/>
        <v>1</v>
      </c>
      <c r="J79" s="41">
        <f t="shared" si="21"/>
        <v>1</v>
      </c>
      <c r="K79" s="42"/>
      <c r="L79" s="44">
        <f t="shared" si="23"/>
        <v>75</v>
      </c>
      <c r="M79" s="44">
        <f t="shared" si="22"/>
        <v>187.5</v>
      </c>
    </row>
    <row r="80" spans="1:13" ht="12.75" customHeight="1" x14ac:dyDescent="0.25">
      <c r="A80" s="46">
        <f t="shared" si="12"/>
        <v>222.5</v>
      </c>
      <c r="B80" s="41">
        <f t="shared" si="13"/>
        <v>1</v>
      </c>
      <c r="C80" s="42">
        <f t="shared" si="14"/>
        <v>0</v>
      </c>
      <c r="D80" s="41">
        <f t="shared" si="15"/>
        <v>0</v>
      </c>
      <c r="E80" s="42">
        <f t="shared" si="16"/>
        <v>2</v>
      </c>
      <c r="F80" s="41">
        <f t="shared" si="17"/>
        <v>0</v>
      </c>
      <c r="G80" s="42">
        <f t="shared" si="18"/>
        <v>0</v>
      </c>
      <c r="H80" s="41">
        <f t="shared" si="19"/>
        <v>1</v>
      </c>
      <c r="I80" s="42">
        <f t="shared" si="20"/>
        <v>0</v>
      </c>
      <c r="J80" s="41">
        <f t="shared" si="21"/>
        <v>0</v>
      </c>
      <c r="K80" s="42"/>
      <c r="L80" s="44">
        <f t="shared" si="23"/>
        <v>76</v>
      </c>
      <c r="M80" s="44">
        <f t="shared" si="22"/>
        <v>190</v>
      </c>
    </row>
    <row r="81" spans="1:13" ht="12.75" customHeight="1" x14ac:dyDescent="0.25">
      <c r="A81" s="46">
        <f t="shared" si="12"/>
        <v>225</v>
      </c>
      <c r="B81" s="41">
        <f t="shared" si="13"/>
        <v>1</v>
      </c>
      <c r="C81" s="42">
        <f t="shared" si="14"/>
        <v>0</v>
      </c>
      <c r="D81" s="41">
        <f t="shared" si="15"/>
        <v>0</v>
      </c>
      <c r="E81" s="42">
        <f t="shared" si="16"/>
        <v>2</v>
      </c>
      <c r="F81" s="41">
        <f t="shared" si="17"/>
        <v>0</v>
      </c>
      <c r="G81" s="42">
        <f t="shared" si="18"/>
        <v>0</v>
      </c>
      <c r="H81" s="41">
        <f t="shared" si="19"/>
        <v>1</v>
      </c>
      <c r="I81" s="42">
        <f t="shared" si="20"/>
        <v>0</v>
      </c>
      <c r="J81" s="41">
        <f t="shared" si="21"/>
        <v>1</v>
      </c>
      <c r="K81" s="42"/>
      <c r="L81" s="44">
        <f t="shared" si="23"/>
        <v>77</v>
      </c>
      <c r="M81" s="44">
        <f t="shared" si="22"/>
        <v>192.5</v>
      </c>
    </row>
    <row r="82" spans="1:13" ht="12.75" customHeight="1" x14ac:dyDescent="0.25">
      <c r="A82" s="46">
        <f t="shared" si="12"/>
        <v>227.5</v>
      </c>
      <c r="B82" s="41">
        <f t="shared" si="13"/>
        <v>1</v>
      </c>
      <c r="C82" s="42">
        <f t="shared" si="14"/>
        <v>0</v>
      </c>
      <c r="D82" s="41">
        <f t="shared" si="15"/>
        <v>0</v>
      </c>
      <c r="E82" s="42">
        <f t="shared" si="16"/>
        <v>2</v>
      </c>
      <c r="F82" s="41">
        <f t="shared" si="17"/>
        <v>0</v>
      </c>
      <c r="G82" s="42">
        <f t="shared" si="18"/>
        <v>0</v>
      </c>
      <c r="H82" s="41">
        <f t="shared" si="19"/>
        <v>1</v>
      </c>
      <c r="I82" s="42">
        <f t="shared" si="20"/>
        <v>1</v>
      </c>
      <c r="J82" s="41">
        <f t="shared" si="21"/>
        <v>0</v>
      </c>
      <c r="K82" s="42"/>
      <c r="L82" s="44">
        <f t="shared" si="23"/>
        <v>78</v>
      </c>
      <c r="M82" s="44">
        <f t="shared" si="22"/>
        <v>195</v>
      </c>
    </row>
    <row r="83" spans="1:13" ht="12.75" customHeight="1" x14ac:dyDescent="0.25">
      <c r="A83" s="46">
        <f t="shared" si="12"/>
        <v>230</v>
      </c>
      <c r="B83" s="41">
        <f t="shared" si="13"/>
        <v>1</v>
      </c>
      <c r="C83" s="42">
        <f t="shared" si="14"/>
        <v>0</v>
      </c>
      <c r="D83" s="41">
        <f t="shared" si="15"/>
        <v>0</v>
      </c>
      <c r="E83" s="42">
        <f t="shared" si="16"/>
        <v>2</v>
      </c>
      <c r="F83" s="41">
        <f t="shared" si="17"/>
        <v>0</v>
      </c>
      <c r="G83" s="42">
        <f t="shared" si="18"/>
        <v>0</v>
      </c>
      <c r="H83" s="41">
        <f t="shared" si="19"/>
        <v>1</v>
      </c>
      <c r="I83" s="42">
        <f t="shared" si="20"/>
        <v>1</v>
      </c>
      <c r="J83" s="41">
        <f t="shared" si="21"/>
        <v>1</v>
      </c>
      <c r="K83" s="42"/>
      <c r="L83" s="44">
        <f t="shared" si="23"/>
        <v>79</v>
      </c>
      <c r="M83" s="44">
        <f t="shared" si="22"/>
        <v>197.5</v>
      </c>
    </row>
    <row r="84" spans="1:13" ht="12.75" customHeight="1" x14ac:dyDescent="0.25">
      <c r="A84" s="46">
        <f t="shared" si="12"/>
        <v>232.5</v>
      </c>
      <c r="B84" s="41">
        <f t="shared" si="13"/>
        <v>2</v>
      </c>
      <c r="C84" s="42">
        <f t="shared" si="14"/>
        <v>0</v>
      </c>
      <c r="D84" s="41">
        <f t="shared" si="15"/>
        <v>0</v>
      </c>
      <c r="E84" s="42">
        <f t="shared" si="16"/>
        <v>0</v>
      </c>
      <c r="F84" s="41">
        <f t="shared" si="17"/>
        <v>0</v>
      </c>
      <c r="G84" s="42">
        <f t="shared" si="18"/>
        <v>0</v>
      </c>
      <c r="H84" s="41">
        <f t="shared" si="19"/>
        <v>0</v>
      </c>
      <c r="I84" s="42">
        <f t="shared" si="20"/>
        <v>0</v>
      </c>
      <c r="J84" s="41">
        <f t="shared" si="21"/>
        <v>0</v>
      </c>
      <c r="K84" s="42"/>
      <c r="L84" s="44">
        <f t="shared" si="23"/>
        <v>80</v>
      </c>
      <c r="M84" s="44">
        <f t="shared" si="22"/>
        <v>200</v>
      </c>
    </row>
    <row r="85" spans="1:13" ht="12.75" customHeight="1" x14ac:dyDescent="0.25">
      <c r="A85" s="46">
        <f t="shared" si="12"/>
        <v>235</v>
      </c>
      <c r="B85" s="41">
        <f t="shared" si="13"/>
        <v>2</v>
      </c>
      <c r="C85" s="42">
        <f t="shared" si="14"/>
        <v>0</v>
      </c>
      <c r="D85" s="41">
        <f t="shared" si="15"/>
        <v>0</v>
      </c>
      <c r="E85" s="42">
        <f t="shared" si="16"/>
        <v>0</v>
      </c>
      <c r="F85" s="41">
        <f t="shared" si="17"/>
        <v>0</v>
      </c>
      <c r="G85" s="42">
        <f t="shared" si="18"/>
        <v>0</v>
      </c>
      <c r="H85" s="41">
        <f t="shared" si="19"/>
        <v>0</v>
      </c>
      <c r="I85" s="42">
        <f t="shared" si="20"/>
        <v>0</v>
      </c>
      <c r="J85" s="41">
        <f t="shared" si="21"/>
        <v>1</v>
      </c>
      <c r="K85" s="42"/>
      <c r="L85" s="44">
        <f t="shared" si="23"/>
        <v>81</v>
      </c>
      <c r="M85" s="44">
        <f t="shared" si="22"/>
        <v>202.5</v>
      </c>
    </row>
    <row r="86" spans="1:13" ht="12.75" customHeight="1" x14ac:dyDescent="0.25">
      <c r="A86" s="46">
        <f t="shared" si="12"/>
        <v>237.5</v>
      </c>
      <c r="B86" s="41">
        <f t="shared" si="13"/>
        <v>2</v>
      </c>
      <c r="C86" s="42">
        <f t="shared" si="14"/>
        <v>0</v>
      </c>
      <c r="D86" s="41">
        <f t="shared" si="15"/>
        <v>0</v>
      </c>
      <c r="E86" s="42">
        <f t="shared" si="16"/>
        <v>0</v>
      </c>
      <c r="F86" s="41">
        <f t="shared" si="17"/>
        <v>0</v>
      </c>
      <c r="G86" s="42">
        <f t="shared" si="18"/>
        <v>0</v>
      </c>
      <c r="H86" s="41">
        <f t="shared" si="19"/>
        <v>0</v>
      </c>
      <c r="I86" s="42">
        <f t="shared" si="20"/>
        <v>1</v>
      </c>
      <c r="J86" s="41">
        <f t="shared" si="21"/>
        <v>0</v>
      </c>
      <c r="K86" s="42"/>
      <c r="L86" s="44">
        <f t="shared" si="23"/>
        <v>82</v>
      </c>
      <c r="M86" s="44">
        <f t="shared" si="22"/>
        <v>205</v>
      </c>
    </row>
    <row r="87" spans="1:13" ht="12.75" customHeight="1" x14ac:dyDescent="0.25">
      <c r="A87" s="46">
        <f t="shared" si="12"/>
        <v>240</v>
      </c>
      <c r="B87" s="41">
        <f t="shared" si="13"/>
        <v>2</v>
      </c>
      <c r="C87" s="42">
        <f t="shared" si="14"/>
        <v>0</v>
      </c>
      <c r="D87" s="41">
        <f t="shared" si="15"/>
        <v>0</v>
      </c>
      <c r="E87" s="42">
        <f t="shared" si="16"/>
        <v>0</v>
      </c>
      <c r="F87" s="41">
        <f t="shared" si="17"/>
        <v>0</v>
      </c>
      <c r="G87" s="42">
        <f t="shared" si="18"/>
        <v>0</v>
      </c>
      <c r="H87" s="41">
        <f t="shared" si="19"/>
        <v>0</v>
      </c>
      <c r="I87" s="42">
        <f t="shared" si="20"/>
        <v>1</v>
      </c>
      <c r="J87" s="41">
        <f t="shared" si="21"/>
        <v>1</v>
      </c>
      <c r="K87" s="42"/>
      <c r="L87" s="44">
        <f t="shared" si="23"/>
        <v>83</v>
      </c>
      <c r="M87" s="44">
        <f t="shared" si="22"/>
        <v>207.5</v>
      </c>
    </row>
    <row r="88" spans="1:13" ht="12.75" customHeight="1" x14ac:dyDescent="0.25">
      <c r="A88" s="46">
        <f t="shared" si="12"/>
        <v>242.5</v>
      </c>
      <c r="B88" s="41">
        <f t="shared" si="13"/>
        <v>2</v>
      </c>
      <c r="C88" s="42">
        <f t="shared" si="14"/>
        <v>0</v>
      </c>
      <c r="D88" s="41">
        <f t="shared" si="15"/>
        <v>0</v>
      </c>
      <c r="E88" s="42">
        <f t="shared" si="16"/>
        <v>0</v>
      </c>
      <c r="F88" s="41">
        <f t="shared" si="17"/>
        <v>0</v>
      </c>
      <c r="G88" s="42">
        <f t="shared" si="18"/>
        <v>0</v>
      </c>
      <c r="H88" s="41">
        <f t="shared" si="19"/>
        <v>1</v>
      </c>
      <c r="I88" s="42">
        <f t="shared" si="20"/>
        <v>0</v>
      </c>
      <c r="J88" s="41">
        <f t="shared" si="21"/>
        <v>0</v>
      </c>
      <c r="K88" s="42"/>
      <c r="L88" s="44">
        <f t="shared" si="23"/>
        <v>84</v>
      </c>
      <c r="M88" s="44">
        <f t="shared" si="22"/>
        <v>210</v>
      </c>
    </row>
    <row r="89" spans="1:13" ht="12.75" customHeight="1" x14ac:dyDescent="0.25">
      <c r="A89" s="46">
        <f t="shared" si="12"/>
        <v>245</v>
      </c>
      <c r="B89" s="41">
        <f t="shared" si="13"/>
        <v>2</v>
      </c>
      <c r="C89" s="42">
        <f t="shared" si="14"/>
        <v>0</v>
      </c>
      <c r="D89" s="41">
        <f t="shared" si="15"/>
        <v>0</v>
      </c>
      <c r="E89" s="42">
        <f t="shared" si="16"/>
        <v>0</v>
      </c>
      <c r="F89" s="41">
        <f t="shared" si="17"/>
        <v>0</v>
      </c>
      <c r="G89" s="42">
        <f t="shared" si="18"/>
        <v>0</v>
      </c>
      <c r="H89" s="41">
        <f t="shared" si="19"/>
        <v>1</v>
      </c>
      <c r="I89" s="42">
        <f t="shared" si="20"/>
        <v>0</v>
      </c>
      <c r="J89" s="41">
        <f t="shared" si="21"/>
        <v>1</v>
      </c>
      <c r="K89" s="42"/>
      <c r="L89" s="44">
        <f t="shared" si="23"/>
        <v>85</v>
      </c>
      <c r="M89" s="44">
        <f t="shared" si="22"/>
        <v>212.5</v>
      </c>
    </row>
    <row r="90" spans="1:13" ht="12.75" customHeight="1" x14ac:dyDescent="0.25">
      <c r="A90" s="46">
        <f t="shared" si="12"/>
        <v>247.5</v>
      </c>
      <c r="B90" s="41">
        <f t="shared" si="13"/>
        <v>2</v>
      </c>
      <c r="C90" s="42">
        <f t="shared" si="14"/>
        <v>0</v>
      </c>
      <c r="D90" s="41">
        <f t="shared" si="15"/>
        <v>0</v>
      </c>
      <c r="E90" s="42">
        <f t="shared" si="16"/>
        <v>0</v>
      </c>
      <c r="F90" s="41">
        <f t="shared" si="17"/>
        <v>0</v>
      </c>
      <c r="G90" s="42">
        <f t="shared" si="18"/>
        <v>0</v>
      </c>
      <c r="H90" s="41">
        <f t="shared" si="19"/>
        <v>1</v>
      </c>
      <c r="I90" s="42">
        <f t="shared" si="20"/>
        <v>1</v>
      </c>
      <c r="J90" s="41">
        <f t="shared" si="21"/>
        <v>0</v>
      </c>
      <c r="K90" s="42"/>
      <c r="L90" s="44">
        <f t="shared" si="23"/>
        <v>86</v>
      </c>
      <c r="M90" s="44">
        <f t="shared" si="22"/>
        <v>215</v>
      </c>
    </row>
    <row r="91" spans="1:13" ht="12.75" customHeight="1" x14ac:dyDescent="0.25">
      <c r="A91" s="46">
        <f t="shared" si="12"/>
        <v>250</v>
      </c>
      <c r="B91" s="41">
        <f t="shared" si="13"/>
        <v>2</v>
      </c>
      <c r="C91" s="42">
        <f t="shared" si="14"/>
        <v>0</v>
      </c>
      <c r="D91" s="41">
        <f t="shared" si="15"/>
        <v>0</v>
      </c>
      <c r="E91" s="42">
        <f t="shared" si="16"/>
        <v>0</v>
      </c>
      <c r="F91" s="41">
        <f t="shared" si="17"/>
        <v>0</v>
      </c>
      <c r="G91" s="42">
        <f t="shared" si="18"/>
        <v>0</v>
      </c>
      <c r="H91" s="41">
        <f t="shared" si="19"/>
        <v>1</v>
      </c>
      <c r="I91" s="42">
        <f t="shared" si="20"/>
        <v>1</v>
      </c>
      <c r="J91" s="41">
        <f t="shared" si="21"/>
        <v>1</v>
      </c>
      <c r="K91" s="42"/>
      <c r="L91" s="44">
        <f t="shared" si="23"/>
        <v>87</v>
      </c>
      <c r="M91" s="44">
        <f t="shared" si="22"/>
        <v>217.5</v>
      </c>
    </row>
    <row r="92" spans="1:13" ht="12.75" customHeight="1" x14ac:dyDescent="0.25">
      <c r="A92" s="46">
        <f t="shared" si="12"/>
        <v>252.5</v>
      </c>
      <c r="B92" s="41">
        <f t="shared" si="13"/>
        <v>2</v>
      </c>
      <c r="C92" s="42">
        <f t="shared" si="14"/>
        <v>0</v>
      </c>
      <c r="D92" s="41">
        <f t="shared" si="15"/>
        <v>0</v>
      </c>
      <c r="E92" s="42">
        <f t="shared" si="16"/>
        <v>0</v>
      </c>
      <c r="F92" s="41">
        <f t="shared" si="17"/>
        <v>0</v>
      </c>
      <c r="G92" s="42">
        <f t="shared" si="18"/>
        <v>1</v>
      </c>
      <c r="H92" s="41">
        <f t="shared" si="19"/>
        <v>0</v>
      </c>
      <c r="I92" s="42">
        <f t="shared" si="20"/>
        <v>0</v>
      </c>
      <c r="J92" s="41">
        <f t="shared" si="21"/>
        <v>0</v>
      </c>
      <c r="K92" s="42"/>
      <c r="L92" s="44">
        <f t="shared" si="23"/>
        <v>88</v>
      </c>
      <c r="M92" s="44">
        <f t="shared" si="22"/>
        <v>220</v>
      </c>
    </row>
    <row r="93" spans="1:13" ht="12.75" customHeight="1" x14ac:dyDescent="0.25">
      <c r="A93" s="46">
        <f t="shared" si="12"/>
        <v>255</v>
      </c>
      <c r="B93" s="41">
        <f t="shared" si="13"/>
        <v>2</v>
      </c>
      <c r="C93" s="42">
        <f t="shared" si="14"/>
        <v>0</v>
      </c>
      <c r="D93" s="41">
        <f t="shared" si="15"/>
        <v>0</v>
      </c>
      <c r="E93" s="42">
        <f t="shared" si="16"/>
        <v>0</v>
      </c>
      <c r="F93" s="41">
        <f t="shared" si="17"/>
        <v>0</v>
      </c>
      <c r="G93" s="42">
        <f t="shared" si="18"/>
        <v>1</v>
      </c>
      <c r="H93" s="41">
        <f t="shared" si="19"/>
        <v>0</v>
      </c>
      <c r="I93" s="42">
        <f t="shared" si="20"/>
        <v>0</v>
      </c>
      <c r="J93" s="41">
        <f t="shared" si="21"/>
        <v>1</v>
      </c>
      <c r="K93" s="42"/>
      <c r="L93" s="44">
        <f t="shared" si="23"/>
        <v>89</v>
      </c>
      <c r="M93" s="44">
        <f t="shared" si="22"/>
        <v>222.5</v>
      </c>
    </row>
    <row r="94" spans="1:13" ht="12.75" customHeight="1" x14ac:dyDescent="0.25">
      <c r="A94" s="46">
        <f t="shared" si="12"/>
        <v>257.5</v>
      </c>
      <c r="B94" s="41">
        <f t="shared" si="13"/>
        <v>2</v>
      </c>
      <c r="C94" s="42">
        <f t="shared" si="14"/>
        <v>0</v>
      </c>
      <c r="D94" s="41">
        <f t="shared" si="15"/>
        <v>0</v>
      </c>
      <c r="E94" s="42">
        <f t="shared" si="16"/>
        <v>0</v>
      </c>
      <c r="F94" s="41">
        <f t="shared" si="17"/>
        <v>0</v>
      </c>
      <c r="G94" s="42">
        <f t="shared" si="18"/>
        <v>1</v>
      </c>
      <c r="H94" s="41">
        <f t="shared" si="19"/>
        <v>0</v>
      </c>
      <c r="I94" s="42">
        <f t="shared" si="20"/>
        <v>1</v>
      </c>
      <c r="J94" s="41">
        <f t="shared" si="21"/>
        <v>0</v>
      </c>
      <c r="K94" s="42"/>
      <c r="L94" s="44">
        <f t="shared" si="23"/>
        <v>90</v>
      </c>
      <c r="M94" s="44">
        <f t="shared" si="22"/>
        <v>225</v>
      </c>
    </row>
    <row r="95" spans="1:13" ht="12.75" customHeight="1" x14ac:dyDescent="0.25">
      <c r="A95" s="46">
        <f t="shared" si="12"/>
        <v>260</v>
      </c>
      <c r="B95" s="41">
        <f t="shared" si="13"/>
        <v>2</v>
      </c>
      <c r="C95" s="42">
        <f t="shared" si="14"/>
        <v>0</v>
      </c>
      <c r="D95" s="41">
        <f t="shared" si="15"/>
        <v>0</v>
      </c>
      <c r="E95" s="42">
        <f t="shared" si="16"/>
        <v>0</v>
      </c>
      <c r="F95" s="41">
        <f t="shared" si="17"/>
        <v>0</v>
      </c>
      <c r="G95" s="42">
        <f t="shared" si="18"/>
        <v>1</v>
      </c>
      <c r="H95" s="41">
        <f t="shared" si="19"/>
        <v>0</v>
      </c>
      <c r="I95" s="42">
        <f t="shared" si="20"/>
        <v>1</v>
      </c>
      <c r="J95" s="41">
        <f t="shared" si="21"/>
        <v>1</v>
      </c>
      <c r="K95" s="42"/>
      <c r="L95" s="44">
        <f t="shared" si="23"/>
        <v>91</v>
      </c>
      <c r="M95" s="44">
        <f t="shared" si="22"/>
        <v>227.5</v>
      </c>
    </row>
    <row r="96" spans="1:13" ht="12.75" customHeight="1" x14ac:dyDescent="0.25">
      <c r="A96" s="46">
        <f t="shared" si="12"/>
        <v>262.5</v>
      </c>
      <c r="B96" s="41">
        <f t="shared" si="13"/>
        <v>2</v>
      </c>
      <c r="C96" s="42">
        <f t="shared" si="14"/>
        <v>0</v>
      </c>
      <c r="D96" s="41">
        <f t="shared" si="15"/>
        <v>0</v>
      </c>
      <c r="E96" s="42">
        <f t="shared" si="16"/>
        <v>0</v>
      </c>
      <c r="F96" s="41">
        <f t="shared" si="17"/>
        <v>1</v>
      </c>
      <c r="G96" s="42">
        <f t="shared" si="18"/>
        <v>0</v>
      </c>
      <c r="H96" s="41">
        <f t="shared" si="19"/>
        <v>0</v>
      </c>
      <c r="I96" s="42">
        <f t="shared" si="20"/>
        <v>0</v>
      </c>
      <c r="J96" s="41">
        <f t="shared" si="21"/>
        <v>0</v>
      </c>
      <c r="K96" s="42"/>
      <c r="L96" s="44">
        <f t="shared" si="23"/>
        <v>92</v>
      </c>
      <c r="M96" s="44">
        <f t="shared" si="22"/>
        <v>230</v>
      </c>
    </row>
    <row r="97" spans="1:13" ht="12.75" customHeight="1" x14ac:dyDescent="0.25">
      <c r="A97" s="46">
        <f t="shared" si="12"/>
        <v>265</v>
      </c>
      <c r="B97" s="41">
        <f t="shared" si="13"/>
        <v>2</v>
      </c>
      <c r="C97" s="42">
        <f t="shared" si="14"/>
        <v>0</v>
      </c>
      <c r="D97" s="41">
        <f t="shared" si="15"/>
        <v>0</v>
      </c>
      <c r="E97" s="42">
        <f t="shared" si="16"/>
        <v>0</v>
      </c>
      <c r="F97" s="41">
        <f t="shared" si="17"/>
        <v>1</v>
      </c>
      <c r="G97" s="42">
        <f t="shared" si="18"/>
        <v>0</v>
      </c>
      <c r="H97" s="41">
        <f t="shared" si="19"/>
        <v>0</v>
      </c>
      <c r="I97" s="42">
        <f t="shared" si="20"/>
        <v>0</v>
      </c>
      <c r="J97" s="41">
        <f t="shared" si="21"/>
        <v>1</v>
      </c>
      <c r="K97" s="42"/>
      <c r="L97" s="44">
        <f t="shared" si="23"/>
        <v>93</v>
      </c>
      <c r="M97" s="44">
        <f t="shared" si="22"/>
        <v>232.5</v>
      </c>
    </row>
    <row r="98" spans="1:13" ht="12.75" customHeight="1" x14ac:dyDescent="0.25">
      <c r="A98" s="46">
        <f t="shared" si="12"/>
        <v>267.5</v>
      </c>
      <c r="B98" s="41">
        <f t="shared" si="13"/>
        <v>2</v>
      </c>
      <c r="C98" s="42">
        <f t="shared" si="14"/>
        <v>0</v>
      </c>
      <c r="D98" s="41">
        <f t="shared" si="15"/>
        <v>0</v>
      </c>
      <c r="E98" s="42">
        <f t="shared" si="16"/>
        <v>0</v>
      </c>
      <c r="F98" s="41">
        <f t="shared" si="17"/>
        <v>1</v>
      </c>
      <c r="G98" s="42">
        <f t="shared" si="18"/>
        <v>0</v>
      </c>
      <c r="H98" s="41">
        <f t="shared" si="19"/>
        <v>0</v>
      </c>
      <c r="I98" s="42">
        <f t="shared" si="20"/>
        <v>1</v>
      </c>
      <c r="J98" s="41">
        <f t="shared" si="21"/>
        <v>0</v>
      </c>
      <c r="K98" s="42"/>
      <c r="L98" s="44">
        <f t="shared" si="23"/>
        <v>94</v>
      </c>
      <c r="M98" s="44">
        <f t="shared" si="22"/>
        <v>235</v>
      </c>
    </row>
    <row r="99" spans="1:13" ht="12.75" customHeight="1" x14ac:dyDescent="0.25">
      <c r="A99" s="46">
        <f t="shared" si="12"/>
        <v>270</v>
      </c>
      <c r="B99" s="41">
        <f t="shared" si="13"/>
        <v>2</v>
      </c>
      <c r="C99" s="42">
        <f t="shared" si="14"/>
        <v>0</v>
      </c>
      <c r="D99" s="41">
        <f t="shared" si="15"/>
        <v>0</v>
      </c>
      <c r="E99" s="42">
        <f t="shared" si="16"/>
        <v>0</v>
      </c>
      <c r="F99" s="41">
        <f t="shared" si="17"/>
        <v>1</v>
      </c>
      <c r="G99" s="42">
        <f t="shared" si="18"/>
        <v>0</v>
      </c>
      <c r="H99" s="41">
        <f t="shared" si="19"/>
        <v>0</v>
      </c>
      <c r="I99" s="42">
        <f t="shared" si="20"/>
        <v>1</v>
      </c>
      <c r="J99" s="41">
        <f t="shared" si="21"/>
        <v>1</v>
      </c>
      <c r="K99" s="42"/>
      <c r="L99" s="44">
        <f t="shared" si="23"/>
        <v>95</v>
      </c>
      <c r="M99" s="44">
        <f t="shared" si="22"/>
        <v>237.5</v>
      </c>
    </row>
    <row r="100" spans="1:13" ht="12.75" customHeight="1" x14ac:dyDescent="0.25">
      <c r="A100" s="46">
        <f t="shared" si="12"/>
        <v>272.5</v>
      </c>
      <c r="B100" s="41">
        <f t="shared" si="13"/>
        <v>2</v>
      </c>
      <c r="C100" s="42">
        <f t="shared" si="14"/>
        <v>0</v>
      </c>
      <c r="D100" s="41">
        <f t="shared" si="15"/>
        <v>0</v>
      </c>
      <c r="E100" s="42">
        <f t="shared" si="16"/>
        <v>1</v>
      </c>
      <c r="F100" s="41">
        <f t="shared" si="17"/>
        <v>0</v>
      </c>
      <c r="G100" s="42">
        <f t="shared" si="18"/>
        <v>0</v>
      </c>
      <c r="H100" s="41">
        <f t="shared" si="19"/>
        <v>0</v>
      </c>
      <c r="I100" s="42">
        <f t="shared" si="20"/>
        <v>0</v>
      </c>
      <c r="J100" s="41">
        <f t="shared" si="21"/>
        <v>0</v>
      </c>
      <c r="K100" s="42"/>
      <c r="L100" s="44">
        <f t="shared" si="23"/>
        <v>96</v>
      </c>
      <c r="M100" s="44">
        <f t="shared" si="22"/>
        <v>240</v>
      </c>
    </row>
    <row r="101" spans="1:13" ht="12.75" customHeight="1" x14ac:dyDescent="0.25">
      <c r="A101" s="46">
        <f t="shared" si="12"/>
        <v>275</v>
      </c>
      <c r="B101" s="41">
        <f t="shared" si="13"/>
        <v>2</v>
      </c>
      <c r="C101" s="42">
        <f t="shared" si="14"/>
        <v>0</v>
      </c>
      <c r="D101" s="41">
        <f t="shared" si="15"/>
        <v>0</v>
      </c>
      <c r="E101" s="42">
        <f t="shared" si="16"/>
        <v>1</v>
      </c>
      <c r="F101" s="41">
        <f t="shared" si="17"/>
        <v>0</v>
      </c>
      <c r="G101" s="42">
        <f t="shared" si="18"/>
        <v>0</v>
      </c>
      <c r="H101" s="41">
        <f t="shared" si="19"/>
        <v>0</v>
      </c>
      <c r="I101" s="42">
        <f t="shared" si="20"/>
        <v>0</v>
      </c>
      <c r="J101" s="41">
        <f t="shared" si="21"/>
        <v>1</v>
      </c>
      <c r="K101" s="42"/>
      <c r="L101" s="44">
        <f t="shared" si="23"/>
        <v>97</v>
      </c>
      <c r="M101" s="44">
        <f t="shared" si="22"/>
        <v>242.5</v>
      </c>
    </row>
    <row r="102" spans="1:13" ht="12.75" customHeight="1" x14ac:dyDescent="0.25">
      <c r="A102" s="46">
        <f t="shared" si="12"/>
        <v>277.5</v>
      </c>
      <c r="B102" s="41">
        <f t="shared" si="13"/>
        <v>2</v>
      </c>
      <c r="C102" s="42">
        <f t="shared" si="14"/>
        <v>0</v>
      </c>
      <c r="D102" s="41">
        <f t="shared" si="15"/>
        <v>0</v>
      </c>
      <c r="E102" s="42">
        <f t="shared" si="16"/>
        <v>1</v>
      </c>
      <c r="F102" s="41">
        <f t="shared" si="17"/>
        <v>0</v>
      </c>
      <c r="G102" s="42">
        <f t="shared" si="18"/>
        <v>0</v>
      </c>
      <c r="H102" s="41">
        <f t="shared" si="19"/>
        <v>0</v>
      </c>
      <c r="I102" s="42">
        <f t="shared" si="20"/>
        <v>1</v>
      </c>
      <c r="J102" s="41">
        <f t="shared" si="21"/>
        <v>0</v>
      </c>
      <c r="K102" s="42"/>
      <c r="L102" s="44">
        <f t="shared" si="23"/>
        <v>98</v>
      </c>
      <c r="M102" s="44">
        <f t="shared" si="22"/>
        <v>245</v>
      </c>
    </row>
    <row r="103" spans="1:13" ht="12.75" customHeight="1" x14ac:dyDescent="0.25">
      <c r="A103" s="46">
        <f t="shared" si="12"/>
        <v>280</v>
      </c>
      <c r="B103" s="41">
        <f t="shared" si="13"/>
        <v>2</v>
      </c>
      <c r="C103" s="42">
        <f t="shared" si="14"/>
        <v>0</v>
      </c>
      <c r="D103" s="41">
        <f t="shared" si="15"/>
        <v>0</v>
      </c>
      <c r="E103" s="42">
        <f t="shared" si="16"/>
        <v>1</v>
      </c>
      <c r="F103" s="41">
        <f t="shared" si="17"/>
        <v>0</v>
      </c>
      <c r="G103" s="42">
        <f t="shared" si="18"/>
        <v>0</v>
      </c>
      <c r="H103" s="41">
        <f t="shared" si="19"/>
        <v>0</v>
      </c>
      <c r="I103" s="42">
        <f t="shared" si="20"/>
        <v>1</v>
      </c>
      <c r="J103" s="41">
        <f t="shared" si="21"/>
        <v>1</v>
      </c>
      <c r="K103" s="42"/>
      <c r="L103" s="44">
        <f t="shared" si="23"/>
        <v>99</v>
      </c>
      <c r="M103" s="44">
        <f t="shared" si="22"/>
        <v>247.5</v>
      </c>
    </row>
    <row r="104" spans="1:13" ht="12.75" customHeight="1" x14ac:dyDescent="0.25">
      <c r="A104" s="46">
        <f t="shared" si="12"/>
        <v>282.5</v>
      </c>
      <c r="B104" s="41">
        <f t="shared" si="13"/>
        <v>2</v>
      </c>
      <c r="C104" s="42">
        <f t="shared" si="14"/>
        <v>0</v>
      </c>
      <c r="D104" s="41">
        <f t="shared" si="15"/>
        <v>0</v>
      </c>
      <c r="E104" s="42">
        <f t="shared" si="16"/>
        <v>1</v>
      </c>
      <c r="F104" s="41">
        <f t="shared" si="17"/>
        <v>0</v>
      </c>
      <c r="G104" s="42">
        <f t="shared" si="18"/>
        <v>0</v>
      </c>
      <c r="H104" s="41">
        <f t="shared" si="19"/>
        <v>1</v>
      </c>
      <c r="I104" s="42">
        <f t="shared" si="20"/>
        <v>0</v>
      </c>
      <c r="J104" s="41">
        <f t="shared" si="21"/>
        <v>0</v>
      </c>
      <c r="K104" s="42"/>
      <c r="L104" s="44">
        <f t="shared" si="23"/>
        <v>100</v>
      </c>
      <c r="M104" s="44">
        <f t="shared" si="22"/>
        <v>250</v>
      </c>
    </row>
    <row r="105" spans="1:13" ht="12.75" customHeight="1" x14ac:dyDescent="0.25">
      <c r="A105" s="46">
        <f t="shared" si="12"/>
        <v>285</v>
      </c>
      <c r="B105" s="41">
        <f t="shared" si="13"/>
        <v>2</v>
      </c>
      <c r="C105" s="42">
        <f t="shared" si="14"/>
        <v>0</v>
      </c>
      <c r="D105" s="41">
        <f t="shared" si="15"/>
        <v>0</v>
      </c>
      <c r="E105" s="42">
        <f t="shared" si="16"/>
        <v>1</v>
      </c>
      <c r="F105" s="41">
        <f t="shared" si="17"/>
        <v>0</v>
      </c>
      <c r="G105" s="42">
        <f t="shared" si="18"/>
        <v>0</v>
      </c>
      <c r="H105" s="41">
        <f t="shared" si="19"/>
        <v>1</v>
      </c>
      <c r="I105" s="42">
        <f t="shared" si="20"/>
        <v>0</v>
      </c>
      <c r="J105" s="41">
        <f t="shared" si="21"/>
        <v>1</v>
      </c>
      <c r="K105" s="42"/>
      <c r="L105" s="44">
        <f t="shared" si="23"/>
        <v>101</v>
      </c>
      <c r="M105" s="44">
        <f t="shared" si="22"/>
        <v>252.5</v>
      </c>
    </row>
    <row r="106" spans="1:13" ht="12.75" customHeight="1" x14ac:dyDescent="0.25">
      <c r="A106" s="46">
        <f t="shared" si="12"/>
        <v>287.5</v>
      </c>
      <c r="B106" s="41">
        <f t="shared" si="13"/>
        <v>2</v>
      </c>
      <c r="C106" s="42">
        <f t="shared" si="14"/>
        <v>0</v>
      </c>
      <c r="D106" s="41">
        <f t="shared" si="15"/>
        <v>0</v>
      </c>
      <c r="E106" s="42">
        <f t="shared" si="16"/>
        <v>1</v>
      </c>
      <c r="F106" s="41">
        <f t="shared" si="17"/>
        <v>0</v>
      </c>
      <c r="G106" s="42">
        <f t="shared" si="18"/>
        <v>0</v>
      </c>
      <c r="H106" s="41">
        <f t="shared" si="19"/>
        <v>1</v>
      </c>
      <c r="I106" s="42">
        <f t="shared" si="20"/>
        <v>1</v>
      </c>
      <c r="J106" s="41">
        <f t="shared" si="21"/>
        <v>0</v>
      </c>
      <c r="K106" s="42"/>
      <c r="L106" s="44">
        <f t="shared" si="23"/>
        <v>102</v>
      </c>
      <c r="M106" s="44">
        <f t="shared" si="22"/>
        <v>255</v>
      </c>
    </row>
    <row r="107" spans="1:13" ht="12.75" customHeight="1" x14ac:dyDescent="0.25">
      <c r="A107" s="46">
        <f t="shared" si="12"/>
        <v>290</v>
      </c>
      <c r="B107" s="41">
        <f t="shared" si="13"/>
        <v>2</v>
      </c>
      <c r="C107" s="42">
        <f t="shared" si="14"/>
        <v>0</v>
      </c>
      <c r="D107" s="41">
        <f t="shared" si="15"/>
        <v>0</v>
      </c>
      <c r="E107" s="42">
        <f t="shared" si="16"/>
        <v>1</v>
      </c>
      <c r="F107" s="41">
        <f t="shared" si="17"/>
        <v>0</v>
      </c>
      <c r="G107" s="42">
        <f t="shared" si="18"/>
        <v>0</v>
      </c>
      <c r="H107" s="41">
        <f t="shared" si="19"/>
        <v>1</v>
      </c>
      <c r="I107" s="42">
        <f t="shared" si="20"/>
        <v>1</v>
      </c>
      <c r="J107" s="41">
        <f t="shared" si="21"/>
        <v>1</v>
      </c>
      <c r="K107" s="42"/>
      <c r="L107" s="44">
        <f t="shared" si="23"/>
        <v>103</v>
      </c>
      <c r="M107" s="44">
        <f t="shared" si="22"/>
        <v>257.5</v>
      </c>
    </row>
    <row r="108" spans="1:13" ht="12.75" customHeight="1" x14ac:dyDescent="0.25">
      <c r="A108" s="46">
        <f t="shared" si="12"/>
        <v>292.5</v>
      </c>
      <c r="B108" s="41">
        <f t="shared" si="13"/>
        <v>2</v>
      </c>
      <c r="C108" s="42">
        <f t="shared" si="14"/>
        <v>0</v>
      </c>
      <c r="D108" s="41">
        <f t="shared" si="15"/>
        <v>0</v>
      </c>
      <c r="E108" s="42">
        <f t="shared" si="16"/>
        <v>1</v>
      </c>
      <c r="F108" s="41">
        <f t="shared" si="17"/>
        <v>0</v>
      </c>
      <c r="G108" s="42">
        <f t="shared" si="18"/>
        <v>1</v>
      </c>
      <c r="H108" s="41">
        <f t="shared" si="19"/>
        <v>0</v>
      </c>
      <c r="I108" s="42">
        <f t="shared" si="20"/>
        <v>0</v>
      </c>
      <c r="J108" s="41">
        <f t="shared" si="21"/>
        <v>0</v>
      </c>
      <c r="K108" s="42"/>
      <c r="L108" s="44">
        <f t="shared" si="23"/>
        <v>104</v>
      </c>
      <c r="M108" s="44">
        <f t="shared" si="22"/>
        <v>260</v>
      </c>
    </row>
    <row r="109" spans="1:13" ht="12.75" customHeight="1" x14ac:dyDescent="0.25">
      <c r="A109" s="46">
        <f t="shared" si="12"/>
        <v>295</v>
      </c>
      <c r="B109" s="41">
        <f t="shared" si="13"/>
        <v>2</v>
      </c>
      <c r="C109" s="42">
        <f t="shared" si="14"/>
        <v>0</v>
      </c>
      <c r="D109" s="41">
        <f t="shared" si="15"/>
        <v>0</v>
      </c>
      <c r="E109" s="42">
        <f t="shared" si="16"/>
        <v>1</v>
      </c>
      <c r="F109" s="41">
        <f t="shared" si="17"/>
        <v>0</v>
      </c>
      <c r="G109" s="42">
        <f t="shared" si="18"/>
        <v>1</v>
      </c>
      <c r="H109" s="41">
        <f t="shared" si="19"/>
        <v>0</v>
      </c>
      <c r="I109" s="42">
        <f t="shared" si="20"/>
        <v>0</v>
      </c>
      <c r="J109" s="41">
        <f t="shared" si="21"/>
        <v>1</v>
      </c>
      <c r="K109" s="42"/>
      <c r="L109" s="44">
        <f t="shared" si="23"/>
        <v>105</v>
      </c>
      <c r="M109" s="44">
        <f t="shared" si="22"/>
        <v>262.5</v>
      </c>
    </row>
    <row r="110" spans="1:13" ht="12.75" customHeight="1" x14ac:dyDescent="0.25">
      <c r="A110" s="46">
        <f t="shared" si="12"/>
        <v>297.5</v>
      </c>
      <c r="B110" s="41">
        <f t="shared" si="13"/>
        <v>2</v>
      </c>
      <c r="C110" s="42">
        <f t="shared" si="14"/>
        <v>0</v>
      </c>
      <c r="D110" s="41">
        <f t="shared" si="15"/>
        <v>0</v>
      </c>
      <c r="E110" s="42">
        <f t="shared" si="16"/>
        <v>1</v>
      </c>
      <c r="F110" s="41">
        <f t="shared" si="17"/>
        <v>0</v>
      </c>
      <c r="G110" s="42">
        <f t="shared" si="18"/>
        <v>1</v>
      </c>
      <c r="H110" s="41">
        <f t="shared" si="19"/>
        <v>0</v>
      </c>
      <c r="I110" s="42">
        <f t="shared" si="20"/>
        <v>1</v>
      </c>
      <c r="J110" s="41">
        <f t="shared" si="21"/>
        <v>0</v>
      </c>
      <c r="K110" s="42"/>
      <c r="L110" s="44">
        <f t="shared" si="23"/>
        <v>106</v>
      </c>
      <c r="M110" s="44">
        <f t="shared" si="22"/>
        <v>265</v>
      </c>
    </row>
    <row r="111" spans="1:13" ht="12.75" customHeight="1" x14ac:dyDescent="0.25">
      <c r="A111" s="46">
        <f t="shared" si="12"/>
        <v>300</v>
      </c>
      <c r="B111" s="41">
        <f t="shared" si="13"/>
        <v>2</v>
      </c>
      <c r="C111" s="42">
        <f t="shared" si="14"/>
        <v>0</v>
      </c>
      <c r="D111" s="41">
        <f t="shared" si="15"/>
        <v>0</v>
      </c>
      <c r="E111" s="42">
        <f t="shared" si="16"/>
        <v>1</v>
      </c>
      <c r="F111" s="41">
        <f t="shared" si="17"/>
        <v>0</v>
      </c>
      <c r="G111" s="42">
        <f t="shared" si="18"/>
        <v>1</v>
      </c>
      <c r="H111" s="41">
        <f t="shared" si="19"/>
        <v>0</v>
      </c>
      <c r="I111" s="42">
        <f t="shared" si="20"/>
        <v>1</v>
      </c>
      <c r="J111" s="41">
        <f t="shared" si="21"/>
        <v>1</v>
      </c>
      <c r="K111" s="42"/>
      <c r="L111" s="44">
        <f t="shared" si="23"/>
        <v>107</v>
      </c>
      <c r="M111" s="44">
        <f t="shared" si="22"/>
        <v>267.5</v>
      </c>
    </row>
    <row r="112" spans="1:13" ht="12.75" customHeight="1" x14ac:dyDescent="0.25">
      <c r="A112" s="46">
        <f t="shared" si="12"/>
        <v>302.5</v>
      </c>
      <c r="B112" s="41">
        <f t="shared" si="13"/>
        <v>2</v>
      </c>
      <c r="C112" s="42">
        <f t="shared" si="14"/>
        <v>0</v>
      </c>
      <c r="D112" s="41">
        <f t="shared" si="15"/>
        <v>0</v>
      </c>
      <c r="E112" s="42">
        <f t="shared" si="16"/>
        <v>1</v>
      </c>
      <c r="F112" s="41">
        <f t="shared" si="17"/>
        <v>1</v>
      </c>
      <c r="G112" s="42">
        <f t="shared" si="18"/>
        <v>0</v>
      </c>
      <c r="H112" s="41">
        <f t="shared" si="19"/>
        <v>0</v>
      </c>
      <c r="I112" s="42">
        <f t="shared" si="20"/>
        <v>0</v>
      </c>
      <c r="J112" s="41">
        <f t="shared" si="21"/>
        <v>0</v>
      </c>
      <c r="K112" s="42"/>
      <c r="L112" s="44">
        <f t="shared" si="23"/>
        <v>108</v>
      </c>
      <c r="M112" s="44">
        <f t="shared" si="22"/>
        <v>270</v>
      </c>
    </row>
    <row r="113" spans="1:13" ht="12.75" customHeight="1" x14ac:dyDescent="0.25">
      <c r="A113" s="46">
        <f t="shared" si="12"/>
        <v>305</v>
      </c>
      <c r="B113" s="41">
        <f t="shared" si="13"/>
        <v>2</v>
      </c>
      <c r="C113" s="42">
        <f t="shared" si="14"/>
        <v>0</v>
      </c>
      <c r="D113" s="41">
        <f t="shared" si="15"/>
        <v>0</v>
      </c>
      <c r="E113" s="42">
        <f t="shared" si="16"/>
        <v>1</v>
      </c>
      <c r="F113" s="41">
        <f t="shared" si="17"/>
        <v>1</v>
      </c>
      <c r="G113" s="42">
        <f t="shared" si="18"/>
        <v>0</v>
      </c>
      <c r="H113" s="41">
        <f t="shared" si="19"/>
        <v>0</v>
      </c>
      <c r="I113" s="42">
        <f t="shared" si="20"/>
        <v>0</v>
      </c>
      <c r="J113" s="41">
        <f t="shared" si="21"/>
        <v>1</v>
      </c>
      <c r="K113" s="42"/>
      <c r="L113" s="44">
        <f t="shared" si="23"/>
        <v>109</v>
      </c>
      <c r="M113" s="44">
        <f t="shared" si="22"/>
        <v>272.5</v>
      </c>
    </row>
    <row r="114" spans="1:13" ht="12.75" customHeight="1" x14ac:dyDescent="0.25">
      <c r="A114" s="46">
        <f t="shared" si="12"/>
        <v>307.5</v>
      </c>
      <c r="B114" s="41">
        <f t="shared" si="13"/>
        <v>2</v>
      </c>
      <c r="C114" s="42">
        <f t="shared" si="14"/>
        <v>0</v>
      </c>
      <c r="D114" s="41">
        <f t="shared" si="15"/>
        <v>0</v>
      </c>
      <c r="E114" s="42">
        <f t="shared" si="16"/>
        <v>1</v>
      </c>
      <c r="F114" s="41">
        <f t="shared" si="17"/>
        <v>1</v>
      </c>
      <c r="G114" s="42">
        <f t="shared" si="18"/>
        <v>0</v>
      </c>
      <c r="H114" s="41">
        <f t="shared" si="19"/>
        <v>0</v>
      </c>
      <c r="I114" s="42">
        <f t="shared" si="20"/>
        <v>1</v>
      </c>
      <c r="J114" s="41">
        <f t="shared" si="21"/>
        <v>0</v>
      </c>
      <c r="K114" s="42"/>
      <c r="L114" s="44">
        <f t="shared" si="23"/>
        <v>110</v>
      </c>
      <c r="M114" s="44">
        <f t="shared" si="22"/>
        <v>275</v>
      </c>
    </row>
    <row r="115" spans="1:13" ht="12.75" customHeight="1" x14ac:dyDescent="0.25">
      <c r="A115" s="46">
        <f t="shared" si="12"/>
        <v>310</v>
      </c>
      <c r="B115" s="41">
        <f t="shared" si="13"/>
        <v>2</v>
      </c>
      <c r="C115" s="42">
        <f t="shared" si="14"/>
        <v>0</v>
      </c>
      <c r="D115" s="41">
        <f t="shared" si="15"/>
        <v>0</v>
      </c>
      <c r="E115" s="42">
        <f t="shared" si="16"/>
        <v>1</v>
      </c>
      <c r="F115" s="41">
        <f t="shared" si="17"/>
        <v>1</v>
      </c>
      <c r="G115" s="42">
        <f t="shared" si="18"/>
        <v>0</v>
      </c>
      <c r="H115" s="41">
        <f t="shared" si="19"/>
        <v>0</v>
      </c>
      <c r="I115" s="42">
        <f t="shared" si="20"/>
        <v>1</v>
      </c>
      <c r="J115" s="41">
        <f t="shared" si="21"/>
        <v>1</v>
      </c>
      <c r="K115" s="42"/>
      <c r="L115" s="44">
        <f t="shared" si="23"/>
        <v>111</v>
      </c>
      <c r="M115" s="44">
        <f t="shared" si="22"/>
        <v>277.5</v>
      </c>
    </row>
    <row r="116" spans="1:13" ht="12.75" customHeight="1" x14ac:dyDescent="0.25">
      <c r="A116" s="46">
        <f t="shared" si="12"/>
        <v>312.5</v>
      </c>
      <c r="B116" s="41">
        <f t="shared" si="13"/>
        <v>2</v>
      </c>
      <c r="C116" s="42">
        <f t="shared" si="14"/>
        <v>0</v>
      </c>
      <c r="D116" s="41">
        <f t="shared" si="15"/>
        <v>0</v>
      </c>
      <c r="E116" s="42">
        <f t="shared" si="16"/>
        <v>2</v>
      </c>
      <c r="F116" s="41">
        <f t="shared" si="17"/>
        <v>0</v>
      </c>
      <c r="G116" s="42">
        <f t="shared" si="18"/>
        <v>0</v>
      </c>
      <c r="H116" s="41">
        <f t="shared" si="19"/>
        <v>0</v>
      </c>
      <c r="I116" s="42">
        <f t="shared" si="20"/>
        <v>0</v>
      </c>
      <c r="J116" s="41">
        <f t="shared" si="21"/>
        <v>0</v>
      </c>
      <c r="K116" s="42"/>
      <c r="L116" s="44">
        <f t="shared" si="23"/>
        <v>112</v>
      </c>
      <c r="M116" s="44">
        <f t="shared" si="22"/>
        <v>280</v>
      </c>
    </row>
    <row r="117" spans="1:13" ht="12.75" customHeight="1" x14ac:dyDescent="0.25">
      <c r="A117" s="46">
        <f t="shared" si="12"/>
        <v>315</v>
      </c>
      <c r="B117" s="41">
        <f t="shared" si="13"/>
        <v>2</v>
      </c>
      <c r="C117" s="42">
        <f t="shared" si="14"/>
        <v>0</v>
      </c>
      <c r="D117" s="41">
        <f t="shared" si="15"/>
        <v>0</v>
      </c>
      <c r="E117" s="42">
        <f t="shared" si="16"/>
        <v>2</v>
      </c>
      <c r="F117" s="41">
        <f t="shared" si="17"/>
        <v>0</v>
      </c>
      <c r="G117" s="42">
        <f t="shared" si="18"/>
        <v>0</v>
      </c>
      <c r="H117" s="41">
        <f t="shared" si="19"/>
        <v>0</v>
      </c>
      <c r="I117" s="42">
        <f t="shared" si="20"/>
        <v>0</v>
      </c>
      <c r="J117" s="41">
        <f t="shared" si="21"/>
        <v>1</v>
      </c>
      <c r="K117" s="42"/>
      <c r="L117" s="44">
        <f t="shared" si="23"/>
        <v>113</v>
      </c>
      <c r="M117" s="44">
        <f t="shared" si="22"/>
        <v>282.5</v>
      </c>
    </row>
    <row r="118" spans="1:13" ht="12.75" customHeight="1" x14ac:dyDescent="0.25">
      <c r="A118" s="46">
        <f t="shared" si="12"/>
        <v>317.5</v>
      </c>
      <c r="B118" s="41">
        <f t="shared" si="13"/>
        <v>2</v>
      </c>
      <c r="C118" s="42">
        <f t="shared" si="14"/>
        <v>0</v>
      </c>
      <c r="D118" s="41">
        <f t="shared" si="15"/>
        <v>0</v>
      </c>
      <c r="E118" s="42">
        <f t="shared" si="16"/>
        <v>2</v>
      </c>
      <c r="F118" s="41">
        <f t="shared" si="17"/>
        <v>0</v>
      </c>
      <c r="G118" s="42">
        <f t="shared" si="18"/>
        <v>0</v>
      </c>
      <c r="H118" s="41">
        <f t="shared" si="19"/>
        <v>0</v>
      </c>
      <c r="I118" s="42">
        <f t="shared" si="20"/>
        <v>1</v>
      </c>
      <c r="J118" s="41">
        <f t="shared" si="21"/>
        <v>0</v>
      </c>
      <c r="K118" s="42"/>
      <c r="L118" s="44">
        <f t="shared" si="23"/>
        <v>114</v>
      </c>
      <c r="M118" s="44">
        <f t="shared" si="22"/>
        <v>285</v>
      </c>
    </row>
    <row r="119" spans="1:13" ht="12.75" customHeight="1" x14ac:dyDescent="0.25">
      <c r="A119" s="46">
        <f t="shared" si="12"/>
        <v>320</v>
      </c>
      <c r="B119" s="41">
        <f t="shared" si="13"/>
        <v>2</v>
      </c>
      <c r="C119" s="42">
        <f t="shared" si="14"/>
        <v>0</v>
      </c>
      <c r="D119" s="41">
        <f t="shared" si="15"/>
        <v>0</v>
      </c>
      <c r="E119" s="42">
        <f t="shared" si="16"/>
        <v>2</v>
      </c>
      <c r="F119" s="41">
        <f t="shared" si="17"/>
        <v>0</v>
      </c>
      <c r="G119" s="42">
        <f t="shared" si="18"/>
        <v>0</v>
      </c>
      <c r="H119" s="41">
        <f t="shared" si="19"/>
        <v>0</v>
      </c>
      <c r="I119" s="42">
        <f t="shared" si="20"/>
        <v>1</v>
      </c>
      <c r="J119" s="41">
        <f t="shared" si="21"/>
        <v>1</v>
      </c>
      <c r="K119" s="42"/>
      <c r="L119" s="44">
        <f t="shared" si="23"/>
        <v>115</v>
      </c>
      <c r="M119" s="44">
        <f t="shared" si="22"/>
        <v>287.5</v>
      </c>
    </row>
    <row r="120" spans="1:13" ht="12.75" customHeight="1" x14ac:dyDescent="0.25">
      <c r="A120" s="46">
        <f t="shared" si="12"/>
        <v>322.5</v>
      </c>
      <c r="B120" s="41">
        <f t="shared" si="13"/>
        <v>2</v>
      </c>
      <c r="C120" s="42">
        <f t="shared" si="14"/>
        <v>0</v>
      </c>
      <c r="D120" s="41">
        <f t="shared" si="15"/>
        <v>0</v>
      </c>
      <c r="E120" s="42">
        <f t="shared" si="16"/>
        <v>2</v>
      </c>
      <c r="F120" s="41">
        <f t="shared" si="17"/>
        <v>0</v>
      </c>
      <c r="G120" s="42">
        <f t="shared" si="18"/>
        <v>0</v>
      </c>
      <c r="H120" s="41">
        <f t="shared" si="19"/>
        <v>1</v>
      </c>
      <c r="I120" s="42">
        <f t="shared" si="20"/>
        <v>0</v>
      </c>
      <c r="J120" s="41">
        <f t="shared" si="21"/>
        <v>0</v>
      </c>
      <c r="K120" s="42"/>
      <c r="L120" s="44">
        <f t="shared" si="23"/>
        <v>116</v>
      </c>
      <c r="M120" s="44">
        <f t="shared" si="22"/>
        <v>290</v>
      </c>
    </row>
    <row r="121" spans="1:13" ht="12.75" customHeight="1" x14ac:dyDescent="0.25">
      <c r="A121" s="46">
        <f t="shared" si="12"/>
        <v>325</v>
      </c>
      <c r="B121" s="41">
        <f t="shared" si="13"/>
        <v>2</v>
      </c>
      <c r="C121" s="42">
        <f t="shared" si="14"/>
        <v>0</v>
      </c>
      <c r="D121" s="41">
        <f t="shared" si="15"/>
        <v>0</v>
      </c>
      <c r="E121" s="42">
        <f t="shared" si="16"/>
        <v>2</v>
      </c>
      <c r="F121" s="41">
        <f t="shared" si="17"/>
        <v>0</v>
      </c>
      <c r="G121" s="42">
        <f t="shared" si="18"/>
        <v>0</v>
      </c>
      <c r="H121" s="41">
        <f t="shared" si="19"/>
        <v>1</v>
      </c>
      <c r="I121" s="42">
        <f t="shared" si="20"/>
        <v>0</v>
      </c>
      <c r="J121" s="41">
        <f t="shared" si="21"/>
        <v>1</v>
      </c>
      <c r="K121" s="42"/>
      <c r="L121" s="44">
        <f t="shared" si="23"/>
        <v>117</v>
      </c>
      <c r="M121" s="44">
        <f t="shared" si="22"/>
        <v>292.5</v>
      </c>
    </row>
    <row r="122" spans="1:13" ht="12.75" customHeight="1" x14ac:dyDescent="0.25">
      <c r="A122" s="46">
        <f t="shared" si="12"/>
        <v>327.5</v>
      </c>
      <c r="B122" s="41">
        <f t="shared" si="13"/>
        <v>2</v>
      </c>
      <c r="C122" s="42">
        <f t="shared" si="14"/>
        <v>0</v>
      </c>
      <c r="D122" s="41">
        <f t="shared" si="15"/>
        <v>0</v>
      </c>
      <c r="E122" s="42">
        <f t="shared" si="16"/>
        <v>2</v>
      </c>
      <c r="F122" s="41">
        <f t="shared" si="17"/>
        <v>0</v>
      </c>
      <c r="G122" s="42">
        <f t="shared" si="18"/>
        <v>0</v>
      </c>
      <c r="H122" s="41">
        <f t="shared" si="19"/>
        <v>1</v>
      </c>
      <c r="I122" s="42">
        <f t="shared" si="20"/>
        <v>1</v>
      </c>
      <c r="J122" s="41">
        <f t="shared" si="21"/>
        <v>0</v>
      </c>
      <c r="K122" s="42"/>
      <c r="L122" s="44">
        <f t="shared" si="23"/>
        <v>118</v>
      </c>
      <c r="M122" s="44">
        <f t="shared" si="22"/>
        <v>295</v>
      </c>
    </row>
    <row r="123" spans="1:13" ht="12.75" customHeight="1" x14ac:dyDescent="0.25">
      <c r="A123" s="46">
        <f t="shared" si="12"/>
        <v>330</v>
      </c>
      <c r="B123" s="41">
        <f t="shared" si="13"/>
        <v>2</v>
      </c>
      <c r="C123" s="42">
        <f t="shared" si="14"/>
        <v>0</v>
      </c>
      <c r="D123" s="41">
        <f t="shared" si="15"/>
        <v>0</v>
      </c>
      <c r="E123" s="42">
        <f t="shared" si="16"/>
        <v>2</v>
      </c>
      <c r="F123" s="41">
        <f t="shared" si="17"/>
        <v>0</v>
      </c>
      <c r="G123" s="42">
        <f t="shared" si="18"/>
        <v>0</v>
      </c>
      <c r="H123" s="41">
        <f t="shared" si="19"/>
        <v>1</v>
      </c>
      <c r="I123" s="42">
        <f t="shared" si="20"/>
        <v>1</v>
      </c>
      <c r="J123" s="41">
        <f t="shared" si="21"/>
        <v>1</v>
      </c>
      <c r="K123" s="42"/>
      <c r="L123" s="44">
        <f t="shared" si="23"/>
        <v>119</v>
      </c>
      <c r="M123" s="44">
        <f t="shared" si="22"/>
        <v>297.5</v>
      </c>
    </row>
    <row r="124" spans="1:13" ht="12.75" customHeight="1" x14ac:dyDescent="0.25">
      <c r="A124" s="46">
        <f t="shared" si="12"/>
        <v>332.5</v>
      </c>
      <c r="B124" s="41">
        <f t="shared" si="13"/>
        <v>2</v>
      </c>
      <c r="C124" s="42">
        <f t="shared" si="14"/>
        <v>0</v>
      </c>
      <c r="D124" s="41">
        <f t="shared" si="15"/>
        <v>0</v>
      </c>
      <c r="E124" s="42">
        <f t="shared" si="16"/>
        <v>2</v>
      </c>
      <c r="F124" s="41">
        <f t="shared" si="17"/>
        <v>0</v>
      </c>
      <c r="G124" s="42">
        <f t="shared" si="18"/>
        <v>1</v>
      </c>
      <c r="H124" s="41">
        <f t="shared" si="19"/>
        <v>0</v>
      </c>
      <c r="I124" s="42">
        <f t="shared" si="20"/>
        <v>0</v>
      </c>
      <c r="J124" s="41">
        <f t="shared" si="21"/>
        <v>0</v>
      </c>
      <c r="K124" s="42"/>
      <c r="L124" s="44">
        <f t="shared" si="23"/>
        <v>120</v>
      </c>
      <c r="M124" s="44">
        <f t="shared" si="22"/>
        <v>300</v>
      </c>
    </row>
    <row r="125" spans="1:13" ht="12.75" customHeight="1" x14ac:dyDescent="0.25">
      <c r="A125" s="46">
        <f t="shared" si="12"/>
        <v>335</v>
      </c>
      <c r="B125" s="41">
        <f t="shared" si="13"/>
        <v>2</v>
      </c>
      <c r="C125" s="42">
        <f t="shared" si="14"/>
        <v>0</v>
      </c>
      <c r="D125" s="41">
        <f t="shared" si="15"/>
        <v>0</v>
      </c>
      <c r="E125" s="42">
        <f t="shared" si="16"/>
        <v>2</v>
      </c>
      <c r="F125" s="41">
        <f t="shared" si="17"/>
        <v>0</v>
      </c>
      <c r="G125" s="42">
        <f t="shared" si="18"/>
        <v>1</v>
      </c>
      <c r="H125" s="41">
        <f t="shared" si="19"/>
        <v>0</v>
      </c>
      <c r="I125" s="42">
        <f t="shared" si="20"/>
        <v>0</v>
      </c>
      <c r="J125" s="41">
        <f t="shared" si="21"/>
        <v>1</v>
      </c>
      <c r="K125" s="42"/>
      <c r="L125" s="44">
        <f t="shared" si="23"/>
        <v>121</v>
      </c>
      <c r="M125" s="44">
        <f t="shared" si="22"/>
        <v>302.5</v>
      </c>
    </row>
    <row r="126" spans="1:13" ht="12.75" customHeight="1" x14ac:dyDescent="0.25">
      <c r="A126" s="46">
        <f t="shared" si="12"/>
        <v>337.5</v>
      </c>
      <c r="B126" s="41">
        <f t="shared" si="13"/>
        <v>2</v>
      </c>
      <c r="C126" s="42">
        <f t="shared" si="14"/>
        <v>0</v>
      </c>
      <c r="D126" s="41">
        <f t="shared" si="15"/>
        <v>0</v>
      </c>
      <c r="E126" s="42">
        <f t="shared" si="16"/>
        <v>2</v>
      </c>
      <c r="F126" s="41">
        <f t="shared" si="17"/>
        <v>0</v>
      </c>
      <c r="G126" s="42">
        <f t="shared" si="18"/>
        <v>1</v>
      </c>
      <c r="H126" s="41">
        <f t="shared" si="19"/>
        <v>0</v>
      </c>
      <c r="I126" s="42">
        <f t="shared" si="20"/>
        <v>1</v>
      </c>
      <c r="J126" s="41">
        <f t="shared" si="21"/>
        <v>0</v>
      </c>
      <c r="K126" s="42"/>
      <c r="L126" s="44">
        <f t="shared" si="23"/>
        <v>122</v>
      </c>
      <c r="M126" s="44">
        <f t="shared" si="22"/>
        <v>305</v>
      </c>
    </row>
    <row r="127" spans="1:13" ht="12.75" customHeight="1" x14ac:dyDescent="0.25">
      <c r="A127" s="46">
        <f t="shared" si="12"/>
        <v>340</v>
      </c>
      <c r="B127" s="41">
        <f t="shared" si="13"/>
        <v>2</v>
      </c>
      <c r="C127" s="42">
        <f t="shared" si="14"/>
        <v>0</v>
      </c>
      <c r="D127" s="41">
        <f t="shared" si="15"/>
        <v>0</v>
      </c>
      <c r="E127" s="42">
        <f t="shared" si="16"/>
        <v>2</v>
      </c>
      <c r="F127" s="41">
        <f t="shared" si="17"/>
        <v>0</v>
      </c>
      <c r="G127" s="42">
        <f t="shared" si="18"/>
        <v>1</v>
      </c>
      <c r="H127" s="41">
        <f t="shared" si="19"/>
        <v>0</v>
      </c>
      <c r="I127" s="42">
        <f t="shared" si="20"/>
        <v>1</v>
      </c>
      <c r="J127" s="41">
        <f t="shared" si="21"/>
        <v>1</v>
      </c>
      <c r="K127" s="42"/>
      <c r="L127" s="44">
        <f t="shared" si="23"/>
        <v>123</v>
      </c>
      <c r="M127" s="44">
        <f t="shared" si="22"/>
        <v>307.5</v>
      </c>
    </row>
    <row r="128" spans="1:13" ht="12.75" customHeight="1" x14ac:dyDescent="0.25">
      <c r="A128" s="46">
        <f t="shared" si="12"/>
        <v>342.5</v>
      </c>
      <c r="B128" s="41">
        <f t="shared" si="13"/>
        <v>2</v>
      </c>
      <c r="C128" s="42">
        <f t="shared" si="14"/>
        <v>0</v>
      </c>
      <c r="D128" s="41">
        <f t="shared" si="15"/>
        <v>0</v>
      </c>
      <c r="E128" s="42">
        <f t="shared" si="16"/>
        <v>2</v>
      </c>
      <c r="F128" s="41">
        <f t="shared" si="17"/>
        <v>1</v>
      </c>
      <c r="G128" s="42">
        <f t="shared" si="18"/>
        <v>0</v>
      </c>
      <c r="H128" s="41">
        <f t="shared" si="19"/>
        <v>0</v>
      </c>
      <c r="I128" s="42">
        <f t="shared" si="20"/>
        <v>0</v>
      </c>
      <c r="J128" s="41">
        <f t="shared" si="21"/>
        <v>0</v>
      </c>
      <c r="K128" s="42"/>
      <c r="L128" s="44">
        <f t="shared" si="23"/>
        <v>124</v>
      </c>
      <c r="M128" s="44">
        <f t="shared" si="22"/>
        <v>310</v>
      </c>
    </row>
    <row r="129" spans="1:13" ht="12.75" customHeight="1" x14ac:dyDescent="0.25">
      <c r="A129" s="46">
        <f t="shared" si="12"/>
        <v>345</v>
      </c>
      <c r="B129" s="41">
        <f t="shared" si="13"/>
        <v>2</v>
      </c>
      <c r="C129" s="42">
        <f t="shared" si="14"/>
        <v>0</v>
      </c>
      <c r="D129" s="41">
        <f t="shared" si="15"/>
        <v>0</v>
      </c>
      <c r="E129" s="42">
        <f t="shared" si="16"/>
        <v>2</v>
      </c>
      <c r="F129" s="41">
        <f t="shared" si="17"/>
        <v>1</v>
      </c>
      <c r="G129" s="42">
        <f t="shared" si="18"/>
        <v>0</v>
      </c>
      <c r="H129" s="41">
        <f t="shared" si="19"/>
        <v>0</v>
      </c>
      <c r="I129" s="42">
        <f t="shared" si="20"/>
        <v>0</v>
      </c>
      <c r="J129" s="41">
        <f t="shared" si="21"/>
        <v>1</v>
      </c>
      <c r="K129" s="42"/>
      <c r="L129" s="44">
        <f t="shared" si="23"/>
        <v>125</v>
      </c>
      <c r="M129" s="44">
        <f t="shared" si="22"/>
        <v>312.5</v>
      </c>
    </row>
    <row r="130" spans="1:13" ht="12.75" customHeight="1" x14ac:dyDescent="0.25">
      <c r="A130" s="46">
        <f t="shared" si="12"/>
        <v>347.5</v>
      </c>
      <c r="B130" s="41">
        <f t="shared" si="13"/>
        <v>2</v>
      </c>
      <c r="C130" s="42">
        <f t="shared" si="14"/>
        <v>0</v>
      </c>
      <c r="D130" s="41">
        <f t="shared" si="15"/>
        <v>0</v>
      </c>
      <c r="E130" s="42">
        <f t="shared" si="16"/>
        <v>2</v>
      </c>
      <c r="F130" s="41">
        <f t="shared" si="17"/>
        <v>1</v>
      </c>
      <c r="G130" s="42">
        <f t="shared" si="18"/>
        <v>0</v>
      </c>
      <c r="H130" s="41">
        <f t="shared" si="19"/>
        <v>0</v>
      </c>
      <c r="I130" s="42">
        <f t="shared" si="20"/>
        <v>1</v>
      </c>
      <c r="J130" s="41">
        <f t="shared" si="21"/>
        <v>0</v>
      </c>
      <c r="K130" s="42"/>
      <c r="L130" s="44">
        <f t="shared" si="23"/>
        <v>126</v>
      </c>
      <c r="M130" s="44">
        <f t="shared" si="22"/>
        <v>315</v>
      </c>
    </row>
    <row r="131" spans="1:13" ht="12.75" customHeight="1" x14ac:dyDescent="0.25">
      <c r="A131" s="46">
        <f t="shared" si="12"/>
        <v>350</v>
      </c>
      <c r="B131" s="41">
        <f t="shared" si="13"/>
        <v>2</v>
      </c>
      <c r="C131" s="42">
        <f t="shared" si="14"/>
        <v>0</v>
      </c>
      <c r="D131" s="41">
        <f t="shared" si="15"/>
        <v>0</v>
      </c>
      <c r="E131" s="42">
        <f t="shared" si="16"/>
        <v>2</v>
      </c>
      <c r="F131" s="41">
        <f t="shared" si="17"/>
        <v>1</v>
      </c>
      <c r="G131" s="42">
        <f t="shared" si="18"/>
        <v>0</v>
      </c>
      <c r="H131" s="41">
        <f t="shared" si="19"/>
        <v>0</v>
      </c>
      <c r="I131" s="42">
        <f t="shared" si="20"/>
        <v>1</v>
      </c>
      <c r="J131" s="41">
        <f t="shared" si="21"/>
        <v>1</v>
      </c>
      <c r="K131" s="42"/>
      <c r="L131" s="44">
        <f t="shared" si="23"/>
        <v>127</v>
      </c>
      <c r="M131" s="44">
        <f t="shared" si="22"/>
        <v>317.5</v>
      </c>
    </row>
    <row r="132" spans="1:13" ht="12.75" customHeight="1" x14ac:dyDescent="0.25">
      <c r="A132" s="46">
        <f t="shared" si="12"/>
        <v>352.5</v>
      </c>
      <c r="B132" s="41">
        <f t="shared" si="13"/>
        <v>2</v>
      </c>
      <c r="C132" s="42">
        <f t="shared" si="14"/>
        <v>0</v>
      </c>
      <c r="D132" s="41">
        <f t="shared" si="15"/>
        <v>0</v>
      </c>
      <c r="E132" s="42">
        <f t="shared" si="16"/>
        <v>3</v>
      </c>
      <c r="F132" s="41">
        <f t="shared" si="17"/>
        <v>0</v>
      </c>
      <c r="G132" s="42">
        <f t="shared" si="18"/>
        <v>0</v>
      </c>
      <c r="H132" s="41">
        <f t="shared" si="19"/>
        <v>0</v>
      </c>
      <c r="I132" s="42">
        <f t="shared" si="20"/>
        <v>0</v>
      </c>
      <c r="J132" s="41">
        <f t="shared" si="21"/>
        <v>0</v>
      </c>
      <c r="K132" s="42"/>
      <c r="L132" s="44">
        <f t="shared" si="23"/>
        <v>128</v>
      </c>
      <c r="M132" s="44">
        <f t="shared" si="22"/>
        <v>320</v>
      </c>
    </row>
    <row r="133" spans="1:13" ht="12.75" customHeight="1" x14ac:dyDescent="0.25">
      <c r="A133" s="46">
        <f t="shared" ref="A133:A196" si="24">IF(M133+$K$2&gt;$L$1,0,M133+$K$2)</f>
        <v>355</v>
      </c>
      <c r="B133" s="41">
        <f t="shared" ref="B133:B196" si="25">IF(A133=0,0,MIN($B$1/2,INT(M133/(2*$B$2))))</f>
        <v>2</v>
      </c>
      <c r="C133" s="42">
        <f t="shared" ref="C133:C196" si="26">IF(A133=0,0,MIN($C$1/2,INT(($M133-2*$B133*$B$2)/(2*$C$2))))</f>
        <v>0</v>
      </c>
      <c r="D133" s="41">
        <f t="shared" ref="D133:D196" si="27">IF(A133=0,0,MIN($D$1/2,INT(($M133-2*$B133*$B$2-2*$C133*$C$2)/(2*$D$2))))</f>
        <v>0</v>
      </c>
      <c r="E133" s="42">
        <f t="shared" ref="E133:E196" si="28">IF(A133=0,0,MIN($E$1/2,INT(($M133-2*$B133*$B$2-2*$C133*$C$2-2*$D133*$D$2)/(2*$E$2))))</f>
        <v>3</v>
      </c>
      <c r="F133" s="41">
        <f t="shared" ref="F133:F196" si="29">IF(A133=0,0,MIN($F$1/2,INT(($M133-2*$B133*$B$2-2*$C133*$C$2-2*$D133*$D$2-2*$E133*$E$2)/(2*$F$2))))</f>
        <v>0</v>
      </c>
      <c r="G133" s="42">
        <f t="shared" ref="G133:G196" si="30">IF(A133=0,0,MIN($G$1/2,INT(($M133-2*$B133*$B$2-2*$C133*$C$2-2*$D133*$D$2-2*$E133*$E$2-2*$F133*$F$2)/(2*$G$2))))</f>
        <v>0</v>
      </c>
      <c r="H133" s="41">
        <f t="shared" ref="H133:H196" si="31">IF(A133=0,0,MIN($H$1/2,INT(($M133-2*$B133*$B$2-2*$C133*$C$2-2*$D133*$D$2-2*$E133*$E$2-2*$F133*$F$2-2*$G133*$G$2)/(2*$H$2))))</f>
        <v>0</v>
      </c>
      <c r="I133" s="42">
        <f t="shared" ref="I133:I196" si="32">IF(A133=0,0,MIN($I$1/2,INT(($M133-2*$B133*$B$2-2*$C133*$C$2-2*$D133*$D$2-2*$E133*$E$2-2*$F133*$F$2-2*$G133*$G$2-2*$H133*$H$2)/(2*$I$2))))</f>
        <v>0</v>
      </c>
      <c r="J133" s="41">
        <f t="shared" ref="J133:J196" si="33">IF(A133=0,0,MIN($J$1/2,INT(($M133-2*$B133*$B$2-2*$C133*$C$2-2*$D133*$D$2-2*$E133*$E$2-2*$F133*$F$2-2*$G133*$G$2-2*$H133*$H$2-2*$I133*$I$2)/(2*$J$2))))</f>
        <v>1</v>
      </c>
      <c r="K133" s="42"/>
      <c r="L133" s="44">
        <f t="shared" si="23"/>
        <v>129</v>
      </c>
      <c r="M133" s="44">
        <f t="shared" ref="M133:M196" si="34">IF($A$2="Pounds",5*L133,2.5*L133)</f>
        <v>322.5</v>
      </c>
    </row>
    <row r="134" spans="1:13" ht="12.75" customHeight="1" x14ac:dyDescent="0.25">
      <c r="A134" s="46">
        <f t="shared" si="24"/>
        <v>357.5</v>
      </c>
      <c r="B134" s="41">
        <f t="shared" si="25"/>
        <v>2</v>
      </c>
      <c r="C134" s="42">
        <f t="shared" si="26"/>
        <v>0</v>
      </c>
      <c r="D134" s="41">
        <f t="shared" si="27"/>
        <v>0</v>
      </c>
      <c r="E134" s="42">
        <f t="shared" si="28"/>
        <v>3</v>
      </c>
      <c r="F134" s="41">
        <f t="shared" si="29"/>
        <v>0</v>
      </c>
      <c r="G134" s="42">
        <f t="shared" si="30"/>
        <v>0</v>
      </c>
      <c r="H134" s="41">
        <f t="shared" si="31"/>
        <v>0</v>
      </c>
      <c r="I134" s="42">
        <f t="shared" si="32"/>
        <v>1</v>
      </c>
      <c r="J134" s="41">
        <f t="shared" si="33"/>
        <v>0</v>
      </c>
      <c r="K134" s="42"/>
      <c r="L134" s="44">
        <f t="shared" si="23"/>
        <v>130</v>
      </c>
      <c r="M134" s="44">
        <f t="shared" si="34"/>
        <v>325</v>
      </c>
    </row>
    <row r="135" spans="1:13" ht="12.75" customHeight="1" x14ac:dyDescent="0.25">
      <c r="A135" s="46">
        <f t="shared" si="24"/>
        <v>360</v>
      </c>
      <c r="B135" s="41">
        <f t="shared" si="25"/>
        <v>2</v>
      </c>
      <c r="C135" s="42">
        <f t="shared" si="26"/>
        <v>0</v>
      </c>
      <c r="D135" s="41">
        <f t="shared" si="27"/>
        <v>0</v>
      </c>
      <c r="E135" s="42">
        <f t="shared" si="28"/>
        <v>3</v>
      </c>
      <c r="F135" s="41">
        <f t="shared" si="29"/>
        <v>0</v>
      </c>
      <c r="G135" s="42">
        <f t="shared" si="30"/>
        <v>0</v>
      </c>
      <c r="H135" s="41">
        <f t="shared" si="31"/>
        <v>0</v>
      </c>
      <c r="I135" s="42">
        <f t="shared" si="32"/>
        <v>1</v>
      </c>
      <c r="J135" s="41">
        <f t="shared" si="33"/>
        <v>1</v>
      </c>
      <c r="K135" s="42"/>
      <c r="L135" s="44">
        <f t="shared" si="23"/>
        <v>131</v>
      </c>
      <c r="M135" s="44">
        <f t="shared" si="34"/>
        <v>327.5</v>
      </c>
    </row>
    <row r="136" spans="1:13" ht="12.75" customHeight="1" x14ac:dyDescent="0.25">
      <c r="A136" s="46">
        <f t="shared" si="24"/>
        <v>362.5</v>
      </c>
      <c r="B136" s="41">
        <f t="shared" si="25"/>
        <v>2</v>
      </c>
      <c r="C136" s="42">
        <f t="shared" si="26"/>
        <v>0</v>
      </c>
      <c r="D136" s="41">
        <f t="shared" si="27"/>
        <v>0</v>
      </c>
      <c r="E136" s="42">
        <f t="shared" si="28"/>
        <v>3</v>
      </c>
      <c r="F136" s="41">
        <f t="shared" si="29"/>
        <v>0</v>
      </c>
      <c r="G136" s="42">
        <f t="shared" si="30"/>
        <v>0</v>
      </c>
      <c r="H136" s="41">
        <f t="shared" si="31"/>
        <v>1</v>
      </c>
      <c r="I136" s="42">
        <f t="shared" si="32"/>
        <v>0</v>
      </c>
      <c r="J136" s="41">
        <f t="shared" si="33"/>
        <v>0</v>
      </c>
      <c r="K136" s="42"/>
      <c r="L136" s="44">
        <f t="shared" si="23"/>
        <v>132</v>
      </c>
      <c r="M136" s="44">
        <f t="shared" si="34"/>
        <v>330</v>
      </c>
    </row>
    <row r="137" spans="1:13" ht="12.75" customHeight="1" x14ac:dyDescent="0.25">
      <c r="A137" s="46">
        <f t="shared" si="24"/>
        <v>365</v>
      </c>
      <c r="B137" s="41">
        <f t="shared" si="25"/>
        <v>2</v>
      </c>
      <c r="C137" s="42">
        <f t="shared" si="26"/>
        <v>0</v>
      </c>
      <c r="D137" s="41">
        <f t="shared" si="27"/>
        <v>0</v>
      </c>
      <c r="E137" s="42">
        <f t="shared" si="28"/>
        <v>3</v>
      </c>
      <c r="F137" s="41">
        <f t="shared" si="29"/>
        <v>0</v>
      </c>
      <c r="G137" s="42">
        <f t="shared" si="30"/>
        <v>0</v>
      </c>
      <c r="H137" s="41">
        <f t="shared" si="31"/>
        <v>1</v>
      </c>
      <c r="I137" s="42">
        <f t="shared" si="32"/>
        <v>0</v>
      </c>
      <c r="J137" s="41">
        <f t="shared" si="33"/>
        <v>1</v>
      </c>
      <c r="K137" s="42"/>
      <c r="L137" s="44">
        <f t="shared" si="23"/>
        <v>133</v>
      </c>
      <c r="M137" s="44">
        <f t="shared" si="34"/>
        <v>332.5</v>
      </c>
    </row>
    <row r="138" spans="1:13" ht="12.75" customHeight="1" x14ac:dyDescent="0.25">
      <c r="A138" s="46">
        <f t="shared" si="24"/>
        <v>367.5</v>
      </c>
      <c r="B138" s="41">
        <f t="shared" si="25"/>
        <v>2</v>
      </c>
      <c r="C138" s="42">
        <f t="shared" si="26"/>
        <v>0</v>
      </c>
      <c r="D138" s="41">
        <f t="shared" si="27"/>
        <v>0</v>
      </c>
      <c r="E138" s="42">
        <f t="shared" si="28"/>
        <v>3</v>
      </c>
      <c r="F138" s="41">
        <f t="shared" si="29"/>
        <v>0</v>
      </c>
      <c r="G138" s="42">
        <f t="shared" si="30"/>
        <v>0</v>
      </c>
      <c r="H138" s="41">
        <f t="shared" si="31"/>
        <v>1</v>
      </c>
      <c r="I138" s="42">
        <f t="shared" si="32"/>
        <v>1</v>
      </c>
      <c r="J138" s="41">
        <f t="shared" si="33"/>
        <v>0</v>
      </c>
      <c r="K138" s="42"/>
      <c r="L138" s="44">
        <f t="shared" si="23"/>
        <v>134</v>
      </c>
      <c r="M138" s="44">
        <f t="shared" si="34"/>
        <v>335</v>
      </c>
    </row>
    <row r="139" spans="1:13" ht="12.75" customHeight="1" x14ac:dyDescent="0.25">
      <c r="A139" s="46">
        <f t="shared" si="24"/>
        <v>370</v>
      </c>
      <c r="B139" s="41">
        <f t="shared" si="25"/>
        <v>2</v>
      </c>
      <c r="C139" s="42">
        <f t="shared" si="26"/>
        <v>0</v>
      </c>
      <c r="D139" s="41">
        <f t="shared" si="27"/>
        <v>0</v>
      </c>
      <c r="E139" s="42">
        <f t="shared" si="28"/>
        <v>3</v>
      </c>
      <c r="F139" s="41">
        <f t="shared" si="29"/>
        <v>0</v>
      </c>
      <c r="G139" s="42">
        <f t="shared" si="30"/>
        <v>0</v>
      </c>
      <c r="H139" s="41">
        <f t="shared" si="31"/>
        <v>1</v>
      </c>
      <c r="I139" s="42">
        <f t="shared" si="32"/>
        <v>1</v>
      </c>
      <c r="J139" s="41">
        <f t="shared" si="33"/>
        <v>1</v>
      </c>
      <c r="K139" s="42"/>
      <c r="L139" s="44">
        <f t="shared" si="23"/>
        <v>135</v>
      </c>
      <c r="M139" s="44">
        <f t="shared" si="34"/>
        <v>337.5</v>
      </c>
    </row>
    <row r="140" spans="1:13" ht="12.75" customHeight="1" x14ac:dyDescent="0.25">
      <c r="A140" s="46">
        <f t="shared" si="24"/>
        <v>372.5</v>
      </c>
      <c r="B140" s="41">
        <f t="shared" si="25"/>
        <v>2</v>
      </c>
      <c r="C140" s="42">
        <f t="shared" si="26"/>
        <v>0</v>
      </c>
      <c r="D140" s="41">
        <f t="shared" si="27"/>
        <v>0</v>
      </c>
      <c r="E140" s="42">
        <f t="shared" si="28"/>
        <v>3</v>
      </c>
      <c r="F140" s="41">
        <f t="shared" si="29"/>
        <v>0</v>
      </c>
      <c r="G140" s="42">
        <f t="shared" si="30"/>
        <v>1</v>
      </c>
      <c r="H140" s="41">
        <f t="shared" si="31"/>
        <v>0</v>
      </c>
      <c r="I140" s="42">
        <f t="shared" si="32"/>
        <v>0</v>
      </c>
      <c r="J140" s="41">
        <f t="shared" si="33"/>
        <v>0</v>
      </c>
      <c r="K140" s="42"/>
      <c r="L140" s="44">
        <f t="shared" si="23"/>
        <v>136</v>
      </c>
      <c r="M140" s="44">
        <f t="shared" si="34"/>
        <v>340</v>
      </c>
    </row>
    <row r="141" spans="1:13" ht="12.75" customHeight="1" x14ac:dyDescent="0.25">
      <c r="A141" s="46">
        <f t="shared" si="24"/>
        <v>375</v>
      </c>
      <c r="B141" s="41">
        <f t="shared" si="25"/>
        <v>2</v>
      </c>
      <c r="C141" s="42">
        <f t="shared" si="26"/>
        <v>0</v>
      </c>
      <c r="D141" s="41">
        <f t="shared" si="27"/>
        <v>0</v>
      </c>
      <c r="E141" s="42">
        <f t="shared" si="28"/>
        <v>3</v>
      </c>
      <c r="F141" s="41">
        <f t="shared" si="29"/>
        <v>0</v>
      </c>
      <c r="G141" s="42">
        <f t="shared" si="30"/>
        <v>1</v>
      </c>
      <c r="H141" s="41">
        <f t="shared" si="31"/>
        <v>0</v>
      </c>
      <c r="I141" s="42">
        <f t="shared" si="32"/>
        <v>0</v>
      </c>
      <c r="J141" s="41">
        <f t="shared" si="33"/>
        <v>1</v>
      </c>
      <c r="K141" s="42"/>
      <c r="L141" s="44">
        <f t="shared" ref="L141:L204" si="35">L140+1</f>
        <v>137</v>
      </c>
      <c r="M141" s="44">
        <f t="shared" si="34"/>
        <v>342.5</v>
      </c>
    </row>
    <row r="142" spans="1:13" ht="12.75" customHeight="1" x14ac:dyDescent="0.25">
      <c r="A142" s="46">
        <f t="shared" si="24"/>
        <v>377.5</v>
      </c>
      <c r="B142" s="41">
        <f t="shared" si="25"/>
        <v>2</v>
      </c>
      <c r="C142" s="42">
        <f t="shared" si="26"/>
        <v>0</v>
      </c>
      <c r="D142" s="41">
        <f t="shared" si="27"/>
        <v>0</v>
      </c>
      <c r="E142" s="42">
        <f t="shared" si="28"/>
        <v>3</v>
      </c>
      <c r="F142" s="41">
        <f t="shared" si="29"/>
        <v>0</v>
      </c>
      <c r="G142" s="42">
        <f t="shared" si="30"/>
        <v>1</v>
      </c>
      <c r="H142" s="41">
        <f t="shared" si="31"/>
        <v>0</v>
      </c>
      <c r="I142" s="42">
        <f t="shared" si="32"/>
        <v>1</v>
      </c>
      <c r="J142" s="41">
        <f t="shared" si="33"/>
        <v>0</v>
      </c>
      <c r="K142" s="42"/>
      <c r="L142" s="44">
        <f t="shared" si="35"/>
        <v>138</v>
      </c>
      <c r="M142" s="44">
        <f t="shared" si="34"/>
        <v>345</v>
      </c>
    </row>
    <row r="143" spans="1:13" ht="12.75" customHeight="1" x14ac:dyDescent="0.25">
      <c r="A143" s="46">
        <f t="shared" si="24"/>
        <v>380</v>
      </c>
      <c r="B143" s="41">
        <f t="shared" si="25"/>
        <v>2</v>
      </c>
      <c r="C143" s="42">
        <f t="shared" si="26"/>
        <v>0</v>
      </c>
      <c r="D143" s="41">
        <f t="shared" si="27"/>
        <v>0</v>
      </c>
      <c r="E143" s="42">
        <f t="shared" si="28"/>
        <v>3</v>
      </c>
      <c r="F143" s="41">
        <f t="shared" si="29"/>
        <v>0</v>
      </c>
      <c r="G143" s="42">
        <f t="shared" si="30"/>
        <v>1</v>
      </c>
      <c r="H143" s="41">
        <f t="shared" si="31"/>
        <v>0</v>
      </c>
      <c r="I143" s="42">
        <f t="shared" si="32"/>
        <v>1</v>
      </c>
      <c r="J143" s="41">
        <f t="shared" si="33"/>
        <v>1</v>
      </c>
      <c r="K143" s="42"/>
      <c r="L143" s="44">
        <f t="shared" si="35"/>
        <v>139</v>
      </c>
      <c r="M143" s="44">
        <f t="shared" si="34"/>
        <v>347.5</v>
      </c>
    </row>
    <row r="144" spans="1:13" ht="12.75" customHeight="1" x14ac:dyDescent="0.25">
      <c r="A144" s="46">
        <f t="shared" si="24"/>
        <v>382.5</v>
      </c>
      <c r="B144" s="41">
        <f t="shared" si="25"/>
        <v>2</v>
      </c>
      <c r="C144" s="42">
        <f t="shared" si="26"/>
        <v>0</v>
      </c>
      <c r="D144" s="41">
        <f t="shared" si="27"/>
        <v>0</v>
      </c>
      <c r="E144" s="42">
        <f t="shared" si="28"/>
        <v>3</v>
      </c>
      <c r="F144" s="41">
        <f t="shared" si="29"/>
        <v>1</v>
      </c>
      <c r="G144" s="42">
        <f t="shared" si="30"/>
        <v>0</v>
      </c>
      <c r="H144" s="41">
        <f t="shared" si="31"/>
        <v>0</v>
      </c>
      <c r="I144" s="42">
        <f t="shared" si="32"/>
        <v>0</v>
      </c>
      <c r="J144" s="41">
        <f t="shared" si="33"/>
        <v>0</v>
      </c>
      <c r="K144" s="42"/>
      <c r="L144" s="44">
        <f t="shared" si="35"/>
        <v>140</v>
      </c>
      <c r="M144" s="44">
        <f t="shared" si="34"/>
        <v>350</v>
      </c>
    </row>
    <row r="145" spans="1:13" ht="12.75" customHeight="1" x14ac:dyDescent="0.25">
      <c r="A145" s="46">
        <f t="shared" si="24"/>
        <v>385</v>
      </c>
      <c r="B145" s="41">
        <f t="shared" si="25"/>
        <v>2</v>
      </c>
      <c r="C145" s="42">
        <f t="shared" si="26"/>
        <v>0</v>
      </c>
      <c r="D145" s="41">
        <f t="shared" si="27"/>
        <v>0</v>
      </c>
      <c r="E145" s="42">
        <f t="shared" si="28"/>
        <v>3</v>
      </c>
      <c r="F145" s="41">
        <f t="shared" si="29"/>
        <v>1</v>
      </c>
      <c r="G145" s="42">
        <f t="shared" si="30"/>
        <v>0</v>
      </c>
      <c r="H145" s="41">
        <f t="shared" si="31"/>
        <v>0</v>
      </c>
      <c r="I145" s="42">
        <f t="shared" si="32"/>
        <v>0</v>
      </c>
      <c r="J145" s="41">
        <f t="shared" si="33"/>
        <v>1</v>
      </c>
      <c r="K145" s="42"/>
      <c r="L145" s="44">
        <f t="shared" si="35"/>
        <v>141</v>
      </c>
      <c r="M145" s="44">
        <f t="shared" si="34"/>
        <v>352.5</v>
      </c>
    </row>
    <row r="146" spans="1:13" ht="12.75" customHeight="1" x14ac:dyDescent="0.25">
      <c r="A146" s="46">
        <f t="shared" si="24"/>
        <v>387.5</v>
      </c>
      <c r="B146" s="41">
        <f t="shared" si="25"/>
        <v>2</v>
      </c>
      <c r="C146" s="42">
        <f t="shared" si="26"/>
        <v>0</v>
      </c>
      <c r="D146" s="41">
        <f t="shared" si="27"/>
        <v>0</v>
      </c>
      <c r="E146" s="42">
        <f t="shared" si="28"/>
        <v>3</v>
      </c>
      <c r="F146" s="41">
        <f t="shared" si="29"/>
        <v>1</v>
      </c>
      <c r="G146" s="42">
        <f t="shared" si="30"/>
        <v>0</v>
      </c>
      <c r="H146" s="41">
        <f t="shared" si="31"/>
        <v>0</v>
      </c>
      <c r="I146" s="42">
        <f t="shared" si="32"/>
        <v>1</v>
      </c>
      <c r="J146" s="41">
        <f t="shared" si="33"/>
        <v>0</v>
      </c>
      <c r="K146" s="42"/>
      <c r="L146" s="44">
        <f t="shared" si="35"/>
        <v>142</v>
      </c>
      <c r="M146" s="44">
        <f t="shared" si="34"/>
        <v>355</v>
      </c>
    </row>
    <row r="147" spans="1:13" ht="12.75" customHeight="1" x14ac:dyDescent="0.25">
      <c r="A147" s="46">
        <f t="shared" si="24"/>
        <v>390</v>
      </c>
      <c r="B147" s="41">
        <f t="shared" si="25"/>
        <v>2</v>
      </c>
      <c r="C147" s="42">
        <f t="shared" si="26"/>
        <v>0</v>
      </c>
      <c r="D147" s="41">
        <f t="shared" si="27"/>
        <v>0</v>
      </c>
      <c r="E147" s="42">
        <f t="shared" si="28"/>
        <v>3</v>
      </c>
      <c r="F147" s="41">
        <f t="shared" si="29"/>
        <v>1</v>
      </c>
      <c r="G147" s="42">
        <f t="shared" si="30"/>
        <v>0</v>
      </c>
      <c r="H147" s="41">
        <f t="shared" si="31"/>
        <v>0</v>
      </c>
      <c r="I147" s="42">
        <f t="shared" si="32"/>
        <v>1</v>
      </c>
      <c r="J147" s="41">
        <f t="shared" si="33"/>
        <v>1</v>
      </c>
      <c r="K147" s="42"/>
      <c r="L147" s="44">
        <f t="shared" si="35"/>
        <v>143</v>
      </c>
      <c r="M147" s="44">
        <f t="shared" si="34"/>
        <v>357.5</v>
      </c>
    </row>
    <row r="148" spans="1:13" ht="12.75" customHeight="1" x14ac:dyDescent="0.25">
      <c r="A148" s="46">
        <f t="shared" si="24"/>
        <v>392.5</v>
      </c>
      <c r="B148" s="41">
        <f t="shared" si="25"/>
        <v>2</v>
      </c>
      <c r="C148" s="42">
        <f t="shared" si="26"/>
        <v>0</v>
      </c>
      <c r="D148" s="41">
        <f t="shared" si="27"/>
        <v>0</v>
      </c>
      <c r="E148" s="42">
        <f t="shared" si="28"/>
        <v>4</v>
      </c>
      <c r="F148" s="41">
        <f t="shared" si="29"/>
        <v>0</v>
      </c>
      <c r="G148" s="42">
        <f t="shared" si="30"/>
        <v>0</v>
      </c>
      <c r="H148" s="41">
        <f t="shared" si="31"/>
        <v>0</v>
      </c>
      <c r="I148" s="42">
        <f t="shared" si="32"/>
        <v>0</v>
      </c>
      <c r="J148" s="41">
        <f t="shared" si="33"/>
        <v>0</v>
      </c>
      <c r="K148" s="42"/>
      <c r="L148" s="44">
        <f t="shared" si="35"/>
        <v>144</v>
      </c>
      <c r="M148" s="44">
        <f t="shared" si="34"/>
        <v>360</v>
      </c>
    </row>
    <row r="149" spans="1:13" ht="12.75" customHeight="1" x14ac:dyDescent="0.25">
      <c r="A149" s="46">
        <f t="shared" si="24"/>
        <v>395</v>
      </c>
      <c r="B149" s="41">
        <f t="shared" si="25"/>
        <v>2</v>
      </c>
      <c r="C149" s="42">
        <f t="shared" si="26"/>
        <v>0</v>
      </c>
      <c r="D149" s="41">
        <f t="shared" si="27"/>
        <v>0</v>
      </c>
      <c r="E149" s="42">
        <f t="shared" si="28"/>
        <v>4</v>
      </c>
      <c r="F149" s="41">
        <f t="shared" si="29"/>
        <v>0</v>
      </c>
      <c r="G149" s="42">
        <f t="shared" si="30"/>
        <v>0</v>
      </c>
      <c r="H149" s="41">
        <f t="shared" si="31"/>
        <v>0</v>
      </c>
      <c r="I149" s="42">
        <f t="shared" si="32"/>
        <v>0</v>
      </c>
      <c r="J149" s="41">
        <f t="shared" si="33"/>
        <v>1</v>
      </c>
      <c r="K149" s="42"/>
      <c r="L149" s="44">
        <f t="shared" si="35"/>
        <v>145</v>
      </c>
      <c r="M149" s="44">
        <f t="shared" si="34"/>
        <v>362.5</v>
      </c>
    </row>
    <row r="150" spans="1:13" ht="12.75" customHeight="1" x14ac:dyDescent="0.25">
      <c r="A150" s="46">
        <f t="shared" si="24"/>
        <v>397.5</v>
      </c>
      <c r="B150" s="41">
        <f t="shared" si="25"/>
        <v>2</v>
      </c>
      <c r="C150" s="42">
        <f t="shared" si="26"/>
        <v>0</v>
      </c>
      <c r="D150" s="41">
        <f t="shared" si="27"/>
        <v>0</v>
      </c>
      <c r="E150" s="42">
        <f t="shared" si="28"/>
        <v>4</v>
      </c>
      <c r="F150" s="41">
        <f t="shared" si="29"/>
        <v>0</v>
      </c>
      <c r="G150" s="42">
        <f t="shared" si="30"/>
        <v>0</v>
      </c>
      <c r="H150" s="41">
        <f t="shared" si="31"/>
        <v>0</v>
      </c>
      <c r="I150" s="42">
        <f t="shared" si="32"/>
        <v>1</v>
      </c>
      <c r="J150" s="41">
        <f t="shared" si="33"/>
        <v>0</v>
      </c>
      <c r="K150" s="42"/>
      <c r="L150" s="44">
        <f t="shared" si="35"/>
        <v>146</v>
      </c>
      <c r="M150" s="44">
        <f t="shared" si="34"/>
        <v>365</v>
      </c>
    </row>
    <row r="151" spans="1:13" ht="12.75" customHeight="1" x14ac:dyDescent="0.25">
      <c r="A151" s="46">
        <f t="shared" si="24"/>
        <v>400</v>
      </c>
      <c r="B151" s="41">
        <f t="shared" si="25"/>
        <v>2</v>
      </c>
      <c r="C151" s="42">
        <f t="shared" si="26"/>
        <v>0</v>
      </c>
      <c r="D151" s="41">
        <f t="shared" si="27"/>
        <v>0</v>
      </c>
      <c r="E151" s="42">
        <f t="shared" si="28"/>
        <v>4</v>
      </c>
      <c r="F151" s="41">
        <f t="shared" si="29"/>
        <v>0</v>
      </c>
      <c r="G151" s="42">
        <f t="shared" si="30"/>
        <v>0</v>
      </c>
      <c r="H151" s="41">
        <f t="shared" si="31"/>
        <v>0</v>
      </c>
      <c r="I151" s="42">
        <f t="shared" si="32"/>
        <v>1</v>
      </c>
      <c r="J151" s="41">
        <f t="shared" si="33"/>
        <v>1</v>
      </c>
      <c r="K151" s="42"/>
      <c r="L151" s="44">
        <f t="shared" si="35"/>
        <v>147</v>
      </c>
      <c r="M151" s="44">
        <f t="shared" si="34"/>
        <v>367.5</v>
      </c>
    </row>
    <row r="152" spans="1:13" ht="12.75" customHeight="1" x14ac:dyDescent="0.25">
      <c r="A152" s="46">
        <f t="shared" si="24"/>
        <v>402.5</v>
      </c>
      <c r="B152" s="41">
        <f t="shared" si="25"/>
        <v>2</v>
      </c>
      <c r="C152" s="42">
        <f t="shared" si="26"/>
        <v>0</v>
      </c>
      <c r="D152" s="41">
        <f t="shared" si="27"/>
        <v>0</v>
      </c>
      <c r="E152" s="42">
        <f t="shared" si="28"/>
        <v>4</v>
      </c>
      <c r="F152" s="41">
        <f t="shared" si="29"/>
        <v>0</v>
      </c>
      <c r="G152" s="42">
        <f t="shared" si="30"/>
        <v>0</v>
      </c>
      <c r="H152" s="41">
        <f t="shared" si="31"/>
        <v>1</v>
      </c>
      <c r="I152" s="42">
        <f t="shared" si="32"/>
        <v>0</v>
      </c>
      <c r="J152" s="41">
        <f t="shared" si="33"/>
        <v>0</v>
      </c>
      <c r="K152" s="42"/>
      <c r="L152" s="44">
        <f t="shared" si="35"/>
        <v>148</v>
      </c>
      <c r="M152" s="44">
        <f t="shared" si="34"/>
        <v>370</v>
      </c>
    </row>
    <row r="153" spans="1:13" ht="12.75" customHeight="1" x14ac:dyDescent="0.25">
      <c r="A153" s="46">
        <f t="shared" si="24"/>
        <v>405</v>
      </c>
      <c r="B153" s="41">
        <f t="shared" si="25"/>
        <v>2</v>
      </c>
      <c r="C153" s="42">
        <f t="shared" si="26"/>
        <v>0</v>
      </c>
      <c r="D153" s="41">
        <f t="shared" si="27"/>
        <v>0</v>
      </c>
      <c r="E153" s="42">
        <f t="shared" si="28"/>
        <v>4</v>
      </c>
      <c r="F153" s="41">
        <f t="shared" si="29"/>
        <v>0</v>
      </c>
      <c r="G153" s="42">
        <f t="shared" si="30"/>
        <v>0</v>
      </c>
      <c r="H153" s="41">
        <f t="shared" si="31"/>
        <v>1</v>
      </c>
      <c r="I153" s="42">
        <f t="shared" si="32"/>
        <v>0</v>
      </c>
      <c r="J153" s="41">
        <f t="shared" si="33"/>
        <v>1</v>
      </c>
      <c r="K153" s="42"/>
      <c r="L153" s="44">
        <f t="shared" si="35"/>
        <v>149</v>
      </c>
      <c r="M153" s="44">
        <f t="shared" si="34"/>
        <v>372.5</v>
      </c>
    </row>
    <row r="154" spans="1:13" ht="12.75" customHeight="1" x14ac:dyDescent="0.25">
      <c r="A154" s="46">
        <f t="shared" si="24"/>
        <v>407.5</v>
      </c>
      <c r="B154" s="41">
        <f t="shared" si="25"/>
        <v>2</v>
      </c>
      <c r="C154" s="42">
        <f t="shared" si="26"/>
        <v>0</v>
      </c>
      <c r="D154" s="41">
        <f t="shared" si="27"/>
        <v>0</v>
      </c>
      <c r="E154" s="42">
        <f t="shared" si="28"/>
        <v>4</v>
      </c>
      <c r="F154" s="41">
        <f t="shared" si="29"/>
        <v>0</v>
      </c>
      <c r="G154" s="42">
        <f t="shared" si="30"/>
        <v>0</v>
      </c>
      <c r="H154" s="41">
        <f t="shared" si="31"/>
        <v>1</v>
      </c>
      <c r="I154" s="42">
        <f t="shared" si="32"/>
        <v>1</v>
      </c>
      <c r="J154" s="41">
        <f t="shared" si="33"/>
        <v>0</v>
      </c>
      <c r="K154" s="42"/>
      <c r="L154" s="44">
        <f t="shared" si="35"/>
        <v>150</v>
      </c>
      <c r="M154" s="44">
        <f t="shared" si="34"/>
        <v>375</v>
      </c>
    </row>
    <row r="155" spans="1:13" ht="12.75" customHeight="1" x14ac:dyDescent="0.25">
      <c r="A155" s="46">
        <f t="shared" si="24"/>
        <v>410</v>
      </c>
      <c r="B155" s="41">
        <f t="shared" si="25"/>
        <v>2</v>
      </c>
      <c r="C155" s="42">
        <f t="shared" si="26"/>
        <v>0</v>
      </c>
      <c r="D155" s="41">
        <f t="shared" si="27"/>
        <v>0</v>
      </c>
      <c r="E155" s="42">
        <f t="shared" si="28"/>
        <v>4</v>
      </c>
      <c r="F155" s="41">
        <f t="shared" si="29"/>
        <v>0</v>
      </c>
      <c r="G155" s="42">
        <f t="shared" si="30"/>
        <v>0</v>
      </c>
      <c r="H155" s="41">
        <f t="shared" si="31"/>
        <v>1</v>
      </c>
      <c r="I155" s="42">
        <f t="shared" si="32"/>
        <v>1</v>
      </c>
      <c r="J155" s="41">
        <f t="shared" si="33"/>
        <v>1</v>
      </c>
      <c r="K155" s="42"/>
      <c r="L155" s="44">
        <f t="shared" si="35"/>
        <v>151</v>
      </c>
      <c r="M155" s="44">
        <f t="shared" si="34"/>
        <v>377.5</v>
      </c>
    </row>
    <row r="156" spans="1:13" ht="12.75" customHeight="1" x14ac:dyDescent="0.25">
      <c r="A156" s="46">
        <f t="shared" si="24"/>
        <v>412.5</v>
      </c>
      <c r="B156" s="41">
        <f t="shared" si="25"/>
        <v>2</v>
      </c>
      <c r="C156" s="42">
        <f t="shared" si="26"/>
        <v>0</v>
      </c>
      <c r="D156" s="41">
        <f t="shared" si="27"/>
        <v>0</v>
      </c>
      <c r="E156" s="42">
        <f t="shared" si="28"/>
        <v>4</v>
      </c>
      <c r="F156" s="41">
        <f t="shared" si="29"/>
        <v>0</v>
      </c>
      <c r="G156" s="42">
        <f t="shared" si="30"/>
        <v>1</v>
      </c>
      <c r="H156" s="41">
        <f t="shared" si="31"/>
        <v>0</v>
      </c>
      <c r="I156" s="42">
        <f t="shared" si="32"/>
        <v>0</v>
      </c>
      <c r="J156" s="41">
        <f t="shared" si="33"/>
        <v>0</v>
      </c>
      <c r="K156" s="42"/>
      <c r="L156" s="44">
        <f t="shared" si="35"/>
        <v>152</v>
      </c>
      <c r="M156" s="44">
        <f t="shared" si="34"/>
        <v>380</v>
      </c>
    </row>
    <row r="157" spans="1:13" ht="12.75" customHeight="1" x14ac:dyDescent="0.25">
      <c r="A157" s="46">
        <f t="shared" si="24"/>
        <v>415</v>
      </c>
      <c r="B157" s="41">
        <f t="shared" si="25"/>
        <v>2</v>
      </c>
      <c r="C157" s="42">
        <f t="shared" si="26"/>
        <v>0</v>
      </c>
      <c r="D157" s="41">
        <f t="shared" si="27"/>
        <v>0</v>
      </c>
      <c r="E157" s="42">
        <f t="shared" si="28"/>
        <v>4</v>
      </c>
      <c r="F157" s="41">
        <f t="shared" si="29"/>
        <v>0</v>
      </c>
      <c r="G157" s="42">
        <f t="shared" si="30"/>
        <v>1</v>
      </c>
      <c r="H157" s="41">
        <f t="shared" si="31"/>
        <v>0</v>
      </c>
      <c r="I157" s="42">
        <f t="shared" si="32"/>
        <v>0</v>
      </c>
      <c r="J157" s="41">
        <f t="shared" si="33"/>
        <v>1</v>
      </c>
      <c r="K157" s="42"/>
      <c r="L157" s="44">
        <f t="shared" si="35"/>
        <v>153</v>
      </c>
      <c r="M157" s="44">
        <f t="shared" si="34"/>
        <v>382.5</v>
      </c>
    </row>
    <row r="158" spans="1:13" ht="12.75" customHeight="1" x14ac:dyDescent="0.25">
      <c r="A158" s="46">
        <f t="shared" si="24"/>
        <v>417.5</v>
      </c>
      <c r="B158" s="41">
        <f t="shared" si="25"/>
        <v>2</v>
      </c>
      <c r="C158" s="42">
        <f t="shared" si="26"/>
        <v>0</v>
      </c>
      <c r="D158" s="41">
        <f t="shared" si="27"/>
        <v>0</v>
      </c>
      <c r="E158" s="42">
        <f t="shared" si="28"/>
        <v>4</v>
      </c>
      <c r="F158" s="41">
        <f t="shared" si="29"/>
        <v>0</v>
      </c>
      <c r="G158" s="42">
        <f t="shared" si="30"/>
        <v>1</v>
      </c>
      <c r="H158" s="41">
        <f t="shared" si="31"/>
        <v>0</v>
      </c>
      <c r="I158" s="42">
        <f t="shared" si="32"/>
        <v>1</v>
      </c>
      <c r="J158" s="41">
        <f t="shared" si="33"/>
        <v>0</v>
      </c>
      <c r="K158" s="42"/>
      <c r="L158" s="44">
        <f t="shared" si="35"/>
        <v>154</v>
      </c>
      <c r="M158" s="44">
        <f t="shared" si="34"/>
        <v>385</v>
      </c>
    </row>
    <row r="159" spans="1:13" ht="12.75" customHeight="1" x14ac:dyDescent="0.25">
      <c r="A159" s="46">
        <f t="shared" si="24"/>
        <v>420</v>
      </c>
      <c r="B159" s="41">
        <f t="shared" si="25"/>
        <v>2</v>
      </c>
      <c r="C159" s="42">
        <f t="shared" si="26"/>
        <v>0</v>
      </c>
      <c r="D159" s="41">
        <f t="shared" si="27"/>
        <v>0</v>
      </c>
      <c r="E159" s="42">
        <f t="shared" si="28"/>
        <v>4</v>
      </c>
      <c r="F159" s="41">
        <f t="shared" si="29"/>
        <v>0</v>
      </c>
      <c r="G159" s="42">
        <f t="shared" si="30"/>
        <v>1</v>
      </c>
      <c r="H159" s="41">
        <f t="shared" si="31"/>
        <v>0</v>
      </c>
      <c r="I159" s="42">
        <f t="shared" si="32"/>
        <v>1</v>
      </c>
      <c r="J159" s="41">
        <f t="shared" si="33"/>
        <v>1</v>
      </c>
      <c r="K159" s="42"/>
      <c r="L159" s="44">
        <f t="shared" si="35"/>
        <v>155</v>
      </c>
      <c r="M159" s="44">
        <f t="shared" si="34"/>
        <v>387.5</v>
      </c>
    </row>
    <row r="160" spans="1:13" ht="12.75" customHeight="1" x14ac:dyDescent="0.25">
      <c r="A160" s="46">
        <f t="shared" si="24"/>
        <v>422.5</v>
      </c>
      <c r="B160" s="41">
        <f t="shared" si="25"/>
        <v>2</v>
      </c>
      <c r="C160" s="42">
        <f t="shared" si="26"/>
        <v>0</v>
      </c>
      <c r="D160" s="41">
        <f t="shared" si="27"/>
        <v>0</v>
      </c>
      <c r="E160" s="42">
        <f t="shared" si="28"/>
        <v>4</v>
      </c>
      <c r="F160" s="41">
        <f t="shared" si="29"/>
        <v>1</v>
      </c>
      <c r="G160" s="42">
        <f t="shared" si="30"/>
        <v>0</v>
      </c>
      <c r="H160" s="41">
        <f t="shared" si="31"/>
        <v>0</v>
      </c>
      <c r="I160" s="42">
        <f t="shared" si="32"/>
        <v>0</v>
      </c>
      <c r="J160" s="41">
        <f t="shared" si="33"/>
        <v>0</v>
      </c>
      <c r="K160" s="42"/>
      <c r="L160" s="44">
        <f t="shared" si="35"/>
        <v>156</v>
      </c>
      <c r="M160" s="44">
        <f t="shared" si="34"/>
        <v>390</v>
      </c>
    </row>
    <row r="161" spans="1:13" ht="12.75" customHeight="1" x14ac:dyDescent="0.25">
      <c r="A161" s="46">
        <f t="shared" si="24"/>
        <v>425</v>
      </c>
      <c r="B161" s="41">
        <f t="shared" si="25"/>
        <v>2</v>
      </c>
      <c r="C161" s="42">
        <f t="shared" si="26"/>
        <v>0</v>
      </c>
      <c r="D161" s="41">
        <f t="shared" si="27"/>
        <v>0</v>
      </c>
      <c r="E161" s="42">
        <f t="shared" si="28"/>
        <v>4</v>
      </c>
      <c r="F161" s="41">
        <f t="shared" si="29"/>
        <v>1</v>
      </c>
      <c r="G161" s="42">
        <f t="shared" si="30"/>
        <v>0</v>
      </c>
      <c r="H161" s="41">
        <f t="shared" si="31"/>
        <v>0</v>
      </c>
      <c r="I161" s="42">
        <f t="shared" si="32"/>
        <v>0</v>
      </c>
      <c r="J161" s="41">
        <f t="shared" si="33"/>
        <v>1</v>
      </c>
      <c r="K161" s="42"/>
      <c r="L161" s="44">
        <f t="shared" si="35"/>
        <v>157</v>
      </c>
      <c r="M161" s="44">
        <f t="shared" si="34"/>
        <v>392.5</v>
      </c>
    </row>
    <row r="162" spans="1:13" ht="12.75" customHeight="1" x14ac:dyDescent="0.25">
      <c r="A162" s="46">
        <f t="shared" si="24"/>
        <v>427.5</v>
      </c>
      <c r="B162" s="41">
        <f t="shared" si="25"/>
        <v>2</v>
      </c>
      <c r="C162" s="42">
        <f t="shared" si="26"/>
        <v>0</v>
      </c>
      <c r="D162" s="41">
        <f t="shared" si="27"/>
        <v>0</v>
      </c>
      <c r="E162" s="42">
        <f t="shared" si="28"/>
        <v>4</v>
      </c>
      <c r="F162" s="41">
        <f t="shared" si="29"/>
        <v>1</v>
      </c>
      <c r="G162" s="42">
        <f t="shared" si="30"/>
        <v>0</v>
      </c>
      <c r="H162" s="41">
        <f t="shared" si="31"/>
        <v>0</v>
      </c>
      <c r="I162" s="42">
        <f t="shared" si="32"/>
        <v>1</v>
      </c>
      <c r="J162" s="41">
        <f t="shared" si="33"/>
        <v>0</v>
      </c>
      <c r="K162" s="42"/>
      <c r="L162" s="44">
        <f t="shared" si="35"/>
        <v>158</v>
      </c>
      <c r="M162" s="44">
        <f t="shared" si="34"/>
        <v>395</v>
      </c>
    </row>
    <row r="163" spans="1:13" ht="12.75" customHeight="1" x14ac:dyDescent="0.25">
      <c r="A163" s="46">
        <f t="shared" si="24"/>
        <v>430</v>
      </c>
      <c r="B163" s="41">
        <f t="shared" si="25"/>
        <v>2</v>
      </c>
      <c r="C163" s="42">
        <f t="shared" si="26"/>
        <v>0</v>
      </c>
      <c r="D163" s="41">
        <f t="shared" si="27"/>
        <v>0</v>
      </c>
      <c r="E163" s="42">
        <f t="shared" si="28"/>
        <v>4</v>
      </c>
      <c r="F163" s="41">
        <f t="shared" si="29"/>
        <v>1</v>
      </c>
      <c r="G163" s="42">
        <f t="shared" si="30"/>
        <v>0</v>
      </c>
      <c r="H163" s="41">
        <f t="shared" si="31"/>
        <v>0</v>
      </c>
      <c r="I163" s="42">
        <f t="shared" si="32"/>
        <v>1</v>
      </c>
      <c r="J163" s="41">
        <f t="shared" si="33"/>
        <v>1</v>
      </c>
      <c r="K163" s="42"/>
      <c r="L163" s="44">
        <f t="shared" si="35"/>
        <v>159</v>
      </c>
      <c r="M163" s="44">
        <f t="shared" si="34"/>
        <v>397.5</v>
      </c>
    </row>
    <row r="164" spans="1:13" ht="12.75" customHeight="1" x14ac:dyDescent="0.25">
      <c r="A164" s="46">
        <f t="shared" si="24"/>
        <v>432.5</v>
      </c>
      <c r="B164" s="41">
        <f t="shared" si="25"/>
        <v>2</v>
      </c>
      <c r="C164" s="42">
        <f t="shared" si="26"/>
        <v>0</v>
      </c>
      <c r="D164" s="41">
        <f t="shared" si="27"/>
        <v>0</v>
      </c>
      <c r="E164" s="42">
        <f t="shared" si="28"/>
        <v>5</v>
      </c>
      <c r="F164" s="41">
        <f t="shared" si="29"/>
        <v>0</v>
      </c>
      <c r="G164" s="42">
        <f t="shared" si="30"/>
        <v>0</v>
      </c>
      <c r="H164" s="41">
        <f t="shared" si="31"/>
        <v>0</v>
      </c>
      <c r="I164" s="42">
        <f t="shared" si="32"/>
        <v>0</v>
      </c>
      <c r="J164" s="41">
        <f t="shared" si="33"/>
        <v>0</v>
      </c>
      <c r="K164" s="42"/>
      <c r="L164" s="44">
        <f t="shared" si="35"/>
        <v>160</v>
      </c>
      <c r="M164" s="44">
        <f t="shared" si="34"/>
        <v>400</v>
      </c>
    </row>
    <row r="165" spans="1:13" ht="12.75" customHeight="1" x14ac:dyDescent="0.25">
      <c r="A165" s="46">
        <f t="shared" si="24"/>
        <v>435</v>
      </c>
      <c r="B165" s="41">
        <f t="shared" si="25"/>
        <v>2</v>
      </c>
      <c r="C165" s="42">
        <f t="shared" si="26"/>
        <v>0</v>
      </c>
      <c r="D165" s="41">
        <f t="shared" si="27"/>
        <v>0</v>
      </c>
      <c r="E165" s="42">
        <f t="shared" si="28"/>
        <v>5</v>
      </c>
      <c r="F165" s="41">
        <f t="shared" si="29"/>
        <v>0</v>
      </c>
      <c r="G165" s="42">
        <f t="shared" si="30"/>
        <v>0</v>
      </c>
      <c r="H165" s="41">
        <f t="shared" si="31"/>
        <v>0</v>
      </c>
      <c r="I165" s="42">
        <f t="shared" si="32"/>
        <v>0</v>
      </c>
      <c r="J165" s="41">
        <f t="shared" si="33"/>
        <v>1</v>
      </c>
      <c r="K165" s="42"/>
      <c r="L165" s="44">
        <f t="shared" si="35"/>
        <v>161</v>
      </c>
      <c r="M165" s="44">
        <f t="shared" si="34"/>
        <v>402.5</v>
      </c>
    </row>
    <row r="166" spans="1:13" ht="12.75" customHeight="1" x14ac:dyDescent="0.25">
      <c r="A166" s="46">
        <f t="shared" si="24"/>
        <v>437.5</v>
      </c>
      <c r="B166" s="41">
        <f t="shared" si="25"/>
        <v>2</v>
      </c>
      <c r="C166" s="42">
        <f t="shared" si="26"/>
        <v>0</v>
      </c>
      <c r="D166" s="41">
        <f t="shared" si="27"/>
        <v>0</v>
      </c>
      <c r="E166" s="42">
        <f t="shared" si="28"/>
        <v>5</v>
      </c>
      <c r="F166" s="41">
        <f t="shared" si="29"/>
        <v>0</v>
      </c>
      <c r="G166" s="42">
        <f t="shared" si="30"/>
        <v>0</v>
      </c>
      <c r="H166" s="41">
        <f t="shared" si="31"/>
        <v>0</v>
      </c>
      <c r="I166" s="42">
        <f t="shared" si="32"/>
        <v>1</v>
      </c>
      <c r="J166" s="41">
        <f t="shared" si="33"/>
        <v>0</v>
      </c>
      <c r="K166" s="42"/>
      <c r="L166" s="44">
        <f t="shared" si="35"/>
        <v>162</v>
      </c>
      <c r="M166" s="44">
        <f t="shared" si="34"/>
        <v>405</v>
      </c>
    </row>
    <row r="167" spans="1:13" ht="12.75" customHeight="1" x14ac:dyDescent="0.25">
      <c r="A167" s="46">
        <f t="shared" si="24"/>
        <v>440</v>
      </c>
      <c r="B167" s="41">
        <f t="shared" si="25"/>
        <v>2</v>
      </c>
      <c r="C167" s="42">
        <f t="shared" si="26"/>
        <v>0</v>
      </c>
      <c r="D167" s="41">
        <f t="shared" si="27"/>
        <v>0</v>
      </c>
      <c r="E167" s="42">
        <f t="shared" si="28"/>
        <v>5</v>
      </c>
      <c r="F167" s="41">
        <f t="shared" si="29"/>
        <v>0</v>
      </c>
      <c r="G167" s="42">
        <f t="shared" si="30"/>
        <v>0</v>
      </c>
      <c r="H167" s="41">
        <f t="shared" si="31"/>
        <v>0</v>
      </c>
      <c r="I167" s="42">
        <f t="shared" si="32"/>
        <v>1</v>
      </c>
      <c r="J167" s="41">
        <f t="shared" si="33"/>
        <v>1</v>
      </c>
      <c r="K167" s="42"/>
      <c r="L167" s="44">
        <f t="shared" si="35"/>
        <v>163</v>
      </c>
      <c r="M167" s="44">
        <f t="shared" si="34"/>
        <v>407.5</v>
      </c>
    </row>
    <row r="168" spans="1:13" ht="12.75" customHeight="1" x14ac:dyDescent="0.25">
      <c r="A168" s="46">
        <f t="shared" si="24"/>
        <v>442.5</v>
      </c>
      <c r="B168" s="41">
        <f t="shared" si="25"/>
        <v>2</v>
      </c>
      <c r="C168" s="42">
        <f t="shared" si="26"/>
        <v>0</v>
      </c>
      <c r="D168" s="41">
        <f t="shared" si="27"/>
        <v>0</v>
      </c>
      <c r="E168" s="42">
        <f t="shared" si="28"/>
        <v>5</v>
      </c>
      <c r="F168" s="41">
        <f t="shared" si="29"/>
        <v>0</v>
      </c>
      <c r="G168" s="42">
        <f t="shared" si="30"/>
        <v>0</v>
      </c>
      <c r="H168" s="41">
        <f t="shared" si="31"/>
        <v>1</v>
      </c>
      <c r="I168" s="42">
        <f t="shared" si="32"/>
        <v>0</v>
      </c>
      <c r="J168" s="41">
        <f t="shared" si="33"/>
        <v>0</v>
      </c>
      <c r="K168" s="42"/>
      <c r="L168" s="44">
        <f t="shared" si="35"/>
        <v>164</v>
      </c>
      <c r="M168" s="44">
        <f t="shared" si="34"/>
        <v>410</v>
      </c>
    </row>
    <row r="169" spans="1:13" ht="12.75" customHeight="1" x14ac:dyDescent="0.25">
      <c r="A169" s="46">
        <f t="shared" si="24"/>
        <v>445</v>
      </c>
      <c r="B169" s="41">
        <f t="shared" si="25"/>
        <v>2</v>
      </c>
      <c r="C169" s="42">
        <f t="shared" si="26"/>
        <v>0</v>
      </c>
      <c r="D169" s="41">
        <f t="shared" si="27"/>
        <v>0</v>
      </c>
      <c r="E169" s="42">
        <f t="shared" si="28"/>
        <v>5</v>
      </c>
      <c r="F169" s="41">
        <f t="shared" si="29"/>
        <v>0</v>
      </c>
      <c r="G169" s="42">
        <f t="shared" si="30"/>
        <v>0</v>
      </c>
      <c r="H169" s="41">
        <f t="shared" si="31"/>
        <v>1</v>
      </c>
      <c r="I169" s="42">
        <f t="shared" si="32"/>
        <v>0</v>
      </c>
      <c r="J169" s="41">
        <f t="shared" si="33"/>
        <v>1</v>
      </c>
      <c r="K169" s="42"/>
      <c r="L169" s="44">
        <f t="shared" si="35"/>
        <v>165</v>
      </c>
      <c r="M169" s="44">
        <f t="shared" si="34"/>
        <v>412.5</v>
      </c>
    </row>
    <row r="170" spans="1:13" ht="12.75" customHeight="1" x14ac:dyDescent="0.25">
      <c r="A170" s="46">
        <f t="shared" si="24"/>
        <v>447.5</v>
      </c>
      <c r="B170" s="41">
        <f t="shared" si="25"/>
        <v>2</v>
      </c>
      <c r="C170" s="42">
        <f t="shared" si="26"/>
        <v>0</v>
      </c>
      <c r="D170" s="41">
        <f t="shared" si="27"/>
        <v>0</v>
      </c>
      <c r="E170" s="42">
        <f t="shared" si="28"/>
        <v>5</v>
      </c>
      <c r="F170" s="41">
        <f t="shared" si="29"/>
        <v>0</v>
      </c>
      <c r="G170" s="42">
        <f t="shared" si="30"/>
        <v>0</v>
      </c>
      <c r="H170" s="41">
        <f t="shared" si="31"/>
        <v>1</v>
      </c>
      <c r="I170" s="42">
        <f t="shared" si="32"/>
        <v>1</v>
      </c>
      <c r="J170" s="41">
        <f t="shared" si="33"/>
        <v>0</v>
      </c>
      <c r="K170" s="42"/>
      <c r="L170" s="44">
        <f t="shared" si="35"/>
        <v>166</v>
      </c>
      <c r="M170" s="44">
        <f t="shared" si="34"/>
        <v>415</v>
      </c>
    </row>
    <row r="171" spans="1:13" ht="12.75" customHeight="1" x14ac:dyDescent="0.25">
      <c r="A171" s="46">
        <f t="shared" si="24"/>
        <v>450</v>
      </c>
      <c r="B171" s="41">
        <f t="shared" si="25"/>
        <v>2</v>
      </c>
      <c r="C171" s="42">
        <f t="shared" si="26"/>
        <v>0</v>
      </c>
      <c r="D171" s="41">
        <f t="shared" si="27"/>
        <v>0</v>
      </c>
      <c r="E171" s="42">
        <f t="shared" si="28"/>
        <v>5</v>
      </c>
      <c r="F171" s="41">
        <f t="shared" si="29"/>
        <v>0</v>
      </c>
      <c r="G171" s="42">
        <f t="shared" si="30"/>
        <v>0</v>
      </c>
      <c r="H171" s="41">
        <f t="shared" si="31"/>
        <v>1</v>
      </c>
      <c r="I171" s="42">
        <f t="shared" si="32"/>
        <v>1</v>
      </c>
      <c r="J171" s="41">
        <f t="shared" si="33"/>
        <v>1</v>
      </c>
      <c r="K171" s="42"/>
      <c r="L171" s="44">
        <f t="shared" si="35"/>
        <v>167</v>
      </c>
      <c r="M171" s="44">
        <f t="shared" si="34"/>
        <v>417.5</v>
      </c>
    </row>
    <row r="172" spans="1:13" ht="12.75" customHeight="1" x14ac:dyDescent="0.25">
      <c r="A172" s="46">
        <f t="shared" si="24"/>
        <v>452.5</v>
      </c>
      <c r="B172" s="41">
        <f t="shared" si="25"/>
        <v>2</v>
      </c>
      <c r="C172" s="42">
        <f t="shared" si="26"/>
        <v>0</v>
      </c>
      <c r="D172" s="41">
        <f t="shared" si="27"/>
        <v>0</v>
      </c>
      <c r="E172" s="42">
        <f t="shared" si="28"/>
        <v>5</v>
      </c>
      <c r="F172" s="41">
        <f t="shared" si="29"/>
        <v>0</v>
      </c>
      <c r="G172" s="42">
        <f t="shared" si="30"/>
        <v>1</v>
      </c>
      <c r="H172" s="41">
        <f t="shared" si="31"/>
        <v>0</v>
      </c>
      <c r="I172" s="42">
        <f t="shared" si="32"/>
        <v>0</v>
      </c>
      <c r="J172" s="41">
        <f t="shared" si="33"/>
        <v>0</v>
      </c>
      <c r="K172" s="42"/>
      <c r="L172" s="44">
        <f t="shared" si="35"/>
        <v>168</v>
      </c>
      <c r="M172" s="44">
        <f t="shared" si="34"/>
        <v>420</v>
      </c>
    </row>
    <row r="173" spans="1:13" ht="12.75" customHeight="1" x14ac:dyDescent="0.25">
      <c r="A173" s="46">
        <f t="shared" si="24"/>
        <v>455</v>
      </c>
      <c r="B173" s="41">
        <f t="shared" si="25"/>
        <v>2</v>
      </c>
      <c r="C173" s="42">
        <f t="shared" si="26"/>
        <v>0</v>
      </c>
      <c r="D173" s="41">
        <f t="shared" si="27"/>
        <v>0</v>
      </c>
      <c r="E173" s="42">
        <f t="shared" si="28"/>
        <v>5</v>
      </c>
      <c r="F173" s="41">
        <f t="shared" si="29"/>
        <v>0</v>
      </c>
      <c r="G173" s="42">
        <f t="shared" si="30"/>
        <v>1</v>
      </c>
      <c r="H173" s="41">
        <f t="shared" si="31"/>
        <v>0</v>
      </c>
      <c r="I173" s="42">
        <f t="shared" si="32"/>
        <v>0</v>
      </c>
      <c r="J173" s="41">
        <f t="shared" si="33"/>
        <v>1</v>
      </c>
      <c r="K173" s="42"/>
      <c r="L173" s="44">
        <f t="shared" si="35"/>
        <v>169</v>
      </c>
      <c r="M173" s="44">
        <f t="shared" si="34"/>
        <v>422.5</v>
      </c>
    </row>
    <row r="174" spans="1:13" ht="12.75" customHeight="1" x14ac:dyDescent="0.25">
      <c r="A174" s="46">
        <f t="shared" si="24"/>
        <v>457.5</v>
      </c>
      <c r="B174" s="41">
        <f t="shared" si="25"/>
        <v>2</v>
      </c>
      <c r="C174" s="42">
        <f t="shared" si="26"/>
        <v>0</v>
      </c>
      <c r="D174" s="41">
        <f t="shared" si="27"/>
        <v>0</v>
      </c>
      <c r="E174" s="42">
        <f t="shared" si="28"/>
        <v>5</v>
      </c>
      <c r="F174" s="41">
        <f t="shared" si="29"/>
        <v>0</v>
      </c>
      <c r="G174" s="42">
        <f t="shared" si="30"/>
        <v>1</v>
      </c>
      <c r="H174" s="41">
        <f t="shared" si="31"/>
        <v>0</v>
      </c>
      <c r="I174" s="42">
        <f t="shared" si="32"/>
        <v>1</v>
      </c>
      <c r="J174" s="41">
        <f t="shared" si="33"/>
        <v>0</v>
      </c>
      <c r="K174" s="42"/>
      <c r="L174" s="44">
        <f t="shared" si="35"/>
        <v>170</v>
      </c>
      <c r="M174" s="44">
        <f t="shared" si="34"/>
        <v>425</v>
      </c>
    </row>
    <row r="175" spans="1:13" ht="12.75" customHeight="1" x14ac:dyDescent="0.25">
      <c r="A175" s="46">
        <f t="shared" si="24"/>
        <v>460</v>
      </c>
      <c r="B175" s="41">
        <f t="shared" si="25"/>
        <v>2</v>
      </c>
      <c r="C175" s="42">
        <f t="shared" si="26"/>
        <v>0</v>
      </c>
      <c r="D175" s="41">
        <f t="shared" si="27"/>
        <v>0</v>
      </c>
      <c r="E175" s="42">
        <f t="shared" si="28"/>
        <v>5</v>
      </c>
      <c r="F175" s="41">
        <f t="shared" si="29"/>
        <v>0</v>
      </c>
      <c r="G175" s="42">
        <f t="shared" si="30"/>
        <v>1</v>
      </c>
      <c r="H175" s="41">
        <f t="shared" si="31"/>
        <v>0</v>
      </c>
      <c r="I175" s="42">
        <f t="shared" si="32"/>
        <v>1</v>
      </c>
      <c r="J175" s="41">
        <f t="shared" si="33"/>
        <v>1</v>
      </c>
      <c r="K175" s="42"/>
      <c r="L175" s="44">
        <f t="shared" si="35"/>
        <v>171</v>
      </c>
      <c r="M175" s="44">
        <f t="shared" si="34"/>
        <v>427.5</v>
      </c>
    </row>
    <row r="176" spans="1:13" ht="12.75" customHeight="1" x14ac:dyDescent="0.25">
      <c r="A176" s="46">
        <f t="shared" si="24"/>
        <v>462.5</v>
      </c>
      <c r="B176" s="41">
        <f t="shared" si="25"/>
        <v>2</v>
      </c>
      <c r="C176" s="42">
        <f t="shared" si="26"/>
        <v>0</v>
      </c>
      <c r="D176" s="41">
        <f t="shared" si="27"/>
        <v>0</v>
      </c>
      <c r="E176" s="42">
        <f t="shared" si="28"/>
        <v>5</v>
      </c>
      <c r="F176" s="41">
        <f t="shared" si="29"/>
        <v>1</v>
      </c>
      <c r="G176" s="42">
        <f t="shared" si="30"/>
        <v>0</v>
      </c>
      <c r="H176" s="41">
        <f t="shared" si="31"/>
        <v>0</v>
      </c>
      <c r="I176" s="42">
        <f t="shared" si="32"/>
        <v>0</v>
      </c>
      <c r="J176" s="41">
        <f t="shared" si="33"/>
        <v>0</v>
      </c>
      <c r="K176" s="42"/>
      <c r="L176" s="44">
        <f t="shared" si="35"/>
        <v>172</v>
      </c>
      <c r="M176" s="44">
        <f t="shared" si="34"/>
        <v>430</v>
      </c>
    </row>
    <row r="177" spans="1:13" ht="12.75" customHeight="1" x14ac:dyDescent="0.25">
      <c r="A177" s="46">
        <f t="shared" si="24"/>
        <v>465</v>
      </c>
      <c r="B177" s="41">
        <f t="shared" si="25"/>
        <v>2</v>
      </c>
      <c r="C177" s="42">
        <f t="shared" si="26"/>
        <v>0</v>
      </c>
      <c r="D177" s="41">
        <f t="shared" si="27"/>
        <v>0</v>
      </c>
      <c r="E177" s="42">
        <f t="shared" si="28"/>
        <v>5</v>
      </c>
      <c r="F177" s="41">
        <f t="shared" si="29"/>
        <v>1</v>
      </c>
      <c r="G177" s="42">
        <f t="shared" si="30"/>
        <v>0</v>
      </c>
      <c r="H177" s="41">
        <f t="shared" si="31"/>
        <v>0</v>
      </c>
      <c r="I177" s="42">
        <f t="shared" si="32"/>
        <v>0</v>
      </c>
      <c r="J177" s="41">
        <f t="shared" si="33"/>
        <v>1</v>
      </c>
      <c r="K177" s="42"/>
      <c r="L177" s="44">
        <f t="shared" si="35"/>
        <v>173</v>
      </c>
      <c r="M177" s="44">
        <f t="shared" si="34"/>
        <v>432.5</v>
      </c>
    </row>
    <row r="178" spans="1:13" ht="12.75" customHeight="1" x14ac:dyDescent="0.25">
      <c r="A178" s="46">
        <f t="shared" si="24"/>
        <v>467.5</v>
      </c>
      <c r="B178" s="41">
        <f t="shared" si="25"/>
        <v>2</v>
      </c>
      <c r="C178" s="42">
        <f t="shared" si="26"/>
        <v>0</v>
      </c>
      <c r="D178" s="41">
        <f t="shared" si="27"/>
        <v>0</v>
      </c>
      <c r="E178" s="42">
        <f t="shared" si="28"/>
        <v>5</v>
      </c>
      <c r="F178" s="41">
        <f t="shared" si="29"/>
        <v>1</v>
      </c>
      <c r="G178" s="42">
        <f t="shared" si="30"/>
        <v>0</v>
      </c>
      <c r="H178" s="41">
        <f t="shared" si="31"/>
        <v>0</v>
      </c>
      <c r="I178" s="42">
        <f t="shared" si="32"/>
        <v>1</v>
      </c>
      <c r="J178" s="41">
        <f t="shared" si="33"/>
        <v>0</v>
      </c>
      <c r="K178" s="42"/>
      <c r="L178" s="44">
        <f t="shared" si="35"/>
        <v>174</v>
      </c>
      <c r="M178" s="44">
        <f t="shared" si="34"/>
        <v>435</v>
      </c>
    </row>
    <row r="179" spans="1:13" ht="12.75" customHeight="1" x14ac:dyDescent="0.25">
      <c r="A179" s="46">
        <f t="shared" si="24"/>
        <v>470</v>
      </c>
      <c r="B179" s="41">
        <f t="shared" si="25"/>
        <v>2</v>
      </c>
      <c r="C179" s="42">
        <f t="shared" si="26"/>
        <v>0</v>
      </c>
      <c r="D179" s="41">
        <f t="shared" si="27"/>
        <v>0</v>
      </c>
      <c r="E179" s="42">
        <f t="shared" si="28"/>
        <v>5</v>
      </c>
      <c r="F179" s="41">
        <f t="shared" si="29"/>
        <v>1</v>
      </c>
      <c r="G179" s="42">
        <f t="shared" si="30"/>
        <v>0</v>
      </c>
      <c r="H179" s="41">
        <f t="shared" si="31"/>
        <v>0</v>
      </c>
      <c r="I179" s="42">
        <f t="shared" si="32"/>
        <v>1</v>
      </c>
      <c r="J179" s="41">
        <f t="shared" si="33"/>
        <v>1</v>
      </c>
      <c r="K179" s="42"/>
      <c r="L179" s="44">
        <f t="shared" si="35"/>
        <v>175</v>
      </c>
      <c r="M179" s="44">
        <f t="shared" si="34"/>
        <v>437.5</v>
      </c>
    </row>
    <row r="180" spans="1:13" ht="12.75" customHeight="1" x14ac:dyDescent="0.25">
      <c r="A180" s="46">
        <f t="shared" si="24"/>
        <v>472.5</v>
      </c>
      <c r="B180" s="41">
        <f t="shared" si="25"/>
        <v>2</v>
      </c>
      <c r="C180" s="42">
        <f t="shared" si="26"/>
        <v>0</v>
      </c>
      <c r="D180" s="41">
        <f t="shared" si="27"/>
        <v>0</v>
      </c>
      <c r="E180" s="42">
        <f t="shared" si="28"/>
        <v>6</v>
      </c>
      <c r="F180" s="41">
        <f t="shared" si="29"/>
        <v>0</v>
      </c>
      <c r="G180" s="42">
        <f t="shared" si="30"/>
        <v>0</v>
      </c>
      <c r="H180" s="41">
        <f t="shared" si="31"/>
        <v>0</v>
      </c>
      <c r="I180" s="42">
        <f t="shared" si="32"/>
        <v>0</v>
      </c>
      <c r="J180" s="41">
        <f t="shared" si="33"/>
        <v>0</v>
      </c>
      <c r="K180" s="42"/>
      <c r="L180" s="44">
        <f t="shared" si="35"/>
        <v>176</v>
      </c>
      <c r="M180" s="44">
        <f t="shared" si="34"/>
        <v>440</v>
      </c>
    </row>
    <row r="181" spans="1:13" ht="12.75" customHeight="1" x14ac:dyDescent="0.25">
      <c r="A181" s="46">
        <f t="shared" si="24"/>
        <v>475</v>
      </c>
      <c r="B181" s="41">
        <f t="shared" si="25"/>
        <v>2</v>
      </c>
      <c r="C181" s="42">
        <f t="shared" si="26"/>
        <v>0</v>
      </c>
      <c r="D181" s="41">
        <f t="shared" si="27"/>
        <v>0</v>
      </c>
      <c r="E181" s="42">
        <f t="shared" si="28"/>
        <v>6</v>
      </c>
      <c r="F181" s="41">
        <f t="shared" si="29"/>
        <v>0</v>
      </c>
      <c r="G181" s="42">
        <f t="shared" si="30"/>
        <v>0</v>
      </c>
      <c r="H181" s="41">
        <f t="shared" si="31"/>
        <v>0</v>
      </c>
      <c r="I181" s="42">
        <f t="shared" si="32"/>
        <v>0</v>
      </c>
      <c r="J181" s="41">
        <f t="shared" si="33"/>
        <v>1</v>
      </c>
      <c r="K181" s="42"/>
      <c r="L181" s="44">
        <f t="shared" si="35"/>
        <v>177</v>
      </c>
      <c r="M181" s="44">
        <f t="shared" si="34"/>
        <v>442.5</v>
      </c>
    </row>
    <row r="182" spans="1:13" ht="12.75" customHeight="1" x14ac:dyDescent="0.25">
      <c r="A182" s="46">
        <f t="shared" si="24"/>
        <v>477.5</v>
      </c>
      <c r="B182" s="41">
        <f t="shared" si="25"/>
        <v>2</v>
      </c>
      <c r="C182" s="42">
        <f t="shared" si="26"/>
        <v>0</v>
      </c>
      <c r="D182" s="41">
        <f t="shared" si="27"/>
        <v>0</v>
      </c>
      <c r="E182" s="42">
        <f t="shared" si="28"/>
        <v>6</v>
      </c>
      <c r="F182" s="41">
        <f t="shared" si="29"/>
        <v>0</v>
      </c>
      <c r="G182" s="42">
        <f t="shared" si="30"/>
        <v>0</v>
      </c>
      <c r="H182" s="41">
        <f t="shared" si="31"/>
        <v>0</v>
      </c>
      <c r="I182" s="42">
        <f t="shared" si="32"/>
        <v>1</v>
      </c>
      <c r="J182" s="41">
        <f t="shared" si="33"/>
        <v>0</v>
      </c>
      <c r="K182" s="42"/>
      <c r="L182" s="44">
        <f t="shared" si="35"/>
        <v>178</v>
      </c>
      <c r="M182" s="44">
        <f t="shared" si="34"/>
        <v>445</v>
      </c>
    </row>
    <row r="183" spans="1:13" ht="12.75" customHeight="1" x14ac:dyDescent="0.25">
      <c r="A183" s="46">
        <f t="shared" si="24"/>
        <v>480</v>
      </c>
      <c r="B183" s="41">
        <f t="shared" si="25"/>
        <v>2</v>
      </c>
      <c r="C183" s="42">
        <f t="shared" si="26"/>
        <v>0</v>
      </c>
      <c r="D183" s="41">
        <f t="shared" si="27"/>
        <v>0</v>
      </c>
      <c r="E183" s="42">
        <f t="shared" si="28"/>
        <v>6</v>
      </c>
      <c r="F183" s="41">
        <f t="shared" si="29"/>
        <v>0</v>
      </c>
      <c r="G183" s="42">
        <f t="shared" si="30"/>
        <v>0</v>
      </c>
      <c r="H183" s="41">
        <f t="shared" si="31"/>
        <v>0</v>
      </c>
      <c r="I183" s="42">
        <f t="shared" si="32"/>
        <v>1</v>
      </c>
      <c r="J183" s="41">
        <f t="shared" si="33"/>
        <v>1</v>
      </c>
      <c r="K183" s="42"/>
      <c r="L183" s="44">
        <f t="shared" si="35"/>
        <v>179</v>
      </c>
      <c r="M183" s="44">
        <f t="shared" si="34"/>
        <v>447.5</v>
      </c>
    </row>
    <row r="184" spans="1:13" ht="12.75" customHeight="1" x14ac:dyDescent="0.25">
      <c r="A184" s="46">
        <f t="shared" si="24"/>
        <v>482.5</v>
      </c>
      <c r="B184" s="41">
        <f t="shared" si="25"/>
        <v>2</v>
      </c>
      <c r="C184" s="42">
        <f t="shared" si="26"/>
        <v>0</v>
      </c>
      <c r="D184" s="41">
        <f t="shared" si="27"/>
        <v>0</v>
      </c>
      <c r="E184" s="42">
        <f t="shared" si="28"/>
        <v>6</v>
      </c>
      <c r="F184" s="41">
        <f t="shared" si="29"/>
        <v>0</v>
      </c>
      <c r="G184" s="42">
        <f t="shared" si="30"/>
        <v>0</v>
      </c>
      <c r="H184" s="41">
        <f t="shared" si="31"/>
        <v>1</v>
      </c>
      <c r="I184" s="42">
        <f t="shared" si="32"/>
        <v>0</v>
      </c>
      <c r="J184" s="41">
        <f t="shared" si="33"/>
        <v>0</v>
      </c>
      <c r="K184" s="42"/>
      <c r="L184" s="44">
        <f t="shared" si="35"/>
        <v>180</v>
      </c>
      <c r="M184" s="44">
        <f t="shared" si="34"/>
        <v>450</v>
      </c>
    </row>
    <row r="185" spans="1:13" ht="12.75" customHeight="1" x14ac:dyDescent="0.25">
      <c r="A185" s="46">
        <f t="shared" si="24"/>
        <v>485</v>
      </c>
      <c r="B185" s="41">
        <f t="shared" si="25"/>
        <v>2</v>
      </c>
      <c r="C185" s="42">
        <f t="shared" si="26"/>
        <v>0</v>
      </c>
      <c r="D185" s="41">
        <f t="shared" si="27"/>
        <v>0</v>
      </c>
      <c r="E185" s="42">
        <f t="shared" si="28"/>
        <v>6</v>
      </c>
      <c r="F185" s="41">
        <f t="shared" si="29"/>
        <v>0</v>
      </c>
      <c r="G185" s="42">
        <f t="shared" si="30"/>
        <v>0</v>
      </c>
      <c r="H185" s="41">
        <f t="shared" si="31"/>
        <v>1</v>
      </c>
      <c r="I185" s="42">
        <f t="shared" si="32"/>
        <v>0</v>
      </c>
      <c r="J185" s="41">
        <f t="shared" si="33"/>
        <v>1</v>
      </c>
      <c r="K185" s="42"/>
      <c r="L185" s="44">
        <f t="shared" si="35"/>
        <v>181</v>
      </c>
      <c r="M185" s="44">
        <f t="shared" si="34"/>
        <v>452.5</v>
      </c>
    </row>
    <row r="186" spans="1:13" ht="12.75" customHeight="1" x14ac:dyDescent="0.25">
      <c r="A186" s="46">
        <f t="shared" si="24"/>
        <v>487.5</v>
      </c>
      <c r="B186" s="41">
        <f t="shared" si="25"/>
        <v>2</v>
      </c>
      <c r="C186" s="42">
        <f t="shared" si="26"/>
        <v>0</v>
      </c>
      <c r="D186" s="41">
        <f t="shared" si="27"/>
        <v>0</v>
      </c>
      <c r="E186" s="42">
        <f t="shared" si="28"/>
        <v>6</v>
      </c>
      <c r="F186" s="41">
        <f t="shared" si="29"/>
        <v>0</v>
      </c>
      <c r="G186" s="42">
        <f t="shared" si="30"/>
        <v>0</v>
      </c>
      <c r="H186" s="41">
        <f t="shared" si="31"/>
        <v>1</v>
      </c>
      <c r="I186" s="42">
        <f t="shared" si="32"/>
        <v>1</v>
      </c>
      <c r="J186" s="41">
        <f t="shared" si="33"/>
        <v>0</v>
      </c>
      <c r="K186" s="42"/>
      <c r="L186" s="44">
        <f t="shared" si="35"/>
        <v>182</v>
      </c>
      <c r="M186" s="44">
        <f t="shared" si="34"/>
        <v>455</v>
      </c>
    </row>
    <row r="187" spans="1:13" ht="12.75" customHeight="1" x14ac:dyDescent="0.25">
      <c r="A187" s="46">
        <f t="shared" si="24"/>
        <v>490</v>
      </c>
      <c r="B187" s="41">
        <f t="shared" si="25"/>
        <v>2</v>
      </c>
      <c r="C187" s="42">
        <f t="shared" si="26"/>
        <v>0</v>
      </c>
      <c r="D187" s="41">
        <f t="shared" si="27"/>
        <v>0</v>
      </c>
      <c r="E187" s="42">
        <f t="shared" si="28"/>
        <v>6</v>
      </c>
      <c r="F187" s="41">
        <f t="shared" si="29"/>
        <v>0</v>
      </c>
      <c r="G187" s="42">
        <f t="shared" si="30"/>
        <v>0</v>
      </c>
      <c r="H187" s="41">
        <f t="shared" si="31"/>
        <v>1</v>
      </c>
      <c r="I187" s="42">
        <f t="shared" si="32"/>
        <v>1</v>
      </c>
      <c r="J187" s="41">
        <f t="shared" si="33"/>
        <v>1</v>
      </c>
      <c r="K187" s="42"/>
      <c r="L187" s="44">
        <f t="shared" si="35"/>
        <v>183</v>
      </c>
      <c r="M187" s="44">
        <f t="shared" si="34"/>
        <v>457.5</v>
      </c>
    </row>
    <row r="188" spans="1:13" ht="12.75" customHeight="1" x14ac:dyDescent="0.25">
      <c r="A188" s="46">
        <f t="shared" si="24"/>
        <v>492.5</v>
      </c>
      <c r="B188" s="41">
        <f t="shared" si="25"/>
        <v>2</v>
      </c>
      <c r="C188" s="42">
        <f t="shared" si="26"/>
        <v>0</v>
      </c>
      <c r="D188" s="41">
        <f t="shared" si="27"/>
        <v>0</v>
      </c>
      <c r="E188" s="42">
        <f t="shared" si="28"/>
        <v>6</v>
      </c>
      <c r="F188" s="41">
        <f t="shared" si="29"/>
        <v>0</v>
      </c>
      <c r="G188" s="42">
        <f t="shared" si="30"/>
        <v>1</v>
      </c>
      <c r="H188" s="41">
        <f t="shared" si="31"/>
        <v>0</v>
      </c>
      <c r="I188" s="42">
        <f t="shared" si="32"/>
        <v>0</v>
      </c>
      <c r="J188" s="41">
        <f t="shared" si="33"/>
        <v>0</v>
      </c>
      <c r="K188" s="42"/>
      <c r="L188" s="44">
        <f t="shared" si="35"/>
        <v>184</v>
      </c>
      <c r="M188" s="44">
        <f t="shared" si="34"/>
        <v>460</v>
      </c>
    </row>
    <row r="189" spans="1:13" ht="12.75" customHeight="1" x14ac:dyDescent="0.25">
      <c r="A189" s="46">
        <f t="shared" si="24"/>
        <v>495</v>
      </c>
      <c r="B189" s="41">
        <f t="shared" si="25"/>
        <v>2</v>
      </c>
      <c r="C189" s="42">
        <f t="shared" si="26"/>
        <v>0</v>
      </c>
      <c r="D189" s="41">
        <f t="shared" si="27"/>
        <v>0</v>
      </c>
      <c r="E189" s="42">
        <f t="shared" si="28"/>
        <v>6</v>
      </c>
      <c r="F189" s="41">
        <f t="shared" si="29"/>
        <v>0</v>
      </c>
      <c r="G189" s="42">
        <f t="shared" si="30"/>
        <v>1</v>
      </c>
      <c r="H189" s="41">
        <f t="shared" si="31"/>
        <v>0</v>
      </c>
      <c r="I189" s="42">
        <f t="shared" si="32"/>
        <v>0</v>
      </c>
      <c r="J189" s="41">
        <f t="shared" si="33"/>
        <v>1</v>
      </c>
      <c r="K189" s="42"/>
      <c r="L189" s="44">
        <f t="shared" si="35"/>
        <v>185</v>
      </c>
      <c r="M189" s="44">
        <f t="shared" si="34"/>
        <v>462.5</v>
      </c>
    </row>
    <row r="190" spans="1:13" ht="12.75" customHeight="1" x14ac:dyDescent="0.25">
      <c r="A190" s="46">
        <f t="shared" si="24"/>
        <v>497.5</v>
      </c>
      <c r="B190" s="41">
        <f t="shared" si="25"/>
        <v>2</v>
      </c>
      <c r="C190" s="42">
        <f t="shared" si="26"/>
        <v>0</v>
      </c>
      <c r="D190" s="41">
        <f t="shared" si="27"/>
        <v>0</v>
      </c>
      <c r="E190" s="42">
        <f t="shared" si="28"/>
        <v>6</v>
      </c>
      <c r="F190" s="41">
        <f t="shared" si="29"/>
        <v>0</v>
      </c>
      <c r="G190" s="42">
        <f t="shared" si="30"/>
        <v>1</v>
      </c>
      <c r="H190" s="41">
        <f t="shared" si="31"/>
        <v>0</v>
      </c>
      <c r="I190" s="42">
        <f t="shared" si="32"/>
        <v>1</v>
      </c>
      <c r="J190" s="41">
        <f t="shared" si="33"/>
        <v>0</v>
      </c>
      <c r="K190" s="42"/>
      <c r="L190" s="44">
        <f t="shared" si="35"/>
        <v>186</v>
      </c>
      <c r="M190" s="44">
        <f t="shared" si="34"/>
        <v>465</v>
      </c>
    </row>
    <row r="191" spans="1:13" ht="12.75" customHeight="1" x14ac:dyDescent="0.25">
      <c r="A191" s="46">
        <f t="shared" si="24"/>
        <v>500</v>
      </c>
      <c r="B191" s="41">
        <f t="shared" si="25"/>
        <v>2</v>
      </c>
      <c r="C191" s="42">
        <f t="shared" si="26"/>
        <v>0</v>
      </c>
      <c r="D191" s="41">
        <f t="shared" si="27"/>
        <v>0</v>
      </c>
      <c r="E191" s="42">
        <f t="shared" si="28"/>
        <v>6</v>
      </c>
      <c r="F191" s="41">
        <f t="shared" si="29"/>
        <v>0</v>
      </c>
      <c r="G191" s="42">
        <f t="shared" si="30"/>
        <v>1</v>
      </c>
      <c r="H191" s="41">
        <f t="shared" si="31"/>
        <v>0</v>
      </c>
      <c r="I191" s="42">
        <f t="shared" si="32"/>
        <v>1</v>
      </c>
      <c r="J191" s="41">
        <f t="shared" si="33"/>
        <v>1</v>
      </c>
      <c r="K191" s="42"/>
      <c r="L191" s="44">
        <f t="shared" si="35"/>
        <v>187</v>
      </c>
      <c r="M191" s="44">
        <f t="shared" si="34"/>
        <v>467.5</v>
      </c>
    </row>
    <row r="192" spans="1:13" ht="12.75" customHeight="1" x14ac:dyDescent="0.25">
      <c r="A192" s="46">
        <f t="shared" si="24"/>
        <v>502.5</v>
      </c>
      <c r="B192" s="41">
        <f t="shared" si="25"/>
        <v>2</v>
      </c>
      <c r="C192" s="42">
        <f t="shared" si="26"/>
        <v>0</v>
      </c>
      <c r="D192" s="41">
        <f t="shared" si="27"/>
        <v>0</v>
      </c>
      <c r="E192" s="42">
        <f t="shared" si="28"/>
        <v>6</v>
      </c>
      <c r="F192" s="41">
        <f t="shared" si="29"/>
        <v>1</v>
      </c>
      <c r="G192" s="42">
        <f t="shared" si="30"/>
        <v>0</v>
      </c>
      <c r="H192" s="41">
        <f t="shared" si="31"/>
        <v>0</v>
      </c>
      <c r="I192" s="42">
        <f t="shared" si="32"/>
        <v>0</v>
      </c>
      <c r="J192" s="41">
        <f t="shared" si="33"/>
        <v>0</v>
      </c>
      <c r="K192" s="42"/>
      <c r="L192" s="44">
        <f t="shared" si="35"/>
        <v>188</v>
      </c>
      <c r="M192" s="44">
        <f t="shared" si="34"/>
        <v>470</v>
      </c>
    </row>
    <row r="193" spans="1:13" ht="12.75" customHeight="1" x14ac:dyDescent="0.25">
      <c r="A193" s="46">
        <f t="shared" si="24"/>
        <v>505</v>
      </c>
      <c r="B193" s="41">
        <f t="shared" si="25"/>
        <v>2</v>
      </c>
      <c r="C193" s="42">
        <f t="shared" si="26"/>
        <v>0</v>
      </c>
      <c r="D193" s="41">
        <f t="shared" si="27"/>
        <v>0</v>
      </c>
      <c r="E193" s="42">
        <f t="shared" si="28"/>
        <v>6</v>
      </c>
      <c r="F193" s="41">
        <f t="shared" si="29"/>
        <v>1</v>
      </c>
      <c r="G193" s="42">
        <f t="shared" si="30"/>
        <v>0</v>
      </c>
      <c r="H193" s="41">
        <f t="shared" si="31"/>
        <v>0</v>
      </c>
      <c r="I193" s="42">
        <f t="shared" si="32"/>
        <v>0</v>
      </c>
      <c r="J193" s="41">
        <f t="shared" si="33"/>
        <v>1</v>
      </c>
      <c r="K193" s="42"/>
      <c r="L193" s="44">
        <f t="shared" si="35"/>
        <v>189</v>
      </c>
      <c r="M193" s="44">
        <f t="shared" si="34"/>
        <v>472.5</v>
      </c>
    </row>
    <row r="194" spans="1:13" ht="12.75" customHeight="1" x14ac:dyDescent="0.25">
      <c r="A194" s="46">
        <f t="shared" si="24"/>
        <v>507.5</v>
      </c>
      <c r="B194" s="41">
        <f t="shared" si="25"/>
        <v>2</v>
      </c>
      <c r="C194" s="42">
        <f t="shared" si="26"/>
        <v>0</v>
      </c>
      <c r="D194" s="41">
        <f t="shared" si="27"/>
        <v>0</v>
      </c>
      <c r="E194" s="42">
        <f t="shared" si="28"/>
        <v>6</v>
      </c>
      <c r="F194" s="41">
        <f t="shared" si="29"/>
        <v>1</v>
      </c>
      <c r="G194" s="42">
        <f t="shared" si="30"/>
        <v>0</v>
      </c>
      <c r="H194" s="41">
        <f t="shared" si="31"/>
        <v>0</v>
      </c>
      <c r="I194" s="42">
        <f t="shared" si="32"/>
        <v>1</v>
      </c>
      <c r="J194" s="41">
        <f t="shared" si="33"/>
        <v>0</v>
      </c>
      <c r="K194" s="42"/>
      <c r="L194" s="44">
        <f t="shared" si="35"/>
        <v>190</v>
      </c>
      <c r="M194" s="44">
        <f t="shared" si="34"/>
        <v>475</v>
      </c>
    </row>
    <row r="195" spans="1:13" ht="12.75" customHeight="1" x14ac:dyDescent="0.25">
      <c r="A195" s="46">
        <f t="shared" si="24"/>
        <v>510</v>
      </c>
      <c r="B195" s="41">
        <f t="shared" si="25"/>
        <v>2</v>
      </c>
      <c r="C195" s="42">
        <f t="shared" si="26"/>
        <v>0</v>
      </c>
      <c r="D195" s="41">
        <f t="shared" si="27"/>
        <v>0</v>
      </c>
      <c r="E195" s="42">
        <f t="shared" si="28"/>
        <v>6</v>
      </c>
      <c r="F195" s="41">
        <f t="shared" si="29"/>
        <v>1</v>
      </c>
      <c r="G195" s="42">
        <f t="shared" si="30"/>
        <v>0</v>
      </c>
      <c r="H195" s="41">
        <f t="shared" si="31"/>
        <v>0</v>
      </c>
      <c r="I195" s="42">
        <f t="shared" si="32"/>
        <v>1</v>
      </c>
      <c r="J195" s="41">
        <f t="shared" si="33"/>
        <v>1</v>
      </c>
      <c r="K195" s="42"/>
      <c r="L195" s="44">
        <f t="shared" si="35"/>
        <v>191</v>
      </c>
      <c r="M195" s="44">
        <f t="shared" si="34"/>
        <v>477.5</v>
      </c>
    </row>
    <row r="196" spans="1:13" ht="12.75" customHeight="1" x14ac:dyDescent="0.25">
      <c r="A196" s="46">
        <f t="shared" si="24"/>
        <v>512.5</v>
      </c>
      <c r="B196" s="41">
        <f t="shared" si="25"/>
        <v>2</v>
      </c>
      <c r="C196" s="42">
        <f t="shared" si="26"/>
        <v>0</v>
      </c>
      <c r="D196" s="41">
        <f t="shared" si="27"/>
        <v>0</v>
      </c>
      <c r="E196" s="42">
        <f t="shared" si="28"/>
        <v>7</v>
      </c>
      <c r="F196" s="41">
        <f t="shared" si="29"/>
        <v>0</v>
      </c>
      <c r="G196" s="42">
        <f t="shared" si="30"/>
        <v>0</v>
      </c>
      <c r="H196" s="41">
        <f t="shared" si="31"/>
        <v>0</v>
      </c>
      <c r="I196" s="42">
        <f t="shared" si="32"/>
        <v>0</v>
      </c>
      <c r="J196" s="41">
        <f t="shared" si="33"/>
        <v>0</v>
      </c>
      <c r="K196" s="42"/>
      <c r="L196" s="44">
        <f t="shared" si="35"/>
        <v>192</v>
      </c>
      <c r="M196" s="44">
        <f t="shared" si="34"/>
        <v>480</v>
      </c>
    </row>
    <row r="197" spans="1:13" ht="12.75" customHeight="1" x14ac:dyDescent="0.25">
      <c r="A197" s="46">
        <f t="shared" ref="A197:A260" si="36">IF(M197+$K$2&gt;$L$1,0,M197+$K$2)</f>
        <v>515</v>
      </c>
      <c r="B197" s="41">
        <f t="shared" ref="B197:B260" si="37">IF(A197=0,0,MIN($B$1/2,INT(M197/(2*$B$2))))</f>
        <v>2</v>
      </c>
      <c r="C197" s="42">
        <f t="shared" ref="C197:C260" si="38">IF(A197=0,0,MIN($C$1/2,INT(($M197-2*$B197*$B$2)/(2*$C$2))))</f>
        <v>0</v>
      </c>
      <c r="D197" s="41">
        <f t="shared" ref="D197:D260" si="39">IF(A197=0,0,MIN($D$1/2,INT(($M197-2*$B197*$B$2-2*$C197*$C$2)/(2*$D$2))))</f>
        <v>0</v>
      </c>
      <c r="E197" s="42">
        <f t="shared" ref="E197:E260" si="40">IF(A197=0,0,MIN($E$1/2,INT(($M197-2*$B197*$B$2-2*$C197*$C$2-2*$D197*$D$2)/(2*$E$2))))</f>
        <v>7</v>
      </c>
      <c r="F197" s="41">
        <f t="shared" ref="F197:F260" si="41">IF(A197=0,0,MIN($F$1/2,INT(($M197-2*$B197*$B$2-2*$C197*$C$2-2*$D197*$D$2-2*$E197*$E$2)/(2*$F$2))))</f>
        <v>0</v>
      </c>
      <c r="G197" s="42">
        <f t="shared" ref="G197:G260" si="42">IF(A197=0,0,MIN($G$1/2,INT(($M197-2*$B197*$B$2-2*$C197*$C$2-2*$D197*$D$2-2*$E197*$E$2-2*$F197*$F$2)/(2*$G$2))))</f>
        <v>0</v>
      </c>
      <c r="H197" s="41">
        <f t="shared" ref="H197:H260" si="43">IF(A197=0,0,MIN($H$1/2,INT(($M197-2*$B197*$B$2-2*$C197*$C$2-2*$D197*$D$2-2*$E197*$E$2-2*$F197*$F$2-2*$G197*$G$2)/(2*$H$2))))</f>
        <v>0</v>
      </c>
      <c r="I197" s="42">
        <f t="shared" ref="I197:I260" si="44">IF(A197=0,0,MIN($I$1/2,INT(($M197-2*$B197*$B$2-2*$C197*$C$2-2*$D197*$D$2-2*$E197*$E$2-2*$F197*$F$2-2*$G197*$G$2-2*$H197*$H$2)/(2*$I$2))))</f>
        <v>0</v>
      </c>
      <c r="J197" s="41">
        <f t="shared" ref="J197:J260" si="45">IF(A197=0,0,MIN($J$1/2,INT(($M197-2*$B197*$B$2-2*$C197*$C$2-2*$D197*$D$2-2*$E197*$E$2-2*$F197*$F$2-2*$G197*$G$2-2*$H197*$H$2-2*$I197*$I$2)/(2*$J$2))))</f>
        <v>1</v>
      </c>
      <c r="K197" s="42"/>
      <c r="L197" s="44">
        <f t="shared" si="35"/>
        <v>193</v>
      </c>
      <c r="M197" s="44">
        <f t="shared" ref="M197:M260" si="46">IF($A$2="Pounds",5*L197,2.5*L197)</f>
        <v>482.5</v>
      </c>
    </row>
    <row r="198" spans="1:13" ht="12.75" customHeight="1" x14ac:dyDescent="0.25">
      <c r="A198" s="46">
        <f t="shared" si="36"/>
        <v>517.5</v>
      </c>
      <c r="B198" s="41">
        <f t="shared" si="37"/>
        <v>2</v>
      </c>
      <c r="C198" s="42">
        <f t="shared" si="38"/>
        <v>0</v>
      </c>
      <c r="D198" s="41">
        <f t="shared" si="39"/>
        <v>0</v>
      </c>
      <c r="E198" s="42">
        <f t="shared" si="40"/>
        <v>7</v>
      </c>
      <c r="F198" s="41">
        <f t="shared" si="41"/>
        <v>0</v>
      </c>
      <c r="G198" s="42">
        <f t="shared" si="42"/>
        <v>0</v>
      </c>
      <c r="H198" s="41">
        <f t="shared" si="43"/>
        <v>0</v>
      </c>
      <c r="I198" s="42">
        <f t="shared" si="44"/>
        <v>1</v>
      </c>
      <c r="J198" s="41">
        <f t="shared" si="45"/>
        <v>0</v>
      </c>
      <c r="K198" s="42"/>
      <c r="L198" s="44">
        <f t="shared" si="35"/>
        <v>194</v>
      </c>
      <c r="M198" s="44">
        <f t="shared" si="46"/>
        <v>485</v>
      </c>
    </row>
    <row r="199" spans="1:13" ht="12.75" customHeight="1" x14ac:dyDescent="0.25">
      <c r="A199" s="46">
        <f t="shared" si="36"/>
        <v>520</v>
      </c>
      <c r="B199" s="41">
        <f t="shared" si="37"/>
        <v>2</v>
      </c>
      <c r="C199" s="42">
        <f t="shared" si="38"/>
        <v>0</v>
      </c>
      <c r="D199" s="41">
        <f t="shared" si="39"/>
        <v>0</v>
      </c>
      <c r="E199" s="42">
        <f t="shared" si="40"/>
        <v>7</v>
      </c>
      <c r="F199" s="41">
        <f t="shared" si="41"/>
        <v>0</v>
      </c>
      <c r="G199" s="42">
        <f t="shared" si="42"/>
        <v>0</v>
      </c>
      <c r="H199" s="41">
        <f t="shared" si="43"/>
        <v>0</v>
      </c>
      <c r="I199" s="42">
        <f t="shared" si="44"/>
        <v>1</v>
      </c>
      <c r="J199" s="41">
        <f t="shared" si="45"/>
        <v>1</v>
      </c>
      <c r="K199" s="42"/>
      <c r="L199" s="44">
        <f t="shared" si="35"/>
        <v>195</v>
      </c>
      <c r="M199" s="44">
        <f t="shared" si="46"/>
        <v>487.5</v>
      </c>
    </row>
    <row r="200" spans="1:13" ht="12.75" customHeight="1" x14ac:dyDescent="0.25">
      <c r="A200" s="46">
        <f t="shared" si="36"/>
        <v>522.5</v>
      </c>
      <c r="B200" s="41">
        <f t="shared" si="37"/>
        <v>2</v>
      </c>
      <c r="C200" s="42">
        <f t="shared" si="38"/>
        <v>0</v>
      </c>
      <c r="D200" s="41">
        <f t="shared" si="39"/>
        <v>0</v>
      </c>
      <c r="E200" s="42">
        <f t="shared" si="40"/>
        <v>7</v>
      </c>
      <c r="F200" s="41">
        <f t="shared" si="41"/>
        <v>0</v>
      </c>
      <c r="G200" s="42">
        <f t="shared" si="42"/>
        <v>0</v>
      </c>
      <c r="H200" s="41">
        <f t="shared" si="43"/>
        <v>1</v>
      </c>
      <c r="I200" s="42">
        <f t="shared" si="44"/>
        <v>0</v>
      </c>
      <c r="J200" s="41">
        <f t="shared" si="45"/>
        <v>0</v>
      </c>
      <c r="K200" s="42"/>
      <c r="L200" s="44">
        <f t="shared" si="35"/>
        <v>196</v>
      </c>
      <c r="M200" s="44">
        <f t="shared" si="46"/>
        <v>490</v>
      </c>
    </row>
    <row r="201" spans="1:13" ht="12.75" customHeight="1" x14ac:dyDescent="0.25">
      <c r="A201" s="46">
        <f t="shared" si="36"/>
        <v>525</v>
      </c>
      <c r="B201" s="41">
        <f t="shared" si="37"/>
        <v>2</v>
      </c>
      <c r="C201" s="42">
        <f t="shared" si="38"/>
        <v>0</v>
      </c>
      <c r="D201" s="41">
        <f t="shared" si="39"/>
        <v>0</v>
      </c>
      <c r="E201" s="42">
        <f t="shared" si="40"/>
        <v>7</v>
      </c>
      <c r="F201" s="41">
        <f t="shared" si="41"/>
        <v>0</v>
      </c>
      <c r="G201" s="42">
        <f t="shared" si="42"/>
        <v>0</v>
      </c>
      <c r="H201" s="41">
        <f t="shared" si="43"/>
        <v>1</v>
      </c>
      <c r="I201" s="42">
        <f t="shared" si="44"/>
        <v>0</v>
      </c>
      <c r="J201" s="41">
        <f t="shared" si="45"/>
        <v>1</v>
      </c>
      <c r="K201" s="42"/>
      <c r="L201" s="44">
        <f t="shared" si="35"/>
        <v>197</v>
      </c>
      <c r="M201" s="44">
        <f t="shared" si="46"/>
        <v>492.5</v>
      </c>
    </row>
    <row r="202" spans="1:13" ht="12.75" customHeight="1" x14ac:dyDescent="0.25">
      <c r="A202" s="46">
        <f t="shared" si="36"/>
        <v>527.5</v>
      </c>
      <c r="B202" s="41">
        <f t="shared" si="37"/>
        <v>2</v>
      </c>
      <c r="C202" s="42">
        <f t="shared" si="38"/>
        <v>0</v>
      </c>
      <c r="D202" s="41">
        <f t="shared" si="39"/>
        <v>0</v>
      </c>
      <c r="E202" s="42">
        <f t="shared" si="40"/>
        <v>7</v>
      </c>
      <c r="F202" s="41">
        <f t="shared" si="41"/>
        <v>0</v>
      </c>
      <c r="G202" s="42">
        <f t="shared" si="42"/>
        <v>0</v>
      </c>
      <c r="H202" s="41">
        <f t="shared" si="43"/>
        <v>1</v>
      </c>
      <c r="I202" s="42">
        <f t="shared" si="44"/>
        <v>1</v>
      </c>
      <c r="J202" s="41">
        <f t="shared" si="45"/>
        <v>0</v>
      </c>
      <c r="K202" s="42"/>
      <c r="L202" s="44">
        <f t="shared" si="35"/>
        <v>198</v>
      </c>
      <c r="M202" s="44">
        <f t="shared" si="46"/>
        <v>495</v>
      </c>
    </row>
    <row r="203" spans="1:13" ht="12.75" customHeight="1" x14ac:dyDescent="0.25">
      <c r="A203" s="46">
        <f t="shared" si="36"/>
        <v>530</v>
      </c>
      <c r="B203" s="41">
        <f t="shared" si="37"/>
        <v>2</v>
      </c>
      <c r="C203" s="42">
        <f t="shared" si="38"/>
        <v>0</v>
      </c>
      <c r="D203" s="41">
        <f t="shared" si="39"/>
        <v>0</v>
      </c>
      <c r="E203" s="42">
        <f t="shared" si="40"/>
        <v>7</v>
      </c>
      <c r="F203" s="41">
        <f t="shared" si="41"/>
        <v>0</v>
      </c>
      <c r="G203" s="42">
        <f t="shared" si="42"/>
        <v>0</v>
      </c>
      <c r="H203" s="41">
        <f t="shared" si="43"/>
        <v>1</v>
      </c>
      <c r="I203" s="42">
        <f t="shared" si="44"/>
        <v>1</v>
      </c>
      <c r="J203" s="41">
        <f t="shared" si="45"/>
        <v>1</v>
      </c>
      <c r="K203" s="42"/>
      <c r="L203" s="44">
        <f t="shared" si="35"/>
        <v>199</v>
      </c>
      <c r="M203" s="44">
        <f t="shared" si="46"/>
        <v>497.5</v>
      </c>
    </row>
    <row r="204" spans="1:13" ht="12.75" customHeight="1" x14ac:dyDescent="0.25">
      <c r="A204" s="46">
        <f t="shared" si="36"/>
        <v>532.5</v>
      </c>
      <c r="B204" s="41">
        <f t="shared" si="37"/>
        <v>2</v>
      </c>
      <c r="C204" s="42">
        <f t="shared" si="38"/>
        <v>0</v>
      </c>
      <c r="D204" s="41">
        <f t="shared" si="39"/>
        <v>0</v>
      </c>
      <c r="E204" s="42">
        <f t="shared" si="40"/>
        <v>7</v>
      </c>
      <c r="F204" s="41">
        <f t="shared" si="41"/>
        <v>0</v>
      </c>
      <c r="G204" s="42">
        <f t="shared" si="42"/>
        <v>1</v>
      </c>
      <c r="H204" s="41">
        <f t="shared" si="43"/>
        <v>0</v>
      </c>
      <c r="I204" s="42">
        <f t="shared" si="44"/>
        <v>0</v>
      </c>
      <c r="J204" s="41">
        <f t="shared" si="45"/>
        <v>0</v>
      </c>
      <c r="K204" s="42"/>
      <c r="L204" s="44">
        <f t="shared" si="35"/>
        <v>200</v>
      </c>
      <c r="M204" s="44">
        <f t="shared" si="46"/>
        <v>500</v>
      </c>
    </row>
    <row r="205" spans="1:13" ht="12.75" customHeight="1" x14ac:dyDescent="0.25">
      <c r="A205" s="46">
        <f t="shared" si="36"/>
        <v>535</v>
      </c>
      <c r="B205" s="41">
        <f t="shared" si="37"/>
        <v>2</v>
      </c>
      <c r="C205" s="42">
        <f t="shared" si="38"/>
        <v>0</v>
      </c>
      <c r="D205" s="41">
        <f t="shared" si="39"/>
        <v>0</v>
      </c>
      <c r="E205" s="42">
        <f t="shared" si="40"/>
        <v>7</v>
      </c>
      <c r="F205" s="41">
        <f t="shared" si="41"/>
        <v>0</v>
      </c>
      <c r="G205" s="42">
        <f t="shared" si="42"/>
        <v>1</v>
      </c>
      <c r="H205" s="41">
        <f t="shared" si="43"/>
        <v>0</v>
      </c>
      <c r="I205" s="42">
        <f t="shared" si="44"/>
        <v>0</v>
      </c>
      <c r="J205" s="41">
        <f t="shared" si="45"/>
        <v>1</v>
      </c>
      <c r="K205" s="42"/>
      <c r="L205" s="44">
        <f t="shared" ref="L205:L260" si="47">L204+1</f>
        <v>201</v>
      </c>
      <c r="M205" s="44">
        <f t="shared" si="46"/>
        <v>502.5</v>
      </c>
    </row>
    <row r="206" spans="1:13" ht="12.75" customHeight="1" x14ac:dyDescent="0.25">
      <c r="A206" s="46">
        <f t="shared" si="36"/>
        <v>537.5</v>
      </c>
      <c r="B206" s="41">
        <f t="shared" si="37"/>
        <v>2</v>
      </c>
      <c r="C206" s="42">
        <f t="shared" si="38"/>
        <v>0</v>
      </c>
      <c r="D206" s="41">
        <f t="shared" si="39"/>
        <v>0</v>
      </c>
      <c r="E206" s="42">
        <f t="shared" si="40"/>
        <v>7</v>
      </c>
      <c r="F206" s="41">
        <f t="shared" si="41"/>
        <v>0</v>
      </c>
      <c r="G206" s="42">
        <f t="shared" si="42"/>
        <v>1</v>
      </c>
      <c r="H206" s="41">
        <f t="shared" si="43"/>
        <v>0</v>
      </c>
      <c r="I206" s="42">
        <f t="shared" si="44"/>
        <v>1</v>
      </c>
      <c r="J206" s="41">
        <f t="shared" si="45"/>
        <v>0</v>
      </c>
      <c r="K206" s="42"/>
      <c r="L206" s="44">
        <f t="shared" si="47"/>
        <v>202</v>
      </c>
      <c r="M206" s="44">
        <f t="shared" si="46"/>
        <v>505</v>
      </c>
    </row>
    <row r="207" spans="1:13" ht="12.75" customHeight="1" x14ac:dyDescent="0.25">
      <c r="A207" s="46">
        <f t="shared" si="36"/>
        <v>540</v>
      </c>
      <c r="B207" s="41">
        <f t="shared" si="37"/>
        <v>2</v>
      </c>
      <c r="C207" s="42">
        <f t="shared" si="38"/>
        <v>0</v>
      </c>
      <c r="D207" s="41">
        <f t="shared" si="39"/>
        <v>0</v>
      </c>
      <c r="E207" s="42">
        <f t="shared" si="40"/>
        <v>7</v>
      </c>
      <c r="F207" s="41">
        <f t="shared" si="41"/>
        <v>0</v>
      </c>
      <c r="G207" s="42">
        <f t="shared" si="42"/>
        <v>1</v>
      </c>
      <c r="H207" s="41">
        <f t="shared" si="43"/>
        <v>0</v>
      </c>
      <c r="I207" s="42">
        <f t="shared" si="44"/>
        <v>1</v>
      </c>
      <c r="J207" s="41">
        <f t="shared" si="45"/>
        <v>1</v>
      </c>
      <c r="K207" s="42"/>
      <c r="L207" s="44">
        <f t="shared" si="47"/>
        <v>203</v>
      </c>
      <c r="M207" s="44">
        <f t="shared" si="46"/>
        <v>507.5</v>
      </c>
    </row>
    <row r="208" spans="1:13" ht="12.75" customHeight="1" x14ac:dyDescent="0.25">
      <c r="A208" s="46">
        <f t="shared" si="36"/>
        <v>542.5</v>
      </c>
      <c r="B208" s="41">
        <f t="shared" si="37"/>
        <v>2</v>
      </c>
      <c r="C208" s="42">
        <f t="shared" si="38"/>
        <v>0</v>
      </c>
      <c r="D208" s="41">
        <f t="shared" si="39"/>
        <v>0</v>
      </c>
      <c r="E208" s="42">
        <f t="shared" si="40"/>
        <v>7</v>
      </c>
      <c r="F208" s="41">
        <f t="shared" si="41"/>
        <v>1</v>
      </c>
      <c r="G208" s="42">
        <f t="shared" si="42"/>
        <v>0</v>
      </c>
      <c r="H208" s="41">
        <f t="shared" si="43"/>
        <v>0</v>
      </c>
      <c r="I208" s="42">
        <f t="shared" si="44"/>
        <v>0</v>
      </c>
      <c r="J208" s="41">
        <f t="shared" si="45"/>
        <v>0</v>
      </c>
      <c r="K208" s="42"/>
      <c r="L208" s="44">
        <f t="shared" si="47"/>
        <v>204</v>
      </c>
      <c r="M208" s="44">
        <f t="shared" si="46"/>
        <v>510</v>
      </c>
    </row>
    <row r="209" spans="1:13" ht="12.75" customHeight="1" x14ac:dyDescent="0.25">
      <c r="A209" s="46">
        <f t="shared" si="36"/>
        <v>545</v>
      </c>
      <c r="B209" s="41">
        <f t="shared" si="37"/>
        <v>2</v>
      </c>
      <c r="C209" s="42">
        <f t="shared" si="38"/>
        <v>0</v>
      </c>
      <c r="D209" s="41">
        <f t="shared" si="39"/>
        <v>0</v>
      </c>
      <c r="E209" s="42">
        <f t="shared" si="40"/>
        <v>7</v>
      </c>
      <c r="F209" s="41">
        <f t="shared" si="41"/>
        <v>1</v>
      </c>
      <c r="G209" s="42">
        <f t="shared" si="42"/>
        <v>0</v>
      </c>
      <c r="H209" s="41">
        <f t="shared" si="43"/>
        <v>0</v>
      </c>
      <c r="I209" s="42">
        <f t="shared" si="44"/>
        <v>0</v>
      </c>
      <c r="J209" s="41">
        <f t="shared" si="45"/>
        <v>1</v>
      </c>
      <c r="K209" s="42"/>
      <c r="L209" s="44">
        <f t="shared" si="47"/>
        <v>205</v>
      </c>
      <c r="M209" s="44">
        <f t="shared" si="46"/>
        <v>512.5</v>
      </c>
    </row>
    <row r="210" spans="1:13" ht="12.75" customHeight="1" x14ac:dyDescent="0.25">
      <c r="A210" s="46">
        <f t="shared" si="36"/>
        <v>547.5</v>
      </c>
      <c r="B210" s="41">
        <f t="shared" si="37"/>
        <v>2</v>
      </c>
      <c r="C210" s="42">
        <f t="shared" si="38"/>
        <v>0</v>
      </c>
      <c r="D210" s="41">
        <f t="shared" si="39"/>
        <v>0</v>
      </c>
      <c r="E210" s="42">
        <f t="shared" si="40"/>
        <v>7</v>
      </c>
      <c r="F210" s="41">
        <f t="shared" si="41"/>
        <v>1</v>
      </c>
      <c r="G210" s="42">
        <f t="shared" si="42"/>
        <v>0</v>
      </c>
      <c r="H210" s="41">
        <f t="shared" si="43"/>
        <v>0</v>
      </c>
      <c r="I210" s="42">
        <f t="shared" si="44"/>
        <v>1</v>
      </c>
      <c r="J210" s="41">
        <f t="shared" si="45"/>
        <v>0</v>
      </c>
      <c r="K210" s="42"/>
      <c r="L210" s="44">
        <f t="shared" si="47"/>
        <v>206</v>
      </c>
      <c r="M210" s="44">
        <f t="shared" si="46"/>
        <v>515</v>
      </c>
    </row>
    <row r="211" spans="1:13" ht="12.75" customHeight="1" x14ac:dyDescent="0.25">
      <c r="A211" s="46">
        <f t="shared" si="36"/>
        <v>550</v>
      </c>
      <c r="B211" s="41">
        <f t="shared" si="37"/>
        <v>2</v>
      </c>
      <c r="C211" s="42">
        <f t="shared" si="38"/>
        <v>0</v>
      </c>
      <c r="D211" s="41">
        <f t="shared" si="39"/>
        <v>0</v>
      </c>
      <c r="E211" s="42">
        <f t="shared" si="40"/>
        <v>7</v>
      </c>
      <c r="F211" s="41">
        <f t="shared" si="41"/>
        <v>1</v>
      </c>
      <c r="G211" s="42">
        <f t="shared" si="42"/>
        <v>0</v>
      </c>
      <c r="H211" s="41">
        <f t="shared" si="43"/>
        <v>0</v>
      </c>
      <c r="I211" s="42">
        <f t="shared" si="44"/>
        <v>1</v>
      </c>
      <c r="J211" s="41">
        <f t="shared" si="45"/>
        <v>1</v>
      </c>
      <c r="K211" s="42"/>
      <c r="L211" s="44">
        <f t="shared" si="47"/>
        <v>207</v>
      </c>
      <c r="M211" s="44">
        <f t="shared" si="46"/>
        <v>517.5</v>
      </c>
    </row>
    <row r="212" spans="1:13" ht="12.75" customHeight="1" x14ac:dyDescent="0.25">
      <c r="A212" s="46">
        <f t="shared" si="36"/>
        <v>552.5</v>
      </c>
      <c r="B212" s="41">
        <f t="shared" si="37"/>
        <v>2</v>
      </c>
      <c r="C212" s="42">
        <f t="shared" si="38"/>
        <v>0</v>
      </c>
      <c r="D212" s="41">
        <f t="shared" si="39"/>
        <v>0</v>
      </c>
      <c r="E212" s="42">
        <f t="shared" si="40"/>
        <v>8</v>
      </c>
      <c r="F212" s="41">
        <f t="shared" si="41"/>
        <v>0</v>
      </c>
      <c r="G212" s="42">
        <f t="shared" si="42"/>
        <v>0</v>
      </c>
      <c r="H212" s="41">
        <f t="shared" si="43"/>
        <v>0</v>
      </c>
      <c r="I212" s="42">
        <f t="shared" si="44"/>
        <v>0</v>
      </c>
      <c r="J212" s="41">
        <f t="shared" si="45"/>
        <v>0</v>
      </c>
      <c r="K212" s="42"/>
      <c r="L212" s="44">
        <f t="shared" si="47"/>
        <v>208</v>
      </c>
      <c r="M212" s="44">
        <f t="shared" si="46"/>
        <v>520</v>
      </c>
    </row>
    <row r="213" spans="1:13" ht="12.75" customHeight="1" x14ac:dyDescent="0.25">
      <c r="A213" s="46">
        <f t="shared" si="36"/>
        <v>555</v>
      </c>
      <c r="B213" s="41">
        <f t="shared" si="37"/>
        <v>2</v>
      </c>
      <c r="C213" s="42">
        <f t="shared" si="38"/>
        <v>0</v>
      </c>
      <c r="D213" s="41">
        <f t="shared" si="39"/>
        <v>0</v>
      </c>
      <c r="E213" s="42">
        <f t="shared" si="40"/>
        <v>8</v>
      </c>
      <c r="F213" s="41">
        <f t="shared" si="41"/>
        <v>0</v>
      </c>
      <c r="G213" s="42">
        <f t="shared" si="42"/>
        <v>0</v>
      </c>
      <c r="H213" s="41">
        <f t="shared" si="43"/>
        <v>0</v>
      </c>
      <c r="I213" s="42">
        <f t="shared" si="44"/>
        <v>0</v>
      </c>
      <c r="J213" s="41">
        <f t="shared" si="45"/>
        <v>1</v>
      </c>
      <c r="K213" s="42"/>
      <c r="L213" s="44">
        <f t="shared" si="47"/>
        <v>209</v>
      </c>
      <c r="M213" s="44">
        <f t="shared" si="46"/>
        <v>522.5</v>
      </c>
    </row>
    <row r="214" spans="1:13" ht="12.75" customHeight="1" x14ac:dyDescent="0.25">
      <c r="A214" s="46">
        <f t="shared" si="36"/>
        <v>557.5</v>
      </c>
      <c r="B214" s="41">
        <f t="shared" si="37"/>
        <v>2</v>
      </c>
      <c r="C214" s="42">
        <f t="shared" si="38"/>
        <v>0</v>
      </c>
      <c r="D214" s="41">
        <f t="shared" si="39"/>
        <v>0</v>
      </c>
      <c r="E214" s="42">
        <f t="shared" si="40"/>
        <v>8</v>
      </c>
      <c r="F214" s="41">
        <f t="shared" si="41"/>
        <v>0</v>
      </c>
      <c r="G214" s="42">
        <f t="shared" si="42"/>
        <v>0</v>
      </c>
      <c r="H214" s="41">
        <f t="shared" si="43"/>
        <v>0</v>
      </c>
      <c r="I214" s="42">
        <f t="shared" si="44"/>
        <v>1</v>
      </c>
      <c r="J214" s="41">
        <f t="shared" si="45"/>
        <v>0</v>
      </c>
      <c r="K214" s="42"/>
      <c r="L214" s="44">
        <f t="shared" si="47"/>
        <v>210</v>
      </c>
      <c r="M214" s="44">
        <f t="shared" si="46"/>
        <v>525</v>
      </c>
    </row>
    <row r="215" spans="1:13" ht="12.75" customHeight="1" x14ac:dyDescent="0.25">
      <c r="A215" s="46">
        <f t="shared" si="36"/>
        <v>560</v>
      </c>
      <c r="B215" s="41">
        <f t="shared" si="37"/>
        <v>2</v>
      </c>
      <c r="C215" s="42">
        <f t="shared" si="38"/>
        <v>0</v>
      </c>
      <c r="D215" s="41">
        <f t="shared" si="39"/>
        <v>0</v>
      </c>
      <c r="E215" s="42">
        <f t="shared" si="40"/>
        <v>8</v>
      </c>
      <c r="F215" s="41">
        <f t="shared" si="41"/>
        <v>0</v>
      </c>
      <c r="G215" s="42">
        <f t="shared" si="42"/>
        <v>0</v>
      </c>
      <c r="H215" s="41">
        <f t="shared" si="43"/>
        <v>0</v>
      </c>
      <c r="I215" s="42">
        <f t="shared" si="44"/>
        <v>1</v>
      </c>
      <c r="J215" s="41">
        <f t="shared" si="45"/>
        <v>1</v>
      </c>
      <c r="K215" s="42"/>
      <c r="L215" s="44">
        <f t="shared" si="47"/>
        <v>211</v>
      </c>
      <c r="M215" s="44">
        <f t="shared" si="46"/>
        <v>527.5</v>
      </c>
    </row>
    <row r="216" spans="1:13" ht="12.75" customHeight="1" x14ac:dyDescent="0.25">
      <c r="A216" s="46">
        <f t="shared" si="36"/>
        <v>562.5</v>
      </c>
      <c r="B216" s="41">
        <f t="shared" si="37"/>
        <v>2</v>
      </c>
      <c r="C216" s="42">
        <f t="shared" si="38"/>
        <v>0</v>
      </c>
      <c r="D216" s="41">
        <f t="shared" si="39"/>
        <v>0</v>
      </c>
      <c r="E216" s="42">
        <f t="shared" si="40"/>
        <v>8</v>
      </c>
      <c r="F216" s="41">
        <f t="shared" si="41"/>
        <v>0</v>
      </c>
      <c r="G216" s="42">
        <f t="shared" si="42"/>
        <v>0</v>
      </c>
      <c r="H216" s="41">
        <f t="shared" si="43"/>
        <v>1</v>
      </c>
      <c r="I216" s="42">
        <f t="shared" si="44"/>
        <v>0</v>
      </c>
      <c r="J216" s="41">
        <f t="shared" si="45"/>
        <v>0</v>
      </c>
      <c r="K216" s="42"/>
      <c r="L216" s="44">
        <f t="shared" si="47"/>
        <v>212</v>
      </c>
      <c r="M216" s="44">
        <f t="shared" si="46"/>
        <v>530</v>
      </c>
    </row>
    <row r="217" spans="1:13" ht="12.75" customHeight="1" x14ac:dyDescent="0.25">
      <c r="A217" s="46">
        <f t="shared" si="36"/>
        <v>565</v>
      </c>
      <c r="B217" s="41">
        <f t="shared" si="37"/>
        <v>2</v>
      </c>
      <c r="C217" s="42">
        <f t="shared" si="38"/>
        <v>0</v>
      </c>
      <c r="D217" s="41">
        <f t="shared" si="39"/>
        <v>0</v>
      </c>
      <c r="E217" s="42">
        <f t="shared" si="40"/>
        <v>8</v>
      </c>
      <c r="F217" s="41">
        <f t="shared" si="41"/>
        <v>0</v>
      </c>
      <c r="G217" s="42">
        <f t="shared" si="42"/>
        <v>0</v>
      </c>
      <c r="H217" s="41">
        <f t="shared" si="43"/>
        <v>1</v>
      </c>
      <c r="I217" s="42">
        <f t="shared" si="44"/>
        <v>0</v>
      </c>
      <c r="J217" s="41">
        <f t="shared" si="45"/>
        <v>1</v>
      </c>
      <c r="K217" s="42"/>
      <c r="L217" s="44">
        <f t="shared" si="47"/>
        <v>213</v>
      </c>
      <c r="M217" s="44">
        <f t="shared" si="46"/>
        <v>532.5</v>
      </c>
    </row>
    <row r="218" spans="1:13" ht="12.75" customHeight="1" x14ac:dyDescent="0.25">
      <c r="A218" s="46">
        <f t="shared" si="36"/>
        <v>567.5</v>
      </c>
      <c r="B218" s="41">
        <f t="shared" si="37"/>
        <v>2</v>
      </c>
      <c r="C218" s="42">
        <f t="shared" si="38"/>
        <v>0</v>
      </c>
      <c r="D218" s="41">
        <f t="shared" si="39"/>
        <v>0</v>
      </c>
      <c r="E218" s="42">
        <f t="shared" si="40"/>
        <v>8</v>
      </c>
      <c r="F218" s="41">
        <f t="shared" si="41"/>
        <v>0</v>
      </c>
      <c r="G218" s="42">
        <f t="shared" si="42"/>
        <v>0</v>
      </c>
      <c r="H218" s="41">
        <f t="shared" si="43"/>
        <v>1</v>
      </c>
      <c r="I218" s="42">
        <f t="shared" si="44"/>
        <v>1</v>
      </c>
      <c r="J218" s="41">
        <f t="shared" si="45"/>
        <v>0</v>
      </c>
      <c r="K218" s="42"/>
      <c r="L218" s="44">
        <f t="shared" si="47"/>
        <v>214</v>
      </c>
      <c r="M218" s="44">
        <f t="shared" si="46"/>
        <v>535</v>
      </c>
    </row>
    <row r="219" spans="1:13" ht="12.75" customHeight="1" x14ac:dyDescent="0.25">
      <c r="A219" s="46">
        <f t="shared" si="36"/>
        <v>570</v>
      </c>
      <c r="B219" s="41">
        <f t="shared" si="37"/>
        <v>2</v>
      </c>
      <c r="C219" s="42">
        <f t="shared" si="38"/>
        <v>0</v>
      </c>
      <c r="D219" s="41">
        <f t="shared" si="39"/>
        <v>0</v>
      </c>
      <c r="E219" s="42">
        <f t="shared" si="40"/>
        <v>8</v>
      </c>
      <c r="F219" s="41">
        <f t="shared" si="41"/>
        <v>0</v>
      </c>
      <c r="G219" s="42">
        <f t="shared" si="42"/>
        <v>0</v>
      </c>
      <c r="H219" s="41">
        <f t="shared" si="43"/>
        <v>1</v>
      </c>
      <c r="I219" s="42">
        <f t="shared" si="44"/>
        <v>1</v>
      </c>
      <c r="J219" s="41">
        <f t="shared" si="45"/>
        <v>1</v>
      </c>
      <c r="K219" s="42"/>
      <c r="L219" s="44">
        <f t="shared" si="47"/>
        <v>215</v>
      </c>
      <c r="M219" s="44">
        <f t="shared" si="46"/>
        <v>537.5</v>
      </c>
    </row>
    <row r="220" spans="1:13" ht="12.75" customHeight="1" x14ac:dyDescent="0.25">
      <c r="A220" s="46">
        <f t="shared" si="36"/>
        <v>572.5</v>
      </c>
      <c r="B220" s="41">
        <f t="shared" si="37"/>
        <v>2</v>
      </c>
      <c r="C220" s="42">
        <f t="shared" si="38"/>
        <v>0</v>
      </c>
      <c r="D220" s="41">
        <f t="shared" si="39"/>
        <v>0</v>
      </c>
      <c r="E220" s="42">
        <f t="shared" si="40"/>
        <v>8</v>
      </c>
      <c r="F220" s="41">
        <f t="shared" si="41"/>
        <v>0</v>
      </c>
      <c r="G220" s="42">
        <f t="shared" si="42"/>
        <v>1</v>
      </c>
      <c r="H220" s="41">
        <f t="shared" si="43"/>
        <v>0</v>
      </c>
      <c r="I220" s="42">
        <f t="shared" si="44"/>
        <v>0</v>
      </c>
      <c r="J220" s="41">
        <f t="shared" si="45"/>
        <v>0</v>
      </c>
      <c r="K220" s="42"/>
      <c r="L220" s="44">
        <f t="shared" si="47"/>
        <v>216</v>
      </c>
      <c r="M220" s="44">
        <f t="shared" si="46"/>
        <v>540</v>
      </c>
    </row>
    <row r="221" spans="1:13" ht="12.75" customHeight="1" x14ac:dyDescent="0.25">
      <c r="A221" s="46">
        <f t="shared" si="36"/>
        <v>575</v>
      </c>
      <c r="B221" s="41">
        <f t="shared" si="37"/>
        <v>2</v>
      </c>
      <c r="C221" s="42">
        <f t="shared" si="38"/>
        <v>0</v>
      </c>
      <c r="D221" s="41">
        <f t="shared" si="39"/>
        <v>0</v>
      </c>
      <c r="E221" s="42">
        <f t="shared" si="40"/>
        <v>8</v>
      </c>
      <c r="F221" s="41">
        <f t="shared" si="41"/>
        <v>0</v>
      </c>
      <c r="G221" s="42">
        <f t="shared" si="42"/>
        <v>1</v>
      </c>
      <c r="H221" s="41">
        <f t="shared" si="43"/>
        <v>0</v>
      </c>
      <c r="I221" s="42">
        <f t="shared" si="44"/>
        <v>0</v>
      </c>
      <c r="J221" s="41">
        <f t="shared" si="45"/>
        <v>1</v>
      </c>
      <c r="K221" s="42"/>
      <c r="L221" s="44">
        <f t="shared" si="47"/>
        <v>217</v>
      </c>
      <c r="M221" s="44">
        <f t="shared" si="46"/>
        <v>542.5</v>
      </c>
    </row>
    <row r="222" spans="1:13" ht="12.75" customHeight="1" x14ac:dyDescent="0.25">
      <c r="A222" s="46">
        <f t="shared" si="36"/>
        <v>577.5</v>
      </c>
      <c r="B222" s="41">
        <f t="shared" si="37"/>
        <v>2</v>
      </c>
      <c r="C222" s="42">
        <f t="shared" si="38"/>
        <v>0</v>
      </c>
      <c r="D222" s="41">
        <f t="shared" si="39"/>
        <v>0</v>
      </c>
      <c r="E222" s="42">
        <f t="shared" si="40"/>
        <v>8</v>
      </c>
      <c r="F222" s="41">
        <f t="shared" si="41"/>
        <v>0</v>
      </c>
      <c r="G222" s="42">
        <f t="shared" si="42"/>
        <v>1</v>
      </c>
      <c r="H222" s="41">
        <f t="shared" si="43"/>
        <v>0</v>
      </c>
      <c r="I222" s="42">
        <f t="shared" si="44"/>
        <v>1</v>
      </c>
      <c r="J222" s="41">
        <f t="shared" si="45"/>
        <v>0</v>
      </c>
      <c r="K222" s="42"/>
      <c r="L222" s="44">
        <f t="shared" si="47"/>
        <v>218</v>
      </c>
      <c r="M222" s="44">
        <f t="shared" si="46"/>
        <v>545</v>
      </c>
    </row>
    <row r="223" spans="1:13" ht="12.75" customHeight="1" x14ac:dyDescent="0.25">
      <c r="A223" s="46">
        <f t="shared" si="36"/>
        <v>580</v>
      </c>
      <c r="B223" s="41">
        <f t="shared" si="37"/>
        <v>2</v>
      </c>
      <c r="C223" s="42">
        <f t="shared" si="38"/>
        <v>0</v>
      </c>
      <c r="D223" s="41">
        <f t="shared" si="39"/>
        <v>0</v>
      </c>
      <c r="E223" s="42">
        <f t="shared" si="40"/>
        <v>8</v>
      </c>
      <c r="F223" s="41">
        <f t="shared" si="41"/>
        <v>0</v>
      </c>
      <c r="G223" s="42">
        <f t="shared" si="42"/>
        <v>1</v>
      </c>
      <c r="H223" s="41">
        <f t="shared" si="43"/>
        <v>0</v>
      </c>
      <c r="I223" s="42">
        <f t="shared" si="44"/>
        <v>1</v>
      </c>
      <c r="J223" s="41">
        <f t="shared" si="45"/>
        <v>1</v>
      </c>
      <c r="K223" s="42"/>
      <c r="L223" s="44">
        <f t="shared" si="47"/>
        <v>219</v>
      </c>
      <c r="M223" s="44">
        <f t="shared" si="46"/>
        <v>547.5</v>
      </c>
    </row>
    <row r="224" spans="1:13" ht="12.75" customHeight="1" x14ac:dyDescent="0.25">
      <c r="A224" s="46">
        <f t="shared" si="36"/>
        <v>582.5</v>
      </c>
      <c r="B224" s="41">
        <f t="shared" si="37"/>
        <v>2</v>
      </c>
      <c r="C224" s="42">
        <f t="shared" si="38"/>
        <v>0</v>
      </c>
      <c r="D224" s="41">
        <f t="shared" si="39"/>
        <v>0</v>
      </c>
      <c r="E224" s="42">
        <f t="shared" si="40"/>
        <v>8</v>
      </c>
      <c r="F224" s="41">
        <f t="shared" si="41"/>
        <v>1</v>
      </c>
      <c r="G224" s="42">
        <f t="shared" si="42"/>
        <v>0</v>
      </c>
      <c r="H224" s="41">
        <f t="shared" si="43"/>
        <v>0</v>
      </c>
      <c r="I224" s="42">
        <f t="shared" si="44"/>
        <v>0</v>
      </c>
      <c r="J224" s="41">
        <f t="shared" si="45"/>
        <v>0</v>
      </c>
      <c r="K224" s="42"/>
      <c r="L224" s="44">
        <f t="shared" si="47"/>
        <v>220</v>
      </c>
      <c r="M224" s="44">
        <f t="shared" si="46"/>
        <v>550</v>
      </c>
    </row>
    <row r="225" spans="1:13" ht="12.75" customHeight="1" x14ac:dyDescent="0.25">
      <c r="A225" s="46">
        <f t="shared" si="36"/>
        <v>585</v>
      </c>
      <c r="B225" s="41">
        <f t="shared" si="37"/>
        <v>2</v>
      </c>
      <c r="C225" s="42">
        <f t="shared" si="38"/>
        <v>0</v>
      </c>
      <c r="D225" s="41">
        <f t="shared" si="39"/>
        <v>0</v>
      </c>
      <c r="E225" s="42">
        <f t="shared" si="40"/>
        <v>8</v>
      </c>
      <c r="F225" s="41">
        <f t="shared" si="41"/>
        <v>1</v>
      </c>
      <c r="G225" s="42">
        <f t="shared" si="42"/>
        <v>0</v>
      </c>
      <c r="H225" s="41">
        <f t="shared" si="43"/>
        <v>0</v>
      </c>
      <c r="I225" s="42">
        <f t="shared" si="44"/>
        <v>0</v>
      </c>
      <c r="J225" s="41">
        <f t="shared" si="45"/>
        <v>1</v>
      </c>
      <c r="K225" s="42"/>
      <c r="L225" s="44">
        <f t="shared" si="47"/>
        <v>221</v>
      </c>
      <c r="M225" s="44">
        <f t="shared" si="46"/>
        <v>552.5</v>
      </c>
    </row>
    <row r="226" spans="1:13" ht="12.75" customHeight="1" x14ac:dyDescent="0.25">
      <c r="A226" s="46">
        <f t="shared" si="36"/>
        <v>587.5</v>
      </c>
      <c r="B226" s="41">
        <f t="shared" si="37"/>
        <v>2</v>
      </c>
      <c r="C226" s="42">
        <f t="shared" si="38"/>
        <v>0</v>
      </c>
      <c r="D226" s="41">
        <f t="shared" si="39"/>
        <v>0</v>
      </c>
      <c r="E226" s="42">
        <f t="shared" si="40"/>
        <v>8</v>
      </c>
      <c r="F226" s="41">
        <f t="shared" si="41"/>
        <v>1</v>
      </c>
      <c r="G226" s="42">
        <f t="shared" si="42"/>
        <v>0</v>
      </c>
      <c r="H226" s="41">
        <f t="shared" si="43"/>
        <v>0</v>
      </c>
      <c r="I226" s="42">
        <f t="shared" si="44"/>
        <v>1</v>
      </c>
      <c r="J226" s="41">
        <f t="shared" si="45"/>
        <v>0</v>
      </c>
      <c r="K226" s="42"/>
      <c r="L226" s="44">
        <f t="shared" si="47"/>
        <v>222</v>
      </c>
      <c r="M226" s="44">
        <f t="shared" si="46"/>
        <v>555</v>
      </c>
    </row>
    <row r="227" spans="1:13" ht="12.75" customHeight="1" x14ac:dyDescent="0.25">
      <c r="A227" s="46">
        <f t="shared" si="36"/>
        <v>590</v>
      </c>
      <c r="B227" s="41">
        <f t="shared" si="37"/>
        <v>2</v>
      </c>
      <c r="C227" s="42">
        <f t="shared" si="38"/>
        <v>0</v>
      </c>
      <c r="D227" s="41">
        <f t="shared" si="39"/>
        <v>0</v>
      </c>
      <c r="E227" s="42">
        <f t="shared" si="40"/>
        <v>8</v>
      </c>
      <c r="F227" s="41">
        <f t="shared" si="41"/>
        <v>1</v>
      </c>
      <c r="G227" s="42">
        <f t="shared" si="42"/>
        <v>0</v>
      </c>
      <c r="H227" s="41">
        <f t="shared" si="43"/>
        <v>0</v>
      </c>
      <c r="I227" s="42">
        <f t="shared" si="44"/>
        <v>1</v>
      </c>
      <c r="J227" s="41">
        <f t="shared" si="45"/>
        <v>1</v>
      </c>
      <c r="K227" s="42"/>
      <c r="L227" s="44">
        <f t="shared" si="47"/>
        <v>223</v>
      </c>
      <c r="M227" s="44">
        <f t="shared" si="46"/>
        <v>557.5</v>
      </c>
    </row>
    <row r="228" spans="1:13" ht="12.75" customHeight="1" x14ac:dyDescent="0.25">
      <c r="A228" s="46">
        <f t="shared" si="36"/>
        <v>592.5</v>
      </c>
      <c r="B228" s="41">
        <f t="shared" si="37"/>
        <v>2</v>
      </c>
      <c r="C228" s="42">
        <f t="shared" si="38"/>
        <v>0</v>
      </c>
      <c r="D228" s="41">
        <f t="shared" si="39"/>
        <v>0</v>
      </c>
      <c r="E228" s="42">
        <f t="shared" si="40"/>
        <v>8</v>
      </c>
      <c r="F228" s="41">
        <f t="shared" si="41"/>
        <v>1</v>
      </c>
      <c r="G228" s="42">
        <f t="shared" si="42"/>
        <v>0</v>
      </c>
      <c r="H228" s="41">
        <f t="shared" si="43"/>
        <v>1</v>
      </c>
      <c r="I228" s="42">
        <f t="shared" si="44"/>
        <v>0</v>
      </c>
      <c r="J228" s="41">
        <f t="shared" si="45"/>
        <v>0</v>
      </c>
      <c r="K228" s="42"/>
      <c r="L228" s="44">
        <f t="shared" si="47"/>
        <v>224</v>
      </c>
      <c r="M228" s="44">
        <f t="shared" si="46"/>
        <v>560</v>
      </c>
    </row>
    <row r="229" spans="1:13" ht="12.75" customHeight="1" x14ac:dyDescent="0.25">
      <c r="A229" s="46">
        <f t="shared" si="36"/>
        <v>595</v>
      </c>
      <c r="B229" s="41">
        <f t="shared" si="37"/>
        <v>2</v>
      </c>
      <c r="C229" s="42">
        <f t="shared" si="38"/>
        <v>0</v>
      </c>
      <c r="D229" s="41">
        <f t="shared" si="39"/>
        <v>0</v>
      </c>
      <c r="E229" s="42">
        <f t="shared" si="40"/>
        <v>8</v>
      </c>
      <c r="F229" s="41">
        <f t="shared" si="41"/>
        <v>1</v>
      </c>
      <c r="G229" s="42">
        <f t="shared" si="42"/>
        <v>0</v>
      </c>
      <c r="H229" s="41">
        <f t="shared" si="43"/>
        <v>1</v>
      </c>
      <c r="I229" s="42">
        <f t="shared" si="44"/>
        <v>0</v>
      </c>
      <c r="J229" s="41">
        <f t="shared" si="45"/>
        <v>1</v>
      </c>
      <c r="K229" s="42"/>
      <c r="L229" s="44">
        <f t="shared" si="47"/>
        <v>225</v>
      </c>
      <c r="M229" s="44">
        <f t="shared" si="46"/>
        <v>562.5</v>
      </c>
    </row>
    <row r="230" spans="1:13" ht="12.75" customHeight="1" x14ac:dyDescent="0.25">
      <c r="A230" s="46">
        <f t="shared" si="36"/>
        <v>597.5</v>
      </c>
      <c r="B230" s="41">
        <f t="shared" si="37"/>
        <v>2</v>
      </c>
      <c r="C230" s="42">
        <f t="shared" si="38"/>
        <v>0</v>
      </c>
      <c r="D230" s="41">
        <f t="shared" si="39"/>
        <v>0</v>
      </c>
      <c r="E230" s="42">
        <f t="shared" si="40"/>
        <v>8</v>
      </c>
      <c r="F230" s="41">
        <f t="shared" si="41"/>
        <v>1</v>
      </c>
      <c r="G230" s="42">
        <f t="shared" si="42"/>
        <v>0</v>
      </c>
      <c r="H230" s="41">
        <f t="shared" si="43"/>
        <v>1</v>
      </c>
      <c r="I230" s="42">
        <f t="shared" si="44"/>
        <v>1</v>
      </c>
      <c r="J230" s="41">
        <f t="shared" si="45"/>
        <v>0</v>
      </c>
      <c r="K230" s="42"/>
      <c r="L230" s="44">
        <f t="shared" si="47"/>
        <v>226</v>
      </c>
      <c r="M230" s="44">
        <f t="shared" si="46"/>
        <v>565</v>
      </c>
    </row>
    <row r="231" spans="1:13" ht="12.75" customHeight="1" x14ac:dyDescent="0.25">
      <c r="A231" s="46">
        <f t="shared" si="36"/>
        <v>600</v>
      </c>
      <c r="B231" s="41">
        <f t="shared" si="37"/>
        <v>2</v>
      </c>
      <c r="C231" s="42">
        <f t="shared" si="38"/>
        <v>0</v>
      </c>
      <c r="D231" s="41">
        <f t="shared" si="39"/>
        <v>0</v>
      </c>
      <c r="E231" s="42">
        <f t="shared" si="40"/>
        <v>8</v>
      </c>
      <c r="F231" s="41">
        <f t="shared" si="41"/>
        <v>1</v>
      </c>
      <c r="G231" s="42">
        <f t="shared" si="42"/>
        <v>0</v>
      </c>
      <c r="H231" s="41">
        <f t="shared" si="43"/>
        <v>1</v>
      </c>
      <c r="I231" s="42">
        <f t="shared" si="44"/>
        <v>1</v>
      </c>
      <c r="J231" s="41">
        <f t="shared" si="45"/>
        <v>1</v>
      </c>
      <c r="K231" s="42"/>
      <c r="L231" s="44">
        <f t="shared" si="47"/>
        <v>227</v>
      </c>
      <c r="M231" s="44">
        <f t="shared" si="46"/>
        <v>567.5</v>
      </c>
    </row>
    <row r="232" spans="1:13" ht="12.75" customHeight="1" x14ac:dyDescent="0.25">
      <c r="A232" s="46">
        <f t="shared" si="36"/>
        <v>602.5</v>
      </c>
      <c r="B232" s="41">
        <f t="shared" si="37"/>
        <v>2</v>
      </c>
      <c r="C232" s="42">
        <f t="shared" si="38"/>
        <v>0</v>
      </c>
      <c r="D232" s="41">
        <f t="shared" si="39"/>
        <v>0</v>
      </c>
      <c r="E232" s="42">
        <f t="shared" si="40"/>
        <v>8</v>
      </c>
      <c r="F232" s="41">
        <f t="shared" si="41"/>
        <v>1</v>
      </c>
      <c r="G232" s="42">
        <f t="shared" si="42"/>
        <v>1</v>
      </c>
      <c r="H232" s="41">
        <f t="shared" si="43"/>
        <v>0</v>
      </c>
      <c r="I232" s="42">
        <f t="shared" si="44"/>
        <v>0</v>
      </c>
      <c r="J232" s="41">
        <f t="shared" si="45"/>
        <v>0</v>
      </c>
      <c r="K232" s="42"/>
      <c r="L232" s="44">
        <f t="shared" si="47"/>
        <v>228</v>
      </c>
      <c r="M232" s="44">
        <f t="shared" si="46"/>
        <v>570</v>
      </c>
    </row>
    <row r="233" spans="1:13" ht="12.75" customHeight="1" x14ac:dyDescent="0.25">
      <c r="A233" s="46">
        <f t="shared" si="36"/>
        <v>605</v>
      </c>
      <c r="B233" s="41">
        <f t="shared" si="37"/>
        <v>2</v>
      </c>
      <c r="C233" s="42">
        <f t="shared" si="38"/>
        <v>0</v>
      </c>
      <c r="D233" s="41">
        <f t="shared" si="39"/>
        <v>0</v>
      </c>
      <c r="E233" s="42">
        <f t="shared" si="40"/>
        <v>8</v>
      </c>
      <c r="F233" s="41">
        <f t="shared" si="41"/>
        <v>1</v>
      </c>
      <c r="G233" s="42">
        <f t="shared" si="42"/>
        <v>1</v>
      </c>
      <c r="H233" s="41">
        <f t="shared" si="43"/>
        <v>0</v>
      </c>
      <c r="I233" s="42">
        <f t="shared" si="44"/>
        <v>0</v>
      </c>
      <c r="J233" s="41">
        <f t="shared" si="45"/>
        <v>1</v>
      </c>
      <c r="K233" s="42"/>
      <c r="L233" s="44">
        <f t="shared" si="47"/>
        <v>229</v>
      </c>
      <c r="M233" s="44">
        <f t="shared" si="46"/>
        <v>572.5</v>
      </c>
    </row>
    <row r="234" spans="1:13" ht="12.75" customHeight="1" x14ac:dyDescent="0.25">
      <c r="A234" s="46">
        <f t="shared" si="36"/>
        <v>607.5</v>
      </c>
      <c r="B234" s="41">
        <f t="shared" si="37"/>
        <v>2</v>
      </c>
      <c r="C234" s="42">
        <f t="shared" si="38"/>
        <v>0</v>
      </c>
      <c r="D234" s="41">
        <f t="shared" si="39"/>
        <v>0</v>
      </c>
      <c r="E234" s="42">
        <f t="shared" si="40"/>
        <v>8</v>
      </c>
      <c r="F234" s="41">
        <f t="shared" si="41"/>
        <v>1</v>
      </c>
      <c r="G234" s="42">
        <f t="shared" si="42"/>
        <v>1</v>
      </c>
      <c r="H234" s="41">
        <f t="shared" si="43"/>
        <v>0</v>
      </c>
      <c r="I234" s="42">
        <f t="shared" si="44"/>
        <v>1</v>
      </c>
      <c r="J234" s="41">
        <f t="shared" si="45"/>
        <v>0</v>
      </c>
      <c r="K234" s="42"/>
      <c r="L234" s="44">
        <f t="shared" si="47"/>
        <v>230</v>
      </c>
      <c r="M234" s="44">
        <f t="shared" si="46"/>
        <v>575</v>
      </c>
    </row>
    <row r="235" spans="1:13" ht="12.75" customHeight="1" x14ac:dyDescent="0.25">
      <c r="A235" s="46">
        <f t="shared" si="36"/>
        <v>610</v>
      </c>
      <c r="B235" s="41">
        <f t="shared" si="37"/>
        <v>2</v>
      </c>
      <c r="C235" s="42">
        <f t="shared" si="38"/>
        <v>0</v>
      </c>
      <c r="D235" s="41">
        <f t="shared" si="39"/>
        <v>0</v>
      </c>
      <c r="E235" s="42">
        <f t="shared" si="40"/>
        <v>8</v>
      </c>
      <c r="F235" s="41">
        <f t="shared" si="41"/>
        <v>1</v>
      </c>
      <c r="G235" s="42">
        <f t="shared" si="42"/>
        <v>1</v>
      </c>
      <c r="H235" s="41">
        <f t="shared" si="43"/>
        <v>0</v>
      </c>
      <c r="I235" s="42">
        <f t="shared" si="44"/>
        <v>1</v>
      </c>
      <c r="J235" s="41">
        <f t="shared" si="45"/>
        <v>1</v>
      </c>
      <c r="K235" s="42"/>
      <c r="L235" s="44">
        <f t="shared" si="47"/>
        <v>231</v>
      </c>
      <c r="M235" s="44">
        <f t="shared" si="46"/>
        <v>577.5</v>
      </c>
    </row>
    <row r="236" spans="1:13" ht="12.75" customHeight="1" x14ac:dyDescent="0.25">
      <c r="A236" s="46">
        <f t="shared" si="36"/>
        <v>612.5</v>
      </c>
      <c r="B236" s="41">
        <f t="shared" si="37"/>
        <v>2</v>
      </c>
      <c r="C236" s="42">
        <f t="shared" si="38"/>
        <v>0</v>
      </c>
      <c r="D236" s="41">
        <f t="shared" si="39"/>
        <v>0</v>
      </c>
      <c r="E236" s="42">
        <f t="shared" si="40"/>
        <v>8</v>
      </c>
      <c r="F236" s="41">
        <f t="shared" si="41"/>
        <v>1</v>
      </c>
      <c r="G236" s="42">
        <f t="shared" si="42"/>
        <v>1</v>
      </c>
      <c r="H236" s="41">
        <f t="shared" si="43"/>
        <v>1</v>
      </c>
      <c r="I236" s="42">
        <f t="shared" si="44"/>
        <v>0</v>
      </c>
      <c r="J236" s="41">
        <f t="shared" si="45"/>
        <v>0</v>
      </c>
      <c r="K236" s="42"/>
      <c r="L236" s="44">
        <f t="shared" si="47"/>
        <v>232</v>
      </c>
      <c r="M236" s="44">
        <f t="shared" si="46"/>
        <v>580</v>
      </c>
    </row>
    <row r="237" spans="1:13" ht="12.75" customHeight="1" x14ac:dyDescent="0.25">
      <c r="A237" s="46">
        <f t="shared" si="36"/>
        <v>615</v>
      </c>
      <c r="B237" s="41">
        <f t="shared" si="37"/>
        <v>2</v>
      </c>
      <c r="C237" s="42">
        <f t="shared" si="38"/>
        <v>0</v>
      </c>
      <c r="D237" s="41">
        <f t="shared" si="39"/>
        <v>0</v>
      </c>
      <c r="E237" s="42">
        <f t="shared" si="40"/>
        <v>8</v>
      </c>
      <c r="F237" s="41">
        <f t="shared" si="41"/>
        <v>1</v>
      </c>
      <c r="G237" s="42">
        <f t="shared" si="42"/>
        <v>1</v>
      </c>
      <c r="H237" s="41">
        <f t="shared" si="43"/>
        <v>1</v>
      </c>
      <c r="I237" s="42">
        <f t="shared" si="44"/>
        <v>0</v>
      </c>
      <c r="J237" s="41">
        <f t="shared" si="45"/>
        <v>1</v>
      </c>
      <c r="K237" s="42"/>
      <c r="L237" s="44">
        <f t="shared" si="47"/>
        <v>233</v>
      </c>
      <c r="M237" s="44">
        <f t="shared" si="46"/>
        <v>582.5</v>
      </c>
    </row>
    <row r="238" spans="1:13" ht="12.75" customHeight="1" x14ac:dyDescent="0.25">
      <c r="A238" s="46">
        <f t="shared" si="36"/>
        <v>617.5</v>
      </c>
      <c r="B238" s="41">
        <f t="shared" si="37"/>
        <v>2</v>
      </c>
      <c r="C238" s="42">
        <f t="shared" si="38"/>
        <v>0</v>
      </c>
      <c r="D238" s="41">
        <f t="shared" si="39"/>
        <v>0</v>
      </c>
      <c r="E238" s="42">
        <f t="shared" si="40"/>
        <v>8</v>
      </c>
      <c r="F238" s="41">
        <f t="shared" si="41"/>
        <v>1</v>
      </c>
      <c r="G238" s="42">
        <f t="shared" si="42"/>
        <v>1</v>
      </c>
      <c r="H238" s="41">
        <f t="shared" si="43"/>
        <v>1</v>
      </c>
      <c r="I238" s="42">
        <f t="shared" si="44"/>
        <v>1</v>
      </c>
      <c r="J238" s="41">
        <f t="shared" si="45"/>
        <v>0</v>
      </c>
      <c r="K238" s="42"/>
      <c r="L238" s="44">
        <f t="shared" si="47"/>
        <v>234</v>
      </c>
      <c r="M238" s="44">
        <f t="shared" si="46"/>
        <v>585</v>
      </c>
    </row>
    <row r="239" spans="1:13" ht="12.75" customHeight="1" x14ac:dyDescent="0.25">
      <c r="A239" s="46">
        <f t="shared" si="36"/>
        <v>620</v>
      </c>
      <c r="B239" s="41">
        <f t="shared" si="37"/>
        <v>2</v>
      </c>
      <c r="C239" s="42">
        <f t="shared" si="38"/>
        <v>0</v>
      </c>
      <c r="D239" s="41">
        <f t="shared" si="39"/>
        <v>0</v>
      </c>
      <c r="E239" s="42">
        <f t="shared" si="40"/>
        <v>8</v>
      </c>
      <c r="F239" s="41">
        <f t="shared" si="41"/>
        <v>1</v>
      </c>
      <c r="G239" s="42">
        <f t="shared" si="42"/>
        <v>1</v>
      </c>
      <c r="H239" s="41">
        <f t="shared" si="43"/>
        <v>1</v>
      </c>
      <c r="I239" s="42">
        <f t="shared" si="44"/>
        <v>1</v>
      </c>
      <c r="J239" s="41">
        <f t="shared" si="45"/>
        <v>1</v>
      </c>
      <c r="K239" s="42"/>
      <c r="L239" s="44">
        <f t="shared" si="47"/>
        <v>235</v>
      </c>
      <c r="M239" s="44">
        <f t="shared" si="46"/>
        <v>587.5</v>
      </c>
    </row>
    <row r="240" spans="1:13" ht="12.75" customHeight="1" x14ac:dyDescent="0.25">
      <c r="A240" s="46">
        <f t="shared" si="36"/>
        <v>622.5</v>
      </c>
      <c r="B240" s="41">
        <f t="shared" si="37"/>
        <v>2</v>
      </c>
      <c r="C240" s="42">
        <f t="shared" si="38"/>
        <v>0</v>
      </c>
      <c r="D240" s="41">
        <f t="shared" si="39"/>
        <v>0</v>
      </c>
      <c r="E240" s="42">
        <f t="shared" si="40"/>
        <v>8</v>
      </c>
      <c r="F240" s="41">
        <f t="shared" si="41"/>
        <v>1</v>
      </c>
      <c r="G240" s="42">
        <f t="shared" si="42"/>
        <v>1</v>
      </c>
      <c r="H240" s="41">
        <f t="shared" si="43"/>
        <v>2</v>
      </c>
      <c r="I240" s="42">
        <f t="shared" si="44"/>
        <v>0</v>
      </c>
      <c r="J240" s="41">
        <f t="shared" si="45"/>
        <v>0</v>
      </c>
      <c r="K240" s="42"/>
      <c r="L240" s="44">
        <f t="shared" si="47"/>
        <v>236</v>
      </c>
      <c r="M240" s="44">
        <f t="shared" si="46"/>
        <v>590</v>
      </c>
    </row>
    <row r="241" spans="1:13" ht="12.75" customHeight="1" x14ac:dyDescent="0.25">
      <c r="A241" s="46">
        <f t="shared" si="36"/>
        <v>625</v>
      </c>
      <c r="B241" s="41">
        <f t="shared" si="37"/>
        <v>2</v>
      </c>
      <c r="C241" s="42">
        <f t="shared" si="38"/>
        <v>0</v>
      </c>
      <c r="D241" s="41">
        <f t="shared" si="39"/>
        <v>0</v>
      </c>
      <c r="E241" s="42">
        <f t="shared" si="40"/>
        <v>8</v>
      </c>
      <c r="F241" s="41">
        <f t="shared" si="41"/>
        <v>1</v>
      </c>
      <c r="G241" s="42">
        <f t="shared" si="42"/>
        <v>1</v>
      </c>
      <c r="H241" s="41">
        <f t="shared" si="43"/>
        <v>2</v>
      </c>
      <c r="I241" s="42">
        <f t="shared" si="44"/>
        <v>0</v>
      </c>
      <c r="J241" s="41">
        <f t="shared" si="45"/>
        <v>1</v>
      </c>
      <c r="K241" s="42"/>
      <c r="L241" s="44">
        <f t="shared" si="47"/>
        <v>237</v>
      </c>
      <c r="M241" s="44">
        <f t="shared" si="46"/>
        <v>592.5</v>
      </c>
    </row>
    <row r="242" spans="1:13" ht="12.75" customHeight="1" x14ac:dyDescent="0.25">
      <c r="A242" s="46">
        <f t="shared" si="36"/>
        <v>627.5</v>
      </c>
      <c r="B242" s="41">
        <f t="shared" si="37"/>
        <v>2</v>
      </c>
      <c r="C242" s="42">
        <f t="shared" si="38"/>
        <v>0</v>
      </c>
      <c r="D242" s="41">
        <f t="shared" si="39"/>
        <v>0</v>
      </c>
      <c r="E242" s="42">
        <f t="shared" si="40"/>
        <v>8</v>
      </c>
      <c r="F242" s="41">
        <f t="shared" si="41"/>
        <v>1</v>
      </c>
      <c r="G242" s="42">
        <f t="shared" si="42"/>
        <v>1</v>
      </c>
      <c r="H242" s="41">
        <f t="shared" si="43"/>
        <v>2</v>
      </c>
      <c r="I242" s="42">
        <f t="shared" si="44"/>
        <v>1</v>
      </c>
      <c r="J242" s="41">
        <f t="shared" si="45"/>
        <v>0</v>
      </c>
      <c r="K242" s="42"/>
      <c r="L242" s="44">
        <f t="shared" si="47"/>
        <v>238</v>
      </c>
      <c r="M242" s="44">
        <f t="shared" si="46"/>
        <v>595</v>
      </c>
    </row>
    <row r="243" spans="1:13" ht="12.75" customHeight="1" x14ac:dyDescent="0.25">
      <c r="A243" s="46">
        <f t="shared" si="36"/>
        <v>630</v>
      </c>
      <c r="B243" s="41">
        <f t="shared" si="37"/>
        <v>2</v>
      </c>
      <c r="C243" s="42">
        <f t="shared" si="38"/>
        <v>0</v>
      </c>
      <c r="D243" s="41">
        <f t="shared" si="39"/>
        <v>0</v>
      </c>
      <c r="E243" s="42">
        <f t="shared" si="40"/>
        <v>8</v>
      </c>
      <c r="F243" s="41">
        <f t="shared" si="41"/>
        <v>1</v>
      </c>
      <c r="G243" s="42">
        <f t="shared" si="42"/>
        <v>1</v>
      </c>
      <c r="H243" s="41">
        <f t="shared" si="43"/>
        <v>2</v>
      </c>
      <c r="I243" s="42">
        <f t="shared" si="44"/>
        <v>1</v>
      </c>
      <c r="J243" s="41">
        <f t="shared" si="45"/>
        <v>1</v>
      </c>
      <c r="K243" s="42"/>
      <c r="L243" s="44">
        <f t="shared" si="47"/>
        <v>239</v>
      </c>
      <c r="M243" s="44">
        <f t="shared" si="46"/>
        <v>597.5</v>
      </c>
    </row>
    <row r="244" spans="1:13" ht="12.75" customHeight="1" x14ac:dyDescent="0.25">
      <c r="A244" s="46">
        <f t="shared" si="36"/>
        <v>0</v>
      </c>
      <c r="B244" s="41">
        <f t="shared" si="37"/>
        <v>0</v>
      </c>
      <c r="C244" s="42">
        <f t="shared" si="38"/>
        <v>0</v>
      </c>
      <c r="D244" s="41">
        <f t="shared" si="39"/>
        <v>0</v>
      </c>
      <c r="E244" s="42">
        <f t="shared" si="40"/>
        <v>0</v>
      </c>
      <c r="F244" s="41">
        <f t="shared" si="41"/>
        <v>0</v>
      </c>
      <c r="G244" s="42">
        <f t="shared" si="42"/>
        <v>0</v>
      </c>
      <c r="H244" s="41">
        <f t="shared" si="43"/>
        <v>0</v>
      </c>
      <c r="I244" s="42">
        <f t="shared" si="44"/>
        <v>0</v>
      </c>
      <c r="J244" s="41">
        <f t="shared" si="45"/>
        <v>0</v>
      </c>
      <c r="K244" s="42"/>
      <c r="L244" s="44">
        <f t="shared" si="47"/>
        <v>240</v>
      </c>
      <c r="M244" s="44">
        <f t="shared" si="46"/>
        <v>600</v>
      </c>
    </row>
    <row r="245" spans="1:13" ht="12.75" customHeight="1" x14ac:dyDescent="0.25">
      <c r="A245" s="46">
        <f t="shared" si="36"/>
        <v>0</v>
      </c>
      <c r="B245" s="41">
        <f t="shared" si="37"/>
        <v>0</v>
      </c>
      <c r="C245" s="42">
        <f t="shared" si="38"/>
        <v>0</v>
      </c>
      <c r="D245" s="41">
        <f t="shared" si="39"/>
        <v>0</v>
      </c>
      <c r="E245" s="42">
        <f t="shared" si="40"/>
        <v>0</v>
      </c>
      <c r="F245" s="41">
        <f t="shared" si="41"/>
        <v>0</v>
      </c>
      <c r="G245" s="42">
        <f t="shared" si="42"/>
        <v>0</v>
      </c>
      <c r="H245" s="41">
        <f t="shared" si="43"/>
        <v>0</v>
      </c>
      <c r="I245" s="42">
        <f t="shared" si="44"/>
        <v>0</v>
      </c>
      <c r="J245" s="41">
        <f t="shared" si="45"/>
        <v>0</v>
      </c>
      <c r="K245" s="42"/>
      <c r="L245" s="44">
        <f t="shared" si="47"/>
        <v>241</v>
      </c>
      <c r="M245" s="44">
        <f t="shared" si="46"/>
        <v>602.5</v>
      </c>
    </row>
    <row r="246" spans="1:13" ht="12.75" customHeight="1" x14ac:dyDescent="0.25">
      <c r="A246" s="46">
        <f t="shared" si="36"/>
        <v>0</v>
      </c>
      <c r="B246" s="41">
        <f t="shared" si="37"/>
        <v>0</v>
      </c>
      <c r="C246" s="42">
        <f t="shared" si="38"/>
        <v>0</v>
      </c>
      <c r="D246" s="41">
        <f t="shared" si="39"/>
        <v>0</v>
      </c>
      <c r="E246" s="42">
        <f t="shared" si="40"/>
        <v>0</v>
      </c>
      <c r="F246" s="41">
        <f t="shared" si="41"/>
        <v>0</v>
      </c>
      <c r="G246" s="42">
        <f t="shared" si="42"/>
        <v>0</v>
      </c>
      <c r="H246" s="41">
        <f t="shared" si="43"/>
        <v>0</v>
      </c>
      <c r="I246" s="42">
        <f t="shared" si="44"/>
        <v>0</v>
      </c>
      <c r="J246" s="41">
        <f t="shared" si="45"/>
        <v>0</v>
      </c>
      <c r="K246" s="42"/>
      <c r="L246" s="44">
        <f t="shared" si="47"/>
        <v>242</v>
      </c>
      <c r="M246" s="44">
        <f t="shared" si="46"/>
        <v>605</v>
      </c>
    </row>
    <row r="247" spans="1:13" ht="12.75" customHeight="1" x14ac:dyDescent="0.25">
      <c r="A247" s="46">
        <f t="shared" si="36"/>
        <v>0</v>
      </c>
      <c r="B247" s="41">
        <f t="shared" si="37"/>
        <v>0</v>
      </c>
      <c r="C247" s="42">
        <f t="shared" si="38"/>
        <v>0</v>
      </c>
      <c r="D247" s="41">
        <f t="shared" si="39"/>
        <v>0</v>
      </c>
      <c r="E247" s="42">
        <f t="shared" si="40"/>
        <v>0</v>
      </c>
      <c r="F247" s="41">
        <f t="shared" si="41"/>
        <v>0</v>
      </c>
      <c r="G247" s="42">
        <f t="shared" si="42"/>
        <v>0</v>
      </c>
      <c r="H247" s="41">
        <f t="shared" si="43"/>
        <v>0</v>
      </c>
      <c r="I247" s="42">
        <f t="shared" si="44"/>
        <v>0</v>
      </c>
      <c r="J247" s="41">
        <f t="shared" si="45"/>
        <v>0</v>
      </c>
      <c r="K247" s="42"/>
      <c r="L247" s="44">
        <f t="shared" si="47"/>
        <v>243</v>
      </c>
      <c r="M247" s="44">
        <f t="shared" si="46"/>
        <v>607.5</v>
      </c>
    </row>
    <row r="248" spans="1:13" ht="12.75" customHeight="1" x14ac:dyDescent="0.25">
      <c r="A248" s="46">
        <f t="shared" si="36"/>
        <v>0</v>
      </c>
      <c r="B248" s="41">
        <f t="shared" si="37"/>
        <v>0</v>
      </c>
      <c r="C248" s="42">
        <f t="shared" si="38"/>
        <v>0</v>
      </c>
      <c r="D248" s="41">
        <f t="shared" si="39"/>
        <v>0</v>
      </c>
      <c r="E248" s="42">
        <f t="shared" si="40"/>
        <v>0</v>
      </c>
      <c r="F248" s="41">
        <f t="shared" si="41"/>
        <v>0</v>
      </c>
      <c r="G248" s="42">
        <f t="shared" si="42"/>
        <v>0</v>
      </c>
      <c r="H248" s="41">
        <f t="shared" si="43"/>
        <v>0</v>
      </c>
      <c r="I248" s="42">
        <f t="shared" si="44"/>
        <v>0</v>
      </c>
      <c r="J248" s="41">
        <f t="shared" si="45"/>
        <v>0</v>
      </c>
      <c r="K248" s="42"/>
      <c r="L248" s="44">
        <f t="shared" si="47"/>
        <v>244</v>
      </c>
      <c r="M248" s="44">
        <f t="shared" si="46"/>
        <v>610</v>
      </c>
    </row>
    <row r="249" spans="1:13" ht="12.75" customHeight="1" x14ac:dyDescent="0.25">
      <c r="A249" s="46">
        <f t="shared" si="36"/>
        <v>0</v>
      </c>
      <c r="B249" s="41">
        <f t="shared" si="37"/>
        <v>0</v>
      </c>
      <c r="C249" s="42">
        <f t="shared" si="38"/>
        <v>0</v>
      </c>
      <c r="D249" s="41">
        <f t="shared" si="39"/>
        <v>0</v>
      </c>
      <c r="E249" s="42">
        <f t="shared" si="40"/>
        <v>0</v>
      </c>
      <c r="F249" s="41">
        <f t="shared" si="41"/>
        <v>0</v>
      </c>
      <c r="G249" s="42">
        <f t="shared" si="42"/>
        <v>0</v>
      </c>
      <c r="H249" s="41">
        <f t="shared" si="43"/>
        <v>0</v>
      </c>
      <c r="I249" s="42">
        <f t="shared" si="44"/>
        <v>0</v>
      </c>
      <c r="J249" s="41">
        <f t="shared" si="45"/>
        <v>0</v>
      </c>
      <c r="K249" s="42"/>
      <c r="L249" s="44">
        <f t="shared" si="47"/>
        <v>245</v>
      </c>
      <c r="M249" s="44">
        <f t="shared" si="46"/>
        <v>612.5</v>
      </c>
    </row>
    <row r="250" spans="1:13" ht="12.75" customHeight="1" x14ac:dyDescent="0.25">
      <c r="A250" s="46">
        <f t="shared" si="36"/>
        <v>0</v>
      </c>
      <c r="B250" s="41">
        <f t="shared" si="37"/>
        <v>0</v>
      </c>
      <c r="C250" s="42">
        <f t="shared" si="38"/>
        <v>0</v>
      </c>
      <c r="D250" s="41">
        <f t="shared" si="39"/>
        <v>0</v>
      </c>
      <c r="E250" s="42">
        <f t="shared" si="40"/>
        <v>0</v>
      </c>
      <c r="F250" s="41">
        <f t="shared" si="41"/>
        <v>0</v>
      </c>
      <c r="G250" s="42">
        <f t="shared" si="42"/>
        <v>0</v>
      </c>
      <c r="H250" s="41">
        <f t="shared" si="43"/>
        <v>0</v>
      </c>
      <c r="I250" s="42">
        <f t="shared" si="44"/>
        <v>0</v>
      </c>
      <c r="J250" s="41">
        <f t="shared" si="45"/>
        <v>0</v>
      </c>
      <c r="K250" s="42"/>
      <c r="L250" s="44">
        <f t="shared" si="47"/>
        <v>246</v>
      </c>
      <c r="M250" s="44">
        <f t="shared" si="46"/>
        <v>615</v>
      </c>
    </row>
    <row r="251" spans="1:13" ht="12.75" customHeight="1" x14ac:dyDescent="0.25">
      <c r="A251" s="46">
        <f t="shared" si="36"/>
        <v>0</v>
      </c>
      <c r="B251" s="41">
        <f t="shared" si="37"/>
        <v>0</v>
      </c>
      <c r="C251" s="42">
        <f t="shared" si="38"/>
        <v>0</v>
      </c>
      <c r="D251" s="41">
        <f t="shared" si="39"/>
        <v>0</v>
      </c>
      <c r="E251" s="42">
        <f t="shared" si="40"/>
        <v>0</v>
      </c>
      <c r="F251" s="41">
        <f t="shared" si="41"/>
        <v>0</v>
      </c>
      <c r="G251" s="42">
        <f t="shared" si="42"/>
        <v>0</v>
      </c>
      <c r="H251" s="41">
        <f t="shared" si="43"/>
        <v>0</v>
      </c>
      <c r="I251" s="42">
        <f t="shared" si="44"/>
        <v>0</v>
      </c>
      <c r="J251" s="41">
        <f t="shared" si="45"/>
        <v>0</v>
      </c>
      <c r="K251" s="42"/>
      <c r="L251" s="44">
        <f t="shared" si="47"/>
        <v>247</v>
      </c>
      <c r="M251" s="44">
        <f t="shared" si="46"/>
        <v>617.5</v>
      </c>
    </row>
    <row r="252" spans="1:13" ht="12.75" customHeight="1" x14ac:dyDescent="0.25">
      <c r="A252" s="46">
        <f t="shared" si="36"/>
        <v>0</v>
      </c>
      <c r="B252" s="41">
        <f t="shared" si="37"/>
        <v>0</v>
      </c>
      <c r="C252" s="42">
        <f t="shared" si="38"/>
        <v>0</v>
      </c>
      <c r="D252" s="41">
        <f t="shared" si="39"/>
        <v>0</v>
      </c>
      <c r="E252" s="42">
        <f t="shared" si="40"/>
        <v>0</v>
      </c>
      <c r="F252" s="41">
        <f t="shared" si="41"/>
        <v>0</v>
      </c>
      <c r="G252" s="42">
        <f t="shared" si="42"/>
        <v>0</v>
      </c>
      <c r="H252" s="41">
        <f t="shared" si="43"/>
        <v>0</v>
      </c>
      <c r="I252" s="42">
        <f t="shared" si="44"/>
        <v>0</v>
      </c>
      <c r="J252" s="41">
        <f t="shared" si="45"/>
        <v>0</v>
      </c>
      <c r="K252" s="42"/>
      <c r="L252" s="44">
        <f t="shared" si="47"/>
        <v>248</v>
      </c>
      <c r="M252" s="44">
        <f t="shared" si="46"/>
        <v>620</v>
      </c>
    </row>
    <row r="253" spans="1:13" ht="12.75" customHeight="1" x14ac:dyDescent="0.25">
      <c r="A253" s="46">
        <f t="shared" si="36"/>
        <v>0</v>
      </c>
      <c r="B253" s="41">
        <f t="shared" si="37"/>
        <v>0</v>
      </c>
      <c r="C253" s="42">
        <f t="shared" si="38"/>
        <v>0</v>
      </c>
      <c r="D253" s="41">
        <f t="shared" si="39"/>
        <v>0</v>
      </c>
      <c r="E253" s="42">
        <f t="shared" si="40"/>
        <v>0</v>
      </c>
      <c r="F253" s="41">
        <f t="shared" si="41"/>
        <v>0</v>
      </c>
      <c r="G253" s="42">
        <f t="shared" si="42"/>
        <v>0</v>
      </c>
      <c r="H253" s="41">
        <f t="shared" si="43"/>
        <v>0</v>
      </c>
      <c r="I253" s="42">
        <f t="shared" si="44"/>
        <v>0</v>
      </c>
      <c r="J253" s="41">
        <f t="shared" si="45"/>
        <v>0</v>
      </c>
      <c r="K253" s="42"/>
      <c r="L253" s="44">
        <f t="shared" si="47"/>
        <v>249</v>
      </c>
      <c r="M253" s="44">
        <f t="shared" si="46"/>
        <v>622.5</v>
      </c>
    </row>
    <row r="254" spans="1:13" ht="12.75" customHeight="1" x14ac:dyDescent="0.25">
      <c r="A254" s="46">
        <f t="shared" si="36"/>
        <v>0</v>
      </c>
      <c r="B254" s="41">
        <f t="shared" si="37"/>
        <v>0</v>
      </c>
      <c r="C254" s="42">
        <f t="shared" si="38"/>
        <v>0</v>
      </c>
      <c r="D254" s="41">
        <f t="shared" si="39"/>
        <v>0</v>
      </c>
      <c r="E254" s="42">
        <f t="shared" si="40"/>
        <v>0</v>
      </c>
      <c r="F254" s="41">
        <f t="shared" si="41"/>
        <v>0</v>
      </c>
      <c r="G254" s="42">
        <f t="shared" si="42"/>
        <v>0</v>
      </c>
      <c r="H254" s="41">
        <f t="shared" si="43"/>
        <v>0</v>
      </c>
      <c r="I254" s="42">
        <f t="shared" si="44"/>
        <v>0</v>
      </c>
      <c r="J254" s="41">
        <f t="shared" si="45"/>
        <v>0</v>
      </c>
      <c r="K254" s="42"/>
      <c r="L254" s="44">
        <f t="shared" si="47"/>
        <v>250</v>
      </c>
      <c r="M254" s="44">
        <f t="shared" si="46"/>
        <v>625</v>
      </c>
    </row>
    <row r="255" spans="1:13" ht="12.75" customHeight="1" x14ac:dyDescent="0.25">
      <c r="A255" s="46">
        <f t="shared" si="36"/>
        <v>0</v>
      </c>
      <c r="B255" s="41">
        <f t="shared" si="37"/>
        <v>0</v>
      </c>
      <c r="C255" s="42">
        <f t="shared" si="38"/>
        <v>0</v>
      </c>
      <c r="D255" s="41">
        <f t="shared" si="39"/>
        <v>0</v>
      </c>
      <c r="E255" s="42">
        <f t="shared" si="40"/>
        <v>0</v>
      </c>
      <c r="F255" s="41">
        <f t="shared" si="41"/>
        <v>0</v>
      </c>
      <c r="G255" s="42">
        <f t="shared" si="42"/>
        <v>0</v>
      </c>
      <c r="H255" s="41">
        <f t="shared" si="43"/>
        <v>0</v>
      </c>
      <c r="I255" s="42">
        <f t="shared" si="44"/>
        <v>0</v>
      </c>
      <c r="J255" s="41">
        <f t="shared" si="45"/>
        <v>0</v>
      </c>
      <c r="K255" s="42"/>
      <c r="L255" s="44">
        <f t="shared" si="47"/>
        <v>251</v>
      </c>
      <c r="M255" s="44">
        <f t="shared" si="46"/>
        <v>627.5</v>
      </c>
    </row>
    <row r="256" spans="1:13" ht="12.75" customHeight="1" x14ac:dyDescent="0.25">
      <c r="A256" s="46">
        <f t="shared" si="36"/>
        <v>0</v>
      </c>
      <c r="B256" s="41">
        <f t="shared" si="37"/>
        <v>0</v>
      </c>
      <c r="C256" s="42">
        <f t="shared" si="38"/>
        <v>0</v>
      </c>
      <c r="D256" s="41">
        <f t="shared" si="39"/>
        <v>0</v>
      </c>
      <c r="E256" s="42">
        <f t="shared" si="40"/>
        <v>0</v>
      </c>
      <c r="F256" s="41">
        <f t="shared" si="41"/>
        <v>0</v>
      </c>
      <c r="G256" s="42">
        <f t="shared" si="42"/>
        <v>0</v>
      </c>
      <c r="H256" s="41">
        <f t="shared" si="43"/>
        <v>0</v>
      </c>
      <c r="I256" s="42">
        <f t="shared" si="44"/>
        <v>0</v>
      </c>
      <c r="J256" s="41">
        <f t="shared" si="45"/>
        <v>0</v>
      </c>
      <c r="K256" s="42"/>
      <c r="L256" s="44">
        <f t="shared" si="47"/>
        <v>252</v>
      </c>
      <c r="M256" s="44">
        <f t="shared" si="46"/>
        <v>630</v>
      </c>
    </row>
    <row r="257" spans="1:13" ht="12.75" customHeight="1" x14ac:dyDescent="0.25">
      <c r="A257" s="46">
        <f t="shared" si="36"/>
        <v>0</v>
      </c>
      <c r="B257" s="41">
        <f t="shared" si="37"/>
        <v>0</v>
      </c>
      <c r="C257" s="42">
        <f t="shared" si="38"/>
        <v>0</v>
      </c>
      <c r="D257" s="41">
        <f t="shared" si="39"/>
        <v>0</v>
      </c>
      <c r="E257" s="42">
        <f t="shared" si="40"/>
        <v>0</v>
      </c>
      <c r="F257" s="41">
        <f t="shared" si="41"/>
        <v>0</v>
      </c>
      <c r="G257" s="42">
        <f t="shared" si="42"/>
        <v>0</v>
      </c>
      <c r="H257" s="41">
        <f t="shared" si="43"/>
        <v>0</v>
      </c>
      <c r="I257" s="42">
        <f t="shared" si="44"/>
        <v>0</v>
      </c>
      <c r="J257" s="41">
        <f t="shared" si="45"/>
        <v>0</v>
      </c>
      <c r="K257" s="42"/>
      <c r="L257" s="44">
        <f t="shared" si="47"/>
        <v>253</v>
      </c>
      <c r="M257" s="44">
        <f t="shared" si="46"/>
        <v>632.5</v>
      </c>
    </row>
    <row r="258" spans="1:13" ht="12.75" customHeight="1" x14ac:dyDescent="0.25">
      <c r="A258" s="46">
        <f t="shared" si="36"/>
        <v>0</v>
      </c>
      <c r="B258" s="41">
        <f t="shared" si="37"/>
        <v>0</v>
      </c>
      <c r="C258" s="42">
        <f t="shared" si="38"/>
        <v>0</v>
      </c>
      <c r="D258" s="41">
        <f t="shared" si="39"/>
        <v>0</v>
      </c>
      <c r="E258" s="42">
        <f t="shared" si="40"/>
        <v>0</v>
      </c>
      <c r="F258" s="41">
        <f t="shared" si="41"/>
        <v>0</v>
      </c>
      <c r="G258" s="42">
        <f t="shared" si="42"/>
        <v>0</v>
      </c>
      <c r="H258" s="41">
        <f t="shared" si="43"/>
        <v>0</v>
      </c>
      <c r="I258" s="42">
        <f t="shared" si="44"/>
        <v>0</v>
      </c>
      <c r="J258" s="41">
        <f t="shared" si="45"/>
        <v>0</v>
      </c>
      <c r="K258" s="42"/>
      <c r="L258" s="44">
        <f t="shared" si="47"/>
        <v>254</v>
      </c>
      <c r="M258" s="44">
        <f t="shared" si="46"/>
        <v>635</v>
      </c>
    </row>
    <row r="259" spans="1:13" ht="12.75" customHeight="1" x14ac:dyDescent="0.25">
      <c r="A259" s="46">
        <f t="shared" si="36"/>
        <v>0</v>
      </c>
      <c r="B259" s="41">
        <f t="shared" si="37"/>
        <v>0</v>
      </c>
      <c r="C259" s="42">
        <f t="shared" si="38"/>
        <v>0</v>
      </c>
      <c r="D259" s="41">
        <f t="shared" si="39"/>
        <v>0</v>
      </c>
      <c r="E259" s="42">
        <f t="shared" si="40"/>
        <v>0</v>
      </c>
      <c r="F259" s="41">
        <f t="shared" si="41"/>
        <v>0</v>
      </c>
      <c r="G259" s="42">
        <f t="shared" si="42"/>
        <v>0</v>
      </c>
      <c r="H259" s="41">
        <f t="shared" si="43"/>
        <v>0</v>
      </c>
      <c r="I259" s="42">
        <f t="shared" si="44"/>
        <v>0</v>
      </c>
      <c r="J259" s="41">
        <f t="shared" si="45"/>
        <v>0</v>
      </c>
      <c r="K259" s="42"/>
      <c r="L259" s="44">
        <f t="shared" si="47"/>
        <v>255</v>
      </c>
      <c r="M259" s="44">
        <f t="shared" si="46"/>
        <v>637.5</v>
      </c>
    </row>
    <row r="260" spans="1:13" ht="12.75" customHeight="1" x14ac:dyDescent="0.25">
      <c r="A260" s="46">
        <f t="shared" si="36"/>
        <v>0</v>
      </c>
      <c r="B260" s="41">
        <f t="shared" si="37"/>
        <v>0</v>
      </c>
      <c r="C260" s="42">
        <f t="shared" si="38"/>
        <v>0</v>
      </c>
      <c r="D260" s="41">
        <f t="shared" si="39"/>
        <v>0</v>
      </c>
      <c r="E260" s="42">
        <f t="shared" si="40"/>
        <v>0</v>
      </c>
      <c r="F260" s="41">
        <f t="shared" si="41"/>
        <v>0</v>
      </c>
      <c r="G260" s="42">
        <f t="shared" si="42"/>
        <v>0</v>
      </c>
      <c r="H260" s="41">
        <f t="shared" si="43"/>
        <v>0</v>
      </c>
      <c r="I260" s="42">
        <f t="shared" si="44"/>
        <v>0</v>
      </c>
      <c r="J260" s="41">
        <f t="shared" si="45"/>
        <v>0</v>
      </c>
      <c r="K260" s="42"/>
      <c r="L260" s="44">
        <f t="shared" si="47"/>
        <v>256</v>
      </c>
      <c r="M260" s="44">
        <f t="shared" si="46"/>
        <v>640</v>
      </c>
    </row>
  </sheetData>
  <phoneticPr fontId="13" type="noConversion"/>
  <dataValidations count="5">
    <dataValidation type="list" allowBlank="1" showInputMessage="1" showErrorMessage="1" prompt="Select the number of plates at this weight from the pull down menu" sqref="F1:J1" xr:uid="{00000000-0002-0000-0C00-000000000000}">
      <formula1>"0,2,4"</formula1>
    </dataValidation>
    <dataValidation type="list" allowBlank="1" showInputMessage="1" showErrorMessage="1" sqref="E1" xr:uid="{00000000-0002-0000-0C00-000001000000}">
      <formula1>"0,2,4,6,8,10,12,14,16,18, 20"</formula1>
    </dataValidation>
    <dataValidation type="list" allowBlank="1" showInputMessage="1" showErrorMessage="1" prompt="Select Pounds or Kilos from the drop down menu" sqref="A2" xr:uid="{00000000-0002-0000-0C00-000002000000}">
      <formula1>"Pounds,Kilos"</formula1>
    </dataValidation>
    <dataValidation type="list" allowBlank="1" showInputMessage="1" showErrorMessage="1" prompt="Select the number of plates at this weight from the pull down menu" sqref="B1:D1" xr:uid="{00000000-0002-0000-0C00-000003000000}">
      <formula1>"0,2,4,6,8,10,12,14,16,18, 20"</formula1>
    </dataValidation>
    <dataValidation type="list" allowBlank="1" showInputMessage="1" showErrorMessage="1" sqref="K2" xr:uid="{00000000-0002-0000-0C00-000004000000}">
      <formula1>$O$2:$O$6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  <customProperties>
    <customPr name="DVSECTION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IV253"/>
  <sheetViews>
    <sheetView workbookViewId="0">
      <selection activeCell="CR253" sqref="CR253"/>
    </sheetView>
  </sheetViews>
  <sheetFormatPr defaultRowHeight="13.2" x14ac:dyDescent="0.25"/>
  <sheetData>
    <row r="1" spans="1:256" x14ac:dyDescent="0.25">
      <c r="A1" t="e">
        <f>IF(#REF!,"AAAAAG9X8gA=",0)</f>
        <v>#REF!</v>
      </c>
      <c r="B1" t="e">
        <f>AND(#REF!,"AAAAAG9X8gE=")</f>
        <v>#REF!</v>
      </c>
      <c r="C1" t="e">
        <f>AND(#REF!,"AAAAAG9X8gI=")</f>
        <v>#REF!</v>
      </c>
      <c r="D1" t="e">
        <f>AND(#REF!,"AAAAAG9X8gM=")</f>
        <v>#REF!</v>
      </c>
      <c r="E1" t="e">
        <f>AND(#REF!,"AAAAAG9X8gQ=")</f>
        <v>#REF!</v>
      </c>
      <c r="F1" t="e">
        <f>AND(#REF!,"AAAAAG9X8gU=")</f>
        <v>#REF!</v>
      </c>
      <c r="G1" t="e">
        <f>AND(#REF!,"AAAAAG9X8gY=")</f>
        <v>#REF!</v>
      </c>
      <c r="H1" t="e">
        <f>AND(#REF!,"AAAAAG9X8gc=")</f>
        <v>#REF!</v>
      </c>
      <c r="I1" t="e">
        <f>AND(#REF!,"AAAAAG9X8gg=")</f>
        <v>#REF!</v>
      </c>
      <c r="J1" t="e">
        <f>AND(#REF!,"AAAAAG9X8gk=")</f>
        <v>#REF!</v>
      </c>
      <c r="K1" t="e">
        <f>AND(#REF!,"AAAAAG9X8go=")</f>
        <v>#REF!</v>
      </c>
      <c r="L1" t="e">
        <f>AND(#REF!,"AAAAAG9X8gs=")</f>
        <v>#REF!</v>
      </c>
      <c r="M1" t="e">
        <f>AND(#REF!,"AAAAAG9X8gw=")</f>
        <v>#REF!</v>
      </c>
      <c r="N1" t="e">
        <f>AND(#REF!,"AAAAAG9X8g0=")</f>
        <v>#REF!</v>
      </c>
      <c r="O1" t="e">
        <f>AND(#REF!,"AAAAAG9X8g4=")</f>
        <v>#REF!</v>
      </c>
      <c r="P1" t="e">
        <f>AND(#REF!,"AAAAAG9X8g8=")</f>
        <v>#REF!</v>
      </c>
      <c r="Q1" t="e">
        <f>AND(#REF!,"AAAAAG9X8hA=")</f>
        <v>#REF!</v>
      </c>
      <c r="R1" t="e">
        <f>AND(#REF!,"AAAAAG9X8hE=")</f>
        <v>#REF!</v>
      </c>
      <c r="S1" t="e">
        <f>AND(#REF!,"AAAAAG9X8hI=")</f>
        <v>#REF!</v>
      </c>
      <c r="T1" t="e">
        <f>AND(#REF!,"AAAAAG9X8hM=")</f>
        <v>#REF!</v>
      </c>
      <c r="U1" t="e">
        <f>AND(#REF!,"AAAAAG9X8hQ=")</f>
        <v>#REF!</v>
      </c>
      <c r="V1" t="e">
        <f>AND(#REF!,"AAAAAG9X8hU=")</f>
        <v>#REF!</v>
      </c>
      <c r="W1" t="e">
        <f>AND(#REF!,"AAAAAG9X8hY=")</f>
        <v>#REF!</v>
      </c>
      <c r="X1" t="e">
        <f>AND(#REF!,"AAAAAG9X8hc=")</f>
        <v>#REF!</v>
      </c>
      <c r="Y1" t="e">
        <f>AND(#REF!,"AAAAAG9X8hg=")</f>
        <v>#REF!</v>
      </c>
      <c r="Z1" t="e">
        <f>AND(#REF!,"AAAAAG9X8hk=")</f>
        <v>#REF!</v>
      </c>
      <c r="AA1" t="e">
        <f>AND(#REF!,"AAAAAG9X8ho=")</f>
        <v>#REF!</v>
      </c>
      <c r="AB1" t="e">
        <f>AND(#REF!,"AAAAAG9X8hs=")</f>
        <v>#REF!</v>
      </c>
      <c r="AC1" t="e">
        <f>AND(#REF!,"AAAAAG9X8hw=")</f>
        <v>#REF!</v>
      </c>
      <c r="AD1" t="e">
        <f>AND(#REF!,"AAAAAG9X8h0=")</f>
        <v>#REF!</v>
      </c>
      <c r="AE1" t="e">
        <f>AND(#REF!,"AAAAAG9X8h4=")</f>
        <v>#REF!</v>
      </c>
      <c r="AF1" t="e">
        <f>AND(#REF!,"AAAAAG9X8h8=")</f>
        <v>#REF!</v>
      </c>
      <c r="AG1" t="e">
        <f>AND(#REF!,"AAAAAG9X8iA=")</f>
        <v>#REF!</v>
      </c>
      <c r="AH1" t="e">
        <f>AND(#REF!,"AAAAAG9X8iE=")</f>
        <v>#REF!</v>
      </c>
      <c r="AI1" t="e">
        <f>AND(#REF!,"AAAAAG9X8iI=")</f>
        <v>#REF!</v>
      </c>
      <c r="AJ1" t="e">
        <f>AND(#REF!,"AAAAAG9X8iM=")</f>
        <v>#REF!</v>
      </c>
      <c r="AK1" t="e">
        <f>AND(#REF!,"AAAAAG9X8iQ=")</f>
        <v>#REF!</v>
      </c>
      <c r="AL1" t="e">
        <f>AND(#REF!,"AAAAAG9X8iU=")</f>
        <v>#REF!</v>
      </c>
      <c r="AM1" t="e">
        <f>AND(#REF!,"AAAAAG9X8iY=")</f>
        <v>#REF!</v>
      </c>
      <c r="AN1" t="e">
        <f>AND(#REF!,"AAAAAG9X8ic=")</f>
        <v>#REF!</v>
      </c>
      <c r="AO1" t="e">
        <f>AND(#REF!,"AAAAAG9X8ig=")</f>
        <v>#REF!</v>
      </c>
      <c r="AP1" t="e">
        <f>AND(#REF!,"AAAAAG9X8ik=")</f>
        <v>#REF!</v>
      </c>
      <c r="AQ1" t="e">
        <f>AND(#REF!,"AAAAAG9X8io=")</f>
        <v>#REF!</v>
      </c>
      <c r="AR1" t="e">
        <f>AND(#REF!,"AAAAAG9X8is=")</f>
        <v>#REF!</v>
      </c>
      <c r="AS1" t="e">
        <f>AND(#REF!,"AAAAAG9X8iw=")</f>
        <v>#REF!</v>
      </c>
      <c r="AT1" t="e">
        <f>AND(#REF!,"AAAAAG9X8i0=")</f>
        <v>#REF!</v>
      </c>
      <c r="AU1" t="e">
        <f>AND(#REF!,"AAAAAG9X8i4=")</f>
        <v>#REF!</v>
      </c>
      <c r="AV1" t="e">
        <f>AND(#REF!,"AAAAAG9X8i8=")</f>
        <v>#REF!</v>
      </c>
      <c r="AW1" t="e">
        <f>AND(#REF!,"AAAAAG9X8jA=")</f>
        <v>#REF!</v>
      </c>
      <c r="AX1" t="e">
        <f>AND(#REF!,"AAAAAG9X8jE=")</f>
        <v>#REF!</v>
      </c>
      <c r="AY1" t="e">
        <f>AND(#REF!,"AAAAAG9X8jI=")</f>
        <v>#REF!</v>
      </c>
      <c r="AZ1" t="e">
        <f>AND(#REF!,"AAAAAG9X8jM=")</f>
        <v>#REF!</v>
      </c>
      <c r="BA1" t="e">
        <f>AND(#REF!,"AAAAAG9X8jQ=")</f>
        <v>#REF!</v>
      </c>
      <c r="BB1" t="e">
        <f>AND(#REF!,"AAAAAG9X8jU=")</f>
        <v>#REF!</v>
      </c>
      <c r="BC1" t="e">
        <f>AND(#REF!,"AAAAAG9X8jY=")</f>
        <v>#REF!</v>
      </c>
      <c r="BD1" t="e">
        <f>AND(#REF!,"AAAAAG9X8jc=")</f>
        <v>#REF!</v>
      </c>
      <c r="BE1" t="e">
        <f>AND(#REF!,"AAAAAG9X8jg=")</f>
        <v>#REF!</v>
      </c>
      <c r="BF1" t="e">
        <f>AND(#REF!,"AAAAAG9X8jk=")</f>
        <v>#REF!</v>
      </c>
      <c r="BG1" t="e">
        <f>AND(#REF!,"AAAAAG9X8jo=")</f>
        <v>#REF!</v>
      </c>
      <c r="BH1" t="e">
        <f>IF(#REF!,"AAAAAG9X8js=",0)</f>
        <v>#REF!</v>
      </c>
      <c r="BI1" t="e">
        <f>AND(#REF!,"AAAAAG9X8jw=")</f>
        <v>#REF!</v>
      </c>
      <c r="BJ1" t="e">
        <f>AND(#REF!,"AAAAAG9X8j0=")</f>
        <v>#REF!</v>
      </c>
      <c r="BK1" t="e">
        <f>AND(#REF!,"AAAAAG9X8j4=")</f>
        <v>#REF!</v>
      </c>
      <c r="BL1" t="e">
        <f>AND(#REF!,"AAAAAG9X8j8=")</f>
        <v>#REF!</v>
      </c>
      <c r="BM1" t="e">
        <f>AND(#REF!,"AAAAAG9X8kA=")</f>
        <v>#REF!</v>
      </c>
      <c r="BN1" t="e">
        <f>AND(#REF!,"AAAAAG9X8kE=")</f>
        <v>#REF!</v>
      </c>
      <c r="BO1" t="e">
        <f>AND(#REF!,"AAAAAG9X8kI=")</f>
        <v>#REF!</v>
      </c>
      <c r="BP1" t="e">
        <f>AND(#REF!,"AAAAAG9X8kM=")</f>
        <v>#REF!</v>
      </c>
      <c r="BQ1" t="e">
        <f>AND(#REF!,"AAAAAG9X8kQ=")</f>
        <v>#REF!</v>
      </c>
      <c r="BR1" t="e">
        <f>AND(#REF!,"AAAAAG9X8kU=")</f>
        <v>#REF!</v>
      </c>
      <c r="BS1" t="e">
        <f>AND(#REF!,"AAAAAG9X8kY=")</f>
        <v>#REF!</v>
      </c>
      <c r="BT1" t="e">
        <f>AND(#REF!,"AAAAAG9X8kc=")</f>
        <v>#REF!</v>
      </c>
      <c r="BU1" t="e">
        <f>AND(#REF!,"AAAAAG9X8kg=")</f>
        <v>#REF!</v>
      </c>
      <c r="BV1" t="e">
        <f>AND(#REF!,"AAAAAG9X8kk=")</f>
        <v>#REF!</v>
      </c>
      <c r="BW1" t="e">
        <f>AND(#REF!,"AAAAAG9X8ko=")</f>
        <v>#REF!</v>
      </c>
      <c r="BX1" t="e">
        <f>AND(#REF!,"AAAAAG9X8ks=")</f>
        <v>#REF!</v>
      </c>
      <c r="BY1" t="e">
        <f>AND(#REF!,"AAAAAG9X8kw=")</f>
        <v>#REF!</v>
      </c>
      <c r="BZ1" t="e">
        <f>AND(#REF!,"AAAAAG9X8k0=")</f>
        <v>#REF!</v>
      </c>
      <c r="CA1" t="e">
        <f>AND(#REF!,"AAAAAG9X8k4=")</f>
        <v>#REF!</v>
      </c>
      <c r="CB1" t="e">
        <f>AND(#REF!,"AAAAAG9X8k8=")</f>
        <v>#REF!</v>
      </c>
      <c r="CC1" t="e">
        <f>AND(#REF!,"AAAAAG9X8lA=")</f>
        <v>#REF!</v>
      </c>
      <c r="CD1" t="e">
        <f>AND(#REF!,"AAAAAG9X8lE=")</f>
        <v>#REF!</v>
      </c>
      <c r="CE1" t="e">
        <f>AND(#REF!,"AAAAAG9X8lI=")</f>
        <v>#REF!</v>
      </c>
      <c r="CF1" t="e">
        <f>AND(#REF!,"AAAAAG9X8lM=")</f>
        <v>#REF!</v>
      </c>
      <c r="CG1" t="e">
        <f>AND(#REF!,"AAAAAG9X8lQ=")</f>
        <v>#REF!</v>
      </c>
      <c r="CH1" t="e">
        <f>AND(#REF!,"AAAAAG9X8lU=")</f>
        <v>#REF!</v>
      </c>
      <c r="CI1" t="e">
        <f>AND(#REF!,"AAAAAG9X8lY=")</f>
        <v>#REF!</v>
      </c>
      <c r="CJ1" t="e">
        <f>AND(#REF!,"AAAAAG9X8lc=")</f>
        <v>#REF!</v>
      </c>
      <c r="CK1" t="e">
        <f>AND(#REF!,"AAAAAG9X8lg=")</f>
        <v>#REF!</v>
      </c>
      <c r="CL1" t="e">
        <f>AND(#REF!,"AAAAAG9X8lk=")</f>
        <v>#REF!</v>
      </c>
      <c r="CM1" t="e">
        <f>AND(#REF!,"AAAAAG9X8lo=")</f>
        <v>#REF!</v>
      </c>
      <c r="CN1" t="e">
        <f>AND(#REF!,"AAAAAG9X8ls=")</f>
        <v>#REF!</v>
      </c>
      <c r="CO1" t="e">
        <f>AND(#REF!,"AAAAAG9X8lw=")</f>
        <v>#REF!</v>
      </c>
      <c r="CP1" t="e">
        <f>AND(#REF!,"AAAAAG9X8l0=")</f>
        <v>#REF!</v>
      </c>
      <c r="CQ1" t="e">
        <f>AND(#REF!,"AAAAAG9X8l4=")</f>
        <v>#REF!</v>
      </c>
      <c r="CR1" t="e">
        <f>AND(#REF!,"AAAAAG9X8l8=")</f>
        <v>#REF!</v>
      </c>
      <c r="CS1" t="e">
        <f>AND(#REF!,"AAAAAG9X8mA=")</f>
        <v>#REF!</v>
      </c>
      <c r="CT1" t="e">
        <f>AND(#REF!,"AAAAAG9X8mE=")</f>
        <v>#REF!</v>
      </c>
      <c r="CU1" t="e">
        <f>AND(#REF!,"AAAAAG9X8mI=")</f>
        <v>#REF!</v>
      </c>
      <c r="CV1" t="e">
        <f>AND(#REF!,"AAAAAG9X8mM=")</f>
        <v>#REF!</v>
      </c>
      <c r="CW1" t="e">
        <f>AND(#REF!,"AAAAAG9X8mQ=")</f>
        <v>#REF!</v>
      </c>
      <c r="CX1" t="e">
        <f>AND(#REF!,"AAAAAG9X8mU=")</f>
        <v>#REF!</v>
      </c>
      <c r="CY1" t="e">
        <f>AND(#REF!,"AAAAAG9X8mY=")</f>
        <v>#REF!</v>
      </c>
      <c r="CZ1" t="e">
        <f>AND(#REF!,"AAAAAG9X8mc=")</f>
        <v>#REF!</v>
      </c>
      <c r="DA1" t="e">
        <f>AND(#REF!,"AAAAAG9X8mg=")</f>
        <v>#REF!</v>
      </c>
      <c r="DB1" t="e">
        <f>AND(#REF!,"AAAAAG9X8mk=")</f>
        <v>#REF!</v>
      </c>
      <c r="DC1" t="e">
        <f>AND(#REF!,"AAAAAG9X8mo=")</f>
        <v>#REF!</v>
      </c>
      <c r="DD1" t="e">
        <f>AND(#REF!,"AAAAAG9X8ms=")</f>
        <v>#REF!</v>
      </c>
      <c r="DE1" t="e">
        <f>AND(#REF!,"AAAAAG9X8mw=")</f>
        <v>#REF!</v>
      </c>
      <c r="DF1" t="e">
        <f>AND(#REF!,"AAAAAG9X8m0=")</f>
        <v>#REF!</v>
      </c>
      <c r="DG1" t="e">
        <f>AND(#REF!,"AAAAAG9X8m4=")</f>
        <v>#REF!</v>
      </c>
      <c r="DH1" t="e">
        <f>AND(#REF!,"AAAAAG9X8m8=")</f>
        <v>#REF!</v>
      </c>
      <c r="DI1" t="e">
        <f>AND(#REF!,"AAAAAG9X8nA=")</f>
        <v>#REF!</v>
      </c>
      <c r="DJ1" t="e">
        <f>AND(#REF!,"AAAAAG9X8nE=")</f>
        <v>#REF!</v>
      </c>
      <c r="DK1" t="e">
        <f>AND(#REF!,"AAAAAG9X8nI=")</f>
        <v>#REF!</v>
      </c>
      <c r="DL1" t="e">
        <f>AND(#REF!,"AAAAAG9X8nM=")</f>
        <v>#REF!</v>
      </c>
      <c r="DM1" t="e">
        <f>AND(#REF!,"AAAAAG9X8nQ=")</f>
        <v>#REF!</v>
      </c>
      <c r="DN1" t="e">
        <f>AND(#REF!,"AAAAAG9X8nU=")</f>
        <v>#REF!</v>
      </c>
      <c r="DO1" t="e">
        <f>IF(#REF!,"AAAAAG9X8nY=",0)</f>
        <v>#REF!</v>
      </c>
      <c r="DP1" t="e">
        <f>AND(#REF!,"AAAAAG9X8nc=")</f>
        <v>#REF!</v>
      </c>
      <c r="DQ1" t="e">
        <f>AND(#REF!,"AAAAAG9X8ng=")</f>
        <v>#REF!</v>
      </c>
      <c r="DR1" t="e">
        <f>AND(#REF!,"AAAAAG9X8nk=")</f>
        <v>#REF!</v>
      </c>
      <c r="DS1" t="e">
        <f>AND(#REF!,"AAAAAG9X8no=")</f>
        <v>#REF!</v>
      </c>
      <c r="DT1" t="e">
        <f>AND(#REF!,"AAAAAG9X8ns=")</f>
        <v>#REF!</v>
      </c>
      <c r="DU1" t="e">
        <f>AND(#REF!,"AAAAAG9X8nw=")</f>
        <v>#REF!</v>
      </c>
      <c r="DV1" t="e">
        <f>AND(#REF!,"AAAAAG9X8n0=")</f>
        <v>#REF!</v>
      </c>
      <c r="DW1" t="e">
        <f>AND(#REF!,"AAAAAG9X8n4=")</f>
        <v>#REF!</v>
      </c>
      <c r="DX1" t="e">
        <f>AND(#REF!,"AAAAAG9X8n8=")</f>
        <v>#REF!</v>
      </c>
      <c r="DY1" t="e">
        <f>AND(#REF!,"AAAAAG9X8oA=")</f>
        <v>#REF!</v>
      </c>
      <c r="DZ1" t="e">
        <f>AND(#REF!,"AAAAAG9X8oE=")</f>
        <v>#REF!</v>
      </c>
      <c r="EA1" t="e">
        <f>AND(#REF!,"AAAAAG9X8oI=")</f>
        <v>#REF!</v>
      </c>
      <c r="EB1" t="e">
        <f>AND(#REF!,"AAAAAG9X8oM=")</f>
        <v>#REF!</v>
      </c>
      <c r="EC1" t="e">
        <f>AND(#REF!,"AAAAAG9X8oQ=")</f>
        <v>#REF!</v>
      </c>
      <c r="ED1" t="e">
        <f>AND(#REF!,"AAAAAG9X8oU=")</f>
        <v>#REF!</v>
      </c>
      <c r="EE1" t="e">
        <f>AND(#REF!,"AAAAAG9X8oY=")</f>
        <v>#REF!</v>
      </c>
      <c r="EF1" t="e">
        <f>AND(#REF!,"AAAAAG9X8oc=")</f>
        <v>#REF!</v>
      </c>
      <c r="EG1" t="e">
        <f>AND(#REF!,"AAAAAG9X8og=")</f>
        <v>#REF!</v>
      </c>
      <c r="EH1" t="e">
        <f>AND(#REF!,"AAAAAG9X8ok=")</f>
        <v>#REF!</v>
      </c>
      <c r="EI1" t="e">
        <f>AND(#REF!,"AAAAAG9X8oo=")</f>
        <v>#REF!</v>
      </c>
      <c r="EJ1" t="e">
        <f>AND(#REF!,"AAAAAG9X8os=")</f>
        <v>#REF!</v>
      </c>
      <c r="EK1" t="e">
        <f>AND(#REF!,"AAAAAG9X8ow=")</f>
        <v>#REF!</v>
      </c>
      <c r="EL1" t="e">
        <f>AND(#REF!,"AAAAAG9X8o0=")</f>
        <v>#REF!</v>
      </c>
      <c r="EM1" t="e">
        <f>AND(#REF!,"AAAAAG9X8o4=")</f>
        <v>#REF!</v>
      </c>
      <c r="EN1" t="e">
        <f>AND(#REF!,"AAAAAG9X8o8=")</f>
        <v>#REF!</v>
      </c>
      <c r="EO1" t="e">
        <f>AND(#REF!,"AAAAAG9X8pA=")</f>
        <v>#REF!</v>
      </c>
      <c r="EP1" t="e">
        <f>AND(#REF!,"AAAAAG9X8pE=")</f>
        <v>#REF!</v>
      </c>
      <c r="EQ1" t="e">
        <f>AND(#REF!,"AAAAAG9X8pI=")</f>
        <v>#REF!</v>
      </c>
      <c r="ER1" t="e">
        <f>AND(#REF!,"AAAAAG9X8pM=")</f>
        <v>#REF!</v>
      </c>
      <c r="ES1" t="e">
        <f>AND(#REF!,"AAAAAG9X8pQ=")</f>
        <v>#REF!</v>
      </c>
      <c r="ET1" t="e">
        <f>AND(#REF!,"AAAAAG9X8pU=")</f>
        <v>#REF!</v>
      </c>
      <c r="EU1" t="e">
        <f>AND(#REF!,"AAAAAG9X8pY=")</f>
        <v>#REF!</v>
      </c>
      <c r="EV1" t="e">
        <f>AND(#REF!,"AAAAAG9X8pc=")</f>
        <v>#REF!</v>
      </c>
      <c r="EW1" t="e">
        <f>AND(#REF!,"AAAAAG9X8pg=")</f>
        <v>#REF!</v>
      </c>
      <c r="EX1" t="e">
        <f>AND(#REF!,"AAAAAG9X8pk=")</f>
        <v>#REF!</v>
      </c>
      <c r="EY1" t="e">
        <f>AND(#REF!,"AAAAAG9X8po=")</f>
        <v>#REF!</v>
      </c>
      <c r="EZ1" t="e">
        <f>AND(#REF!,"AAAAAG9X8ps=")</f>
        <v>#REF!</v>
      </c>
      <c r="FA1" t="e">
        <f>AND(#REF!,"AAAAAG9X8pw=")</f>
        <v>#REF!</v>
      </c>
      <c r="FB1" t="e">
        <f>AND(#REF!,"AAAAAG9X8p0=")</f>
        <v>#REF!</v>
      </c>
      <c r="FC1" t="e">
        <f>AND(#REF!,"AAAAAG9X8p4=")</f>
        <v>#REF!</v>
      </c>
      <c r="FD1" t="e">
        <f>AND(#REF!,"AAAAAG9X8p8=")</f>
        <v>#REF!</v>
      </c>
      <c r="FE1" t="e">
        <f>AND(#REF!,"AAAAAG9X8qA=")</f>
        <v>#REF!</v>
      </c>
      <c r="FF1" t="e">
        <f>AND(#REF!,"AAAAAG9X8qE=")</f>
        <v>#REF!</v>
      </c>
      <c r="FG1" t="e">
        <f>AND(#REF!,"AAAAAG9X8qI=")</f>
        <v>#REF!</v>
      </c>
      <c r="FH1" t="e">
        <f>AND(#REF!,"AAAAAG9X8qM=")</f>
        <v>#REF!</v>
      </c>
      <c r="FI1" t="e">
        <f>AND(#REF!,"AAAAAG9X8qQ=")</f>
        <v>#REF!</v>
      </c>
      <c r="FJ1" t="e">
        <f>AND(#REF!,"AAAAAG9X8qU=")</f>
        <v>#REF!</v>
      </c>
      <c r="FK1" t="e">
        <f>AND(#REF!,"AAAAAG9X8qY=")</f>
        <v>#REF!</v>
      </c>
      <c r="FL1" t="e">
        <f>AND(#REF!,"AAAAAG9X8qc=")</f>
        <v>#REF!</v>
      </c>
      <c r="FM1" t="e">
        <f>AND(#REF!,"AAAAAG9X8qg=")</f>
        <v>#REF!</v>
      </c>
      <c r="FN1" t="e">
        <f>AND(#REF!,"AAAAAG9X8qk=")</f>
        <v>#REF!</v>
      </c>
      <c r="FO1" t="e">
        <f>AND(#REF!,"AAAAAG9X8qo=")</f>
        <v>#REF!</v>
      </c>
      <c r="FP1" t="e">
        <f>AND(#REF!,"AAAAAG9X8qs=")</f>
        <v>#REF!</v>
      </c>
      <c r="FQ1" t="e">
        <f>AND(#REF!,"AAAAAG9X8qw=")</f>
        <v>#REF!</v>
      </c>
      <c r="FR1" t="e">
        <f>AND(#REF!,"AAAAAG9X8q0=")</f>
        <v>#REF!</v>
      </c>
      <c r="FS1" t="e">
        <f>AND(#REF!,"AAAAAG9X8q4=")</f>
        <v>#REF!</v>
      </c>
      <c r="FT1" t="e">
        <f>AND(#REF!,"AAAAAG9X8q8=")</f>
        <v>#REF!</v>
      </c>
      <c r="FU1" t="e">
        <f>AND(#REF!,"AAAAAG9X8rA=")</f>
        <v>#REF!</v>
      </c>
      <c r="FV1" t="e">
        <f>IF(#REF!,"AAAAAG9X8rE=",0)</f>
        <v>#REF!</v>
      </c>
      <c r="FW1" t="e">
        <f>AND(#REF!,"AAAAAG9X8rI=")</f>
        <v>#REF!</v>
      </c>
      <c r="FX1" t="e">
        <f>AND(#REF!,"AAAAAG9X8rM=")</f>
        <v>#REF!</v>
      </c>
      <c r="FY1" t="e">
        <f>AND(#REF!,"AAAAAG9X8rQ=")</f>
        <v>#REF!</v>
      </c>
      <c r="FZ1" t="e">
        <f>AND(#REF!,"AAAAAG9X8rU=")</f>
        <v>#REF!</v>
      </c>
      <c r="GA1" t="e">
        <f>AND(#REF!,"AAAAAG9X8rY=")</f>
        <v>#REF!</v>
      </c>
      <c r="GB1" t="e">
        <f>AND(#REF!,"AAAAAG9X8rc=")</f>
        <v>#REF!</v>
      </c>
      <c r="GC1" t="e">
        <f>AND(#REF!,"AAAAAG9X8rg=")</f>
        <v>#REF!</v>
      </c>
      <c r="GD1" t="e">
        <f>AND(#REF!,"AAAAAG9X8rk=")</f>
        <v>#REF!</v>
      </c>
      <c r="GE1" t="e">
        <f>AND(#REF!,"AAAAAG9X8ro=")</f>
        <v>#REF!</v>
      </c>
      <c r="GF1" t="e">
        <f>AND(#REF!,"AAAAAG9X8rs=")</f>
        <v>#REF!</v>
      </c>
      <c r="GG1" t="e">
        <f>AND(#REF!,"AAAAAG9X8rw=")</f>
        <v>#REF!</v>
      </c>
      <c r="GH1" t="e">
        <f>AND(#REF!,"AAAAAG9X8r0=")</f>
        <v>#REF!</v>
      </c>
      <c r="GI1" t="e">
        <f>AND(#REF!,"AAAAAG9X8r4=")</f>
        <v>#REF!</v>
      </c>
      <c r="GJ1" t="e">
        <f>AND(#REF!,"AAAAAG9X8r8=")</f>
        <v>#REF!</v>
      </c>
      <c r="GK1" t="e">
        <f>AND(#REF!,"AAAAAG9X8sA=")</f>
        <v>#REF!</v>
      </c>
      <c r="GL1" t="e">
        <f>AND(#REF!,"AAAAAG9X8sE=")</f>
        <v>#REF!</v>
      </c>
      <c r="GM1" t="e">
        <f>AND(#REF!,"AAAAAG9X8sI=")</f>
        <v>#REF!</v>
      </c>
      <c r="GN1" t="e">
        <f>AND(#REF!,"AAAAAG9X8sM=")</f>
        <v>#REF!</v>
      </c>
      <c r="GO1" t="e">
        <f>AND(#REF!,"AAAAAG9X8sQ=")</f>
        <v>#REF!</v>
      </c>
      <c r="GP1" t="e">
        <f>AND(#REF!,"AAAAAG9X8sU=")</f>
        <v>#REF!</v>
      </c>
      <c r="GQ1" t="e">
        <f>AND(#REF!,"AAAAAG9X8sY=")</f>
        <v>#REF!</v>
      </c>
      <c r="GR1" t="e">
        <f>AND(#REF!,"AAAAAG9X8sc=")</f>
        <v>#REF!</v>
      </c>
      <c r="GS1" t="e">
        <f>AND(#REF!,"AAAAAG9X8sg=")</f>
        <v>#REF!</v>
      </c>
      <c r="GT1" t="e">
        <f>AND(#REF!,"AAAAAG9X8sk=")</f>
        <v>#REF!</v>
      </c>
      <c r="GU1" t="e">
        <f>AND(#REF!,"AAAAAG9X8so=")</f>
        <v>#REF!</v>
      </c>
      <c r="GV1" t="e">
        <f>AND(#REF!,"AAAAAG9X8ss=")</f>
        <v>#REF!</v>
      </c>
      <c r="GW1" t="e">
        <f>AND(#REF!,"AAAAAG9X8sw=")</f>
        <v>#REF!</v>
      </c>
      <c r="GX1" t="e">
        <f>AND(#REF!,"AAAAAG9X8s0=")</f>
        <v>#REF!</v>
      </c>
      <c r="GY1" t="e">
        <f>AND(#REF!,"AAAAAG9X8s4=")</f>
        <v>#REF!</v>
      </c>
      <c r="GZ1" t="e">
        <f>AND(#REF!,"AAAAAG9X8s8=")</f>
        <v>#REF!</v>
      </c>
      <c r="HA1" t="e">
        <f>AND(#REF!,"AAAAAG9X8tA=")</f>
        <v>#REF!</v>
      </c>
      <c r="HB1" t="e">
        <f>AND(#REF!,"AAAAAG9X8tE=")</f>
        <v>#REF!</v>
      </c>
      <c r="HC1" t="e">
        <f>AND(#REF!,"AAAAAG9X8tI=")</f>
        <v>#REF!</v>
      </c>
      <c r="HD1" t="e">
        <f>AND(#REF!,"AAAAAG9X8tM=")</f>
        <v>#REF!</v>
      </c>
      <c r="HE1" t="e">
        <f>AND(#REF!,"AAAAAG9X8tQ=")</f>
        <v>#REF!</v>
      </c>
      <c r="HF1" t="e">
        <f>AND(#REF!,"AAAAAG9X8tU=")</f>
        <v>#REF!</v>
      </c>
      <c r="HG1" t="e">
        <f>AND(#REF!,"AAAAAG9X8tY=")</f>
        <v>#REF!</v>
      </c>
      <c r="HH1" t="e">
        <f>AND(#REF!,"AAAAAG9X8tc=")</f>
        <v>#REF!</v>
      </c>
      <c r="HI1" t="e">
        <f>AND(#REF!,"AAAAAG9X8tg=")</f>
        <v>#REF!</v>
      </c>
      <c r="HJ1" t="e">
        <f>AND(#REF!,"AAAAAG9X8tk=")</f>
        <v>#REF!</v>
      </c>
      <c r="HK1" t="e">
        <f>AND(#REF!,"AAAAAG9X8to=")</f>
        <v>#REF!</v>
      </c>
      <c r="HL1" t="e">
        <f>AND(#REF!,"AAAAAG9X8ts=")</f>
        <v>#REF!</v>
      </c>
      <c r="HM1" t="e">
        <f>AND(#REF!,"AAAAAG9X8tw=")</f>
        <v>#REF!</v>
      </c>
      <c r="HN1" t="e">
        <f>AND(#REF!,"AAAAAG9X8t0=")</f>
        <v>#REF!</v>
      </c>
      <c r="HO1" t="e">
        <f>AND(#REF!,"AAAAAG9X8t4=")</f>
        <v>#REF!</v>
      </c>
      <c r="HP1" t="e">
        <f>AND(#REF!,"AAAAAG9X8t8=")</f>
        <v>#REF!</v>
      </c>
      <c r="HQ1" t="e">
        <f>AND(#REF!,"AAAAAG9X8uA=")</f>
        <v>#REF!</v>
      </c>
      <c r="HR1" t="e">
        <f>AND(#REF!,"AAAAAG9X8uE=")</f>
        <v>#REF!</v>
      </c>
      <c r="HS1" t="e">
        <f>AND(#REF!,"AAAAAG9X8uI=")</f>
        <v>#REF!</v>
      </c>
      <c r="HT1" t="e">
        <f>AND(#REF!,"AAAAAG9X8uM=")</f>
        <v>#REF!</v>
      </c>
      <c r="HU1" t="e">
        <f>AND(#REF!,"AAAAAG9X8uQ=")</f>
        <v>#REF!</v>
      </c>
      <c r="HV1" t="e">
        <f>AND(#REF!,"AAAAAG9X8uU=")</f>
        <v>#REF!</v>
      </c>
      <c r="HW1" t="e">
        <f>AND(#REF!,"AAAAAG9X8uY=")</f>
        <v>#REF!</v>
      </c>
      <c r="HX1" t="e">
        <f>AND(#REF!,"AAAAAG9X8uc=")</f>
        <v>#REF!</v>
      </c>
      <c r="HY1" t="e">
        <f>AND(#REF!,"AAAAAG9X8ug=")</f>
        <v>#REF!</v>
      </c>
      <c r="HZ1" t="e">
        <f>AND(#REF!,"AAAAAG9X8uk=")</f>
        <v>#REF!</v>
      </c>
      <c r="IA1" t="e">
        <f>AND(#REF!,"AAAAAG9X8uo=")</f>
        <v>#REF!</v>
      </c>
      <c r="IB1" t="e">
        <f>AND(#REF!,"AAAAAG9X8us=")</f>
        <v>#REF!</v>
      </c>
      <c r="IC1" t="e">
        <f>IF(#REF!,"AAAAAG9X8uw=",0)</f>
        <v>#REF!</v>
      </c>
      <c r="ID1" t="e">
        <f>AND(#REF!,"AAAAAG9X8u0=")</f>
        <v>#REF!</v>
      </c>
      <c r="IE1" t="e">
        <f>AND(#REF!,"AAAAAG9X8u4=")</f>
        <v>#REF!</v>
      </c>
      <c r="IF1" t="e">
        <f>AND(#REF!,"AAAAAG9X8u8=")</f>
        <v>#REF!</v>
      </c>
      <c r="IG1" t="e">
        <f>AND(#REF!,"AAAAAG9X8vA=")</f>
        <v>#REF!</v>
      </c>
      <c r="IH1" t="e">
        <f>AND(#REF!,"AAAAAG9X8vE=")</f>
        <v>#REF!</v>
      </c>
      <c r="II1" t="e">
        <f>AND(#REF!,"AAAAAG9X8vI=")</f>
        <v>#REF!</v>
      </c>
      <c r="IJ1" t="e">
        <f>AND(#REF!,"AAAAAG9X8vM=")</f>
        <v>#REF!</v>
      </c>
      <c r="IK1" t="e">
        <f>AND(#REF!,"AAAAAG9X8vQ=")</f>
        <v>#REF!</v>
      </c>
      <c r="IL1" t="e">
        <f>AND(#REF!,"AAAAAG9X8vU=")</f>
        <v>#REF!</v>
      </c>
      <c r="IM1" t="e">
        <f>AND(#REF!,"AAAAAG9X8vY=")</f>
        <v>#REF!</v>
      </c>
      <c r="IN1" t="e">
        <f>AND(#REF!,"AAAAAG9X8vc=")</f>
        <v>#REF!</v>
      </c>
      <c r="IO1" t="e">
        <f>AND(#REF!,"AAAAAG9X8vg=")</f>
        <v>#REF!</v>
      </c>
      <c r="IP1" t="e">
        <f>AND(#REF!,"AAAAAG9X8vk=")</f>
        <v>#REF!</v>
      </c>
      <c r="IQ1" t="e">
        <f>AND(#REF!,"AAAAAG9X8vo=")</f>
        <v>#REF!</v>
      </c>
      <c r="IR1" t="e">
        <f>AND(#REF!,"AAAAAG9X8vs=")</f>
        <v>#REF!</v>
      </c>
      <c r="IS1" t="e">
        <f>AND(#REF!,"AAAAAG9X8vw=")</f>
        <v>#REF!</v>
      </c>
      <c r="IT1" t="e">
        <f>AND(#REF!,"AAAAAG9X8v0=")</f>
        <v>#REF!</v>
      </c>
      <c r="IU1" t="e">
        <f>AND(#REF!,"AAAAAG9X8v4=")</f>
        <v>#REF!</v>
      </c>
      <c r="IV1" t="e">
        <f>AND(#REF!,"AAAAAG9X8v8=")</f>
        <v>#REF!</v>
      </c>
    </row>
    <row r="2" spans="1:256" x14ac:dyDescent="0.25">
      <c r="A2" t="e">
        <f>AND(#REF!,"AAAAAFn+vgA=")</f>
        <v>#REF!</v>
      </c>
      <c r="B2" t="e">
        <f>AND(#REF!,"AAAAAFn+vgE=")</f>
        <v>#REF!</v>
      </c>
      <c r="C2" t="e">
        <f>AND(#REF!,"AAAAAFn+vgI=")</f>
        <v>#REF!</v>
      </c>
      <c r="D2" t="e">
        <f>AND(#REF!,"AAAAAFn+vgM=")</f>
        <v>#REF!</v>
      </c>
      <c r="E2" t="e">
        <f>AND(#REF!,"AAAAAFn+vgQ=")</f>
        <v>#REF!</v>
      </c>
      <c r="F2" t="e">
        <f>AND(#REF!,"AAAAAFn+vgU=")</f>
        <v>#REF!</v>
      </c>
      <c r="G2" t="e">
        <f>AND(#REF!,"AAAAAFn+vgY=")</f>
        <v>#REF!</v>
      </c>
      <c r="H2" t="e">
        <f>AND(#REF!,"AAAAAFn+vgc=")</f>
        <v>#REF!</v>
      </c>
      <c r="I2" t="e">
        <f>AND(#REF!,"AAAAAFn+vgg=")</f>
        <v>#REF!</v>
      </c>
      <c r="J2" t="e">
        <f>AND(#REF!,"AAAAAFn+vgk=")</f>
        <v>#REF!</v>
      </c>
      <c r="K2" t="e">
        <f>AND(#REF!,"AAAAAFn+vgo=")</f>
        <v>#REF!</v>
      </c>
      <c r="L2" t="e">
        <f>AND(#REF!,"AAAAAFn+vgs=")</f>
        <v>#REF!</v>
      </c>
      <c r="M2" t="e">
        <f>AND(#REF!,"AAAAAFn+vgw=")</f>
        <v>#REF!</v>
      </c>
      <c r="N2" t="e">
        <f>AND(#REF!,"AAAAAFn+vg0=")</f>
        <v>#REF!</v>
      </c>
      <c r="O2" t="e">
        <f>AND(#REF!,"AAAAAFn+vg4=")</f>
        <v>#REF!</v>
      </c>
      <c r="P2" t="e">
        <f>AND(#REF!,"AAAAAFn+vg8=")</f>
        <v>#REF!</v>
      </c>
      <c r="Q2" t="e">
        <f>AND(#REF!,"AAAAAFn+vhA=")</f>
        <v>#REF!</v>
      </c>
      <c r="R2" t="e">
        <f>AND(#REF!,"AAAAAFn+vhE=")</f>
        <v>#REF!</v>
      </c>
      <c r="S2" t="e">
        <f>AND(#REF!,"AAAAAFn+vhI=")</f>
        <v>#REF!</v>
      </c>
      <c r="T2" t="e">
        <f>AND(#REF!,"AAAAAFn+vhM=")</f>
        <v>#REF!</v>
      </c>
      <c r="U2" t="e">
        <f>AND(#REF!,"AAAAAFn+vhQ=")</f>
        <v>#REF!</v>
      </c>
      <c r="V2" t="e">
        <f>AND(#REF!,"AAAAAFn+vhU=")</f>
        <v>#REF!</v>
      </c>
      <c r="W2" t="e">
        <f>AND(#REF!,"AAAAAFn+vhY=")</f>
        <v>#REF!</v>
      </c>
      <c r="X2" t="e">
        <f>AND(#REF!,"AAAAAFn+vhc=")</f>
        <v>#REF!</v>
      </c>
      <c r="Y2" t="e">
        <f>AND(#REF!,"AAAAAFn+vhg=")</f>
        <v>#REF!</v>
      </c>
      <c r="Z2" t="e">
        <f>AND(#REF!,"AAAAAFn+vhk=")</f>
        <v>#REF!</v>
      </c>
      <c r="AA2" t="e">
        <f>AND(#REF!,"AAAAAFn+vho=")</f>
        <v>#REF!</v>
      </c>
      <c r="AB2" t="e">
        <f>AND(#REF!,"AAAAAFn+vhs=")</f>
        <v>#REF!</v>
      </c>
      <c r="AC2" t="e">
        <f>AND(#REF!,"AAAAAFn+vhw=")</f>
        <v>#REF!</v>
      </c>
      <c r="AD2" t="e">
        <f>AND(#REF!,"AAAAAFn+vh0=")</f>
        <v>#REF!</v>
      </c>
      <c r="AE2" t="e">
        <f>AND(#REF!,"AAAAAFn+vh4=")</f>
        <v>#REF!</v>
      </c>
      <c r="AF2" t="e">
        <f>AND(#REF!,"AAAAAFn+vh8=")</f>
        <v>#REF!</v>
      </c>
      <c r="AG2" t="e">
        <f>AND(#REF!,"AAAAAFn+viA=")</f>
        <v>#REF!</v>
      </c>
      <c r="AH2" t="e">
        <f>AND(#REF!,"AAAAAFn+viE=")</f>
        <v>#REF!</v>
      </c>
      <c r="AI2" t="e">
        <f>AND(#REF!,"AAAAAFn+viI=")</f>
        <v>#REF!</v>
      </c>
      <c r="AJ2" t="e">
        <f>AND(#REF!,"AAAAAFn+viM=")</f>
        <v>#REF!</v>
      </c>
      <c r="AK2" t="e">
        <f>AND(#REF!,"AAAAAFn+viQ=")</f>
        <v>#REF!</v>
      </c>
      <c r="AL2" t="e">
        <f>AND(#REF!,"AAAAAFn+viU=")</f>
        <v>#REF!</v>
      </c>
      <c r="AM2" t="e">
        <f>AND(#REF!,"AAAAAFn+viY=")</f>
        <v>#REF!</v>
      </c>
      <c r="AN2" t="e">
        <f>IF(#REF!,"AAAAAFn+vic=",0)</f>
        <v>#REF!</v>
      </c>
      <c r="AO2" t="e">
        <f>AND(#REF!,"AAAAAFn+vig=")</f>
        <v>#REF!</v>
      </c>
      <c r="AP2" t="e">
        <f>AND(#REF!,"AAAAAFn+vik=")</f>
        <v>#REF!</v>
      </c>
      <c r="AQ2" t="e">
        <f>AND(#REF!,"AAAAAFn+vio=")</f>
        <v>#REF!</v>
      </c>
      <c r="AR2" t="e">
        <f>AND(#REF!,"AAAAAFn+vis=")</f>
        <v>#REF!</v>
      </c>
      <c r="AS2" t="e">
        <f>AND(#REF!,"AAAAAFn+viw=")</f>
        <v>#REF!</v>
      </c>
      <c r="AT2" t="e">
        <f>AND(#REF!,"AAAAAFn+vi0=")</f>
        <v>#REF!</v>
      </c>
      <c r="AU2" t="e">
        <f>AND(#REF!,"AAAAAFn+vi4=")</f>
        <v>#REF!</v>
      </c>
      <c r="AV2" t="e">
        <f>AND(#REF!,"AAAAAFn+vi8=")</f>
        <v>#REF!</v>
      </c>
      <c r="AW2" t="e">
        <f>AND(#REF!,"AAAAAFn+vjA=")</f>
        <v>#REF!</v>
      </c>
      <c r="AX2" t="e">
        <f>AND(#REF!,"AAAAAFn+vjE=")</f>
        <v>#REF!</v>
      </c>
      <c r="AY2" t="e">
        <f>AND(#REF!,"AAAAAFn+vjI=")</f>
        <v>#REF!</v>
      </c>
      <c r="AZ2" t="e">
        <f>AND(#REF!,"AAAAAFn+vjM=")</f>
        <v>#REF!</v>
      </c>
      <c r="BA2" t="e">
        <f>AND(#REF!,"AAAAAFn+vjQ=")</f>
        <v>#REF!</v>
      </c>
      <c r="BB2" t="e">
        <f>AND(#REF!,"AAAAAFn+vjU=")</f>
        <v>#REF!</v>
      </c>
      <c r="BC2" t="e">
        <f>AND(#REF!,"AAAAAFn+vjY=")</f>
        <v>#REF!</v>
      </c>
      <c r="BD2" t="e">
        <f>AND(#REF!,"AAAAAFn+vjc=")</f>
        <v>#REF!</v>
      </c>
      <c r="BE2" t="e">
        <f>AND(#REF!,"AAAAAFn+vjg=")</f>
        <v>#REF!</v>
      </c>
      <c r="BF2" t="e">
        <f>AND(#REF!,"AAAAAFn+vjk=")</f>
        <v>#REF!</v>
      </c>
      <c r="BG2" t="e">
        <f>AND(#REF!,"AAAAAFn+vjo=")</f>
        <v>#REF!</v>
      </c>
      <c r="BH2" t="e">
        <f>AND(#REF!,"AAAAAFn+vjs=")</f>
        <v>#REF!</v>
      </c>
      <c r="BI2" t="e">
        <f>AND(#REF!,"AAAAAFn+vjw=")</f>
        <v>#REF!</v>
      </c>
      <c r="BJ2" t="e">
        <f>AND(#REF!,"AAAAAFn+vj0=")</f>
        <v>#REF!</v>
      </c>
      <c r="BK2" t="e">
        <f>AND(#REF!,"AAAAAFn+vj4=")</f>
        <v>#REF!</v>
      </c>
      <c r="BL2" t="e">
        <f>AND(#REF!,"AAAAAFn+vj8=")</f>
        <v>#REF!</v>
      </c>
      <c r="BM2" t="e">
        <f>AND(#REF!,"AAAAAFn+vkA=")</f>
        <v>#REF!</v>
      </c>
      <c r="BN2" t="e">
        <f>AND(#REF!,"AAAAAFn+vkE=")</f>
        <v>#REF!</v>
      </c>
      <c r="BO2" t="e">
        <f>AND(#REF!,"AAAAAFn+vkI=")</f>
        <v>#REF!</v>
      </c>
      <c r="BP2" t="e">
        <f>AND(#REF!,"AAAAAFn+vkM=")</f>
        <v>#REF!</v>
      </c>
      <c r="BQ2" t="e">
        <f>AND(#REF!,"AAAAAFn+vkQ=")</f>
        <v>#REF!</v>
      </c>
      <c r="BR2" t="e">
        <f>AND(#REF!,"AAAAAFn+vkU=")</f>
        <v>#REF!</v>
      </c>
      <c r="BS2" t="e">
        <f>AND(#REF!,"AAAAAFn+vkY=")</f>
        <v>#REF!</v>
      </c>
      <c r="BT2" t="e">
        <f>AND(#REF!,"AAAAAFn+vkc=")</f>
        <v>#REF!</v>
      </c>
      <c r="BU2" t="e">
        <f>AND(#REF!,"AAAAAFn+vkg=")</f>
        <v>#REF!</v>
      </c>
      <c r="BV2" t="e">
        <f>AND(#REF!,"AAAAAFn+vkk=")</f>
        <v>#REF!</v>
      </c>
      <c r="BW2" t="e">
        <f>AND(#REF!,"AAAAAFn+vko=")</f>
        <v>#REF!</v>
      </c>
      <c r="BX2" t="e">
        <f>AND(#REF!,"AAAAAFn+vks=")</f>
        <v>#REF!</v>
      </c>
      <c r="BY2" t="e">
        <f>AND(#REF!,"AAAAAFn+vkw=")</f>
        <v>#REF!</v>
      </c>
      <c r="BZ2" t="e">
        <f>AND(#REF!,"AAAAAFn+vk0=")</f>
        <v>#REF!</v>
      </c>
      <c r="CA2" t="e">
        <f>AND(#REF!,"AAAAAFn+vk4=")</f>
        <v>#REF!</v>
      </c>
      <c r="CB2" t="e">
        <f>AND(#REF!,"AAAAAFn+vk8=")</f>
        <v>#REF!</v>
      </c>
      <c r="CC2" t="e">
        <f>AND(#REF!,"AAAAAFn+vlA=")</f>
        <v>#REF!</v>
      </c>
      <c r="CD2" t="e">
        <f>AND(#REF!,"AAAAAFn+vlE=")</f>
        <v>#REF!</v>
      </c>
      <c r="CE2" t="e">
        <f>AND(#REF!,"AAAAAFn+vlI=")</f>
        <v>#REF!</v>
      </c>
      <c r="CF2" t="e">
        <f>AND(#REF!,"AAAAAFn+vlM=")</f>
        <v>#REF!</v>
      </c>
      <c r="CG2" t="e">
        <f>AND(#REF!,"AAAAAFn+vlQ=")</f>
        <v>#REF!</v>
      </c>
      <c r="CH2" t="e">
        <f>AND(#REF!,"AAAAAFn+vlU=")</f>
        <v>#REF!</v>
      </c>
      <c r="CI2" t="e">
        <f>AND(#REF!,"AAAAAFn+vlY=")</f>
        <v>#REF!</v>
      </c>
      <c r="CJ2" t="e">
        <f>AND(#REF!,"AAAAAFn+vlc=")</f>
        <v>#REF!</v>
      </c>
      <c r="CK2" t="e">
        <f>AND(#REF!,"AAAAAFn+vlg=")</f>
        <v>#REF!</v>
      </c>
      <c r="CL2" t="e">
        <f>AND(#REF!,"AAAAAFn+vlk=")</f>
        <v>#REF!</v>
      </c>
      <c r="CM2" t="e">
        <f>AND(#REF!,"AAAAAFn+vlo=")</f>
        <v>#REF!</v>
      </c>
      <c r="CN2" t="e">
        <f>AND(#REF!,"AAAAAFn+vls=")</f>
        <v>#REF!</v>
      </c>
      <c r="CO2" t="e">
        <f>AND(#REF!,"AAAAAFn+vlw=")</f>
        <v>#REF!</v>
      </c>
      <c r="CP2" t="e">
        <f>AND(#REF!,"AAAAAFn+vl0=")</f>
        <v>#REF!</v>
      </c>
      <c r="CQ2" t="e">
        <f>AND(#REF!,"AAAAAFn+vl4=")</f>
        <v>#REF!</v>
      </c>
      <c r="CR2" t="e">
        <f>AND(#REF!,"AAAAAFn+vl8=")</f>
        <v>#REF!</v>
      </c>
      <c r="CS2" t="e">
        <f>AND(#REF!,"AAAAAFn+vmA=")</f>
        <v>#REF!</v>
      </c>
      <c r="CT2" t="e">
        <f>AND(#REF!,"AAAAAFn+vmE=")</f>
        <v>#REF!</v>
      </c>
      <c r="CU2" t="e">
        <f>IF(#REF!,"AAAAAFn+vmI=",0)</f>
        <v>#REF!</v>
      </c>
      <c r="CV2" t="e">
        <f>AND(#REF!,"AAAAAFn+vmM=")</f>
        <v>#REF!</v>
      </c>
      <c r="CW2" t="e">
        <f>AND(#REF!,"AAAAAFn+vmQ=")</f>
        <v>#REF!</v>
      </c>
      <c r="CX2" t="e">
        <f>AND(#REF!,"AAAAAFn+vmU=")</f>
        <v>#REF!</v>
      </c>
      <c r="CY2" t="e">
        <f>AND(#REF!,"AAAAAFn+vmY=")</f>
        <v>#REF!</v>
      </c>
      <c r="CZ2" t="e">
        <f>AND(#REF!,"AAAAAFn+vmc=")</f>
        <v>#REF!</v>
      </c>
      <c r="DA2" t="e">
        <f>AND(#REF!,"AAAAAFn+vmg=")</f>
        <v>#REF!</v>
      </c>
      <c r="DB2" t="e">
        <f>AND(#REF!,"AAAAAFn+vmk=")</f>
        <v>#REF!</v>
      </c>
      <c r="DC2" t="e">
        <f>AND(#REF!,"AAAAAFn+vmo=")</f>
        <v>#REF!</v>
      </c>
      <c r="DD2" t="e">
        <f>AND(#REF!,"AAAAAFn+vms=")</f>
        <v>#REF!</v>
      </c>
      <c r="DE2" t="e">
        <f>AND(#REF!,"AAAAAFn+vmw=")</f>
        <v>#REF!</v>
      </c>
      <c r="DF2" t="e">
        <f>AND(#REF!,"AAAAAFn+vm0=")</f>
        <v>#REF!</v>
      </c>
      <c r="DG2" t="e">
        <f>AND(#REF!,"AAAAAFn+vm4=")</f>
        <v>#REF!</v>
      </c>
      <c r="DH2" t="e">
        <f>AND(#REF!,"AAAAAFn+vm8=")</f>
        <v>#REF!</v>
      </c>
      <c r="DI2" t="e">
        <f>AND(#REF!,"AAAAAFn+vnA=")</f>
        <v>#REF!</v>
      </c>
      <c r="DJ2" t="e">
        <f>AND(#REF!,"AAAAAFn+vnE=")</f>
        <v>#REF!</v>
      </c>
      <c r="DK2" t="e">
        <f>AND(#REF!,"AAAAAFn+vnI=")</f>
        <v>#REF!</v>
      </c>
      <c r="DL2" t="e">
        <f>AND(#REF!,"AAAAAFn+vnM=")</f>
        <v>#REF!</v>
      </c>
      <c r="DM2" t="e">
        <f>AND(#REF!,"AAAAAFn+vnQ=")</f>
        <v>#REF!</v>
      </c>
      <c r="DN2" t="e">
        <f>AND(#REF!,"AAAAAFn+vnU=")</f>
        <v>#REF!</v>
      </c>
      <c r="DO2" t="e">
        <f>AND(#REF!,"AAAAAFn+vnY=")</f>
        <v>#REF!</v>
      </c>
      <c r="DP2" t="e">
        <f>AND(#REF!,"AAAAAFn+vnc=")</f>
        <v>#REF!</v>
      </c>
      <c r="DQ2" t="e">
        <f>AND(#REF!,"AAAAAFn+vng=")</f>
        <v>#REF!</v>
      </c>
      <c r="DR2" t="e">
        <f>AND(#REF!,"AAAAAFn+vnk=")</f>
        <v>#REF!</v>
      </c>
      <c r="DS2" t="e">
        <f>AND(#REF!,"AAAAAFn+vno=")</f>
        <v>#REF!</v>
      </c>
      <c r="DT2" t="e">
        <f>AND(#REF!,"AAAAAFn+vns=")</f>
        <v>#REF!</v>
      </c>
      <c r="DU2" t="e">
        <f>AND(#REF!,"AAAAAFn+vnw=")</f>
        <v>#REF!</v>
      </c>
      <c r="DV2" t="e">
        <f>AND(#REF!,"AAAAAFn+vn0=")</f>
        <v>#REF!</v>
      </c>
      <c r="DW2" t="e">
        <f>AND(#REF!,"AAAAAFn+vn4=")</f>
        <v>#REF!</v>
      </c>
      <c r="DX2" t="e">
        <f>AND(#REF!,"AAAAAFn+vn8=")</f>
        <v>#REF!</v>
      </c>
      <c r="DY2" t="e">
        <f>AND(#REF!,"AAAAAFn+voA=")</f>
        <v>#REF!</v>
      </c>
      <c r="DZ2" t="e">
        <f>AND(#REF!,"AAAAAFn+voE=")</f>
        <v>#REF!</v>
      </c>
      <c r="EA2" t="e">
        <f>AND(#REF!,"AAAAAFn+voI=")</f>
        <v>#REF!</v>
      </c>
      <c r="EB2" t="e">
        <f>AND(#REF!,"AAAAAFn+voM=")</f>
        <v>#REF!</v>
      </c>
      <c r="EC2" t="e">
        <f>AND(#REF!,"AAAAAFn+voQ=")</f>
        <v>#REF!</v>
      </c>
      <c r="ED2" t="e">
        <f>AND(#REF!,"AAAAAFn+voU=")</f>
        <v>#REF!</v>
      </c>
      <c r="EE2" t="e">
        <f>AND(#REF!,"AAAAAFn+voY=")</f>
        <v>#REF!</v>
      </c>
      <c r="EF2" t="e">
        <f>AND(#REF!,"AAAAAFn+voc=")</f>
        <v>#REF!</v>
      </c>
      <c r="EG2" t="e">
        <f>AND(#REF!,"AAAAAFn+vog=")</f>
        <v>#REF!</v>
      </c>
      <c r="EH2" t="e">
        <f>AND(#REF!,"AAAAAFn+vok=")</f>
        <v>#REF!</v>
      </c>
      <c r="EI2" t="e">
        <f>AND(#REF!,"AAAAAFn+voo=")</f>
        <v>#REF!</v>
      </c>
      <c r="EJ2" t="e">
        <f>AND(#REF!,"AAAAAFn+vos=")</f>
        <v>#REF!</v>
      </c>
      <c r="EK2" t="e">
        <f>AND(#REF!,"AAAAAFn+vow=")</f>
        <v>#REF!</v>
      </c>
      <c r="EL2" t="e">
        <f>AND(#REF!,"AAAAAFn+vo0=")</f>
        <v>#REF!</v>
      </c>
      <c r="EM2" t="e">
        <f>AND(#REF!,"AAAAAFn+vo4=")</f>
        <v>#REF!</v>
      </c>
      <c r="EN2" t="e">
        <f>AND(#REF!,"AAAAAFn+vo8=")</f>
        <v>#REF!</v>
      </c>
      <c r="EO2" t="e">
        <f>AND(#REF!,"AAAAAFn+vpA=")</f>
        <v>#REF!</v>
      </c>
      <c r="EP2" t="e">
        <f>AND(#REF!,"AAAAAFn+vpE=")</f>
        <v>#REF!</v>
      </c>
      <c r="EQ2" t="e">
        <f>AND(#REF!,"AAAAAFn+vpI=")</f>
        <v>#REF!</v>
      </c>
      <c r="ER2" t="e">
        <f>AND(#REF!,"AAAAAFn+vpM=")</f>
        <v>#REF!</v>
      </c>
      <c r="ES2" t="e">
        <f>AND(#REF!,"AAAAAFn+vpQ=")</f>
        <v>#REF!</v>
      </c>
      <c r="ET2" t="e">
        <f>AND(#REF!,"AAAAAFn+vpU=")</f>
        <v>#REF!</v>
      </c>
      <c r="EU2" t="e">
        <f>AND(#REF!,"AAAAAFn+vpY=")</f>
        <v>#REF!</v>
      </c>
      <c r="EV2" t="e">
        <f>AND(#REF!,"AAAAAFn+vpc=")</f>
        <v>#REF!</v>
      </c>
      <c r="EW2" t="e">
        <f>AND(#REF!,"AAAAAFn+vpg=")</f>
        <v>#REF!</v>
      </c>
      <c r="EX2" t="e">
        <f>AND(#REF!,"AAAAAFn+vpk=")</f>
        <v>#REF!</v>
      </c>
      <c r="EY2" t="e">
        <f>AND(#REF!,"AAAAAFn+vpo=")</f>
        <v>#REF!</v>
      </c>
      <c r="EZ2" t="e">
        <f>AND(#REF!,"AAAAAFn+vps=")</f>
        <v>#REF!</v>
      </c>
      <c r="FA2" t="e">
        <f>AND(#REF!,"AAAAAFn+vpw=")</f>
        <v>#REF!</v>
      </c>
      <c r="FB2" t="e">
        <f>IF(#REF!,"AAAAAFn+vp0=",0)</f>
        <v>#REF!</v>
      </c>
      <c r="FC2" t="e">
        <f>AND(#REF!,"AAAAAFn+vp4=")</f>
        <v>#REF!</v>
      </c>
      <c r="FD2" t="e">
        <f>AND(#REF!,"AAAAAFn+vp8=")</f>
        <v>#REF!</v>
      </c>
      <c r="FE2" t="e">
        <f>AND(#REF!,"AAAAAFn+vqA=")</f>
        <v>#REF!</v>
      </c>
      <c r="FF2" t="e">
        <f>AND(#REF!,"AAAAAFn+vqE=")</f>
        <v>#REF!</v>
      </c>
      <c r="FG2" t="e">
        <f>AND(#REF!,"AAAAAFn+vqI=")</f>
        <v>#REF!</v>
      </c>
      <c r="FH2" t="e">
        <f>AND(#REF!,"AAAAAFn+vqM=")</f>
        <v>#REF!</v>
      </c>
      <c r="FI2" t="e">
        <f>AND(#REF!,"AAAAAFn+vqQ=")</f>
        <v>#REF!</v>
      </c>
      <c r="FJ2" t="e">
        <f>AND(#REF!,"AAAAAFn+vqU=")</f>
        <v>#REF!</v>
      </c>
      <c r="FK2" t="e">
        <f>AND(#REF!,"AAAAAFn+vqY=")</f>
        <v>#REF!</v>
      </c>
      <c r="FL2" t="e">
        <f>AND(#REF!,"AAAAAFn+vqc=")</f>
        <v>#REF!</v>
      </c>
      <c r="FM2" t="e">
        <f>AND(#REF!,"AAAAAFn+vqg=")</f>
        <v>#REF!</v>
      </c>
      <c r="FN2" t="e">
        <f>AND(#REF!,"AAAAAFn+vqk=")</f>
        <v>#REF!</v>
      </c>
      <c r="FO2" t="e">
        <f>AND(#REF!,"AAAAAFn+vqo=")</f>
        <v>#REF!</v>
      </c>
      <c r="FP2" t="e">
        <f>AND(#REF!,"AAAAAFn+vqs=")</f>
        <v>#REF!</v>
      </c>
      <c r="FQ2" t="e">
        <f>AND(#REF!,"AAAAAFn+vqw=")</f>
        <v>#REF!</v>
      </c>
      <c r="FR2" t="e">
        <f>AND(#REF!,"AAAAAFn+vq0=")</f>
        <v>#REF!</v>
      </c>
      <c r="FS2" t="e">
        <f>AND(#REF!,"AAAAAFn+vq4=")</f>
        <v>#REF!</v>
      </c>
      <c r="FT2" t="e">
        <f>AND(#REF!,"AAAAAFn+vq8=")</f>
        <v>#REF!</v>
      </c>
      <c r="FU2" t="e">
        <f>AND(#REF!,"AAAAAFn+vrA=")</f>
        <v>#REF!</v>
      </c>
      <c r="FV2" t="e">
        <f>AND(#REF!,"AAAAAFn+vrE=")</f>
        <v>#REF!</v>
      </c>
      <c r="FW2" t="e">
        <f>AND(#REF!,"AAAAAFn+vrI=")</f>
        <v>#REF!</v>
      </c>
      <c r="FX2" t="e">
        <f>AND(#REF!,"AAAAAFn+vrM=")</f>
        <v>#REF!</v>
      </c>
      <c r="FY2" t="e">
        <f>AND(#REF!,"AAAAAFn+vrQ=")</f>
        <v>#REF!</v>
      </c>
      <c r="FZ2" t="e">
        <f>AND(#REF!,"AAAAAFn+vrU=")</f>
        <v>#REF!</v>
      </c>
      <c r="GA2" t="e">
        <f>AND(#REF!,"AAAAAFn+vrY=")</f>
        <v>#REF!</v>
      </c>
      <c r="GB2" t="e">
        <f>AND(#REF!,"AAAAAFn+vrc=")</f>
        <v>#REF!</v>
      </c>
      <c r="GC2" t="e">
        <f>AND(#REF!,"AAAAAFn+vrg=")</f>
        <v>#REF!</v>
      </c>
      <c r="GD2" t="e">
        <f>AND(#REF!,"AAAAAFn+vrk=")</f>
        <v>#REF!</v>
      </c>
      <c r="GE2" t="e">
        <f>AND(#REF!,"AAAAAFn+vro=")</f>
        <v>#REF!</v>
      </c>
      <c r="GF2" t="e">
        <f>AND(#REF!,"AAAAAFn+vrs=")</f>
        <v>#REF!</v>
      </c>
      <c r="GG2" t="e">
        <f>AND(#REF!,"AAAAAFn+vrw=")</f>
        <v>#REF!</v>
      </c>
      <c r="GH2" t="e">
        <f>AND(#REF!,"AAAAAFn+vr0=")</f>
        <v>#REF!</v>
      </c>
      <c r="GI2" t="e">
        <f>AND(#REF!,"AAAAAFn+vr4=")</f>
        <v>#REF!</v>
      </c>
      <c r="GJ2" t="e">
        <f>AND(#REF!,"AAAAAFn+vr8=")</f>
        <v>#REF!</v>
      </c>
      <c r="GK2" t="e">
        <f>AND(#REF!,"AAAAAFn+vsA=")</f>
        <v>#REF!</v>
      </c>
      <c r="GL2" t="e">
        <f>AND(#REF!,"AAAAAFn+vsE=")</f>
        <v>#REF!</v>
      </c>
      <c r="GM2" t="e">
        <f>AND(#REF!,"AAAAAFn+vsI=")</f>
        <v>#REF!</v>
      </c>
      <c r="GN2" t="e">
        <f>AND(#REF!,"AAAAAFn+vsM=")</f>
        <v>#REF!</v>
      </c>
      <c r="GO2" t="e">
        <f>AND(#REF!,"AAAAAFn+vsQ=")</f>
        <v>#REF!</v>
      </c>
      <c r="GP2" t="e">
        <f>AND(#REF!,"AAAAAFn+vsU=")</f>
        <v>#REF!</v>
      </c>
      <c r="GQ2" t="e">
        <f>AND(#REF!,"AAAAAFn+vsY=")</f>
        <v>#REF!</v>
      </c>
      <c r="GR2" t="e">
        <f>AND(#REF!,"AAAAAFn+vsc=")</f>
        <v>#REF!</v>
      </c>
      <c r="GS2" t="e">
        <f>AND(#REF!,"AAAAAFn+vsg=")</f>
        <v>#REF!</v>
      </c>
      <c r="GT2" t="e">
        <f>AND(#REF!,"AAAAAFn+vsk=")</f>
        <v>#REF!</v>
      </c>
      <c r="GU2" t="e">
        <f>AND(#REF!,"AAAAAFn+vso=")</f>
        <v>#REF!</v>
      </c>
      <c r="GV2" t="e">
        <f>AND(#REF!,"AAAAAFn+vss=")</f>
        <v>#REF!</v>
      </c>
      <c r="GW2" t="e">
        <f>AND(#REF!,"AAAAAFn+vsw=")</f>
        <v>#REF!</v>
      </c>
      <c r="GX2" t="e">
        <f>AND(#REF!,"AAAAAFn+vs0=")</f>
        <v>#REF!</v>
      </c>
      <c r="GY2" t="e">
        <f>AND(#REF!,"AAAAAFn+vs4=")</f>
        <v>#REF!</v>
      </c>
      <c r="GZ2" t="e">
        <f>AND(#REF!,"AAAAAFn+vs8=")</f>
        <v>#REF!</v>
      </c>
      <c r="HA2" t="e">
        <f>AND(#REF!,"AAAAAFn+vtA=")</f>
        <v>#REF!</v>
      </c>
      <c r="HB2" t="e">
        <f>AND(#REF!,"AAAAAFn+vtE=")</f>
        <v>#REF!</v>
      </c>
      <c r="HC2" t="e">
        <f>AND(#REF!,"AAAAAFn+vtI=")</f>
        <v>#REF!</v>
      </c>
      <c r="HD2" t="e">
        <f>AND(#REF!,"AAAAAFn+vtM=")</f>
        <v>#REF!</v>
      </c>
      <c r="HE2" t="e">
        <f>AND(#REF!,"AAAAAFn+vtQ=")</f>
        <v>#REF!</v>
      </c>
      <c r="HF2" t="e">
        <f>AND(#REF!,"AAAAAFn+vtU=")</f>
        <v>#REF!</v>
      </c>
      <c r="HG2" t="e">
        <f>AND(#REF!,"AAAAAFn+vtY=")</f>
        <v>#REF!</v>
      </c>
      <c r="HH2" t="e">
        <f>AND(#REF!,"AAAAAFn+vtc=")</f>
        <v>#REF!</v>
      </c>
      <c r="HI2" t="e">
        <f>IF(#REF!,"AAAAAFn+vtg=",0)</f>
        <v>#REF!</v>
      </c>
      <c r="HJ2" t="e">
        <f>AND(#REF!,"AAAAAFn+vtk=")</f>
        <v>#REF!</v>
      </c>
      <c r="HK2" t="e">
        <f>AND(#REF!,"AAAAAFn+vto=")</f>
        <v>#REF!</v>
      </c>
      <c r="HL2" t="e">
        <f>AND(#REF!,"AAAAAFn+vts=")</f>
        <v>#REF!</v>
      </c>
      <c r="HM2" t="e">
        <f>AND(#REF!,"AAAAAFn+vtw=")</f>
        <v>#REF!</v>
      </c>
      <c r="HN2" t="e">
        <f>AND(#REF!,"AAAAAFn+vt0=")</f>
        <v>#REF!</v>
      </c>
      <c r="HO2" t="e">
        <f>AND(#REF!,"AAAAAFn+vt4=")</f>
        <v>#REF!</v>
      </c>
      <c r="HP2" t="e">
        <f>AND(#REF!,"AAAAAFn+vt8=")</f>
        <v>#REF!</v>
      </c>
      <c r="HQ2" t="e">
        <f>AND(#REF!,"AAAAAFn+vuA=")</f>
        <v>#REF!</v>
      </c>
      <c r="HR2" t="e">
        <f>AND(#REF!,"AAAAAFn+vuE=")</f>
        <v>#REF!</v>
      </c>
      <c r="HS2" t="e">
        <f>AND(#REF!,"AAAAAFn+vuI=")</f>
        <v>#REF!</v>
      </c>
      <c r="HT2" t="e">
        <f>AND(#REF!,"AAAAAFn+vuM=")</f>
        <v>#REF!</v>
      </c>
      <c r="HU2" t="e">
        <f>AND(#REF!,"AAAAAFn+vuQ=")</f>
        <v>#REF!</v>
      </c>
      <c r="HV2" t="e">
        <f>AND(#REF!,"AAAAAFn+vuU=")</f>
        <v>#REF!</v>
      </c>
      <c r="HW2" t="e">
        <f>AND(#REF!,"AAAAAFn+vuY=")</f>
        <v>#REF!</v>
      </c>
      <c r="HX2" t="e">
        <f>AND(#REF!,"AAAAAFn+vuc=")</f>
        <v>#REF!</v>
      </c>
      <c r="HY2" t="e">
        <f>AND(#REF!,"AAAAAFn+vug=")</f>
        <v>#REF!</v>
      </c>
      <c r="HZ2" t="e">
        <f>AND(#REF!,"AAAAAFn+vuk=")</f>
        <v>#REF!</v>
      </c>
      <c r="IA2" t="e">
        <f>AND(#REF!,"AAAAAFn+vuo=")</f>
        <v>#REF!</v>
      </c>
      <c r="IB2" t="e">
        <f>AND(#REF!,"AAAAAFn+vus=")</f>
        <v>#REF!</v>
      </c>
      <c r="IC2" t="e">
        <f>AND(#REF!,"AAAAAFn+vuw=")</f>
        <v>#REF!</v>
      </c>
      <c r="ID2" t="e">
        <f>AND(#REF!,"AAAAAFn+vu0=")</f>
        <v>#REF!</v>
      </c>
      <c r="IE2" t="e">
        <f>AND(#REF!,"AAAAAFn+vu4=")</f>
        <v>#REF!</v>
      </c>
      <c r="IF2" t="e">
        <f>AND(#REF!,"AAAAAFn+vu8=")</f>
        <v>#REF!</v>
      </c>
      <c r="IG2" t="e">
        <f>AND(#REF!,"AAAAAFn+vvA=")</f>
        <v>#REF!</v>
      </c>
      <c r="IH2" t="e">
        <f>AND(#REF!,"AAAAAFn+vvE=")</f>
        <v>#REF!</v>
      </c>
      <c r="II2" t="e">
        <f>AND(#REF!,"AAAAAFn+vvI=")</f>
        <v>#REF!</v>
      </c>
      <c r="IJ2" t="e">
        <f>AND(#REF!,"AAAAAFn+vvM=")</f>
        <v>#REF!</v>
      </c>
      <c r="IK2" t="e">
        <f>AND(#REF!,"AAAAAFn+vvQ=")</f>
        <v>#REF!</v>
      </c>
      <c r="IL2" t="e">
        <f>AND(#REF!,"AAAAAFn+vvU=")</f>
        <v>#REF!</v>
      </c>
      <c r="IM2" t="e">
        <f>AND(#REF!,"AAAAAFn+vvY=")</f>
        <v>#REF!</v>
      </c>
      <c r="IN2" t="e">
        <f>AND(#REF!,"AAAAAFn+vvc=")</f>
        <v>#REF!</v>
      </c>
      <c r="IO2" t="e">
        <f>AND(#REF!,"AAAAAFn+vvg=")</f>
        <v>#REF!</v>
      </c>
      <c r="IP2" t="e">
        <f>AND(#REF!,"AAAAAFn+vvk=")</f>
        <v>#REF!</v>
      </c>
      <c r="IQ2" t="e">
        <f>AND(#REF!,"AAAAAFn+vvo=")</f>
        <v>#REF!</v>
      </c>
      <c r="IR2" t="e">
        <f>AND(#REF!,"AAAAAFn+vvs=")</f>
        <v>#REF!</v>
      </c>
      <c r="IS2" t="e">
        <f>AND(#REF!,"AAAAAFn+vvw=")</f>
        <v>#REF!</v>
      </c>
      <c r="IT2" t="e">
        <f>AND(#REF!,"AAAAAFn+vv0=")</f>
        <v>#REF!</v>
      </c>
      <c r="IU2" t="e">
        <f>AND(#REF!,"AAAAAFn+vv4=")</f>
        <v>#REF!</v>
      </c>
      <c r="IV2" t="e">
        <f>AND(#REF!,"AAAAAFn+vv8=")</f>
        <v>#REF!</v>
      </c>
    </row>
    <row r="3" spans="1:256" x14ac:dyDescent="0.25">
      <c r="A3" t="e">
        <f>AND(#REF!,"AAAAAH/v6wA=")</f>
        <v>#REF!</v>
      </c>
      <c r="B3" t="e">
        <f>AND(#REF!,"AAAAAH/v6wE=")</f>
        <v>#REF!</v>
      </c>
      <c r="C3" t="e">
        <f>AND(#REF!,"AAAAAH/v6wI=")</f>
        <v>#REF!</v>
      </c>
      <c r="D3" t="e">
        <f>AND(#REF!,"AAAAAH/v6wM=")</f>
        <v>#REF!</v>
      </c>
      <c r="E3" t="e">
        <f>AND(#REF!,"AAAAAH/v6wQ=")</f>
        <v>#REF!</v>
      </c>
      <c r="F3" t="e">
        <f>AND(#REF!,"AAAAAH/v6wU=")</f>
        <v>#REF!</v>
      </c>
      <c r="G3" t="e">
        <f>AND(#REF!,"AAAAAH/v6wY=")</f>
        <v>#REF!</v>
      </c>
      <c r="H3" t="e">
        <f>AND(#REF!,"AAAAAH/v6wc=")</f>
        <v>#REF!</v>
      </c>
      <c r="I3" t="e">
        <f>AND(#REF!,"AAAAAH/v6wg=")</f>
        <v>#REF!</v>
      </c>
      <c r="J3" t="e">
        <f>AND(#REF!,"AAAAAH/v6wk=")</f>
        <v>#REF!</v>
      </c>
      <c r="K3" t="e">
        <f>AND(#REF!,"AAAAAH/v6wo=")</f>
        <v>#REF!</v>
      </c>
      <c r="L3" t="e">
        <f>AND(#REF!,"AAAAAH/v6ws=")</f>
        <v>#REF!</v>
      </c>
      <c r="M3" t="e">
        <f>AND(#REF!,"AAAAAH/v6ww=")</f>
        <v>#REF!</v>
      </c>
      <c r="N3" t="e">
        <f>AND(#REF!,"AAAAAH/v6w0=")</f>
        <v>#REF!</v>
      </c>
      <c r="O3" t="e">
        <f>AND(#REF!,"AAAAAH/v6w4=")</f>
        <v>#REF!</v>
      </c>
      <c r="P3" t="e">
        <f>AND(#REF!,"AAAAAH/v6w8=")</f>
        <v>#REF!</v>
      </c>
      <c r="Q3" t="e">
        <f>AND(#REF!,"AAAAAH/v6xA=")</f>
        <v>#REF!</v>
      </c>
      <c r="R3" t="e">
        <f>AND(#REF!,"AAAAAH/v6xE=")</f>
        <v>#REF!</v>
      </c>
      <c r="S3" t="e">
        <f>AND(#REF!,"AAAAAH/v6xI=")</f>
        <v>#REF!</v>
      </c>
      <c r="T3" t="e">
        <f>IF(#REF!,"AAAAAH/v6xM=",0)</f>
        <v>#REF!</v>
      </c>
      <c r="U3" t="e">
        <f>AND(#REF!,"AAAAAH/v6xQ=")</f>
        <v>#REF!</v>
      </c>
      <c r="V3" t="e">
        <f>AND(#REF!,"AAAAAH/v6xU=")</f>
        <v>#REF!</v>
      </c>
      <c r="W3" t="e">
        <f>AND(#REF!,"AAAAAH/v6xY=")</f>
        <v>#REF!</v>
      </c>
      <c r="X3" t="e">
        <f>AND(#REF!,"AAAAAH/v6xc=")</f>
        <v>#REF!</v>
      </c>
      <c r="Y3" t="e">
        <f>AND(#REF!,"AAAAAH/v6xg=")</f>
        <v>#REF!</v>
      </c>
      <c r="Z3" t="e">
        <f>AND(#REF!,"AAAAAH/v6xk=")</f>
        <v>#REF!</v>
      </c>
      <c r="AA3" t="e">
        <f>AND(#REF!,"AAAAAH/v6xo=")</f>
        <v>#REF!</v>
      </c>
      <c r="AB3" t="e">
        <f>AND(#REF!,"AAAAAH/v6xs=")</f>
        <v>#REF!</v>
      </c>
      <c r="AC3" t="e">
        <f>AND(#REF!,"AAAAAH/v6xw=")</f>
        <v>#REF!</v>
      </c>
      <c r="AD3" t="e">
        <f>AND(#REF!,"AAAAAH/v6x0=")</f>
        <v>#REF!</v>
      </c>
      <c r="AE3" t="e">
        <f>AND(#REF!,"AAAAAH/v6x4=")</f>
        <v>#REF!</v>
      </c>
      <c r="AF3" t="e">
        <f>AND(#REF!,"AAAAAH/v6x8=")</f>
        <v>#REF!</v>
      </c>
      <c r="AG3" t="e">
        <f>AND(#REF!,"AAAAAH/v6yA=")</f>
        <v>#REF!</v>
      </c>
      <c r="AH3" t="e">
        <f>AND(#REF!,"AAAAAH/v6yE=")</f>
        <v>#REF!</v>
      </c>
      <c r="AI3" t="e">
        <f>AND(#REF!,"AAAAAH/v6yI=")</f>
        <v>#REF!</v>
      </c>
      <c r="AJ3" t="e">
        <f>AND(#REF!,"AAAAAH/v6yM=")</f>
        <v>#REF!</v>
      </c>
      <c r="AK3" t="e">
        <f>AND(#REF!,"AAAAAH/v6yQ=")</f>
        <v>#REF!</v>
      </c>
      <c r="AL3" t="e">
        <f>AND(#REF!,"AAAAAH/v6yU=")</f>
        <v>#REF!</v>
      </c>
      <c r="AM3" t="e">
        <f>AND(#REF!,"AAAAAH/v6yY=")</f>
        <v>#REF!</v>
      </c>
      <c r="AN3" t="e">
        <f>AND(#REF!,"AAAAAH/v6yc=")</f>
        <v>#REF!</v>
      </c>
      <c r="AO3" t="e">
        <f>AND(#REF!,"AAAAAH/v6yg=")</f>
        <v>#REF!</v>
      </c>
      <c r="AP3" t="e">
        <f>AND(#REF!,"AAAAAH/v6yk=")</f>
        <v>#REF!</v>
      </c>
      <c r="AQ3" t="e">
        <f>AND(#REF!,"AAAAAH/v6yo=")</f>
        <v>#REF!</v>
      </c>
      <c r="AR3" t="e">
        <f>AND(#REF!,"AAAAAH/v6ys=")</f>
        <v>#REF!</v>
      </c>
      <c r="AS3" t="e">
        <f>AND(#REF!,"AAAAAH/v6yw=")</f>
        <v>#REF!</v>
      </c>
      <c r="AT3" t="e">
        <f>AND(#REF!,"AAAAAH/v6y0=")</f>
        <v>#REF!</v>
      </c>
      <c r="AU3" t="e">
        <f>AND(#REF!,"AAAAAH/v6y4=")</f>
        <v>#REF!</v>
      </c>
      <c r="AV3" t="e">
        <f>AND(#REF!,"AAAAAH/v6y8=")</f>
        <v>#REF!</v>
      </c>
      <c r="AW3" t="e">
        <f>AND(#REF!,"AAAAAH/v6zA=")</f>
        <v>#REF!</v>
      </c>
      <c r="AX3" t="e">
        <f>AND(#REF!,"AAAAAH/v6zE=")</f>
        <v>#REF!</v>
      </c>
      <c r="AY3" t="e">
        <f>AND(#REF!,"AAAAAH/v6zI=")</f>
        <v>#REF!</v>
      </c>
      <c r="AZ3" t="e">
        <f>AND(#REF!,"AAAAAH/v6zM=")</f>
        <v>#REF!</v>
      </c>
      <c r="BA3" t="e">
        <f>AND(#REF!,"AAAAAH/v6zQ=")</f>
        <v>#REF!</v>
      </c>
      <c r="BB3" t="e">
        <f>AND(#REF!,"AAAAAH/v6zU=")</f>
        <v>#REF!</v>
      </c>
      <c r="BC3" t="e">
        <f>AND(#REF!,"AAAAAH/v6zY=")</f>
        <v>#REF!</v>
      </c>
      <c r="BD3" t="e">
        <f>AND(#REF!,"AAAAAH/v6zc=")</f>
        <v>#REF!</v>
      </c>
      <c r="BE3" t="e">
        <f>AND(#REF!,"AAAAAH/v6zg=")</f>
        <v>#REF!</v>
      </c>
      <c r="BF3" t="e">
        <f>AND(#REF!,"AAAAAH/v6zk=")</f>
        <v>#REF!</v>
      </c>
      <c r="BG3" t="e">
        <f>AND(#REF!,"AAAAAH/v6zo=")</f>
        <v>#REF!</v>
      </c>
      <c r="BH3" t="e">
        <f>AND(#REF!,"AAAAAH/v6zs=")</f>
        <v>#REF!</v>
      </c>
      <c r="BI3" t="e">
        <f>AND(#REF!,"AAAAAH/v6zw=")</f>
        <v>#REF!</v>
      </c>
      <c r="BJ3" t="e">
        <f>AND(#REF!,"AAAAAH/v6z0=")</f>
        <v>#REF!</v>
      </c>
      <c r="BK3" t="e">
        <f>AND(#REF!,"AAAAAH/v6z4=")</f>
        <v>#REF!</v>
      </c>
      <c r="BL3" t="e">
        <f>AND(#REF!,"AAAAAH/v6z8=")</f>
        <v>#REF!</v>
      </c>
      <c r="BM3" t="e">
        <f>AND(#REF!,"AAAAAH/v60A=")</f>
        <v>#REF!</v>
      </c>
      <c r="BN3" t="e">
        <f>AND(#REF!,"AAAAAH/v60E=")</f>
        <v>#REF!</v>
      </c>
      <c r="BO3" t="e">
        <f>AND(#REF!,"AAAAAH/v60I=")</f>
        <v>#REF!</v>
      </c>
      <c r="BP3" t="e">
        <f>AND(#REF!,"AAAAAH/v60M=")</f>
        <v>#REF!</v>
      </c>
      <c r="BQ3" t="e">
        <f>AND(#REF!,"AAAAAH/v60Q=")</f>
        <v>#REF!</v>
      </c>
      <c r="BR3" t="e">
        <f>AND(#REF!,"AAAAAH/v60U=")</f>
        <v>#REF!</v>
      </c>
      <c r="BS3" t="e">
        <f>AND(#REF!,"AAAAAH/v60Y=")</f>
        <v>#REF!</v>
      </c>
      <c r="BT3" t="e">
        <f>AND(#REF!,"AAAAAH/v60c=")</f>
        <v>#REF!</v>
      </c>
      <c r="BU3" t="e">
        <f>AND(#REF!,"AAAAAH/v60g=")</f>
        <v>#REF!</v>
      </c>
      <c r="BV3" t="e">
        <f>AND(#REF!,"AAAAAH/v60k=")</f>
        <v>#REF!</v>
      </c>
      <c r="BW3" t="e">
        <f>AND(#REF!,"AAAAAH/v60o=")</f>
        <v>#REF!</v>
      </c>
      <c r="BX3" t="e">
        <f>AND(#REF!,"AAAAAH/v60s=")</f>
        <v>#REF!</v>
      </c>
      <c r="BY3" t="e">
        <f>AND(#REF!,"AAAAAH/v60w=")</f>
        <v>#REF!</v>
      </c>
      <c r="BZ3" t="e">
        <f>AND(#REF!,"AAAAAH/v600=")</f>
        <v>#REF!</v>
      </c>
      <c r="CA3" t="e">
        <f>IF(#REF!,"AAAAAH/v604=",0)</f>
        <v>#REF!</v>
      </c>
      <c r="CB3" t="e">
        <f>AND(#REF!,"AAAAAH/v608=")</f>
        <v>#REF!</v>
      </c>
      <c r="CC3" t="e">
        <f>AND(#REF!,"AAAAAH/v61A=")</f>
        <v>#REF!</v>
      </c>
      <c r="CD3" t="e">
        <f>AND(#REF!,"AAAAAH/v61E=")</f>
        <v>#REF!</v>
      </c>
      <c r="CE3" t="e">
        <f>AND(#REF!,"AAAAAH/v61I=")</f>
        <v>#REF!</v>
      </c>
      <c r="CF3" t="e">
        <f>AND(#REF!,"AAAAAH/v61M=")</f>
        <v>#REF!</v>
      </c>
      <c r="CG3" t="e">
        <f>AND(#REF!,"AAAAAH/v61Q=")</f>
        <v>#REF!</v>
      </c>
      <c r="CH3" t="e">
        <f>AND(#REF!,"AAAAAH/v61U=")</f>
        <v>#REF!</v>
      </c>
      <c r="CI3" t="e">
        <f>AND(#REF!,"AAAAAH/v61Y=")</f>
        <v>#REF!</v>
      </c>
      <c r="CJ3" t="e">
        <f>AND(#REF!,"AAAAAH/v61c=")</f>
        <v>#REF!</v>
      </c>
      <c r="CK3" t="e">
        <f>AND(#REF!,"AAAAAH/v61g=")</f>
        <v>#REF!</v>
      </c>
      <c r="CL3" t="e">
        <f>AND(#REF!,"AAAAAH/v61k=")</f>
        <v>#REF!</v>
      </c>
      <c r="CM3" t="e">
        <f>AND(#REF!,"AAAAAH/v61o=")</f>
        <v>#REF!</v>
      </c>
      <c r="CN3" t="e">
        <f>AND(#REF!,"AAAAAH/v61s=")</f>
        <v>#REF!</v>
      </c>
      <c r="CO3" t="e">
        <f>AND(#REF!,"AAAAAH/v61w=")</f>
        <v>#REF!</v>
      </c>
      <c r="CP3" t="e">
        <f>AND(#REF!,"AAAAAH/v610=")</f>
        <v>#REF!</v>
      </c>
      <c r="CQ3" t="e">
        <f>AND(#REF!,"AAAAAH/v614=")</f>
        <v>#REF!</v>
      </c>
      <c r="CR3" t="e">
        <f>AND(#REF!,"AAAAAH/v618=")</f>
        <v>#REF!</v>
      </c>
      <c r="CS3" t="e">
        <f>AND(#REF!,"AAAAAH/v62A=")</f>
        <v>#REF!</v>
      </c>
      <c r="CT3" t="e">
        <f>AND(#REF!,"AAAAAH/v62E=")</f>
        <v>#REF!</v>
      </c>
      <c r="CU3" t="e">
        <f>AND(#REF!,"AAAAAH/v62I=")</f>
        <v>#REF!</v>
      </c>
      <c r="CV3" t="e">
        <f>AND(#REF!,"AAAAAH/v62M=")</f>
        <v>#REF!</v>
      </c>
      <c r="CW3" t="e">
        <f>AND(#REF!,"AAAAAH/v62Q=")</f>
        <v>#REF!</v>
      </c>
      <c r="CX3" t="e">
        <f>AND(#REF!,"AAAAAH/v62U=")</f>
        <v>#REF!</v>
      </c>
      <c r="CY3" t="e">
        <f>AND(#REF!,"AAAAAH/v62Y=")</f>
        <v>#REF!</v>
      </c>
      <c r="CZ3" t="e">
        <f>AND(#REF!,"AAAAAH/v62c=")</f>
        <v>#REF!</v>
      </c>
      <c r="DA3" t="e">
        <f>AND(#REF!,"AAAAAH/v62g=")</f>
        <v>#REF!</v>
      </c>
      <c r="DB3" t="e">
        <f>AND(#REF!,"AAAAAH/v62k=")</f>
        <v>#REF!</v>
      </c>
      <c r="DC3" t="e">
        <f>AND(#REF!,"AAAAAH/v62o=")</f>
        <v>#REF!</v>
      </c>
      <c r="DD3" t="e">
        <f>AND(#REF!,"AAAAAH/v62s=")</f>
        <v>#REF!</v>
      </c>
      <c r="DE3" t="e">
        <f>AND(#REF!,"AAAAAH/v62w=")</f>
        <v>#REF!</v>
      </c>
      <c r="DF3" t="e">
        <f>AND(#REF!,"AAAAAH/v620=")</f>
        <v>#REF!</v>
      </c>
      <c r="DG3" t="e">
        <f>AND(#REF!,"AAAAAH/v624=")</f>
        <v>#REF!</v>
      </c>
      <c r="DH3" t="e">
        <f>AND(#REF!,"AAAAAH/v628=")</f>
        <v>#REF!</v>
      </c>
      <c r="DI3" t="e">
        <f>AND(#REF!,"AAAAAH/v63A=")</f>
        <v>#REF!</v>
      </c>
      <c r="DJ3" t="e">
        <f>AND(#REF!,"AAAAAH/v63E=")</f>
        <v>#REF!</v>
      </c>
      <c r="DK3" t="e">
        <f>AND(#REF!,"AAAAAH/v63I=")</f>
        <v>#REF!</v>
      </c>
      <c r="DL3" t="e">
        <f>AND(#REF!,"AAAAAH/v63M=")</f>
        <v>#REF!</v>
      </c>
      <c r="DM3" t="e">
        <f>AND(#REF!,"AAAAAH/v63Q=")</f>
        <v>#REF!</v>
      </c>
      <c r="DN3" t="e">
        <f>AND(#REF!,"AAAAAH/v63U=")</f>
        <v>#REF!</v>
      </c>
      <c r="DO3" t="e">
        <f>AND(#REF!,"AAAAAH/v63Y=")</f>
        <v>#REF!</v>
      </c>
      <c r="DP3" t="e">
        <f>AND(#REF!,"AAAAAH/v63c=")</f>
        <v>#REF!</v>
      </c>
      <c r="DQ3" t="e">
        <f>AND(#REF!,"AAAAAH/v63g=")</f>
        <v>#REF!</v>
      </c>
      <c r="DR3" t="e">
        <f>AND(#REF!,"AAAAAH/v63k=")</f>
        <v>#REF!</v>
      </c>
      <c r="DS3" t="e">
        <f>AND(#REF!,"AAAAAH/v63o=")</f>
        <v>#REF!</v>
      </c>
      <c r="DT3" t="e">
        <f>AND(#REF!,"AAAAAH/v63s=")</f>
        <v>#REF!</v>
      </c>
      <c r="DU3" t="e">
        <f>AND(#REF!,"AAAAAH/v63w=")</f>
        <v>#REF!</v>
      </c>
      <c r="DV3" t="e">
        <f>AND(#REF!,"AAAAAH/v630=")</f>
        <v>#REF!</v>
      </c>
      <c r="DW3" t="e">
        <f>AND(#REF!,"AAAAAH/v634=")</f>
        <v>#REF!</v>
      </c>
      <c r="DX3" t="e">
        <f>AND(#REF!,"AAAAAH/v638=")</f>
        <v>#REF!</v>
      </c>
      <c r="DY3" t="e">
        <f>AND(#REF!,"AAAAAH/v64A=")</f>
        <v>#REF!</v>
      </c>
      <c r="DZ3" t="e">
        <f>AND(#REF!,"AAAAAH/v64E=")</f>
        <v>#REF!</v>
      </c>
      <c r="EA3" t="e">
        <f>AND(#REF!,"AAAAAH/v64I=")</f>
        <v>#REF!</v>
      </c>
      <c r="EB3" t="e">
        <f>AND(#REF!,"AAAAAH/v64M=")</f>
        <v>#REF!</v>
      </c>
      <c r="EC3" t="e">
        <f>AND(#REF!,"AAAAAH/v64Q=")</f>
        <v>#REF!</v>
      </c>
      <c r="ED3" t="e">
        <f>AND(#REF!,"AAAAAH/v64U=")</f>
        <v>#REF!</v>
      </c>
      <c r="EE3" t="e">
        <f>AND(#REF!,"AAAAAH/v64Y=")</f>
        <v>#REF!</v>
      </c>
      <c r="EF3" t="e">
        <f>AND(#REF!,"AAAAAH/v64c=")</f>
        <v>#REF!</v>
      </c>
      <c r="EG3" t="e">
        <f>AND(#REF!,"AAAAAH/v64g=")</f>
        <v>#REF!</v>
      </c>
      <c r="EH3" t="e">
        <f>IF(#REF!,"AAAAAH/v64k=",0)</f>
        <v>#REF!</v>
      </c>
      <c r="EI3" t="e">
        <f>AND(#REF!,"AAAAAH/v64o=")</f>
        <v>#REF!</v>
      </c>
      <c r="EJ3" t="e">
        <f>AND(#REF!,"AAAAAH/v64s=")</f>
        <v>#REF!</v>
      </c>
      <c r="EK3" t="e">
        <f>AND(#REF!,"AAAAAH/v64w=")</f>
        <v>#REF!</v>
      </c>
      <c r="EL3" t="e">
        <f>AND(#REF!,"AAAAAH/v640=")</f>
        <v>#REF!</v>
      </c>
      <c r="EM3" t="e">
        <f>AND(#REF!,"AAAAAH/v644=")</f>
        <v>#REF!</v>
      </c>
      <c r="EN3" t="e">
        <f>AND(#REF!,"AAAAAH/v648=")</f>
        <v>#REF!</v>
      </c>
      <c r="EO3" t="e">
        <f>AND(#REF!,"AAAAAH/v65A=")</f>
        <v>#REF!</v>
      </c>
      <c r="EP3" t="e">
        <f>AND(#REF!,"AAAAAH/v65E=")</f>
        <v>#REF!</v>
      </c>
      <c r="EQ3" t="e">
        <f>AND(#REF!,"AAAAAH/v65I=")</f>
        <v>#REF!</v>
      </c>
      <c r="ER3" t="e">
        <f>AND(#REF!,"AAAAAH/v65M=")</f>
        <v>#REF!</v>
      </c>
      <c r="ES3" t="e">
        <f>AND(#REF!,"AAAAAH/v65Q=")</f>
        <v>#REF!</v>
      </c>
      <c r="ET3" t="e">
        <f>AND(#REF!,"AAAAAH/v65U=")</f>
        <v>#REF!</v>
      </c>
      <c r="EU3" t="e">
        <f>AND(#REF!,"AAAAAH/v65Y=")</f>
        <v>#REF!</v>
      </c>
      <c r="EV3" t="e">
        <f>AND(#REF!,"AAAAAH/v65c=")</f>
        <v>#REF!</v>
      </c>
      <c r="EW3" t="e">
        <f>AND(#REF!,"AAAAAH/v65g=")</f>
        <v>#REF!</v>
      </c>
      <c r="EX3" t="e">
        <f>AND(#REF!,"AAAAAH/v65k=")</f>
        <v>#REF!</v>
      </c>
      <c r="EY3" t="e">
        <f>AND(#REF!,"AAAAAH/v65o=")</f>
        <v>#REF!</v>
      </c>
      <c r="EZ3" t="e">
        <f>AND(#REF!,"AAAAAH/v65s=")</f>
        <v>#REF!</v>
      </c>
      <c r="FA3" t="e">
        <f>AND(#REF!,"AAAAAH/v65w=")</f>
        <v>#REF!</v>
      </c>
      <c r="FB3" t="e">
        <f>AND(#REF!,"AAAAAH/v650=")</f>
        <v>#REF!</v>
      </c>
      <c r="FC3" t="e">
        <f>AND(#REF!,"AAAAAH/v654=")</f>
        <v>#REF!</v>
      </c>
      <c r="FD3" t="e">
        <f>AND(#REF!,"AAAAAH/v658=")</f>
        <v>#REF!</v>
      </c>
      <c r="FE3" t="e">
        <f>AND(#REF!,"AAAAAH/v66A=")</f>
        <v>#REF!</v>
      </c>
      <c r="FF3" t="e">
        <f>AND(#REF!,"AAAAAH/v66E=")</f>
        <v>#REF!</v>
      </c>
      <c r="FG3" t="e">
        <f>AND(#REF!,"AAAAAH/v66I=")</f>
        <v>#REF!</v>
      </c>
      <c r="FH3" t="e">
        <f>AND(#REF!,"AAAAAH/v66M=")</f>
        <v>#REF!</v>
      </c>
      <c r="FI3" t="e">
        <f>AND(#REF!,"AAAAAH/v66Q=")</f>
        <v>#REF!</v>
      </c>
      <c r="FJ3" t="e">
        <f>AND(#REF!,"AAAAAH/v66U=")</f>
        <v>#REF!</v>
      </c>
      <c r="FK3" t="e">
        <f>AND(#REF!,"AAAAAH/v66Y=")</f>
        <v>#REF!</v>
      </c>
      <c r="FL3" t="e">
        <f>AND(#REF!,"AAAAAH/v66c=")</f>
        <v>#REF!</v>
      </c>
      <c r="FM3" t="e">
        <f>AND(#REF!,"AAAAAH/v66g=")</f>
        <v>#REF!</v>
      </c>
      <c r="FN3" t="e">
        <f>AND(#REF!,"AAAAAH/v66k=")</f>
        <v>#REF!</v>
      </c>
      <c r="FO3" t="e">
        <f>AND(#REF!,"AAAAAH/v66o=")</f>
        <v>#REF!</v>
      </c>
      <c r="FP3" t="e">
        <f>AND(#REF!,"AAAAAH/v66s=")</f>
        <v>#REF!</v>
      </c>
      <c r="FQ3" t="e">
        <f>AND(#REF!,"AAAAAH/v66w=")</f>
        <v>#REF!</v>
      </c>
      <c r="FR3" t="e">
        <f>AND(#REF!,"AAAAAH/v660=")</f>
        <v>#REF!</v>
      </c>
      <c r="FS3" t="e">
        <f>AND(#REF!,"AAAAAH/v664=")</f>
        <v>#REF!</v>
      </c>
      <c r="FT3" t="e">
        <f>AND(#REF!,"AAAAAH/v668=")</f>
        <v>#REF!</v>
      </c>
      <c r="FU3" t="e">
        <f>AND(#REF!,"AAAAAH/v67A=")</f>
        <v>#REF!</v>
      </c>
      <c r="FV3" t="e">
        <f>AND(#REF!,"AAAAAH/v67E=")</f>
        <v>#REF!</v>
      </c>
      <c r="FW3" t="e">
        <f>AND(#REF!,"AAAAAH/v67I=")</f>
        <v>#REF!</v>
      </c>
      <c r="FX3" t="e">
        <f>AND(#REF!,"AAAAAH/v67M=")</f>
        <v>#REF!</v>
      </c>
      <c r="FY3" t="e">
        <f>AND(#REF!,"AAAAAH/v67Q=")</f>
        <v>#REF!</v>
      </c>
      <c r="FZ3" t="e">
        <f>AND(#REF!,"AAAAAH/v67U=")</f>
        <v>#REF!</v>
      </c>
      <c r="GA3" t="e">
        <f>AND(#REF!,"AAAAAH/v67Y=")</f>
        <v>#REF!</v>
      </c>
      <c r="GB3" t="e">
        <f>AND(#REF!,"AAAAAH/v67c=")</f>
        <v>#REF!</v>
      </c>
      <c r="GC3" t="e">
        <f>AND(#REF!,"AAAAAH/v67g=")</f>
        <v>#REF!</v>
      </c>
      <c r="GD3" t="e">
        <f>AND(#REF!,"AAAAAH/v67k=")</f>
        <v>#REF!</v>
      </c>
      <c r="GE3" t="e">
        <f>AND(#REF!,"AAAAAH/v67o=")</f>
        <v>#REF!</v>
      </c>
      <c r="GF3" t="e">
        <f>AND(#REF!,"AAAAAH/v67s=")</f>
        <v>#REF!</v>
      </c>
      <c r="GG3" t="e">
        <f>AND(#REF!,"AAAAAH/v67w=")</f>
        <v>#REF!</v>
      </c>
      <c r="GH3" t="e">
        <f>AND(#REF!,"AAAAAH/v670=")</f>
        <v>#REF!</v>
      </c>
      <c r="GI3" t="e">
        <f>AND(#REF!,"AAAAAH/v674=")</f>
        <v>#REF!</v>
      </c>
      <c r="GJ3" t="e">
        <f>AND(#REF!,"AAAAAH/v678=")</f>
        <v>#REF!</v>
      </c>
      <c r="GK3" t="e">
        <f>AND(#REF!,"AAAAAH/v68A=")</f>
        <v>#REF!</v>
      </c>
      <c r="GL3" t="e">
        <f>AND(#REF!,"AAAAAH/v68E=")</f>
        <v>#REF!</v>
      </c>
      <c r="GM3" t="e">
        <f>AND(#REF!,"AAAAAH/v68I=")</f>
        <v>#REF!</v>
      </c>
      <c r="GN3" t="e">
        <f>AND(#REF!,"AAAAAH/v68M=")</f>
        <v>#REF!</v>
      </c>
      <c r="GO3" t="e">
        <f>IF(#REF!,"AAAAAH/v68Q=",0)</f>
        <v>#REF!</v>
      </c>
      <c r="GP3" t="e">
        <f>AND(#REF!,"AAAAAH/v68U=")</f>
        <v>#REF!</v>
      </c>
      <c r="GQ3" t="e">
        <f>AND(#REF!,"AAAAAH/v68Y=")</f>
        <v>#REF!</v>
      </c>
      <c r="GR3" t="e">
        <f>AND(#REF!,"AAAAAH/v68c=")</f>
        <v>#REF!</v>
      </c>
      <c r="GS3" t="e">
        <f>AND(#REF!,"AAAAAH/v68g=")</f>
        <v>#REF!</v>
      </c>
      <c r="GT3" t="e">
        <f>AND(#REF!,"AAAAAH/v68k=")</f>
        <v>#REF!</v>
      </c>
      <c r="GU3" t="e">
        <f>AND(#REF!,"AAAAAH/v68o=")</f>
        <v>#REF!</v>
      </c>
      <c r="GV3" t="e">
        <f>AND(#REF!,"AAAAAH/v68s=")</f>
        <v>#REF!</v>
      </c>
      <c r="GW3" t="e">
        <f>AND(#REF!,"AAAAAH/v68w=")</f>
        <v>#REF!</v>
      </c>
      <c r="GX3" t="e">
        <f>AND(#REF!,"AAAAAH/v680=")</f>
        <v>#REF!</v>
      </c>
      <c r="GY3" t="e">
        <f>AND(#REF!,"AAAAAH/v684=")</f>
        <v>#REF!</v>
      </c>
      <c r="GZ3" t="e">
        <f>AND(#REF!,"AAAAAH/v688=")</f>
        <v>#REF!</v>
      </c>
      <c r="HA3" t="e">
        <f>AND(#REF!,"AAAAAH/v69A=")</f>
        <v>#REF!</v>
      </c>
      <c r="HB3" t="e">
        <f>AND(#REF!,"AAAAAH/v69E=")</f>
        <v>#REF!</v>
      </c>
      <c r="HC3" t="e">
        <f>AND(#REF!,"AAAAAH/v69I=")</f>
        <v>#REF!</v>
      </c>
      <c r="HD3" t="e">
        <f>AND(#REF!,"AAAAAH/v69M=")</f>
        <v>#REF!</v>
      </c>
      <c r="HE3" t="e">
        <f>AND(#REF!,"AAAAAH/v69Q=")</f>
        <v>#REF!</v>
      </c>
      <c r="HF3" t="e">
        <f>AND(#REF!,"AAAAAH/v69U=")</f>
        <v>#REF!</v>
      </c>
      <c r="HG3" t="e">
        <f>AND(#REF!,"AAAAAH/v69Y=")</f>
        <v>#REF!</v>
      </c>
      <c r="HH3" t="e">
        <f>AND(#REF!,"AAAAAH/v69c=")</f>
        <v>#REF!</v>
      </c>
      <c r="HI3" t="e">
        <f>AND(#REF!,"AAAAAH/v69g=")</f>
        <v>#REF!</v>
      </c>
      <c r="HJ3" t="e">
        <f>AND(#REF!,"AAAAAH/v69k=")</f>
        <v>#REF!</v>
      </c>
      <c r="HK3" t="e">
        <f>AND(#REF!,"AAAAAH/v69o=")</f>
        <v>#REF!</v>
      </c>
      <c r="HL3" t="e">
        <f>AND(#REF!,"AAAAAH/v69s=")</f>
        <v>#REF!</v>
      </c>
      <c r="HM3" t="e">
        <f>AND(#REF!,"AAAAAH/v69w=")</f>
        <v>#REF!</v>
      </c>
      <c r="HN3" t="e">
        <f>AND(#REF!,"AAAAAH/v690=")</f>
        <v>#REF!</v>
      </c>
      <c r="HO3" t="e">
        <f>AND(#REF!,"AAAAAH/v694=")</f>
        <v>#REF!</v>
      </c>
      <c r="HP3" t="e">
        <f>AND(#REF!,"AAAAAH/v698=")</f>
        <v>#REF!</v>
      </c>
      <c r="HQ3" t="e">
        <f>AND(#REF!,"AAAAAH/v6+A=")</f>
        <v>#REF!</v>
      </c>
      <c r="HR3" t="e">
        <f>AND(#REF!,"AAAAAH/v6+E=")</f>
        <v>#REF!</v>
      </c>
      <c r="HS3" t="e">
        <f>AND(#REF!,"AAAAAH/v6+I=")</f>
        <v>#REF!</v>
      </c>
      <c r="HT3" t="e">
        <f>AND(#REF!,"AAAAAH/v6+M=")</f>
        <v>#REF!</v>
      </c>
      <c r="HU3" t="e">
        <f>AND(#REF!,"AAAAAH/v6+Q=")</f>
        <v>#REF!</v>
      </c>
      <c r="HV3" t="e">
        <f>AND(#REF!,"AAAAAH/v6+U=")</f>
        <v>#REF!</v>
      </c>
      <c r="HW3" t="e">
        <f>AND(#REF!,"AAAAAH/v6+Y=")</f>
        <v>#REF!</v>
      </c>
      <c r="HX3" t="e">
        <f>AND(#REF!,"AAAAAH/v6+c=")</f>
        <v>#REF!</v>
      </c>
      <c r="HY3" t="e">
        <f>AND(#REF!,"AAAAAH/v6+g=")</f>
        <v>#REF!</v>
      </c>
      <c r="HZ3" t="e">
        <f>AND(#REF!,"AAAAAH/v6+k=")</f>
        <v>#REF!</v>
      </c>
      <c r="IA3" t="e">
        <f>AND(#REF!,"AAAAAH/v6+o=")</f>
        <v>#REF!</v>
      </c>
      <c r="IB3" t="e">
        <f>AND(#REF!,"AAAAAH/v6+s=")</f>
        <v>#REF!</v>
      </c>
      <c r="IC3" t="e">
        <f>AND(#REF!,"AAAAAH/v6+w=")</f>
        <v>#REF!</v>
      </c>
      <c r="ID3" t="e">
        <f>AND(#REF!,"AAAAAH/v6+0=")</f>
        <v>#REF!</v>
      </c>
      <c r="IE3" t="e">
        <f>AND(#REF!,"AAAAAH/v6+4=")</f>
        <v>#REF!</v>
      </c>
      <c r="IF3" t="e">
        <f>AND(#REF!,"AAAAAH/v6+8=")</f>
        <v>#REF!</v>
      </c>
      <c r="IG3" t="e">
        <f>AND(#REF!,"AAAAAH/v6/A=")</f>
        <v>#REF!</v>
      </c>
      <c r="IH3" t="e">
        <f>AND(#REF!,"AAAAAH/v6/E=")</f>
        <v>#REF!</v>
      </c>
      <c r="II3" t="e">
        <f>AND(#REF!,"AAAAAH/v6/I=")</f>
        <v>#REF!</v>
      </c>
      <c r="IJ3" t="e">
        <f>AND(#REF!,"AAAAAH/v6/M=")</f>
        <v>#REF!</v>
      </c>
      <c r="IK3" t="e">
        <f>AND(#REF!,"AAAAAH/v6/Q=")</f>
        <v>#REF!</v>
      </c>
      <c r="IL3" t="e">
        <f>AND(#REF!,"AAAAAH/v6/U=")</f>
        <v>#REF!</v>
      </c>
      <c r="IM3" t="e">
        <f>AND(#REF!,"AAAAAH/v6/Y=")</f>
        <v>#REF!</v>
      </c>
      <c r="IN3" t="e">
        <f>AND(#REF!,"AAAAAH/v6/c=")</f>
        <v>#REF!</v>
      </c>
      <c r="IO3" t="e">
        <f>AND(#REF!,"AAAAAH/v6/g=")</f>
        <v>#REF!</v>
      </c>
      <c r="IP3" t="e">
        <f>AND(#REF!,"AAAAAH/v6/k=")</f>
        <v>#REF!</v>
      </c>
      <c r="IQ3" t="e">
        <f>AND(#REF!,"AAAAAH/v6/o=")</f>
        <v>#REF!</v>
      </c>
      <c r="IR3" t="e">
        <f>AND(#REF!,"AAAAAH/v6/s=")</f>
        <v>#REF!</v>
      </c>
      <c r="IS3" t="e">
        <f>AND(#REF!,"AAAAAH/v6/w=")</f>
        <v>#REF!</v>
      </c>
      <c r="IT3" t="e">
        <f>AND(#REF!,"AAAAAH/v6/0=")</f>
        <v>#REF!</v>
      </c>
      <c r="IU3" t="e">
        <f>AND(#REF!,"AAAAAH/v6/4=")</f>
        <v>#REF!</v>
      </c>
      <c r="IV3" t="e">
        <f>IF(#REF!,"AAAAAH/v6/8=",0)</f>
        <v>#REF!</v>
      </c>
    </row>
    <row r="4" spans="1:256" x14ac:dyDescent="0.25">
      <c r="A4" t="e">
        <f>AND(#REF!,"AAAAAH8M2wA=")</f>
        <v>#REF!</v>
      </c>
      <c r="B4" t="e">
        <f>AND(#REF!,"AAAAAH8M2wE=")</f>
        <v>#REF!</v>
      </c>
      <c r="C4" t="e">
        <f>AND(#REF!,"AAAAAH8M2wI=")</f>
        <v>#REF!</v>
      </c>
      <c r="D4" t="e">
        <f>AND(#REF!,"AAAAAH8M2wM=")</f>
        <v>#REF!</v>
      </c>
      <c r="E4" t="e">
        <f>AND(#REF!,"AAAAAH8M2wQ=")</f>
        <v>#REF!</v>
      </c>
      <c r="F4" t="e">
        <f>AND(#REF!,"AAAAAH8M2wU=")</f>
        <v>#REF!</v>
      </c>
      <c r="G4" t="e">
        <f>AND(#REF!,"AAAAAH8M2wY=")</f>
        <v>#REF!</v>
      </c>
      <c r="H4" t="e">
        <f>AND(#REF!,"AAAAAH8M2wc=")</f>
        <v>#REF!</v>
      </c>
      <c r="I4" t="e">
        <f>AND(#REF!,"AAAAAH8M2wg=")</f>
        <v>#REF!</v>
      </c>
      <c r="J4" t="e">
        <f>AND(#REF!,"AAAAAH8M2wk=")</f>
        <v>#REF!</v>
      </c>
      <c r="K4" t="e">
        <f>AND(#REF!,"AAAAAH8M2wo=")</f>
        <v>#REF!</v>
      </c>
      <c r="L4" t="e">
        <f>AND(#REF!,"AAAAAH8M2ws=")</f>
        <v>#REF!</v>
      </c>
      <c r="M4" t="e">
        <f>AND(#REF!,"AAAAAH8M2ww=")</f>
        <v>#REF!</v>
      </c>
      <c r="N4" t="e">
        <f>AND(#REF!,"AAAAAH8M2w0=")</f>
        <v>#REF!</v>
      </c>
      <c r="O4" t="e">
        <f>AND(#REF!,"AAAAAH8M2w4=")</f>
        <v>#REF!</v>
      </c>
      <c r="P4" t="e">
        <f>AND(#REF!,"AAAAAH8M2w8=")</f>
        <v>#REF!</v>
      </c>
      <c r="Q4" t="e">
        <f>AND(#REF!,"AAAAAH8M2xA=")</f>
        <v>#REF!</v>
      </c>
      <c r="R4" t="e">
        <f>AND(#REF!,"AAAAAH8M2xE=")</f>
        <v>#REF!</v>
      </c>
      <c r="S4" t="e">
        <f>AND(#REF!,"AAAAAH8M2xI=")</f>
        <v>#REF!</v>
      </c>
      <c r="T4" t="e">
        <f>AND(#REF!,"AAAAAH8M2xM=")</f>
        <v>#REF!</v>
      </c>
      <c r="U4" t="e">
        <f>AND(#REF!,"AAAAAH8M2xQ=")</f>
        <v>#REF!</v>
      </c>
      <c r="V4" t="e">
        <f>AND(#REF!,"AAAAAH8M2xU=")</f>
        <v>#REF!</v>
      </c>
      <c r="W4" t="e">
        <f>AND(#REF!,"AAAAAH8M2xY=")</f>
        <v>#REF!</v>
      </c>
      <c r="X4" t="e">
        <f>AND(#REF!,"AAAAAH8M2xc=")</f>
        <v>#REF!</v>
      </c>
      <c r="Y4" t="e">
        <f>AND(#REF!,"AAAAAH8M2xg=")</f>
        <v>#REF!</v>
      </c>
      <c r="Z4" t="e">
        <f>AND(#REF!,"AAAAAH8M2xk=")</f>
        <v>#REF!</v>
      </c>
      <c r="AA4" t="e">
        <f>AND(#REF!,"AAAAAH8M2xo=")</f>
        <v>#REF!</v>
      </c>
      <c r="AB4" t="e">
        <f>AND(#REF!,"AAAAAH8M2xs=")</f>
        <v>#REF!</v>
      </c>
      <c r="AC4" t="e">
        <f>AND(#REF!,"AAAAAH8M2xw=")</f>
        <v>#REF!</v>
      </c>
      <c r="AD4" t="e">
        <f>AND(#REF!,"AAAAAH8M2x0=")</f>
        <v>#REF!</v>
      </c>
      <c r="AE4" t="e">
        <f>AND(#REF!,"AAAAAH8M2x4=")</f>
        <v>#REF!</v>
      </c>
      <c r="AF4" t="e">
        <f>AND(#REF!,"AAAAAH8M2x8=")</f>
        <v>#REF!</v>
      </c>
      <c r="AG4" t="e">
        <f>AND(#REF!,"AAAAAH8M2yA=")</f>
        <v>#REF!</v>
      </c>
      <c r="AH4" t="e">
        <f>AND(#REF!,"AAAAAH8M2yE=")</f>
        <v>#REF!</v>
      </c>
      <c r="AI4" t="e">
        <f>AND(#REF!,"AAAAAH8M2yI=")</f>
        <v>#REF!</v>
      </c>
      <c r="AJ4" t="e">
        <f>AND(#REF!,"AAAAAH8M2yM=")</f>
        <v>#REF!</v>
      </c>
      <c r="AK4" t="e">
        <f>AND(#REF!,"AAAAAH8M2yQ=")</f>
        <v>#REF!</v>
      </c>
      <c r="AL4" t="e">
        <f>AND(#REF!,"AAAAAH8M2yU=")</f>
        <v>#REF!</v>
      </c>
      <c r="AM4" t="e">
        <f>AND(#REF!,"AAAAAH8M2yY=")</f>
        <v>#REF!</v>
      </c>
      <c r="AN4" t="e">
        <f>AND(#REF!,"AAAAAH8M2yc=")</f>
        <v>#REF!</v>
      </c>
      <c r="AO4" t="e">
        <f>AND(#REF!,"AAAAAH8M2yg=")</f>
        <v>#REF!</v>
      </c>
      <c r="AP4" t="e">
        <f>AND(#REF!,"AAAAAH8M2yk=")</f>
        <v>#REF!</v>
      </c>
      <c r="AQ4" t="e">
        <f>AND(#REF!,"AAAAAH8M2yo=")</f>
        <v>#REF!</v>
      </c>
      <c r="AR4" t="e">
        <f>AND(#REF!,"AAAAAH8M2ys=")</f>
        <v>#REF!</v>
      </c>
      <c r="AS4" t="e">
        <f>AND(#REF!,"AAAAAH8M2yw=")</f>
        <v>#REF!</v>
      </c>
      <c r="AT4" t="e">
        <f>AND(#REF!,"AAAAAH8M2y0=")</f>
        <v>#REF!</v>
      </c>
      <c r="AU4" t="e">
        <f>AND(#REF!,"AAAAAH8M2y4=")</f>
        <v>#REF!</v>
      </c>
      <c r="AV4" t="e">
        <f>AND(#REF!,"AAAAAH8M2y8=")</f>
        <v>#REF!</v>
      </c>
      <c r="AW4" t="e">
        <f>AND(#REF!,"AAAAAH8M2zA=")</f>
        <v>#REF!</v>
      </c>
      <c r="AX4" t="e">
        <f>AND(#REF!,"AAAAAH8M2zE=")</f>
        <v>#REF!</v>
      </c>
      <c r="AY4" t="e">
        <f>AND(#REF!,"AAAAAH8M2zI=")</f>
        <v>#REF!</v>
      </c>
      <c r="AZ4" t="e">
        <f>AND(#REF!,"AAAAAH8M2zM=")</f>
        <v>#REF!</v>
      </c>
      <c r="BA4" t="e">
        <f>AND(#REF!,"AAAAAH8M2zQ=")</f>
        <v>#REF!</v>
      </c>
      <c r="BB4" t="e">
        <f>AND(#REF!,"AAAAAH8M2zU=")</f>
        <v>#REF!</v>
      </c>
      <c r="BC4" t="e">
        <f>AND(#REF!,"AAAAAH8M2zY=")</f>
        <v>#REF!</v>
      </c>
      <c r="BD4" t="e">
        <f>AND(#REF!,"AAAAAH8M2zc=")</f>
        <v>#REF!</v>
      </c>
      <c r="BE4" t="e">
        <f>AND(#REF!,"AAAAAH8M2zg=")</f>
        <v>#REF!</v>
      </c>
      <c r="BF4" t="e">
        <f>AND(#REF!,"AAAAAH8M2zk=")</f>
        <v>#REF!</v>
      </c>
      <c r="BG4" t="e">
        <f>IF(#REF!,"AAAAAH8M2zo=",0)</f>
        <v>#REF!</v>
      </c>
      <c r="BH4" t="e">
        <f>AND(#REF!,"AAAAAH8M2zs=")</f>
        <v>#REF!</v>
      </c>
      <c r="BI4" t="e">
        <f>AND(#REF!,"AAAAAH8M2zw=")</f>
        <v>#REF!</v>
      </c>
      <c r="BJ4" t="e">
        <f>AND(#REF!,"AAAAAH8M2z0=")</f>
        <v>#REF!</v>
      </c>
      <c r="BK4" t="e">
        <f>AND(#REF!,"AAAAAH8M2z4=")</f>
        <v>#REF!</v>
      </c>
      <c r="BL4" t="e">
        <f>AND(#REF!,"AAAAAH8M2z8=")</f>
        <v>#REF!</v>
      </c>
      <c r="BM4" t="e">
        <f>AND(#REF!,"AAAAAH8M20A=")</f>
        <v>#REF!</v>
      </c>
      <c r="BN4" t="e">
        <f>AND(#REF!,"AAAAAH8M20E=")</f>
        <v>#REF!</v>
      </c>
      <c r="BO4" t="e">
        <f>AND(#REF!,"AAAAAH8M20I=")</f>
        <v>#REF!</v>
      </c>
      <c r="BP4" t="e">
        <f>AND(#REF!,"AAAAAH8M20M=")</f>
        <v>#REF!</v>
      </c>
      <c r="BQ4" t="e">
        <f>AND(#REF!,"AAAAAH8M20Q=")</f>
        <v>#REF!</v>
      </c>
      <c r="BR4" t="e">
        <f>AND(#REF!,"AAAAAH8M20U=")</f>
        <v>#REF!</v>
      </c>
      <c r="BS4" t="e">
        <f>AND(#REF!,"AAAAAH8M20Y=")</f>
        <v>#REF!</v>
      </c>
      <c r="BT4" t="e">
        <f>AND(#REF!,"AAAAAH8M20c=")</f>
        <v>#REF!</v>
      </c>
      <c r="BU4" t="e">
        <f>AND(#REF!,"AAAAAH8M20g=")</f>
        <v>#REF!</v>
      </c>
      <c r="BV4" t="e">
        <f>AND(#REF!,"AAAAAH8M20k=")</f>
        <v>#REF!</v>
      </c>
      <c r="BW4" t="e">
        <f>AND(#REF!,"AAAAAH8M20o=")</f>
        <v>#REF!</v>
      </c>
      <c r="BX4" t="e">
        <f>AND(#REF!,"AAAAAH8M20s=")</f>
        <v>#REF!</v>
      </c>
      <c r="BY4" t="e">
        <f>AND(#REF!,"AAAAAH8M20w=")</f>
        <v>#REF!</v>
      </c>
      <c r="BZ4" t="e">
        <f>AND(#REF!,"AAAAAH8M200=")</f>
        <v>#REF!</v>
      </c>
      <c r="CA4" t="e">
        <f>AND(#REF!,"AAAAAH8M204=")</f>
        <v>#REF!</v>
      </c>
      <c r="CB4" t="e">
        <f>AND(#REF!,"AAAAAH8M208=")</f>
        <v>#REF!</v>
      </c>
      <c r="CC4" t="e">
        <f>AND(#REF!,"AAAAAH8M21A=")</f>
        <v>#REF!</v>
      </c>
      <c r="CD4" t="e">
        <f>AND(#REF!,"AAAAAH8M21E=")</f>
        <v>#REF!</v>
      </c>
      <c r="CE4" t="e">
        <f>AND(#REF!,"AAAAAH8M21I=")</f>
        <v>#REF!</v>
      </c>
      <c r="CF4" t="e">
        <f>AND(#REF!,"AAAAAH8M21M=")</f>
        <v>#REF!</v>
      </c>
      <c r="CG4" t="e">
        <f>AND(#REF!,"AAAAAH8M21Q=")</f>
        <v>#REF!</v>
      </c>
      <c r="CH4" t="e">
        <f>AND(#REF!,"AAAAAH8M21U=")</f>
        <v>#REF!</v>
      </c>
      <c r="CI4" t="e">
        <f>AND(#REF!,"AAAAAH8M21Y=")</f>
        <v>#REF!</v>
      </c>
      <c r="CJ4" t="e">
        <f>AND(#REF!,"AAAAAH8M21c=")</f>
        <v>#REF!</v>
      </c>
      <c r="CK4" t="e">
        <f>AND(#REF!,"AAAAAH8M21g=")</f>
        <v>#REF!</v>
      </c>
      <c r="CL4" t="e">
        <f>AND(#REF!,"AAAAAH8M21k=")</f>
        <v>#REF!</v>
      </c>
      <c r="CM4" t="e">
        <f>AND(#REF!,"AAAAAH8M21o=")</f>
        <v>#REF!</v>
      </c>
      <c r="CN4" t="e">
        <f>AND(#REF!,"AAAAAH8M21s=")</f>
        <v>#REF!</v>
      </c>
      <c r="CO4" t="e">
        <f>AND(#REF!,"AAAAAH8M21w=")</f>
        <v>#REF!</v>
      </c>
      <c r="CP4" t="e">
        <f>AND(#REF!,"AAAAAH8M210=")</f>
        <v>#REF!</v>
      </c>
      <c r="CQ4" t="e">
        <f>AND(#REF!,"AAAAAH8M214=")</f>
        <v>#REF!</v>
      </c>
      <c r="CR4" t="e">
        <f>AND(#REF!,"AAAAAH8M218=")</f>
        <v>#REF!</v>
      </c>
      <c r="CS4" t="e">
        <f>AND(#REF!,"AAAAAH8M22A=")</f>
        <v>#REF!</v>
      </c>
      <c r="CT4" t="e">
        <f>AND(#REF!,"AAAAAH8M22E=")</f>
        <v>#REF!</v>
      </c>
      <c r="CU4" t="e">
        <f>AND(#REF!,"AAAAAH8M22I=")</f>
        <v>#REF!</v>
      </c>
      <c r="CV4" t="e">
        <f>AND(#REF!,"AAAAAH8M22M=")</f>
        <v>#REF!</v>
      </c>
      <c r="CW4" t="e">
        <f>AND(#REF!,"AAAAAH8M22Q=")</f>
        <v>#REF!</v>
      </c>
      <c r="CX4" t="e">
        <f>AND(#REF!,"AAAAAH8M22U=")</f>
        <v>#REF!</v>
      </c>
      <c r="CY4" t="e">
        <f>AND(#REF!,"AAAAAH8M22Y=")</f>
        <v>#REF!</v>
      </c>
      <c r="CZ4" t="e">
        <f>AND(#REF!,"AAAAAH8M22c=")</f>
        <v>#REF!</v>
      </c>
      <c r="DA4" t="e">
        <f>AND(#REF!,"AAAAAH8M22g=")</f>
        <v>#REF!</v>
      </c>
      <c r="DB4" t="e">
        <f>AND(#REF!,"AAAAAH8M22k=")</f>
        <v>#REF!</v>
      </c>
      <c r="DC4" t="e">
        <f>AND(#REF!,"AAAAAH8M22o=")</f>
        <v>#REF!</v>
      </c>
      <c r="DD4" t="e">
        <f>AND(#REF!,"AAAAAH8M22s=")</f>
        <v>#REF!</v>
      </c>
      <c r="DE4" t="e">
        <f>AND(#REF!,"AAAAAH8M22w=")</f>
        <v>#REF!</v>
      </c>
      <c r="DF4" t="e">
        <f>AND(#REF!,"AAAAAH8M220=")</f>
        <v>#REF!</v>
      </c>
      <c r="DG4" t="e">
        <f>AND(#REF!,"AAAAAH8M224=")</f>
        <v>#REF!</v>
      </c>
      <c r="DH4" t="e">
        <f>AND(#REF!,"AAAAAH8M228=")</f>
        <v>#REF!</v>
      </c>
      <c r="DI4" t="e">
        <f>AND(#REF!,"AAAAAH8M23A=")</f>
        <v>#REF!</v>
      </c>
      <c r="DJ4" t="e">
        <f>AND(#REF!,"AAAAAH8M23E=")</f>
        <v>#REF!</v>
      </c>
      <c r="DK4" t="e">
        <f>AND(#REF!,"AAAAAH8M23I=")</f>
        <v>#REF!</v>
      </c>
      <c r="DL4" t="e">
        <f>AND(#REF!,"AAAAAH8M23M=")</f>
        <v>#REF!</v>
      </c>
      <c r="DM4" t="e">
        <f>AND(#REF!,"AAAAAH8M23Q=")</f>
        <v>#REF!</v>
      </c>
      <c r="DN4" t="e">
        <f>IF(#REF!,"AAAAAH8M23U=",0)</f>
        <v>#REF!</v>
      </c>
      <c r="DO4" t="e">
        <f>AND(#REF!,"AAAAAH8M23Y=")</f>
        <v>#REF!</v>
      </c>
      <c r="DP4" t="e">
        <f>AND(#REF!,"AAAAAH8M23c=")</f>
        <v>#REF!</v>
      </c>
      <c r="DQ4" t="e">
        <f>AND(#REF!,"AAAAAH8M23g=")</f>
        <v>#REF!</v>
      </c>
      <c r="DR4" t="e">
        <f>AND(#REF!,"AAAAAH8M23k=")</f>
        <v>#REF!</v>
      </c>
      <c r="DS4" t="e">
        <f>AND(#REF!,"AAAAAH8M23o=")</f>
        <v>#REF!</v>
      </c>
      <c r="DT4" t="e">
        <f>AND(#REF!,"AAAAAH8M23s=")</f>
        <v>#REF!</v>
      </c>
      <c r="DU4" t="e">
        <f>AND(#REF!,"AAAAAH8M23w=")</f>
        <v>#REF!</v>
      </c>
      <c r="DV4" t="e">
        <f>AND(#REF!,"AAAAAH8M230=")</f>
        <v>#REF!</v>
      </c>
      <c r="DW4" t="e">
        <f>AND(#REF!,"AAAAAH8M234=")</f>
        <v>#REF!</v>
      </c>
      <c r="DX4" t="e">
        <f>AND(#REF!,"AAAAAH8M238=")</f>
        <v>#REF!</v>
      </c>
      <c r="DY4" t="e">
        <f>AND(#REF!,"AAAAAH8M24A=")</f>
        <v>#REF!</v>
      </c>
      <c r="DZ4" t="e">
        <f>AND(#REF!,"AAAAAH8M24E=")</f>
        <v>#REF!</v>
      </c>
      <c r="EA4" t="e">
        <f>AND(#REF!,"AAAAAH8M24I=")</f>
        <v>#REF!</v>
      </c>
      <c r="EB4" t="e">
        <f>AND(#REF!,"AAAAAH8M24M=")</f>
        <v>#REF!</v>
      </c>
      <c r="EC4" t="e">
        <f>AND(#REF!,"AAAAAH8M24Q=")</f>
        <v>#REF!</v>
      </c>
      <c r="ED4" t="e">
        <f>AND(#REF!,"AAAAAH8M24U=")</f>
        <v>#REF!</v>
      </c>
      <c r="EE4" t="e">
        <f>AND(#REF!,"AAAAAH8M24Y=")</f>
        <v>#REF!</v>
      </c>
      <c r="EF4" t="e">
        <f>AND(#REF!,"AAAAAH8M24c=")</f>
        <v>#REF!</v>
      </c>
      <c r="EG4" t="e">
        <f>AND(#REF!,"AAAAAH8M24g=")</f>
        <v>#REF!</v>
      </c>
      <c r="EH4" t="e">
        <f>AND(#REF!,"AAAAAH8M24k=")</f>
        <v>#REF!</v>
      </c>
      <c r="EI4" t="e">
        <f>AND(#REF!,"AAAAAH8M24o=")</f>
        <v>#REF!</v>
      </c>
      <c r="EJ4" t="e">
        <f>AND(#REF!,"AAAAAH8M24s=")</f>
        <v>#REF!</v>
      </c>
      <c r="EK4" t="e">
        <f>AND(#REF!,"AAAAAH8M24w=")</f>
        <v>#REF!</v>
      </c>
      <c r="EL4" t="e">
        <f>AND(#REF!,"AAAAAH8M240=")</f>
        <v>#REF!</v>
      </c>
      <c r="EM4" t="e">
        <f>AND(#REF!,"AAAAAH8M244=")</f>
        <v>#REF!</v>
      </c>
      <c r="EN4" t="e">
        <f>AND(#REF!,"AAAAAH8M248=")</f>
        <v>#REF!</v>
      </c>
      <c r="EO4" t="e">
        <f>AND(#REF!,"AAAAAH8M25A=")</f>
        <v>#REF!</v>
      </c>
      <c r="EP4" t="e">
        <f>AND(#REF!,"AAAAAH8M25E=")</f>
        <v>#REF!</v>
      </c>
      <c r="EQ4" t="e">
        <f>AND(#REF!,"AAAAAH8M25I=")</f>
        <v>#REF!</v>
      </c>
      <c r="ER4" t="e">
        <f>AND(#REF!,"AAAAAH8M25M=")</f>
        <v>#REF!</v>
      </c>
      <c r="ES4" t="e">
        <f>AND(#REF!,"AAAAAH8M25Q=")</f>
        <v>#REF!</v>
      </c>
      <c r="ET4" t="e">
        <f>AND(#REF!,"AAAAAH8M25U=")</f>
        <v>#REF!</v>
      </c>
      <c r="EU4" t="e">
        <f>AND(#REF!,"AAAAAH8M25Y=")</f>
        <v>#REF!</v>
      </c>
      <c r="EV4" t="e">
        <f>AND(#REF!,"AAAAAH8M25c=")</f>
        <v>#REF!</v>
      </c>
      <c r="EW4" t="e">
        <f>AND(#REF!,"AAAAAH8M25g=")</f>
        <v>#REF!</v>
      </c>
      <c r="EX4" t="e">
        <f>AND(#REF!,"AAAAAH8M25k=")</f>
        <v>#REF!</v>
      </c>
      <c r="EY4" t="e">
        <f>AND(#REF!,"AAAAAH8M25o=")</f>
        <v>#REF!</v>
      </c>
      <c r="EZ4" t="e">
        <f>AND(#REF!,"AAAAAH8M25s=")</f>
        <v>#REF!</v>
      </c>
      <c r="FA4" t="e">
        <f>AND(#REF!,"AAAAAH8M25w=")</f>
        <v>#REF!</v>
      </c>
      <c r="FB4" t="e">
        <f>AND(#REF!,"AAAAAH8M250=")</f>
        <v>#REF!</v>
      </c>
      <c r="FC4" t="e">
        <f>AND(#REF!,"AAAAAH8M254=")</f>
        <v>#REF!</v>
      </c>
      <c r="FD4" t="e">
        <f>AND(#REF!,"AAAAAH8M258=")</f>
        <v>#REF!</v>
      </c>
      <c r="FE4" t="e">
        <f>AND(#REF!,"AAAAAH8M26A=")</f>
        <v>#REF!</v>
      </c>
      <c r="FF4" t="e">
        <f>AND(#REF!,"AAAAAH8M26E=")</f>
        <v>#REF!</v>
      </c>
      <c r="FG4" t="e">
        <f>AND(#REF!,"AAAAAH8M26I=")</f>
        <v>#REF!</v>
      </c>
      <c r="FH4" t="e">
        <f>AND(#REF!,"AAAAAH8M26M=")</f>
        <v>#REF!</v>
      </c>
      <c r="FI4" t="e">
        <f>AND(#REF!,"AAAAAH8M26Q=")</f>
        <v>#REF!</v>
      </c>
      <c r="FJ4" t="e">
        <f>AND(#REF!,"AAAAAH8M26U=")</f>
        <v>#REF!</v>
      </c>
      <c r="FK4" t="e">
        <f>AND(#REF!,"AAAAAH8M26Y=")</f>
        <v>#REF!</v>
      </c>
      <c r="FL4" t="e">
        <f>AND(#REF!,"AAAAAH8M26c=")</f>
        <v>#REF!</v>
      </c>
      <c r="FM4" t="e">
        <f>AND(#REF!,"AAAAAH8M26g=")</f>
        <v>#REF!</v>
      </c>
      <c r="FN4" t="e">
        <f>AND(#REF!,"AAAAAH8M26k=")</f>
        <v>#REF!</v>
      </c>
      <c r="FO4" t="e">
        <f>AND(#REF!,"AAAAAH8M26o=")</f>
        <v>#REF!</v>
      </c>
      <c r="FP4" t="e">
        <f>AND(#REF!,"AAAAAH8M26s=")</f>
        <v>#REF!</v>
      </c>
      <c r="FQ4" t="e">
        <f>AND(#REF!,"AAAAAH8M26w=")</f>
        <v>#REF!</v>
      </c>
      <c r="FR4" t="e">
        <f>AND(#REF!,"AAAAAH8M260=")</f>
        <v>#REF!</v>
      </c>
      <c r="FS4" t="e">
        <f>AND(#REF!,"AAAAAH8M264=")</f>
        <v>#REF!</v>
      </c>
      <c r="FT4" t="e">
        <f>AND(#REF!,"AAAAAH8M268=")</f>
        <v>#REF!</v>
      </c>
      <c r="FU4" t="e">
        <f>IF(#REF!,"AAAAAH8M27A=",0)</f>
        <v>#REF!</v>
      </c>
      <c r="FV4" t="e">
        <f>AND(#REF!,"AAAAAH8M27E=")</f>
        <v>#REF!</v>
      </c>
      <c r="FW4" t="e">
        <f>AND(#REF!,"AAAAAH8M27I=")</f>
        <v>#REF!</v>
      </c>
      <c r="FX4" t="e">
        <f>AND(#REF!,"AAAAAH8M27M=")</f>
        <v>#REF!</v>
      </c>
      <c r="FY4" t="e">
        <f>AND(#REF!,"AAAAAH8M27Q=")</f>
        <v>#REF!</v>
      </c>
      <c r="FZ4" t="e">
        <f>AND(#REF!,"AAAAAH8M27U=")</f>
        <v>#REF!</v>
      </c>
      <c r="GA4" t="e">
        <f>AND(#REF!,"AAAAAH8M27Y=")</f>
        <v>#REF!</v>
      </c>
      <c r="GB4" t="e">
        <f>AND(#REF!,"AAAAAH8M27c=")</f>
        <v>#REF!</v>
      </c>
      <c r="GC4" t="e">
        <f>AND(#REF!,"AAAAAH8M27g=")</f>
        <v>#REF!</v>
      </c>
      <c r="GD4" t="e">
        <f>AND(#REF!,"AAAAAH8M27k=")</f>
        <v>#REF!</v>
      </c>
      <c r="GE4" t="e">
        <f>AND(#REF!,"AAAAAH8M27o=")</f>
        <v>#REF!</v>
      </c>
      <c r="GF4" t="e">
        <f>AND(#REF!,"AAAAAH8M27s=")</f>
        <v>#REF!</v>
      </c>
      <c r="GG4" t="e">
        <f>AND(#REF!,"AAAAAH8M27w=")</f>
        <v>#REF!</v>
      </c>
      <c r="GH4" t="e">
        <f>AND(#REF!,"AAAAAH8M270=")</f>
        <v>#REF!</v>
      </c>
      <c r="GI4" t="e">
        <f>AND(#REF!,"AAAAAH8M274=")</f>
        <v>#REF!</v>
      </c>
      <c r="GJ4" t="e">
        <f>AND(#REF!,"AAAAAH8M278=")</f>
        <v>#REF!</v>
      </c>
      <c r="GK4" t="e">
        <f>AND(#REF!,"AAAAAH8M28A=")</f>
        <v>#REF!</v>
      </c>
      <c r="GL4" t="e">
        <f>AND(#REF!,"AAAAAH8M28E=")</f>
        <v>#REF!</v>
      </c>
      <c r="GM4" t="e">
        <f>AND(#REF!,"AAAAAH8M28I=")</f>
        <v>#REF!</v>
      </c>
      <c r="GN4" t="e">
        <f>AND(#REF!,"AAAAAH8M28M=")</f>
        <v>#REF!</v>
      </c>
      <c r="GO4" t="e">
        <f>AND(#REF!,"AAAAAH8M28Q=")</f>
        <v>#REF!</v>
      </c>
      <c r="GP4" t="e">
        <f>AND(#REF!,"AAAAAH8M28U=")</f>
        <v>#REF!</v>
      </c>
      <c r="GQ4" t="e">
        <f>AND(#REF!,"AAAAAH8M28Y=")</f>
        <v>#REF!</v>
      </c>
      <c r="GR4" t="e">
        <f>AND(#REF!,"AAAAAH8M28c=")</f>
        <v>#REF!</v>
      </c>
      <c r="GS4" t="e">
        <f>AND(#REF!,"AAAAAH8M28g=")</f>
        <v>#REF!</v>
      </c>
      <c r="GT4" t="e">
        <f>AND(#REF!,"AAAAAH8M28k=")</f>
        <v>#REF!</v>
      </c>
      <c r="GU4" t="e">
        <f>AND(#REF!,"AAAAAH8M28o=")</f>
        <v>#REF!</v>
      </c>
      <c r="GV4" t="e">
        <f>AND(#REF!,"AAAAAH8M28s=")</f>
        <v>#REF!</v>
      </c>
      <c r="GW4" t="e">
        <f>AND(#REF!,"AAAAAH8M28w=")</f>
        <v>#REF!</v>
      </c>
      <c r="GX4" t="e">
        <f>AND(#REF!,"AAAAAH8M280=")</f>
        <v>#REF!</v>
      </c>
      <c r="GY4" t="e">
        <f>AND(#REF!,"AAAAAH8M284=")</f>
        <v>#REF!</v>
      </c>
      <c r="GZ4" t="e">
        <f>AND(#REF!,"AAAAAH8M288=")</f>
        <v>#REF!</v>
      </c>
      <c r="HA4" t="e">
        <f>AND(#REF!,"AAAAAH8M29A=")</f>
        <v>#REF!</v>
      </c>
      <c r="HB4" t="e">
        <f>AND(#REF!,"AAAAAH8M29E=")</f>
        <v>#REF!</v>
      </c>
      <c r="HC4" t="e">
        <f>AND(#REF!,"AAAAAH8M29I=")</f>
        <v>#REF!</v>
      </c>
      <c r="HD4" t="e">
        <f>AND(#REF!,"AAAAAH8M29M=")</f>
        <v>#REF!</v>
      </c>
      <c r="HE4" t="e">
        <f>AND(#REF!,"AAAAAH8M29Q=")</f>
        <v>#REF!</v>
      </c>
      <c r="HF4" t="e">
        <f>AND(#REF!,"AAAAAH8M29U=")</f>
        <v>#REF!</v>
      </c>
      <c r="HG4" t="e">
        <f>AND(#REF!,"AAAAAH8M29Y=")</f>
        <v>#REF!</v>
      </c>
      <c r="HH4" t="e">
        <f>AND(#REF!,"AAAAAH8M29c=")</f>
        <v>#REF!</v>
      </c>
      <c r="HI4" t="e">
        <f>AND(#REF!,"AAAAAH8M29g=")</f>
        <v>#REF!</v>
      </c>
      <c r="HJ4" t="e">
        <f>AND(#REF!,"AAAAAH8M29k=")</f>
        <v>#REF!</v>
      </c>
      <c r="HK4" t="e">
        <f>AND(#REF!,"AAAAAH8M29o=")</f>
        <v>#REF!</v>
      </c>
      <c r="HL4" t="e">
        <f>AND(#REF!,"AAAAAH8M29s=")</f>
        <v>#REF!</v>
      </c>
      <c r="HM4" t="e">
        <f>AND(#REF!,"AAAAAH8M29w=")</f>
        <v>#REF!</v>
      </c>
      <c r="HN4" t="e">
        <f>AND(#REF!,"AAAAAH8M290=")</f>
        <v>#REF!</v>
      </c>
      <c r="HO4" t="e">
        <f>AND(#REF!,"AAAAAH8M294=")</f>
        <v>#REF!</v>
      </c>
      <c r="HP4" t="e">
        <f>AND(#REF!,"AAAAAH8M298=")</f>
        <v>#REF!</v>
      </c>
      <c r="HQ4" t="e">
        <f>AND(#REF!,"AAAAAH8M2+A=")</f>
        <v>#REF!</v>
      </c>
      <c r="HR4" t="e">
        <f>AND(#REF!,"AAAAAH8M2+E=")</f>
        <v>#REF!</v>
      </c>
      <c r="HS4" t="e">
        <f>AND(#REF!,"AAAAAH8M2+I=")</f>
        <v>#REF!</v>
      </c>
      <c r="HT4" t="e">
        <f>AND(#REF!,"AAAAAH8M2+M=")</f>
        <v>#REF!</v>
      </c>
      <c r="HU4" t="e">
        <f>AND(#REF!,"AAAAAH8M2+Q=")</f>
        <v>#REF!</v>
      </c>
      <c r="HV4" t="e">
        <f>AND(#REF!,"AAAAAH8M2+U=")</f>
        <v>#REF!</v>
      </c>
      <c r="HW4" t="e">
        <f>AND(#REF!,"AAAAAH8M2+Y=")</f>
        <v>#REF!</v>
      </c>
      <c r="HX4" t="e">
        <f>AND(#REF!,"AAAAAH8M2+c=")</f>
        <v>#REF!</v>
      </c>
      <c r="HY4" t="e">
        <f>AND(#REF!,"AAAAAH8M2+g=")</f>
        <v>#REF!</v>
      </c>
      <c r="HZ4" t="e">
        <f>AND(#REF!,"AAAAAH8M2+k=")</f>
        <v>#REF!</v>
      </c>
      <c r="IA4" t="e">
        <f>AND(#REF!,"AAAAAH8M2+o=")</f>
        <v>#REF!</v>
      </c>
      <c r="IB4" t="e">
        <f>IF(#REF!,"AAAAAH8M2+s=",0)</f>
        <v>#REF!</v>
      </c>
      <c r="IC4" t="e">
        <f>AND(#REF!,"AAAAAH8M2+w=")</f>
        <v>#REF!</v>
      </c>
      <c r="ID4" t="e">
        <f>AND(#REF!,"AAAAAH8M2+0=")</f>
        <v>#REF!</v>
      </c>
      <c r="IE4" t="e">
        <f>AND(#REF!,"AAAAAH8M2+4=")</f>
        <v>#REF!</v>
      </c>
      <c r="IF4" t="e">
        <f>AND(#REF!,"AAAAAH8M2+8=")</f>
        <v>#REF!</v>
      </c>
      <c r="IG4" t="e">
        <f>AND(#REF!,"AAAAAH8M2/A=")</f>
        <v>#REF!</v>
      </c>
      <c r="IH4" t="e">
        <f>AND(#REF!,"AAAAAH8M2/E=")</f>
        <v>#REF!</v>
      </c>
      <c r="II4" t="e">
        <f>AND(#REF!,"AAAAAH8M2/I=")</f>
        <v>#REF!</v>
      </c>
      <c r="IJ4" t="e">
        <f>AND(#REF!,"AAAAAH8M2/M=")</f>
        <v>#REF!</v>
      </c>
      <c r="IK4" t="e">
        <f>AND(#REF!,"AAAAAH8M2/Q=")</f>
        <v>#REF!</v>
      </c>
      <c r="IL4" t="e">
        <f>AND(#REF!,"AAAAAH8M2/U=")</f>
        <v>#REF!</v>
      </c>
      <c r="IM4" t="e">
        <f>AND(#REF!,"AAAAAH8M2/Y=")</f>
        <v>#REF!</v>
      </c>
      <c r="IN4" t="e">
        <f>AND(#REF!,"AAAAAH8M2/c=")</f>
        <v>#REF!</v>
      </c>
      <c r="IO4" t="e">
        <f>AND(#REF!,"AAAAAH8M2/g=")</f>
        <v>#REF!</v>
      </c>
      <c r="IP4" t="e">
        <f>AND(#REF!,"AAAAAH8M2/k=")</f>
        <v>#REF!</v>
      </c>
      <c r="IQ4" t="e">
        <f>AND(#REF!,"AAAAAH8M2/o=")</f>
        <v>#REF!</v>
      </c>
      <c r="IR4" t="e">
        <f>AND(#REF!,"AAAAAH8M2/s=")</f>
        <v>#REF!</v>
      </c>
      <c r="IS4" t="e">
        <f>AND(#REF!,"AAAAAH8M2/w=")</f>
        <v>#REF!</v>
      </c>
      <c r="IT4" t="e">
        <f>AND(#REF!,"AAAAAH8M2/0=")</f>
        <v>#REF!</v>
      </c>
      <c r="IU4" t="e">
        <f>AND(#REF!,"AAAAAH8M2/4=")</f>
        <v>#REF!</v>
      </c>
      <c r="IV4" t="e">
        <f>AND(#REF!,"AAAAAH8M2/8=")</f>
        <v>#REF!</v>
      </c>
    </row>
    <row r="5" spans="1:256" x14ac:dyDescent="0.25">
      <c r="A5" t="e">
        <f>AND(#REF!,"AAAAAH9c3wA=")</f>
        <v>#REF!</v>
      </c>
      <c r="B5" t="e">
        <f>AND(#REF!,"AAAAAH9c3wE=")</f>
        <v>#REF!</v>
      </c>
      <c r="C5" t="e">
        <f>AND(#REF!,"AAAAAH9c3wI=")</f>
        <v>#REF!</v>
      </c>
      <c r="D5" t="e">
        <f>AND(#REF!,"AAAAAH9c3wM=")</f>
        <v>#REF!</v>
      </c>
      <c r="E5" t="e">
        <f>AND(#REF!,"AAAAAH9c3wQ=")</f>
        <v>#REF!</v>
      </c>
      <c r="F5" t="e">
        <f>AND(#REF!,"AAAAAH9c3wU=")</f>
        <v>#REF!</v>
      </c>
      <c r="G5" t="e">
        <f>AND(#REF!,"AAAAAH9c3wY=")</f>
        <v>#REF!</v>
      </c>
      <c r="H5" t="e">
        <f>AND(#REF!,"AAAAAH9c3wc=")</f>
        <v>#REF!</v>
      </c>
      <c r="I5" t="e">
        <f>AND(#REF!,"AAAAAH9c3wg=")</f>
        <v>#REF!</v>
      </c>
      <c r="J5" t="e">
        <f>AND(#REF!,"AAAAAH9c3wk=")</f>
        <v>#REF!</v>
      </c>
      <c r="K5" t="e">
        <f>AND(#REF!,"AAAAAH9c3wo=")</f>
        <v>#REF!</v>
      </c>
      <c r="L5" t="e">
        <f>AND(#REF!,"AAAAAH9c3ws=")</f>
        <v>#REF!</v>
      </c>
      <c r="M5" t="e">
        <f>AND(#REF!,"AAAAAH9c3ww=")</f>
        <v>#REF!</v>
      </c>
      <c r="N5" t="e">
        <f>AND(#REF!,"AAAAAH9c3w0=")</f>
        <v>#REF!</v>
      </c>
      <c r="O5" t="e">
        <f>AND(#REF!,"AAAAAH9c3w4=")</f>
        <v>#REF!</v>
      </c>
      <c r="P5" t="e">
        <f>AND(#REF!,"AAAAAH9c3w8=")</f>
        <v>#REF!</v>
      </c>
      <c r="Q5" t="e">
        <f>AND(#REF!,"AAAAAH9c3xA=")</f>
        <v>#REF!</v>
      </c>
      <c r="R5" t="e">
        <f>AND(#REF!,"AAAAAH9c3xE=")</f>
        <v>#REF!</v>
      </c>
      <c r="S5" t="e">
        <f>AND(#REF!,"AAAAAH9c3xI=")</f>
        <v>#REF!</v>
      </c>
      <c r="T5" t="e">
        <f>AND(#REF!,"AAAAAH9c3xM=")</f>
        <v>#REF!</v>
      </c>
      <c r="U5" t="e">
        <f>AND(#REF!,"AAAAAH9c3xQ=")</f>
        <v>#REF!</v>
      </c>
      <c r="V5" t="e">
        <f>AND(#REF!,"AAAAAH9c3xU=")</f>
        <v>#REF!</v>
      </c>
      <c r="W5" t="e">
        <f>AND(#REF!,"AAAAAH9c3xY=")</f>
        <v>#REF!</v>
      </c>
      <c r="X5" t="e">
        <f>AND(#REF!,"AAAAAH9c3xc=")</f>
        <v>#REF!</v>
      </c>
      <c r="Y5" t="e">
        <f>AND(#REF!,"AAAAAH9c3xg=")</f>
        <v>#REF!</v>
      </c>
      <c r="Z5" t="e">
        <f>AND(#REF!,"AAAAAH9c3xk=")</f>
        <v>#REF!</v>
      </c>
      <c r="AA5" t="e">
        <f>AND(#REF!,"AAAAAH9c3xo=")</f>
        <v>#REF!</v>
      </c>
      <c r="AB5" t="e">
        <f>AND(#REF!,"AAAAAH9c3xs=")</f>
        <v>#REF!</v>
      </c>
      <c r="AC5" t="e">
        <f>AND(#REF!,"AAAAAH9c3xw=")</f>
        <v>#REF!</v>
      </c>
      <c r="AD5" t="e">
        <f>AND(#REF!,"AAAAAH9c3x0=")</f>
        <v>#REF!</v>
      </c>
      <c r="AE5" t="e">
        <f>AND(#REF!,"AAAAAH9c3x4=")</f>
        <v>#REF!</v>
      </c>
      <c r="AF5" t="e">
        <f>AND(#REF!,"AAAAAH9c3x8=")</f>
        <v>#REF!</v>
      </c>
      <c r="AG5" t="e">
        <f>AND(#REF!,"AAAAAH9c3yA=")</f>
        <v>#REF!</v>
      </c>
      <c r="AH5" t="e">
        <f>AND(#REF!,"AAAAAH9c3yE=")</f>
        <v>#REF!</v>
      </c>
      <c r="AI5" t="e">
        <f>AND(#REF!,"AAAAAH9c3yI=")</f>
        <v>#REF!</v>
      </c>
      <c r="AJ5" t="e">
        <f>AND(#REF!,"AAAAAH9c3yM=")</f>
        <v>#REF!</v>
      </c>
      <c r="AK5" t="e">
        <f>AND(#REF!,"AAAAAH9c3yQ=")</f>
        <v>#REF!</v>
      </c>
      <c r="AL5" t="e">
        <f>AND(#REF!,"AAAAAH9c3yU=")</f>
        <v>#REF!</v>
      </c>
      <c r="AM5" t="e">
        <f>IF(#REF!,"AAAAAH9c3yY=",0)</f>
        <v>#REF!</v>
      </c>
      <c r="AN5" t="e">
        <f>AND(#REF!,"AAAAAH9c3yc=")</f>
        <v>#REF!</v>
      </c>
      <c r="AO5" t="e">
        <f>AND(#REF!,"AAAAAH9c3yg=")</f>
        <v>#REF!</v>
      </c>
      <c r="AP5" t="e">
        <f>AND(#REF!,"AAAAAH9c3yk=")</f>
        <v>#REF!</v>
      </c>
      <c r="AQ5" t="e">
        <f>AND(#REF!,"AAAAAH9c3yo=")</f>
        <v>#REF!</v>
      </c>
      <c r="AR5" t="e">
        <f>AND(#REF!,"AAAAAH9c3ys=")</f>
        <v>#REF!</v>
      </c>
      <c r="AS5" t="e">
        <f>AND(#REF!,"AAAAAH9c3yw=")</f>
        <v>#REF!</v>
      </c>
      <c r="AT5" t="e">
        <f>AND(#REF!,"AAAAAH9c3y0=")</f>
        <v>#REF!</v>
      </c>
      <c r="AU5" t="e">
        <f>AND(#REF!,"AAAAAH9c3y4=")</f>
        <v>#REF!</v>
      </c>
      <c r="AV5" t="e">
        <f>AND(#REF!,"AAAAAH9c3y8=")</f>
        <v>#REF!</v>
      </c>
      <c r="AW5" t="e">
        <f>AND(#REF!,"AAAAAH9c3zA=")</f>
        <v>#REF!</v>
      </c>
      <c r="AX5" t="e">
        <f>AND(#REF!,"AAAAAH9c3zE=")</f>
        <v>#REF!</v>
      </c>
      <c r="AY5" t="e">
        <f>AND(#REF!,"AAAAAH9c3zI=")</f>
        <v>#REF!</v>
      </c>
      <c r="AZ5" t="e">
        <f>AND(#REF!,"AAAAAH9c3zM=")</f>
        <v>#REF!</v>
      </c>
      <c r="BA5" t="e">
        <f>AND(#REF!,"AAAAAH9c3zQ=")</f>
        <v>#REF!</v>
      </c>
      <c r="BB5" t="e">
        <f>AND(#REF!,"AAAAAH9c3zU=")</f>
        <v>#REF!</v>
      </c>
      <c r="BC5" t="e">
        <f>AND(#REF!,"AAAAAH9c3zY=")</f>
        <v>#REF!</v>
      </c>
      <c r="BD5" t="e">
        <f>AND(#REF!,"AAAAAH9c3zc=")</f>
        <v>#REF!</v>
      </c>
      <c r="BE5" t="e">
        <f>AND(#REF!,"AAAAAH9c3zg=")</f>
        <v>#REF!</v>
      </c>
      <c r="BF5" t="e">
        <f>AND(#REF!,"AAAAAH9c3zk=")</f>
        <v>#REF!</v>
      </c>
      <c r="BG5" t="e">
        <f>AND(#REF!,"AAAAAH9c3zo=")</f>
        <v>#REF!</v>
      </c>
      <c r="BH5" t="e">
        <f>AND(#REF!,"AAAAAH9c3zs=")</f>
        <v>#REF!</v>
      </c>
      <c r="BI5" t="e">
        <f>AND(#REF!,"AAAAAH9c3zw=")</f>
        <v>#REF!</v>
      </c>
      <c r="BJ5" t="e">
        <f>AND(#REF!,"AAAAAH9c3z0=")</f>
        <v>#REF!</v>
      </c>
      <c r="BK5" t="e">
        <f>AND(#REF!,"AAAAAH9c3z4=")</f>
        <v>#REF!</v>
      </c>
      <c r="BL5" t="e">
        <f>AND(#REF!,"AAAAAH9c3z8=")</f>
        <v>#REF!</v>
      </c>
      <c r="BM5" t="e">
        <f>AND(#REF!,"AAAAAH9c30A=")</f>
        <v>#REF!</v>
      </c>
      <c r="BN5" t="e">
        <f>AND(#REF!,"AAAAAH9c30E=")</f>
        <v>#REF!</v>
      </c>
      <c r="BO5" t="e">
        <f>AND(#REF!,"AAAAAH9c30I=")</f>
        <v>#REF!</v>
      </c>
      <c r="BP5" t="e">
        <f>AND(#REF!,"AAAAAH9c30M=")</f>
        <v>#REF!</v>
      </c>
      <c r="BQ5" t="e">
        <f>AND(#REF!,"AAAAAH9c30Q=")</f>
        <v>#REF!</v>
      </c>
      <c r="BR5" t="e">
        <f>AND(#REF!,"AAAAAH9c30U=")</f>
        <v>#REF!</v>
      </c>
      <c r="BS5" t="e">
        <f>AND(#REF!,"AAAAAH9c30Y=")</f>
        <v>#REF!</v>
      </c>
      <c r="BT5" t="e">
        <f>AND(#REF!,"AAAAAH9c30c=")</f>
        <v>#REF!</v>
      </c>
      <c r="BU5" t="e">
        <f>AND(#REF!,"AAAAAH9c30g=")</f>
        <v>#REF!</v>
      </c>
      <c r="BV5" t="e">
        <f>AND(#REF!,"AAAAAH9c30k=")</f>
        <v>#REF!</v>
      </c>
      <c r="BW5" t="e">
        <f>AND(#REF!,"AAAAAH9c30o=")</f>
        <v>#REF!</v>
      </c>
      <c r="BX5" t="e">
        <f>AND(#REF!,"AAAAAH9c30s=")</f>
        <v>#REF!</v>
      </c>
      <c r="BY5" t="e">
        <f>AND(#REF!,"AAAAAH9c30w=")</f>
        <v>#REF!</v>
      </c>
      <c r="BZ5" t="e">
        <f>AND(#REF!,"AAAAAH9c300=")</f>
        <v>#REF!</v>
      </c>
      <c r="CA5" t="e">
        <f>AND(#REF!,"AAAAAH9c304=")</f>
        <v>#REF!</v>
      </c>
      <c r="CB5" t="e">
        <f>AND(#REF!,"AAAAAH9c308=")</f>
        <v>#REF!</v>
      </c>
      <c r="CC5" t="e">
        <f>AND(#REF!,"AAAAAH9c31A=")</f>
        <v>#REF!</v>
      </c>
      <c r="CD5" t="e">
        <f>AND(#REF!,"AAAAAH9c31E=")</f>
        <v>#REF!</v>
      </c>
      <c r="CE5" t="e">
        <f>AND(#REF!,"AAAAAH9c31I=")</f>
        <v>#REF!</v>
      </c>
      <c r="CF5" t="e">
        <f>AND(#REF!,"AAAAAH9c31M=")</f>
        <v>#REF!</v>
      </c>
      <c r="CG5" t="e">
        <f>AND(#REF!,"AAAAAH9c31Q=")</f>
        <v>#REF!</v>
      </c>
      <c r="CH5" t="e">
        <f>AND(#REF!,"AAAAAH9c31U=")</f>
        <v>#REF!</v>
      </c>
      <c r="CI5" t="e">
        <f>AND(#REF!,"AAAAAH9c31Y=")</f>
        <v>#REF!</v>
      </c>
      <c r="CJ5" t="e">
        <f>AND(#REF!,"AAAAAH9c31c=")</f>
        <v>#REF!</v>
      </c>
      <c r="CK5" t="e">
        <f>AND(#REF!,"AAAAAH9c31g=")</f>
        <v>#REF!</v>
      </c>
      <c r="CL5" t="e">
        <f>AND(#REF!,"AAAAAH9c31k=")</f>
        <v>#REF!</v>
      </c>
      <c r="CM5" t="e">
        <f>AND(#REF!,"AAAAAH9c31o=")</f>
        <v>#REF!</v>
      </c>
      <c r="CN5" t="e">
        <f>AND(#REF!,"AAAAAH9c31s=")</f>
        <v>#REF!</v>
      </c>
      <c r="CO5" t="e">
        <f>AND(#REF!,"AAAAAH9c31w=")</f>
        <v>#REF!</v>
      </c>
      <c r="CP5" t="e">
        <f>AND(#REF!,"AAAAAH9c310=")</f>
        <v>#REF!</v>
      </c>
      <c r="CQ5" t="e">
        <f>AND(#REF!,"AAAAAH9c314=")</f>
        <v>#REF!</v>
      </c>
      <c r="CR5" t="e">
        <f>AND(#REF!,"AAAAAH9c318=")</f>
        <v>#REF!</v>
      </c>
      <c r="CS5" t="e">
        <f>AND(#REF!,"AAAAAH9c32A=")</f>
        <v>#REF!</v>
      </c>
      <c r="CT5" t="e">
        <f>IF(#REF!,"AAAAAH9c32E=",0)</f>
        <v>#REF!</v>
      </c>
      <c r="CU5" t="e">
        <f>AND(#REF!,"AAAAAH9c32I=")</f>
        <v>#REF!</v>
      </c>
      <c r="CV5" t="e">
        <f>AND(#REF!,"AAAAAH9c32M=")</f>
        <v>#REF!</v>
      </c>
      <c r="CW5" t="e">
        <f>AND(#REF!,"AAAAAH9c32Q=")</f>
        <v>#REF!</v>
      </c>
      <c r="CX5" t="e">
        <f>AND(#REF!,"AAAAAH9c32U=")</f>
        <v>#REF!</v>
      </c>
      <c r="CY5" t="e">
        <f>AND(#REF!,"AAAAAH9c32Y=")</f>
        <v>#REF!</v>
      </c>
      <c r="CZ5" t="e">
        <f>AND(#REF!,"AAAAAH9c32c=")</f>
        <v>#REF!</v>
      </c>
      <c r="DA5" t="e">
        <f>AND(#REF!,"AAAAAH9c32g=")</f>
        <v>#REF!</v>
      </c>
      <c r="DB5" t="e">
        <f>AND(#REF!,"AAAAAH9c32k=")</f>
        <v>#REF!</v>
      </c>
      <c r="DC5" t="e">
        <f>AND(#REF!,"AAAAAH9c32o=")</f>
        <v>#REF!</v>
      </c>
      <c r="DD5" t="e">
        <f>AND(#REF!,"AAAAAH9c32s=")</f>
        <v>#REF!</v>
      </c>
      <c r="DE5" t="e">
        <f>AND(#REF!,"AAAAAH9c32w=")</f>
        <v>#REF!</v>
      </c>
      <c r="DF5" t="e">
        <f>AND(#REF!,"AAAAAH9c320=")</f>
        <v>#REF!</v>
      </c>
      <c r="DG5" t="e">
        <f>AND(#REF!,"AAAAAH9c324=")</f>
        <v>#REF!</v>
      </c>
      <c r="DH5" t="e">
        <f>AND(#REF!,"AAAAAH9c328=")</f>
        <v>#REF!</v>
      </c>
      <c r="DI5" t="e">
        <f>AND(#REF!,"AAAAAH9c33A=")</f>
        <v>#REF!</v>
      </c>
      <c r="DJ5" t="e">
        <f>AND(#REF!,"AAAAAH9c33E=")</f>
        <v>#REF!</v>
      </c>
      <c r="DK5" t="e">
        <f>AND(#REF!,"AAAAAH9c33I=")</f>
        <v>#REF!</v>
      </c>
      <c r="DL5" t="e">
        <f>AND(#REF!,"AAAAAH9c33M=")</f>
        <v>#REF!</v>
      </c>
      <c r="DM5" t="e">
        <f>AND(#REF!,"AAAAAH9c33Q=")</f>
        <v>#REF!</v>
      </c>
      <c r="DN5" t="e">
        <f>AND(#REF!,"AAAAAH9c33U=")</f>
        <v>#REF!</v>
      </c>
      <c r="DO5" t="e">
        <f>AND(#REF!,"AAAAAH9c33Y=")</f>
        <v>#REF!</v>
      </c>
      <c r="DP5" t="e">
        <f>AND(#REF!,"AAAAAH9c33c=")</f>
        <v>#REF!</v>
      </c>
      <c r="DQ5" t="e">
        <f>AND(#REF!,"AAAAAH9c33g=")</f>
        <v>#REF!</v>
      </c>
      <c r="DR5" t="e">
        <f>AND(#REF!,"AAAAAH9c33k=")</f>
        <v>#REF!</v>
      </c>
      <c r="DS5" t="e">
        <f>AND(#REF!,"AAAAAH9c33o=")</f>
        <v>#REF!</v>
      </c>
      <c r="DT5" t="e">
        <f>AND(#REF!,"AAAAAH9c33s=")</f>
        <v>#REF!</v>
      </c>
      <c r="DU5" t="e">
        <f>AND(#REF!,"AAAAAH9c33w=")</f>
        <v>#REF!</v>
      </c>
      <c r="DV5" t="e">
        <f>AND(#REF!,"AAAAAH9c330=")</f>
        <v>#REF!</v>
      </c>
      <c r="DW5" t="e">
        <f>AND(#REF!,"AAAAAH9c334=")</f>
        <v>#REF!</v>
      </c>
      <c r="DX5" t="e">
        <f>AND(#REF!,"AAAAAH9c338=")</f>
        <v>#REF!</v>
      </c>
      <c r="DY5" t="e">
        <f>AND(#REF!,"AAAAAH9c34A=")</f>
        <v>#REF!</v>
      </c>
      <c r="DZ5" t="e">
        <f>AND(#REF!,"AAAAAH9c34E=")</f>
        <v>#REF!</v>
      </c>
      <c r="EA5" t="e">
        <f>AND(#REF!,"AAAAAH9c34I=")</f>
        <v>#REF!</v>
      </c>
      <c r="EB5" t="e">
        <f>AND(#REF!,"AAAAAH9c34M=")</f>
        <v>#REF!</v>
      </c>
      <c r="EC5" t="e">
        <f>AND(#REF!,"AAAAAH9c34Q=")</f>
        <v>#REF!</v>
      </c>
      <c r="ED5" t="e">
        <f>AND(#REF!,"AAAAAH9c34U=")</f>
        <v>#REF!</v>
      </c>
      <c r="EE5" t="e">
        <f>AND(#REF!,"AAAAAH9c34Y=")</f>
        <v>#REF!</v>
      </c>
      <c r="EF5" t="e">
        <f>AND(#REF!,"AAAAAH9c34c=")</f>
        <v>#REF!</v>
      </c>
      <c r="EG5" t="e">
        <f>AND(#REF!,"AAAAAH9c34g=")</f>
        <v>#REF!</v>
      </c>
      <c r="EH5" t="e">
        <f>AND(#REF!,"AAAAAH9c34k=")</f>
        <v>#REF!</v>
      </c>
      <c r="EI5" t="e">
        <f>AND(#REF!,"AAAAAH9c34o=")</f>
        <v>#REF!</v>
      </c>
      <c r="EJ5" t="e">
        <f>AND(#REF!,"AAAAAH9c34s=")</f>
        <v>#REF!</v>
      </c>
      <c r="EK5" t="e">
        <f>AND(#REF!,"AAAAAH9c34w=")</f>
        <v>#REF!</v>
      </c>
      <c r="EL5" t="e">
        <f>AND(#REF!,"AAAAAH9c340=")</f>
        <v>#REF!</v>
      </c>
      <c r="EM5" t="e">
        <f>AND(#REF!,"AAAAAH9c344=")</f>
        <v>#REF!</v>
      </c>
      <c r="EN5" t="e">
        <f>AND(#REF!,"AAAAAH9c348=")</f>
        <v>#REF!</v>
      </c>
      <c r="EO5" t="e">
        <f>AND(#REF!,"AAAAAH9c35A=")</f>
        <v>#REF!</v>
      </c>
      <c r="EP5" t="e">
        <f>AND(#REF!,"AAAAAH9c35E=")</f>
        <v>#REF!</v>
      </c>
      <c r="EQ5" t="e">
        <f>AND(#REF!,"AAAAAH9c35I=")</f>
        <v>#REF!</v>
      </c>
      <c r="ER5" t="e">
        <f>AND(#REF!,"AAAAAH9c35M=")</f>
        <v>#REF!</v>
      </c>
      <c r="ES5" t="e">
        <f>AND(#REF!,"AAAAAH9c35Q=")</f>
        <v>#REF!</v>
      </c>
      <c r="ET5" t="e">
        <f>AND(#REF!,"AAAAAH9c35U=")</f>
        <v>#REF!</v>
      </c>
      <c r="EU5" t="e">
        <f>AND(#REF!,"AAAAAH9c35Y=")</f>
        <v>#REF!</v>
      </c>
      <c r="EV5" t="e">
        <f>AND(#REF!,"AAAAAH9c35c=")</f>
        <v>#REF!</v>
      </c>
      <c r="EW5" t="e">
        <f>AND(#REF!,"AAAAAH9c35g=")</f>
        <v>#REF!</v>
      </c>
      <c r="EX5" t="e">
        <f>AND(#REF!,"AAAAAH9c35k=")</f>
        <v>#REF!</v>
      </c>
      <c r="EY5" t="e">
        <f>AND(#REF!,"AAAAAH9c35o=")</f>
        <v>#REF!</v>
      </c>
      <c r="EZ5" t="e">
        <f>AND(#REF!,"AAAAAH9c35s=")</f>
        <v>#REF!</v>
      </c>
      <c r="FA5" t="e">
        <f>IF(#REF!,"AAAAAH9c35w=",0)</f>
        <v>#REF!</v>
      </c>
      <c r="FB5" t="e">
        <f>AND(#REF!,"AAAAAH9c350=")</f>
        <v>#REF!</v>
      </c>
      <c r="FC5" t="e">
        <f>AND(#REF!,"AAAAAH9c354=")</f>
        <v>#REF!</v>
      </c>
      <c r="FD5" t="e">
        <f>AND(#REF!,"AAAAAH9c358=")</f>
        <v>#REF!</v>
      </c>
      <c r="FE5" t="e">
        <f>AND(#REF!,"AAAAAH9c36A=")</f>
        <v>#REF!</v>
      </c>
      <c r="FF5" t="e">
        <f>AND(#REF!,"AAAAAH9c36E=")</f>
        <v>#REF!</v>
      </c>
      <c r="FG5" t="e">
        <f>AND(#REF!,"AAAAAH9c36I=")</f>
        <v>#REF!</v>
      </c>
      <c r="FH5" t="e">
        <f>AND(#REF!,"AAAAAH9c36M=")</f>
        <v>#REF!</v>
      </c>
      <c r="FI5" t="e">
        <f>AND(#REF!,"AAAAAH9c36Q=")</f>
        <v>#REF!</v>
      </c>
      <c r="FJ5" t="e">
        <f>AND(#REF!,"AAAAAH9c36U=")</f>
        <v>#REF!</v>
      </c>
      <c r="FK5" t="e">
        <f>AND(#REF!,"AAAAAH9c36Y=")</f>
        <v>#REF!</v>
      </c>
      <c r="FL5" t="e">
        <f>AND(#REF!,"AAAAAH9c36c=")</f>
        <v>#REF!</v>
      </c>
      <c r="FM5" t="e">
        <f>AND(#REF!,"AAAAAH9c36g=")</f>
        <v>#REF!</v>
      </c>
      <c r="FN5" t="e">
        <f>AND(#REF!,"AAAAAH9c36k=")</f>
        <v>#REF!</v>
      </c>
      <c r="FO5" t="e">
        <f>AND(#REF!,"AAAAAH9c36o=")</f>
        <v>#REF!</v>
      </c>
      <c r="FP5" t="e">
        <f>AND(#REF!,"AAAAAH9c36s=")</f>
        <v>#REF!</v>
      </c>
      <c r="FQ5" t="e">
        <f>AND(#REF!,"AAAAAH9c36w=")</f>
        <v>#REF!</v>
      </c>
      <c r="FR5" t="e">
        <f>AND(#REF!,"AAAAAH9c360=")</f>
        <v>#REF!</v>
      </c>
      <c r="FS5" t="e">
        <f>AND(#REF!,"AAAAAH9c364=")</f>
        <v>#REF!</v>
      </c>
      <c r="FT5" t="e">
        <f>AND(#REF!,"AAAAAH9c368=")</f>
        <v>#REF!</v>
      </c>
      <c r="FU5" t="e">
        <f>AND(#REF!,"AAAAAH9c37A=")</f>
        <v>#REF!</v>
      </c>
      <c r="FV5" t="e">
        <f>AND(#REF!,"AAAAAH9c37E=")</f>
        <v>#REF!</v>
      </c>
      <c r="FW5" t="e">
        <f>AND(#REF!,"AAAAAH9c37I=")</f>
        <v>#REF!</v>
      </c>
      <c r="FX5" t="e">
        <f>AND(#REF!,"AAAAAH9c37M=")</f>
        <v>#REF!</v>
      </c>
      <c r="FY5" t="e">
        <f>AND(#REF!,"AAAAAH9c37Q=")</f>
        <v>#REF!</v>
      </c>
      <c r="FZ5" t="e">
        <f>AND(#REF!,"AAAAAH9c37U=")</f>
        <v>#REF!</v>
      </c>
      <c r="GA5" t="e">
        <f>AND(#REF!,"AAAAAH9c37Y=")</f>
        <v>#REF!</v>
      </c>
      <c r="GB5" t="e">
        <f>AND(#REF!,"AAAAAH9c37c=")</f>
        <v>#REF!</v>
      </c>
      <c r="GC5" t="e">
        <f>AND(#REF!,"AAAAAH9c37g=")</f>
        <v>#REF!</v>
      </c>
      <c r="GD5" t="e">
        <f>AND(#REF!,"AAAAAH9c37k=")</f>
        <v>#REF!</v>
      </c>
      <c r="GE5" t="e">
        <f>AND(#REF!,"AAAAAH9c37o=")</f>
        <v>#REF!</v>
      </c>
      <c r="GF5" t="e">
        <f>AND(#REF!,"AAAAAH9c37s=")</f>
        <v>#REF!</v>
      </c>
      <c r="GG5" t="e">
        <f>AND(#REF!,"AAAAAH9c37w=")</f>
        <v>#REF!</v>
      </c>
      <c r="GH5" t="e">
        <f>AND(#REF!,"AAAAAH9c370=")</f>
        <v>#REF!</v>
      </c>
      <c r="GI5" t="e">
        <f>AND(#REF!,"AAAAAH9c374=")</f>
        <v>#REF!</v>
      </c>
      <c r="GJ5" t="e">
        <f>AND(#REF!,"AAAAAH9c378=")</f>
        <v>#REF!</v>
      </c>
      <c r="GK5" t="e">
        <f>AND(#REF!,"AAAAAH9c38A=")</f>
        <v>#REF!</v>
      </c>
      <c r="GL5" t="e">
        <f>AND(#REF!,"AAAAAH9c38E=")</f>
        <v>#REF!</v>
      </c>
      <c r="GM5" t="e">
        <f>AND(#REF!,"AAAAAH9c38I=")</f>
        <v>#REF!</v>
      </c>
      <c r="GN5" t="e">
        <f>AND(#REF!,"AAAAAH9c38M=")</f>
        <v>#REF!</v>
      </c>
      <c r="GO5" t="e">
        <f>AND(#REF!,"AAAAAH9c38Q=")</f>
        <v>#REF!</v>
      </c>
      <c r="GP5" t="e">
        <f>AND(#REF!,"AAAAAH9c38U=")</f>
        <v>#REF!</v>
      </c>
      <c r="GQ5" t="e">
        <f>AND(#REF!,"AAAAAH9c38Y=")</f>
        <v>#REF!</v>
      </c>
      <c r="GR5" t="e">
        <f>AND(#REF!,"AAAAAH9c38c=")</f>
        <v>#REF!</v>
      </c>
      <c r="GS5" t="e">
        <f>AND(#REF!,"AAAAAH9c38g=")</f>
        <v>#REF!</v>
      </c>
      <c r="GT5" t="e">
        <f>AND(#REF!,"AAAAAH9c38k=")</f>
        <v>#REF!</v>
      </c>
      <c r="GU5" t="e">
        <f>AND(#REF!,"AAAAAH9c38o=")</f>
        <v>#REF!</v>
      </c>
      <c r="GV5" t="e">
        <f>AND(#REF!,"AAAAAH9c38s=")</f>
        <v>#REF!</v>
      </c>
      <c r="GW5" t="e">
        <f>AND(#REF!,"AAAAAH9c38w=")</f>
        <v>#REF!</v>
      </c>
      <c r="GX5" t="e">
        <f>AND(#REF!,"AAAAAH9c380=")</f>
        <v>#REF!</v>
      </c>
      <c r="GY5" t="e">
        <f>AND(#REF!,"AAAAAH9c384=")</f>
        <v>#REF!</v>
      </c>
      <c r="GZ5" t="e">
        <f>AND(#REF!,"AAAAAH9c388=")</f>
        <v>#REF!</v>
      </c>
      <c r="HA5" t="e">
        <f>AND(#REF!,"AAAAAH9c39A=")</f>
        <v>#REF!</v>
      </c>
      <c r="HB5" t="e">
        <f>AND(#REF!,"AAAAAH9c39E=")</f>
        <v>#REF!</v>
      </c>
      <c r="HC5" t="e">
        <f>AND(#REF!,"AAAAAH9c39I=")</f>
        <v>#REF!</v>
      </c>
      <c r="HD5" t="e">
        <f>AND(#REF!,"AAAAAH9c39M=")</f>
        <v>#REF!</v>
      </c>
      <c r="HE5" t="e">
        <f>AND(#REF!,"AAAAAH9c39Q=")</f>
        <v>#REF!</v>
      </c>
      <c r="HF5" t="e">
        <f>AND(#REF!,"AAAAAH9c39U=")</f>
        <v>#REF!</v>
      </c>
      <c r="HG5" t="e">
        <f>AND(#REF!,"AAAAAH9c39Y=")</f>
        <v>#REF!</v>
      </c>
      <c r="HH5" t="e">
        <f>IF(#REF!,"AAAAAH9c39c=",0)</f>
        <v>#REF!</v>
      </c>
      <c r="HI5" t="e">
        <f>AND(#REF!,"AAAAAH9c39g=")</f>
        <v>#REF!</v>
      </c>
      <c r="HJ5" t="e">
        <f>AND(#REF!,"AAAAAH9c39k=")</f>
        <v>#REF!</v>
      </c>
      <c r="HK5" t="e">
        <f>AND(#REF!,"AAAAAH9c39o=")</f>
        <v>#REF!</v>
      </c>
      <c r="HL5" t="e">
        <f>AND(#REF!,"AAAAAH9c39s=")</f>
        <v>#REF!</v>
      </c>
      <c r="HM5" t="e">
        <f>AND(#REF!,"AAAAAH9c39w=")</f>
        <v>#REF!</v>
      </c>
      <c r="HN5" t="e">
        <f>AND(#REF!,"AAAAAH9c390=")</f>
        <v>#REF!</v>
      </c>
      <c r="HO5" t="e">
        <f>AND(#REF!,"AAAAAH9c394=")</f>
        <v>#REF!</v>
      </c>
      <c r="HP5" t="e">
        <f>AND(#REF!,"AAAAAH9c398=")</f>
        <v>#REF!</v>
      </c>
      <c r="HQ5" t="e">
        <f>AND(#REF!,"AAAAAH9c3+A=")</f>
        <v>#REF!</v>
      </c>
      <c r="HR5" t="e">
        <f>AND(#REF!,"AAAAAH9c3+E=")</f>
        <v>#REF!</v>
      </c>
      <c r="HS5" t="e">
        <f>AND(#REF!,"AAAAAH9c3+I=")</f>
        <v>#REF!</v>
      </c>
      <c r="HT5" t="e">
        <f>AND(#REF!,"AAAAAH9c3+M=")</f>
        <v>#REF!</v>
      </c>
      <c r="HU5" t="e">
        <f>AND(#REF!,"AAAAAH9c3+Q=")</f>
        <v>#REF!</v>
      </c>
      <c r="HV5" t="e">
        <f>AND(#REF!,"AAAAAH9c3+U=")</f>
        <v>#REF!</v>
      </c>
      <c r="HW5" t="e">
        <f>AND(#REF!,"AAAAAH9c3+Y=")</f>
        <v>#REF!</v>
      </c>
      <c r="HX5" t="e">
        <f>AND(#REF!,"AAAAAH9c3+c=")</f>
        <v>#REF!</v>
      </c>
      <c r="HY5" t="e">
        <f>AND(#REF!,"AAAAAH9c3+g=")</f>
        <v>#REF!</v>
      </c>
      <c r="HZ5" t="e">
        <f>AND(#REF!,"AAAAAH9c3+k=")</f>
        <v>#REF!</v>
      </c>
      <c r="IA5" t="e">
        <f>AND(#REF!,"AAAAAH9c3+o=")</f>
        <v>#REF!</v>
      </c>
      <c r="IB5" t="e">
        <f>AND(#REF!,"AAAAAH9c3+s=")</f>
        <v>#REF!</v>
      </c>
      <c r="IC5" t="e">
        <f>AND(#REF!,"AAAAAH9c3+w=")</f>
        <v>#REF!</v>
      </c>
      <c r="ID5" t="e">
        <f>AND(#REF!,"AAAAAH9c3+0=")</f>
        <v>#REF!</v>
      </c>
      <c r="IE5" t="e">
        <f>AND(#REF!,"AAAAAH9c3+4=")</f>
        <v>#REF!</v>
      </c>
      <c r="IF5" t="e">
        <f>AND(#REF!,"AAAAAH9c3+8=")</f>
        <v>#REF!</v>
      </c>
      <c r="IG5" t="e">
        <f>AND(#REF!,"AAAAAH9c3/A=")</f>
        <v>#REF!</v>
      </c>
      <c r="IH5" t="e">
        <f>AND(#REF!,"AAAAAH9c3/E=")</f>
        <v>#REF!</v>
      </c>
      <c r="II5" t="e">
        <f>AND(#REF!,"AAAAAH9c3/I=")</f>
        <v>#REF!</v>
      </c>
      <c r="IJ5" t="e">
        <f>AND(#REF!,"AAAAAH9c3/M=")</f>
        <v>#REF!</v>
      </c>
      <c r="IK5" t="e">
        <f>AND(#REF!,"AAAAAH9c3/Q=")</f>
        <v>#REF!</v>
      </c>
      <c r="IL5" t="e">
        <f>AND(#REF!,"AAAAAH9c3/U=")</f>
        <v>#REF!</v>
      </c>
      <c r="IM5" t="e">
        <f>AND(#REF!,"AAAAAH9c3/Y=")</f>
        <v>#REF!</v>
      </c>
      <c r="IN5" t="e">
        <f>AND(#REF!,"AAAAAH9c3/c=")</f>
        <v>#REF!</v>
      </c>
      <c r="IO5" t="e">
        <f>AND(#REF!,"AAAAAH9c3/g=")</f>
        <v>#REF!</v>
      </c>
      <c r="IP5" t="e">
        <f>AND(#REF!,"AAAAAH9c3/k=")</f>
        <v>#REF!</v>
      </c>
      <c r="IQ5" t="e">
        <f>AND(#REF!,"AAAAAH9c3/o=")</f>
        <v>#REF!</v>
      </c>
      <c r="IR5" t="e">
        <f>AND(#REF!,"AAAAAH9c3/s=")</f>
        <v>#REF!</v>
      </c>
      <c r="IS5" t="e">
        <f>AND(#REF!,"AAAAAH9c3/w=")</f>
        <v>#REF!</v>
      </c>
      <c r="IT5" t="e">
        <f>AND(#REF!,"AAAAAH9c3/0=")</f>
        <v>#REF!</v>
      </c>
      <c r="IU5" t="e">
        <f>AND(#REF!,"AAAAAH9c3/4=")</f>
        <v>#REF!</v>
      </c>
      <c r="IV5" t="e">
        <f>AND(#REF!,"AAAAAH9c3/8=")</f>
        <v>#REF!</v>
      </c>
    </row>
    <row r="6" spans="1:256" x14ac:dyDescent="0.25">
      <c r="A6" t="e">
        <f>AND(#REF!,"AAAAAHqs9wA=")</f>
        <v>#REF!</v>
      </c>
      <c r="B6" t="e">
        <f>AND(#REF!,"AAAAAHqs9wE=")</f>
        <v>#REF!</v>
      </c>
      <c r="C6" t="e">
        <f>AND(#REF!,"AAAAAHqs9wI=")</f>
        <v>#REF!</v>
      </c>
      <c r="D6" t="e">
        <f>AND(#REF!,"AAAAAHqs9wM=")</f>
        <v>#REF!</v>
      </c>
      <c r="E6" t="e">
        <f>AND(#REF!,"AAAAAHqs9wQ=")</f>
        <v>#REF!</v>
      </c>
      <c r="F6" t="e">
        <f>AND(#REF!,"AAAAAHqs9wU=")</f>
        <v>#REF!</v>
      </c>
      <c r="G6" t="e">
        <f>AND(#REF!,"AAAAAHqs9wY=")</f>
        <v>#REF!</v>
      </c>
      <c r="H6" t="e">
        <f>AND(#REF!,"AAAAAHqs9wc=")</f>
        <v>#REF!</v>
      </c>
      <c r="I6" t="e">
        <f>AND(#REF!,"AAAAAHqs9wg=")</f>
        <v>#REF!</v>
      </c>
      <c r="J6" t="e">
        <f>AND(#REF!,"AAAAAHqs9wk=")</f>
        <v>#REF!</v>
      </c>
      <c r="K6" t="e">
        <f>AND(#REF!,"AAAAAHqs9wo=")</f>
        <v>#REF!</v>
      </c>
      <c r="L6" t="e">
        <f>AND(#REF!,"AAAAAHqs9ws=")</f>
        <v>#REF!</v>
      </c>
      <c r="M6" t="e">
        <f>AND(#REF!,"AAAAAHqs9ww=")</f>
        <v>#REF!</v>
      </c>
      <c r="N6" t="e">
        <f>AND(#REF!,"AAAAAHqs9w0=")</f>
        <v>#REF!</v>
      </c>
      <c r="O6" t="e">
        <f>AND(#REF!,"AAAAAHqs9w4=")</f>
        <v>#REF!</v>
      </c>
      <c r="P6" t="e">
        <f>AND(#REF!,"AAAAAHqs9w8=")</f>
        <v>#REF!</v>
      </c>
      <c r="Q6" t="e">
        <f>AND(#REF!,"AAAAAHqs9xA=")</f>
        <v>#REF!</v>
      </c>
      <c r="R6" t="e">
        <f>AND(#REF!,"AAAAAHqs9xE=")</f>
        <v>#REF!</v>
      </c>
      <c r="S6" t="e">
        <f>IF(#REF!,"AAAAAHqs9xI=",0)</f>
        <v>#REF!</v>
      </c>
      <c r="T6" t="e">
        <f>AND(#REF!,"AAAAAHqs9xM=")</f>
        <v>#REF!</v>
      </c>
      <c r="U6" t="e">
        <f>AND(#REF!,"AAAAAHqs9xQ=")</f>
        <v>#REF!</v>
      </c>
      <c r="V6" t="e">
        <f>AND(#REF!,"AAAAAHqs9xU=")</f>
        <v>#REF!</v>
      </c>
      <c r="W6" t="e">
        <f>AND(#REF!,"AAAAAHqs9xY=")</f>
        <v>#REF!</v>
      </c>
      <c r="X6" t="e">
        <f>AND(#REF!,"AAAAAHqs9xc=")</f>
        <v>#REF!</v>
      </c>
      <c r="Y6" t="e">
        <f>AND(#REF!,"AAAAAHqs9xg=")</f>
        <v>#REF!</v>
      </c>
      <c r="Z6" t="e">
        <f>AND(#REF!,"AAAAAHqs9xk=")</f>
        <v>#REF!</v>
      </c>
      <c r="AA6" t="e">
        <f>AND(#REF!,"AAAAAHqs9xo=")</f>
        <v>#REF!</v>
      </c>
      <c r="AB6" t="e">
        <f>AND(#REF!,"AAAAAHqs9xs=")</f>
        <v>#REF!</v>
      </c>
      <c r="AC6" t="e">
        <f>AND(#REF!,"AAAAAHqs9xw=")</f>
        <v>#REF!</v>
      </c>
      <c r="AD6" t="e">
        <f>AND(#REF!,"AAAAAHqs9x0=")</f>
        <v>#REF!</v>
      </c>
      <c r="AE6" t="e">
        <f>AND(#REF!,"AAAAAHqs9x4=")</f>
        <v>#REF!</v>
      </c>
      <c r="AF6" t="e">
        <f>AND(#REF!,"AAAAAHqs9x8=")</f>
        <v>#REF!</v>
      </c>
      <c r="AG6" t="e">
        <f>AND(#REF!,"AAAAAHqs9yA=")</f>
        <v>#REF!</v>
      </c>
      <c r="AH6" t="e">
        <f>AND(#REF!,"AAAAAHqs9yE=")</f>
        <v>#REF!</v>
      </c>
      <c r="AI6" t="e">
        <f>AND(#REF!,"AAAAAHqs9yI=")</f>
        <v>#REF!</v>
      </c>
      <c r="AJ6" t="e">
        <f>AND(#REF!,"AAAAAHqs9yM=")</f>
        <v>#REF!</v>
      </c>
      <c r="AK6" t="e">
        <f>AND(#REF!,"AAAAAHqs9yQ=")</f>
        <v>#REF!</v>
      </c>
      <c r="AL6" t="e">
        <f>AND(#REF!,"AAAAAHqs9yU=")</f>
        <v>#REF!</v>
      </c>
      <c r="AM6" t="e">
        <f>AND(#REF!,"AAAAAHqs9yY=")</f>
        <v>#REF!</v>
      </c>
      <c r="AN6" t="e">
        <f>AND(#REF!,"AAAAAHqs9yc=")</f>
        <v>#REF!</v>
      </c>
      <c r="AO6" t="e">
        <f>AND(#REF!,"AAAAAHqs9yg=")</f>
        <v>#REF!</v>
      </c>
      <c r="AP6" t="e">
        <f>AND(#REF!,"AAAAAHqs9yk=")</f>
        <v>#REF!</v>
      </c>
      <c r="AQ6" t="e">
        <f>AND(#REF!,"AAAAAHqs9yo=")</f>
        <v>#REF!</v>
      </c>
      <c r="AR6" t="e">
        <f>AND(#REF!,"AAAAAHqs9ys=")</f>
        <v>#REF!</v>
      </c>
      <c r="AS6" t="e">
        <f>AND(#REF!,"AAAAAHqs9yw=")</f>
        <v>#REF!</v>
      </c>
      <c r="AT6" t="e">
        <f>AND(#REF!,"AAAAAHqs9y0=")</f>
        <v>#REF!</v>
      </c>
      <c r="AU6" t="e">
        <f>AND(#REF!,"AAAAAHqs9y4=")</f>
        <v>#REF!</v>
      </c>
      <c r="AV6" t="e">
        <f>AND(#REF!,"AAAAAHqs9y8=")</f>
        <v>#REF!</v>
      </c>
      <c r="AW6" t="e">
        <f>AND(#REF!,"AAAAAHqs9zA=")</f>
        <v>#REF!</v>
      </c>
      <c r="AX6" t="e">
        <f>AND(#REF!,"AAAAAHqs9zE=")</f>
        <v>#REF!</v>
      </c>
      <c r="AY6" t="e">
        <f>AND(#REF!,"AAAAAHqs9zI=")</f>
        <v>#REF!</v>
      </c>
      <c r="AZ6" t="e">
        <f>AND(#REF!,"AAAAAHqs9zM=")</f>
        <v>#REF!</v>
      </c>
      <c r="BA6" t="e">
        <f>AND(#REF!,"AAAAAHqs9zQ=")</f>
        <v>#REF!</v>
      </c>
      <c r="BB6" t="e">
        <f>AND(#REF!,"AAAAAHqs9zU=")</f>
        <v>#REF!</v>
      </c>
      <c r="BC6" t="e">
        <f>AND(#REF!,"AAAAAHqs9zY=")</f>
        <v>#REF!</v>
      </c>
      <c r="BD6" t="e">
        <f>AND(#REF!,"AAAAAHqs9zc=")</f>
        <v>#REF!</v>
      </c>
      <c r="BE6" t="e">
        <f>AND(#REF!,"AAAAAHqs9zg=")</f>
        <v>#REF!</v>
      </c>
      <c r="BF6" t="e">
        <f>AND(#REF!,"AAAAAHqs9zk=")</f>
        <v>#REF!</v>
      </c>
      <c r="BG6" t="e">
        <f>AND(#REF!,"AAAAAHqs9zo=")</f>
        <v>#REF!</v>
      </c>
      <c r="BH6" t="e">
        <f>AND(#REF!,"AAAAAHqs9zs=")</f>
        <v>#REF!</v>
      </c>
      <c r="BI6" t="e">
        <f>AND(#REF!,"AAAAAHqs9zw=")</f>
        <v>#REF!</v>
      </c>
      <c r="BJ6" t="e">
        <f>AND(#REF!,"AAAAAHqs9z0=")</f>
        <v>#REF!</v>
      </c>
      <c r="BK6" t="e">
        <f>AND(#REF!,"AAAAAHqs9z4=")</f>
        <v>#REF!</v>
      </c>
      <c r="BL6" t="e">
        <f>AND(#REF!,"AAAAAHqs9z8=")</f>
        <v>#REF!</v>
      </c>
      <c r="BM6" t="e">
        <f>AND(#REF!,"AAAAAHqs90A=")</f>
        <v>#REF!</v>
      </c>
      <c r="BN6" t="e">
        <f>AND(#REF!,"AAAAAHqs90E=")</f>
        <v>#REF!</v>
      </c>
      <c r="BO6" t="e">
        <f>AND(#REF!,"AAAAAHqs90I=")</f>
        <v>#REF!</v>
      </c>
      <c r="BP6" t="e">
        <f>AND(#REF!,"AAAAAHqs90M=")</f>
        <v>#REF!</v>
      </c>
      <c r="BQ6" t="e">
        <f>AND(#REF!,"AAAAAHqs90Q=")</f>
        <v>#REF!</v>
      </c>
      <c r="BR6" t="e">
        <f>AND(#REF!,"AAAAAHqs90U=")</f>
        <v>#REF!</v>
      </c>
      <c r="BS6" t="e">
        <f>AND(#REF!,"AAAAAHqs90Y=")</f>
        <v>#REF!</v>
      </c>
      <c r="BT6" t="e">
        <f>AND(#REF!,"AAAAAHqs90c=")</f>
        <v>#REF!</v>
      </c>
      <c r="BU6" t="e">
        <f>AND(#REF!,"AAAAAHqs90g=")</f>
        <v>#REF!</v>
      </c>
      <c r="BV6" t="e">
        <f>AND(#REF!,"AAAAAHqs90k=")</f>
        <v>#REF!</v>
      </c>
      <c r="BW6" t="e">
        <f>AND(#REF!,"AAAAAHqs90o=")</f>
        <v>#REF!</v>
      </c>
      <c r="BX6" t="e">
        <f>AND(#REF!,"AAAAAHqs90s=")</f>
        <v>#REF!</v>
      </c>
      <c r="BY6" t="e">
        <f>AND(#REF!,"AAAAAHqs90w=")</f>
        <v>#REF!</v>
      </c>
      <c r="BZ6" t="e">
        <f>IF(#REF!,"AAAAAHqs900=",0)</f>
        <v>#REF!</v>
      </c>
      <c r="CA6" t="e">
        <f>AND(#REF!,"AAAAAHqs904=")</f>
        <v>#REF!</v>
      </c>
      <c r="CB6" t="e">
        <f>AND(#REF!,"AAAAAHqs908=")</f>
        <v>#REF!</v>
      </c>
      <c r="CC6" t="e">
        <f>AND(#REF!,"AAAAAHqs91A=")</f>
        <v>#REF!</v>
      </c>
      <c r="CD6" t="e">
        <f>AND(#REF!,"AAAAAHqs91E=")</f>
        <v>#REF!</v>
      </c>
      <c r="CE6" t="e">
        <f>AND(#REF!,"AAAAAHqs91I=")</f>
        <v>#REF!</v>
      </c>
      <c r="CF6" t="e">
        <f>AND(#REF!,"AAAAAHqs91M=")</f>
        <v>#REF!</v>
      </c>
      <c r="CG6" t="e">
        <f>AND(#REF!,"AAAAAHqs91Q=")</f>
        <v>#REF!</v>
      </c>
      <c r="CH6" t="e">
        <f>AND(#REF!,"AAAAAHqs91U=")</f>
        <v>#REF!</v>
      </c>
      <c r="CI6" t="e">
        <f>AND(#REF!,"AAAAAHqs91Y=")</f>
        <v>#REF!</v>
      </c>
      <c r="CJ6" t="e">
        <f>AND(#REF!,"AAAAAHqs91c=")</f>
        <v>#REF!</v>
      </c>
      <c r="CK6" t="e">
        <f>AND(#REF!,"AAAAAHqs91g=")</f>
        <v>#REF!</v>
      </c>
      <c r="CL6" t="e">
        <f>AND(#REF!,"AAAAAHqs91k=")</f>
        <v>#REF!</v>
      </c>
      <c r="CM6" t="e">
        <f>AND(#REF!,"AAAAAHqs91o=")</f>
        <v>#REF!</v>
      </c>
      <c r="CN6" t="e">
        <f>AND(#REF!,"AAAAAHqs91s=")</f>
        <v>#REF!</v>
      </c>
      <c r="CO6" t="e">
        <f>AND(#REF!,"AAAAAHqs91w=")</f>
        <v>#REF!</v>
      </c>
      <c r="CP6" t="e">
        <f>AND(#REF!,"AAAAAHqs910=")</f>
        <v>#REF!</v>
      </c>
      <c r="CQ6" t="e">
        <f>AND(#REF!,"AAAAAHqs914=")</f>
        <v>#REF!</v>
      </c>
      <c r="CR6" t="e">
        <f>AND(#REF!,"AAAAAHqs918=")</f>
        <v>#REF!</v>
      </c>
      <c r="CS6" t="e">
        <f>AND(#REF!,"AAAAAHqs92A=")</f>
        <v>#REF!</v>
      </c>
      <c r="CT6" t="e">
        <f>AND(#REF!,"AAAAAHqs92E=")</f>
        <v>#REF!</v>
      </c>
      <c r="CU6" t="e">
        <f>AND(#REF!,"AAAAAHqs92I=")</f>
        <v>#REF!</v>
      </c>
      <c r="CV6" t="e">
        <f>AND(#REF!,"AAAAAHqs92M=")</f>
        <v>#REF!</v>
      </c>
      <c r="CW6" t="e">
        <f>AND(#REF!,"AAAAAHqs92Q=")</f>
        <v>#REF!</v>
      </c>
      <c r="CX6" t="e">
        <f>AND(#REF!,"AAAAAHqs92U=")</f>
        <v>#REF!</v>
      </c>
      <c r="CY6" t="e">
        <f>AND(#REF!,"AAAAAHqs92Y=")</f>
        <v>#REF!</v>
      </c>
      <c r="CZ6" t="e">
        <f>AND(#REF!,"AAAAAHqs92c=")</f>
        <v>#REF!</v>
      </c>
      <c r="DA6" t="e">
        <f>AND(#REF!,"AAAAAHqs92g=")</f>
        <v>#REF!</v>
      </c>
      <c r="DB6" t="e">
        <f>AND(#REF!,"AAAAAHqs92k=")</f>
        <v>#REF!</v>
      </c>
      <c r="DC6" t="e">
        <f>AND(#REF!,"AAAAAHqs92o=")</f>
        <v>#REF!</v>
      </c>
      <c r="DD6" t="e">
        <f>AND(#REF!,"AAAAAHqs92s=")</f>
        <v>#REF!</v>
      </c>
      <c r="DE6" t="e">
        <f>AND(#REF!,"AAAAAHqs92w=")</f>
        <v>#REF!</v>
      </c>
      <c r="DF6" t="e">
        <f>AND(#REF!,"AAAAAHqs920=")</f>
        <v>#REF!</v>
      </c>
      <c r="DG6" t="e">
        <f>AND(#REF!,"AAAAAHqs924=")</f>
        <v>#REF!</v>
      </c>
      <c r="DH6" t="e">
        <f>AND(#REF!,"AAAAAHqs928=")</f>
        <v>#REF!</v>
      </c>
      <c r="DI6" t="e">
        <f>AND(#REF!,"AAAAAHqs93A=")</f>
        <v>#REF!</v>
      </c>
      <c r="DJ6" t="e">
        <f>AND(#REF!,"AAAAAHqs93E=")</f>
        <v>#REF!</v>
      </c>
      <c r="DK6" t="e">
        <f>AND(#REF!,"AAAAAHqs93I=")</f>
        <v>#REF!</v>
      </c>
      <c r="DL6" t="e">
        <f>AND(#REF!,"AAAAAHqs93M=")</f>
        <v>#REF!</v>
      </c>
      <c r="DM6" t="e">
        <f>AND(#REF!,"AAAAAHqs93Q=")</f>
        <v>#REF!</v>
      </c>
      <c r="DN6" t="e">
        <f>AND(#REF!,"AAAAAHqs93U=")</f>
        <v>#REF!</v>
      </c>
      <c r="DO6" t="e">
        <f>AND(#REF!,"AAAAAHqs93Y=")</f>
        <v>#REF!</v>
      </c>
      <c r="DP6" t="e">
        <f>AND(#REF!,"AAAAAHqs93c=")</f>
        <v>#REF!</v>
      </c>
      <c r="DQ6" t="e">
        <f>AND(#REF!,"AAAAAHqs93g=")</f>
        <v>#REF!</v>
      </c>
      <c r="DR6" t="e">
        <f>AND(#REF!,"AAAAAHqs93k=")</f>
        <v>#REF!</v>
      </c>
      <c r="DS6" t="e">
        <f>AND(#REF!,"AAAAAHqs93o=")</f>
        <v>#REF!</v>
      </c>
      <c r="DT6" t="e">
        <f>AND(#REF!,"AAAAAHqs93s=")</f>
        <v>#REF!</v>
      </c>
      <c r="DU6" t="e">
        <f>AND(#REF!,"AAAAAHqs93w=")</f>
        <v>#REF!</v>
      </c>
      <c r="DV6" t="e">
        <f>AND(#REF!,"AAAAAHqs930=")</f>
        <v>#REF!</v>
      </c>
      <c r="DW6" t="e">
        <f>AND(#REF!,"AAAAAHqs934=")</f>
        <v>#REF!</v>
      </c>
      <c r="DX6" t="e">
        <f>AND(#REF!,"AAAAAHqs938=")</f>
        <v>#REF!</v>
      </c>
      <c r="DY6" t="e">
        <f>AND(#REF!,"AAAAAHqs94A=")</f>
        <v>#REF!</v>
      </c>
      <c r="DZ6" t="e">
        <f>AND(#REF!,"AAAAAHqs94E=")</f>
        <v>#REF!</v>
      </c>
      <c r="EA6" t="e">
        <f>AND(#REF!,"AAAAAHqs94I=")</f>
        <v>#REF!</v>
      </c>
      <c r="EB6" t="e">
        <f>AND(#REF!,"AAAAAHqs94M=")</f>
        <v>#REF!</v>
      </c>
      <c r="EC6" t="e">
        <f>AND(#REF!,"AAAAAHqs94Q=")</f>
        <v>#REF!</v>
      </c>
      <c r="ED6" t="e">
        <f>AND(#REF!,"AAAAAHqs94U=")</f>
        <v>#REF!</v>
      </c>
      <c r="EE6" t="e">
        <f>AND(#REF!,"AAAAAHqs94Y=")</f>
        <v>#REF!</v>
      </c>
      <c r="EF6" t="e">
        <f>AND(#REF!,"AAAAAHqs94c=")</f>
        <v>#REF!</v>
      </c>
      <c r="EG6" t="e">
        <f>IF(#REF!,"AAAAAHqs94g=",0)</f>
        <v>#REF!</v>
      </c>
      <c r="EH6" t="e">
        <f>AND(#REF!,"AAAAAHqs94k=")</f>
        <v>#REF!</v>
      </c>
      <c r="EI6" t="e">
        <f>AND(#REF!,"AAAAAHqs94o=")</f>
        <v>#REF!</v>
      </c>
      <c r="EJ6" t="e">
        <f>AND(#REF!,"AAAAAHqs94s=")</f>
        <v>#REF!</v>
      </c>
      <c r="EK6" t="e">
        <f>AND(#REF!,"AAAAAHqs94w=")</f>
        <v>#REF!</v>
      </c>
      <c r="EL6" t="e">
        <f>AND(#REF!,"AAAAAHqs940=")</f>
        <v>#REF!</v>
      </c>
      <c r="EM6" t="e">
        <f>AND(#REF!,"AAAAAHqs944=")</f>
        <v>#REF!</v>
      </c>
      <c r="EN6" t="e">
        <f>AND(#REF!,"AAAAAHqs948=")</f>
        <v>#REF!</v>
      </c>
      <c r="EO6" t="e">
        <f>AND(#REF!,"AAAAAHqs95A=")</f>
        <v>#REF!</v>
      </c>
      <c r="EP6" t="e">
        <f>AND(#REF!,"AAAAAHqs95E=")</f>
        <v>#REF!</v>
      </c>
      <c r="EQ6" t="e">
        <f>AND(#REF!,"AAAAAHqs95I=")</f>
        <v>#REF!</v>
      </c>
      <c r="ER6" t="e">
        <f>AND(#REF!,"AAAAAHqs95M=")</f>
        <v>#REF!</v>
      </c>
      <c r="ES6" t="e">
        <f>AND(#REF!,"AAAAAHqs95Q=")</f>
        <v>#REF!</v>
      </c>
      <c r="ET6" t="e">
        <f>AND(#REF!,"AAAAAHqs95U=")</f>
        <v>#REF!</v>
      </c>
      <c r="EU6" t="e">
        <f>AND(#REF!,"AAAAAHqs95Y=")</f>
        <v>#REF!</v>
      </c>
      <c r="EV6" t="e">
        <f>AND(#REF!,"AAAAAHqs95c=")</f>
        <v>#REF!</v>
      </c>
      <c r="EW6" t="e">
        <f>AND(#REF!,"AAAAAHqs95g=")</f>
        <v>#REF!</v>
      </c>
      <c r="EX6" t="e">
        <f>AND(#REF!,"AAAAAHqs95k=")</f>
        <v>#REF!</v>
      </c>
      <c r="EY6" t="e">
        <f>AND(#REF!,"AAAAAHqs95o=")</f>
        <v>#REF!</v>
      </c>
      <c r="EZ6" t="e">
        <f>AND(#REF!,"AAAAAHqs95s=")</f>
        <v>#REF!</v>
      </c>
      <c r="FA6" t="e">
        <f>AND(#REF!,"AAAAAHqs95w=")</f>
        <v>#REF!</v>
      </c>
      <c r="FB6" t="e">
        <f>AND(#REF!,"AAAAAHqs950=")</f>
        <v>#REF!</v>
      </c>
      <c r="FC6" t="e">
        <f>AND(#REF!,"AAAAAHqs954=")</f>
        <v>#REF!</v>
      </c>
      <c r="FD6" t="e">
        <f>AND(#REF!,"AAAAAHqs958=")</f>
        <v>#REF!</v>
      </c>
      <c r="FE6" t="e">
        <f>AND(#REF!,"AAAAAHqs96A=")</f>
        <v>#REF!</v>
      </c>
      <c r="FF6" t="e">
        <f>AND(#REF!,"AAAAAHqs96E=")</f>
        <v>#REF!</v>
      </c>
      <c r="FG6" t="e">
        <f>AND(#REF!,"AAAAAHqs96I=")</f>
        <v>#REF!</v>
      </c>
      <c r="FH6" t="e">
        <f>AND(#REF!,"AAAAAHqs96M=")</f>
        <v>#REF!</v>
      </c>
      <c r="FI6" t="e">
        <f>AND(#REF!,"AAAAAHqs96Q=")</f>
        <v>#REF!</v>
      </c>
      <c r="FJ6" t="e">
        <f>AND(#REF!,"AAAAAHqs96U=")</f>
        <v>#REF!</v>
      </c>
      <c r="FK6" t="e">
        <f>AND(#REF!,"AAAAAHqs96Y=")</f>
        <v>#REF!</v>
      </c>
      <c r="FL6" t="e">
        <f>AND(#REF!,"AAAAAHqs96c=")</f>
        <v>#REF!</v>
      </c>
      <c r="FM6" t="e">
        <f>AND(#REF!,"AAAAAHqs96g=")</f>
        <v>#REF!</v>
      </c>
      <c r="FN6" t="e">
        <f>AND(#REF!,"AAAAAHqs96k=")</f>
        <v>#REF!</v>
      </c>
      <c r="FO6" t="e">
        <f>AND(#REF!,"AAAAAHqs96o=")</f>
        <v>#REF!</v>
      </c>
      <c r="FP6" t="e">
        <f>AND(#REF!,"AAAAAHqs96s=")</f>
        <v>#REF!</v>
      </c>
      <c r="FQ6" t="e">
        <f>AND(#REF!,"AAAAAHqs96w=")</f>
        <v>#REF!</v>
      </c>
      <c r="FR6" t="e">
        <f>AND(#REF!,"AAAAAHqs960=")</f>
        <v>#REF!</v>
      </c>
      <c r="FS6" t="e">
        <f>AND(#REF!,"AAAAAHqs964=")</f>
        <v>#REF!</v>
      </c>
      <c r="FT6" t="e">
        <f>AND(#REF!,"AAAAAHqs968=")</f>
        <v>#REF!</v>
      </c>
      <c r="FU6" t="e">
        <f>AND(#REF!,"AAAAAHqs97A=")</f>
        <v>#REF!</v>
      </c>
      <c r="FV6" t="e">
        <f>AND(#REF!,"AAAAAHqs97E=")</f>
        <v>#REF!</v>
      </c>
      <c r="FW6" t="e">
        <f>AND(#REF!,"AAAAAHqs97I=")</f>
        <v>#REF!</v>
      </c>
      <c r="FX6" t="e">
        <f>AND(#REF!,"AAAAAHqs97M=")</f>
        <v>#REF!</v>
      </c>
      <c r="FY6" t="e">
        <f>AND(#REF!,"AAAAAHqs97Q=")</f>
        <v>#REF!</v>
      </c>
      <c r="FZ6" t="e">
        <f>AND(#REF!,"AAAAAHqs97U=")</f>
        <v>#REF!</v>
      </c>
      <c r="GA6" t="e">
        <f>AND(#REF!,"AAAAAHqs97Y=")</f>
        <v>#REF!</v>
      </c>
      <c r="GB6" t="e">
        <f>AND(#REF!,"AAAAAHqs97c=")</f>
        <v>#REF!</v>
      </c>
      <c r="GC6" t="e">
        <f>AND(#REF!,"AAAAAHqs97g=")</f>
        <v>#REF!</v>
      </c>
      <c r="GD6" t="e">
        <f>AND(#REF!,"AAAAAHqs97k=")</f>
        <v>#REF!</v>
      </c>
      <c r="GE6" t="e">
        <f>AND(#REF!,"AAAAAHqs97o=")</f>
        <v>#REF!</v>
      </c>
      <c r="GF6" t="e">
        <f>AND(#REF!,"AAAAAHqs97s=")</f>
        <v>#REF!</v>
      </c>
      <c r="GG6" t="e">
        <f>AND(#REF!,"AAAAAHqs97w=")</f>
        <v>#REF!</v>
      </c>
      <c r="GH6" t="e">
        <f>AND(#REF!,"AAAAAHqs970=")</f>
        <v>#REF!</v>
      </c>
      <c r="GI6" t="e">
        <f>AND(#REF!,"AAAAAHqs974=")</f>
        <v>#REF!</v>
      </c>
      <c r="GJ6" t="e">
        <f>AND(#REF!,"AAAAAHqs978=")</f>
        <v>#REF!</v>
      </c>
      <c r="GK6" t="e">
        <f>AND(#REF!,"AAAAAHqs98A=")</f>
        <v>#REF!</v>
      </c>
      <c r="GL6" t="e">
        <f>AND(#REF!,"AAAAAHqs98E=")</f>
        <v>#REF!</v>
      </c>
      <c r="GM6" t="e">
        <f>AND(#REF!,"AAAAAHqs98I=")</f>
        <v>#REF!</v>
      </c>
      <c r="GN6" t="e">
        <f>IF(#REF!,"AAAAAHqs98M=",0)</f>
        <v>#REF!</v>
      </c>
      <c r="GO6" t="e">
        <f>AND(#REF!,"AAAAAHqs98Q=")</f>
        <v>#REF!</v>
      </c>
      <c r="GP6" t="e">
        <f>AND(#REF!,"AAAAAHqs98U=")</f>
        <v>#REF!</v>
      </c>
      <c r="GQ6" t="e">
        <f>AND(#REF!,"AAAAAHqs98Y=")</f>
        <v>#REF!</v>
      </c>
      <c r="GR6" t="e">
        <f>AND(#REF!,"AAAAAHqs98c=")</f>
        <v>#REF!</v>
      </c>
      <c r="GS6" t="e">
        <f>AND(#REF!,"AAAAAHqs98g=")</f>
        <v>#REF!</v>
      </c>
      <c r="GT6" t="e">
        <f>AND(#REF!,"AAAAAHqs98k=")</f>
        <v>#REF!</v>
      </c>
      <c r="GU6" t="e">
        <f>AND(#REF!,"AAAAAHqs98o=")</f>
        <v>#REF!</v>
      </c>
      <c r="GV6" t="e">
        <f>AND(#REF!,"AAAAAHqs98s=")</f>
        <v>#REF!</v>
      </c>
      <c r="GW6" t="e">
        <f>AND(#REF!,"AAAAAHqs98w=")</f>
        <v>#REF!</v>
      </c>
      <c r="GX6" t="e">
        <f>AND(#REF!,"AAAAAHqs980=")</f>
        <v>#REF!</v>
      </c>
      <c r="GY6" t="e">
        <f>AND(#REF!,"AAAAAHqs984=")</f>
        <v>#REF!</v>
      </c>
      <c r="GZ6" t="e">
        <f>AND(#REF!,"AAAAAHqs988=")</f>
        <v>#REF!</v>
      </c>
      <c r="HA6" t="e">
        <f>AND(#REF!,"AAAAAHqs99A=")</f>
        <v>#REF!</v>
      </c>
      <c r="HB6" t="e">
        <f>AND(#REF!,"AAAAAHqs99E=")</f>
        <v>#REF!</v>
      </c>
      <c r="HC6" t="e">
        <f>AND(#REF!,"AAAAAHqs99I=")</f>
        <v>#REF!</v>
      </c>
      <c r="HD6" t="e">
        <f>AND(#REF!,"AAAAAHqs99M=")</f>
        <v>#REF!</v>
      </c>
      <c r="HE6" t="e">
        <f>AND(#REF!,"AAAAAHqs99Q=")</f>
        <v>#REF!</v>
      </c>
      <c r="HF6" t="e">
        <f>AND(#REF!,"AAAAAHqs99U=")</f>
        <v>#REF!</v>
      </c>
      <c r="HG6" t="e">
        <f>AND(#REF!,"AAAAAHqs99Y=")</f>
        <v>#REF!</v>
      </c>
      <c r="HH6" t="e">
        <f>AND(#REF!,"AAAAAHqs99c=")</f>
        <v>#REF!</v>
      </c>
      <c r="HI6" t="e">
        <f>AND(#REF!,"AAAAAHqs99g=")</f>
        <v>#REF!</v>
      </c>
      <c r="HJ6" t="e">
        <f>AND(#REF!,"AAAAAHqs99k=")</f>
        <v>#REF!</v>
      </c>
      <c r="HK6" t="e">
        <f>AND(#REF!,"AAAAAHqs99o=")</f>
        <v>#REF!</v>
      </c>
      <c r="HL6" t="e">
        <f>AND(#REF!,"AAAAAHqs99s=")</f>
        <v>#REF!</v>
      </c>
      <c r="HM6" t="e">
        <f>AND(#REF!,"AAAAAHqs99w=")</f>
        <v>#REF!</v>
      </c>
      <c r="HN6" t="e">
        <f>AND(#REF!,"AAAAAHqs990=")</f>
        <v>#REF!</v>
      </c>
      <c r="HO6" t="e">
        <f>AND(#REF!,"AAAAAHqs994=")</f>
        <v>#REF!</v>
      </c>
      <c r="HP6" t="e">
        <f>AND(#REF!,"AAAAAHqs998=")</f>
        <v>#REF!</v>
      </c>
      <c r="HQ6" t="e">
        <f>AND(#REF!,"AAAAAHqs9+A=")</f>
        <v>#REF!</v>
      </c>
      <c r="HR6" t="e">
        <f>AND(#REF!,"AAAAAHqs9+E=")</f>
        <v>#REF!</v>
      </c>
      <c r="HS6" t="e">
        <f>AND(#REF!,"AAAAAHqs9+I=")</f>
        <v>#REF!</v>
      </c>
      <c r="HT6" t="e">
        <f>AND(#REF!,"AAAAAHqs9+M=")</f>
        <v>#REF!</v>
      </c>
      <c r="HU6" t="e">
        <f>AND(#REF!,"AAAAAHqs9+Q=")</f>
        <v>#REF!</v>
      </c>
      <c r="HV6" t="e">
        <f>AND(#REF!,"AAAAAHqs9+U=")</f>
        <v>#REF!</v>
      </c>
      <c r="HW6" t="e">
        <f>AND(#REF!,"AAAAAHqs9+Y=")</f>
        <v>#REF!</v>
      </c>
      <c r="HX6" t="e">
        <f>AND(#REF!,"AAAAAHqs9+c=")</f>
        <v>#REF!</v>
      </c>
      <c r="HY6" t="e">
        <f>AND(#REF!,"AAAAAHqs9+g=")</f>
        <v>#REF!</v>
      </c>
      <c r="HZ6" t="e">
        <f>AND(#REF!,"AAAAAHqs9+k=")</f>
        <v>#REF!</v>
      </c>
      <c r="IA6" t="e">
        <f>AND(#REF!,"AAAAAHqs9+o=")</f>
        <v>#REF!</v>
      </c>
      <c r="IB6" t="e">
        <f>AND(#REF!,"AAAAAHqs9+s=")</f>
        <v>#REF!</v>
      </c>
      <c r="IC6" t="e">
        <f>AND(#REF!,"AAAAAHqs9+w=")</f>
        <v>#REF!</v>
      </c>
      <c r="ID6" t="e">
        <f>AND(#REF!,"AAAAAHqs9+0=")</f>
        <v>#REF!</v>
      </c>
      <c r="IE6" t="e">
        <f>AND(#REF!,"AAAAAHqs9+4=")</f>
        <v>#REF!</v>
      </c>
      <c r="IF6" t="e">
        <f>AND(#REF!,"AAAAAHqs9+8=")</f>
        <v>#REF!</v>
      </c>
      <c r="IG6" t="e">
        <f>AND(#REF!,"AAAAAHqs9/A=")</f>
        <v>#REF!</v>
      </c>
      <c r="IH6" t="e">
        <f>AND(#REF!,"AAAAAHqs9/E=")</f>
        <v>#REF!</v>
      </c>
      <c r="II6" t="e">
        <f>AND(#REF!,"AAAAAHqs9/I=")</f>
        <v>#REF!</v>
      </c>
      <c r="IJ6" t="e">
        <f>AND(#REF!,"AAAAAHqs9/M=")</f>
        <v>#REF!</v>
      </c>
      <c r="IK6" t="e">
        <f>AND(#REF!,"AAAAAHqs9/Q=")</f>
        <v>#REF!</v>
      </c>
      <c r="IL6" t="e">
        <f>AND(#REF!,"AAAAAHqs9/U=")</f>
        <v>#REF!</v>
      </c>
      <c r="IM6" t="e">
        <f>AND(#REF!,"AAAAAHqs9/Y=")</f>
        <v>#REF!</v>
      </c>
      <c r="IN6" t="e">
        <f>AND(#REF!,"AAAAAHqs9/c=")</f>
        <v>#REF!</v>
      </c>
      <c r="IO6" t="e">
        <f>AND(#REF!,"AAAAAHqs9/g=")</f>
        <v>#REF!</v>
      </c>
      <c r="IP6" t="e">
        <f>AND(#REF!,"AAAAAHqs9/k=")</f>
        <v>#REF!</v>
      </c>
      <c r="IQ6" t="e">
        <f>AND(#REF!,"AAAAAHqs9/o=")</f>
        <v>#REF!</v>
      </c>
      <c r="IR6" t="e">
        <f>AND(#REF!,"AAAAAHqs9/s=")</f>
        <v>#REF!</v>
      </c>
      <c r="IS6" t="e">
        <f>AND(#REF!,"AAAAAHqs9/w=")</f>
        <v>#REF!</v>
      </c>
      <c r="IT6" t="e">
        <f>AND(#REF!,"AAAAAHqs9/0=")</f>
        <v>#REF!</v>
      </c>
      <c r="IU6" t="e">
        <f>IF(#REF!,"AAAAAHqs9/4=",0)</f>
        <v>#REF!</v>
      </c>
      <c r="IV6" t="e">
        <f>AND(#REF!,"AAAAAHqs9/8=")</f>
        <v>#REF!</v>
      </c>
    </row>
    <row r="7" spans="1:256" x14ac:dyDescent="0.25">
      <c r="A7" t="e">
        <f>AND(#REF!,"AAAAAFr8PAA=")</f>
        <v>#REF!</v>
      </c>
      <c r="B7" t="e">
        <f>AND(#REF!,"AAAAAFr8PAE=")</f>
        <v>#REF!</v>
      </c>
      <c r="C7" t="e">
        <f>AND(#REF!,"AAAAAFr8PAI=")</f>
        <v>#REF!</v>
      </c>
      <c r="D7" t="e">
        <f>AND(#REF!,"AAAAAFr8PAM=")</f>
        <v>#REF!</v>
      </c>
      <c r="E7" t="e">
        <f>AND(#REF!,"AAAAAFr8PAQ=")</f>
        <v>#REF!</v>
      </c>
      <c r="F7" t="e">
        <f>AND(#REF!,"AAAAAFr8PAU=")</f>
        <v>#REF!</v>
      </c>
      <c r="G7" t="e">
        <f>AND(#REF!,"AAAAAFr8PAY=")</f>
        <v>#REF!</v>
      </c>
      <c r="H7" t="e">
        <f>AND(#REF!,"AAAAAFr8PAc=")</f>
        <v>#REF!</v>
      </c>
      <c r="I7" t="e">
        <f>AND(#REF!,"AAAAAFr8PAg=")</f>
        <v>#REF!</v>
      </c>
      <c r="J7" t="e">
        <f>AND(#REF!,"AAAAAFr8PAk=")</f>
        <v>#REF!</v>
      </c>
      <c r="K7" t="e">
        <f>AND(#REF!,"AAAAAFr8PAo=")</f>
        <v>#REF!</v>
      </c>
      <c r="L7" t="e">
        <f>AND(#REF!,"AAAAAFr8PAs=")</f>
        <v>#REF!</v>
      </c>
      <c r="M7" t="e">
        <f>AND(#REF!,"AAAAAFr8PAw=")</f>
        <v>#REF!</v>
      </c>
      <c r="N7" t="e">
        <f>AND(#REF!,"AAAAAFr8PA0=")</f>
        <v>#REF!</v>
      </c>
      <c r="O7" t="e">
        <f>AND(#REF!,"AAAAAFr8PA4=")</f>
        <v>#REF!</v>
      </c>
      <c r="P7" t="e">
        <f>AND(#REF!,"AAAAAFr8PA8=")</f>
        <v>#REF!</v>
      </c>
      <c r="Q7" t="e">
        <f>AND(#REF!,"AAAAAFr8PBA=")</f>
        <v>#REF!</v>
      </c>
      <c r="R7" t="e">
        <f>AND(#REF!,"AAAAAFr8PBE=")</f>
        <v>#REF!</v>
      </c>
      <c r="S7" t="e">
        <f>AND(#REF!,"AAAAAFr8PBI=")</f>
        <v>#REF!</v>
      </c>
      <c r="T7" t="e">
        <f>AND(#REF!,"AAAAAFr8PBM=")</f>
        <v>#REF!</v>
      </c>
      <c r="U7" t="e">
        <f>AND(#REF!,"AAAAAFr8PBQ=")</f>
        <v>#REF!</v>
      </c>
      <c r="V7" t="e">
        <f>AND(#REF!,"AAAAAFr8PBU=")</f>
        <v>#REF!</v>
      </c>
      <c r="W7" t="e">
        <f>AND(#REF!,"AAAAAFr8PBY=")</f>
        <v>#REF!</v>
      </c>
      <c r="X7" t="e">
        <f>AND(#REF!,"AAAAAFr8PBc=")</f>
        <v>#REF!</v>
      </c>
      <c r="Y7" t="e">
        <f>AND(#REF!,"AAAAAFr8PBg=")</f>
        <v>#REF!</v>
      </c>
      <c r="Z7" t="e">
        <f>AND(#REF!,"AAAAAFr8PBk=")</f>
        <v>#REF!</v>
      </c>
      <c r="AA7" t="e">
        <f>AND(#REF!,"AAAAAFr8PBo=")</f>
        <v>#REF!</v>
      </c>
      <c r="AB7" t="e">
        <f>AND(#REF!,"AAAAAFr8PBs=")</f>
        <v>#REF!</v>
      </c>
      <c r="AC7" t="e">
        <f>AND(#REF!,"AAAAAFr8PBw=")</f>
        <v>#REF!</v>
      </c>
      <c r="AD7" t="e">
        <f>AND(#REF!,"AAAAAFr8PB0=")</f>
        <v>#REF!</v>
      </c>
      <c r="AE7" t="e">
        <f>AND(#REF!,"AAAAAFr8PB4=")</f>
        <v>#REF!</v>
      </c>
      <c r="AF7" t="e">
        <f>AND(#REF!,"AAAAAFr8PB8=")</f>
        <v>#REF!</v>
      </c>
      <c r="AG7" t="e">
        <f>AND(#REF!,"AAAAAFr8PCA=")</f>
        <v>#REF!</v>
      </c>
      <c r="AH7" t="e">
        <f>AND(#REF!,"AAAAAFr8PCE=")</f>
        <v>#REF!</v>
      </c>
      <c r="AI7" t="e">
        <f>AND(#REF!,"AAAAAFr8PCI=")</f>
        <v>#REF!</v>
      </c>
      <c r="AJ7" t="e">
        <f>AND(#REF!,"AAAAAFr8PCM=")</f>
        <v>#REF!</v>
      </c>
      <c r="AK7" t="e">
        <f>AND(#REF!,"AAAAAFr8PCQ=")</f>
        <v>#REF!</v>
      </c>
      <c r="AL7" t="e">
        <f>AND(#REF!,"AAAAAFr8PCU=")</f>
        <v>#REF!</v>
      </c>
      <c r="AM7" t="e">
        <f>AND(#REF!,"AAAAAFr8PCY=")</f>
        <v>#REF!</v>
      </c>
      <c r="AN7" t="e">
        <f>AND(#REF!,"AAAAAFr8PCc=")</f>
        <v>#REF!</v>
      </c>
      <c r="AO7" t="e">
        <f>AND(#REF!,"AAAAAFr8PCg=")</f>
        <v>#REF!</v>
      </c>
      <c r="AP7" t="e">
        <f>AND(#REF!,"AAAAAFr8PCk=")</f>
        <v>#REF!</v>
      </c>
      <c r="AQ7" t="e">
        <f>AND(#REF!,"AAAAAFr8PCo=")</f>
        <v>#REF!</v>
      </c>
      <c r="AR7" t="e">
        <f>AND(#REF!,"AAAAAFr8PCs=")</f>
        <v>#REF!</v>
      </c>
      <c r="AS7" t="e">
        <f>AND(#REF!,"AAAAAFr8PCw=")</f>
        <v>#REF!</v>
      </c>
      <c r="AT7" t="e">
        <f>AND(#REF!,"AAAAAFr8PC0=")</f>
        <v>#REF!</v>
      </c>
      <c r="AU7" t="e">
        <f>AND(#REF!,"AAAAAFr8PC4=")</f>
        <v>#REF!</v>
      </c>
      <c r="AV7" t="e">
        <f>AND(#REF!,"AAAAAFr8PC8=")</f>
        <v>#REF!</v>
      </c>
      <c r="AW7" t="e">
        <f>AND(#REF!,"AAAAAFr8PDA=")</f>
        <v>#REF!</v>
      </c>
      <c r="AX7" t="e">
        <f>AND(#REF!,"AAAAAFr8PDE=")</f>
        <v>#REF!</v>
      </c>
      <c r="AY7" t="e">
        <f>AND(#REF!,"AAAAAFr8PDI=")</f>
        <v>#REF!</v>
      </c>
      <c r="AZ7" t="e">
        <f>AND(#REF!,"AAAAAFr8PDM=")</f>
        <v>#REF!</v>
      </c>
      <c r="BA7" t="e">
        <f>AND(#REF!,"AAAAAFr8PDQ=")</f>
        <v>#REF!</v>
      </c>
      <c r="BB7" t="e">
        <f>AND(#REF!,"AAAAAFr8PDU=")</f>
        <v>#REF!</v>
      </c>
      <c r="BC7" t="e">
        <f>AND(#REF!,"AAAAAFr8PDY=")</f>
        <v>#REF!</v>
      </c>
      <c r="BD7" t="e">
        <f>AND(#REF!,"AAAAAFr8PDc=")</f>
        <v>#REF!</v>
      </c>
      <c r="BE7" t="e">
        <f>AND(#REF!,"AAAAAFr8PDg=")</f>
        <v>#REF!</v>
      </c>
      <c r="BF7" t="e">
        <f>IF(#REF!,"AAAAAFr8PDk=",0)</f>
        <v>#REF!</v>
      </c>
      <c r="BG7" t="e">
        <f>AND(#REF!,"AAAAAFr8PDo=")</f>
        <v>#REF!</v>
      </c>
      <c r="BH7" t="e">
        <f>AND(#REF!,"AAAAAFr8PDs=")</f>
        <v>#REF!</v>
      </c>
      <c r="BI7" t="e">
        <f>AND(#REF!,"AAAAAFr8PDw=")</f>
        <v>#REF!</v>
      </c>
      <c r="BJ7" t="e">
        <f>AND(#REF!,"AAAAAFr8PD0=")</f>
        <v>#REF!</v>
      </c>
      <c r="BK7" t="e">
        <f>AND(#REF!,"AAAAAFr8PD4=")</f>
        <v>#REF!</v>
      </c>
      <c r="BL7" t="e">
        <f>AND(#REF!,"AAAAAFr8PD8=")</f>
        <v>#REF!</v>
      </c>
      <c r="BM7" t="e">
        <f>AND(#REF!,"AAAAAFr8PEA=")</f>
        <v>#REF!</v>
      </c>
      <c r="BN7" t="e">
        <f>AND(#REF!,"AAAAAFr8PEE=")</f>
        <v>#REF!</v>
      </c>
      <c r="BO7" t="e">
        <f>AND(#REF!,"AAAAAFr8PEI=")</f>
        <v>#REF!</v>
      </c>
      <c r="BP7" t="e">
        <f>AND(#REF!,"AAAAAFr8PEM=")</f>
        <v>#REF!</v>
      </c>
      <c r="BQ7" t="e">
        <f>AND(#REF!,"AAAAAFr8PEQ=")</f>
        <v>#REF!</v>
      </c>
      <c r="BR7" t="e">
        <f>AND(#REF!,"AAAAAFr8PEU=")</f>
        <v>#REF!</v>
      </c>
      <c r="BS7" t="e">
        <f>AND(#REF!,"AAAAAFr8PEY=")</f>
        <v>#REF!</v>
      </c>
      <c r="BT7" t="e">
        <f>AND(#REF!,"AAAAAFr8PEc=")</f>
        <v>#REF!</v>
      </c>
      <c r="BU7" t="e">
        <f>AND(#REF!,"AAAAAFr8PEg=")</f>
        <v>#REF!</v>
      </c>
      <c r="BV7" t="e">
        <f>AND(#REF!,"AAAAAFr8PEk=")</f>
        <v>#REF!</v>
      </c>
      <c r="BW7" t="e">
        <f>AND(#REF!,"AAAAAFr8PEo=")</f>
        <v>#REF!</v>
      </c>
      <c r="BX7" t="e">
        <f>AND(#REF!,"AAAAAFr8PEs=")</f>
        <v>#REF!</v>
      </c>
      <c r="BY7" t="e">
        <f>AND(#REF!,"AAAAAFr8PEw=")</f>
        <v>#REF!</v>
      </c>
      <c r="BZ7" t="e">
        <f>AND(#REF!,"AAAAAFr8PE0=")</f>
        <v>#REF!</v>
      </c>
      <c r="CA7" t="e">
        <f>AND(#REF!,"AAAAAFr8PE4=")</f>
        <v>#REF!</v>
      </c>
      <c r="CB7" t="e">
        <f>AND(#REF!,"AAAAAFr8PE8=")</f>
        <v>#REF!</v>
      </c>
      <c r="CC7" t="e">
        <f>AND(#REF!,"AAAAAFr8PFA=")</f>
        <v>#REF!</v>
      </c>
      <c r="CD7" t="e">
        <f>AND(#REF!,"AAAAAFr8PFE=")</f>
        <v>#REF!</v>
      </c>
      <c r="CE7" t="e">
        <f>AND(#REF!,"AAAAAFr8PFI=")</f>
        <v>#REF!</v>
      </c>
      <c r="CF7" t="e">
        <f>AND(#REF!,"AAAAAFr8PFM=")</f>
        <v>#REF!</v>
      </c>
      <c r="CG7" t="e">
        <f>AND(#REF!,"AAAAAFr8PFQ=")</f>
        <v>#REF!</v>
      </c>
      <c r="CH7" t="e">
        <f>AND(#REF!,"AAAAAFr8PFU=")</f>
        <v>#REF!</v>
      </c>
      <c r="CI7" t="e">
        <f>AND(#REF!,"AAAAAFr8PFY=")</f>
        <v>#REF!</v>
      </c>
      <c r="CJ7" t="e">
        <f>AND(#REF!,"AAAAAFr8PFc=")</f>
        <v>#REF!</v>
      </c>
      <c r="CK7" t="e">
        <f>AND(#REF!,"AAAAAFr8PFg=")</f>
        <v>#REF!</v>
      </c>
      <c r="CL7" t="e">
        <f>AND(#REF!,"AAAAAFr8PFk=")</f>
        <v>#REF!</v>
      </c>
      <c r="CM7" t="e">
        <f>AND(#REF!,"AAAAAFr8PFo=")</f>
        <v>#REF!</v>
      </c>
      <c r="CN7" t="e">
        <f>AND(#REF!,"AAAAAFr8PFs=")</f>
        <v>#REF!</v>
      </c>
      <c r="CO7" t="e">
        <f>AND(#REF!,"AAAAAFr8PFw=")</f>
        <v>#REF!</v>
      </c>
      <c r="CP7" t="e">
        <f>AND(#REF!,"AAAAAFr8PF0=")</f>
        <v>#REF!</v>
      </c>
      <c r="CQ7" t="e">
        <f>AND(#REF!,"AAAAAFr8PF4=")</f>
        <v>#REF!</v>
      </c>
      <c r="CR7" t="e">
        <f>AND(#REF!,"AAAAAFr8PF8=")</f>
        <v>#REF!</v>
      </c>
      <c r="CS7" t="e">
        <f>AND(#REF!,"AAAAAFr8PGA=")</f>
        <v>#REF!</v>
      </c>
      <c r="CT7" t="e">
        <f>AND(#REF!,"AAAAAFr8PGE=")</f>
        <v>#REF!</v>
      </c>
      <c r="CU7" t="e">
        <f>AND(#REF!,"AAAAAFr8PGI=")</f>
        <v>#REF!</v>
      </c>
      <c r="CV7" t="e">
        <f>AND(#REF!,"AAAAAFr8PGM=")</f>
        <v>#REF!</v>
      </c>
      <c r="CW7" t="e">
        <f>AND(#REF!,"AAAAAFr8PGQ=")</f>
        <v>#REF!</v>
      </c>
      <c r="CX7" t="e">
        <f>AND(#REF!,"AAAAAFr8PGU=")</f>
        <v>#REF!</v>
      </c>
      <c r="CY7" t="e">
        <f>AND(#REF!,"AAAAAFr8PGY=")</f>
        <v>#REF!</v>
      </c>
      <c r="CZ7" t="e">
        <f>AND(#REF!,"AAAAAFr8PGc=")</f>
        <v>#REF!</v>
      </c>
      <c r="DA7" t="e">
        <f>AND(#REF!,"AAAAAFr8PGg=")</f>
        <v>#REF!</v>
      </c>
      <c r="DB7" t="e">
        <f>AND(#REF!,"AAAAAFr8PGk=")</f>
        <v>#REF!</v>
      </c>
      <c r="DC7" t="e">
        <f>AND(#REF!,"AAAAAFr8PGo=")</f>
        <v>#REF!</v>
      </c>
      <c r="DD7" t="e">
        <f>AND(#REF!,"AAAAAFr8PGs=")</f>
        <v>#REF!</v>
      </c>
      <c r="DE7" t="e">
        <f>AND(#REF!,"AAAAAFr8PGw=")</f>
        <v>#REF!</v>
      </c>
      <c r="DF7" t="e">
        <f>AND(#REF!,"AAAAAFr8PG0=")</f>
        <v>#REF!</v>
      </c>
      <c r="DG7" t="e">
        <f>AND(#REF!,"AAAAAFr8PG4=")</f>
        <v>#REF!</v>
      </c>
      <c r="DH7" t="e">
        <f>AND(#REF!,"AAAAAFr8PG8=")</f>
        <v>#REF!</v>
      </c>
      <c r="DI7" t="e">
        <f>AND(#REF!,"AAAAAFr8PHA=")</f>
        <v>#REF!</v>
      </c>
      <c r="DJ7" t="e">
        <f>AND(#REF!,"AAAAAFr8PHE=")</f>
        <v>#REF!</v>
      </c>
      <c r="DK7" t="e">
        <f>AND(#REF!,"AAAAAFr8PHI=")</f>
        <v>#REF!</v>
      </c>
      <c r="DL7" t="e">
        <f>AND(#REF!,"AAAAAFr8PHM=")</f>
        <v>#REF!</v>
      </c>
      <c r="DM7" t="e">
        <f>IF(#REF!,"AAAAAFr8PHQ=",0)</f>
        <v>#REF!</v>
      </c>
      <c r="DN7" t="e">
        <f>AND(#REF!,"AAAAAFr8PHU=")</f>
        <v>#REF!</v>
      </c>
      <c r="DO7" t="e">
        <f>AND(#REF!,"AAAAAFr8PHY=")</f>
        <v>#REF!</v>
      </c>
      <c r="DP7" t="e">
        <f>AND(#REF!,"AAAAAFr8PHc=")</f>
        <v>#REF!</v>
      </c>
      <c r="DQ7" t="e">
        <f>AND(#REF!,"AAAAAFr8PHg=")</f>
        <v>#REF!</v>
      </c>
      <c r="DR7" t="e">
        <f>AND(#REF!,"AAAAAFr8PHk=")</f>
        <v>#REF!</v>
      </c>
      <c r="DS7" t="e">
        <f>AND(#REF!,"AAAAAFr8PHo=")</f>
        <v>#REF!</v>
      </c>
      <c r="DT7" t="e">
        <f>AND(#REF!,"AAAAAFr8PHs=")</f>
        <v>#REF!</v>
      </c>
      <c r="DU7" t="e">
        <f>AND(#REF!,"AAAAAFr8PHw=")</f>
        <v>#REF!</v>
      </c>
      <c r="DV7" t="e">
        <f>AND(#REF!,"AAAAAFr8PH0=")</f>
        <v>#REF!</v>
      </c>
      <c r="DW7" t="e">
        <f>AND(#REF!,"AAAAAFr8PH4=")</f>
        <v>#REF!</v>
      </c>
      <c r="DX7" t="e">
        <f>AND(#REF!,"AAAAAFr8PH8=")</f>
        <v>#REF!</v>
      </c>
      <c r="DY7" t="e">
        <f>AND(#REF!,"AAAAAFr8PIA=")</f>
        <v>#REF!</v>
      </c>
      <c r="DZ7" t="e">
        <f>AND(#REF!,"AAAAAFr8PIE=")</f>
        <v>#REF!</v>
      </c>
      <c r="EA7" t="e">
        <f>AND(#REF!,"AAAAAFr8PII=")</f>
        <v>#REF!</v>
      </c>
      <c r="EB7" t="e">
        <f>AND(#REF!,"AAAAAFr8PIM=")</f>
        <v>#REF!</v>
      </c>
      <c r="EC7" t="e">
        <f>AND(#REF!,"AAAAAFr8PIQ=")</f>
        <v>#REF!</v>
      </c>
      <c r="ED7" t="e">
        <f>AND(#REF!,"AAAAAFr8PIU=")</f>
        <v>#REF!</v>
      </c>
      <c r="EE7" t="e">
        <f>AND(#REF!,"AAAAAFr8PIY=")</f>
        <v>#REF!</v>
      </c>
      <c r="EF7" t="e">
        <f>AND(#REF!,"AAAAAFr8PIc=")</f>
        <v>#REF!</v>
      </c>
      <c r="EG7" t="e">
        <f>AND(#REF!,"AAAAAFr8PIg=")</f>
        <v>#REF!</v>
      </c>
      <c r="EH7" t="e">
        <f>AND(#REF!,"AAAAAFr8PIk=")</f>
        <v>#REF!</v>
      </c>
      <c r="EI7" t="e">
        <f>AND(#REF!,"AAAAAFr8PIo=")</f>
        <v>#REF!</v>
      </c>
      <c r="EJ7" t="e">
        <f>AND(#REF!,"AAAAAFr8PIs=")</f>
        <v>#REF!</v>
      </c>
      <c r="EK7" t="e">
        <f>AND(#REF!,"AAAAAFr8PIw=")</f>
        <v>#REF!</v>
      </c>
      <c r="EL7" t="e">
        <f>AND(#REF!,"AAAAAFr8PI0=")</f>
        <v>#REF!</v>
      </c>
      <c r="EM7" t="e">
        <f>AND(#REF!,"AAAAAFr8PI4=")</f>
        <v>#REF!</v>
      </c>
      <c r="EN7" t="e">
        <f>AND(#REF!,"AAAAAFr8PI8=")</f>
        <v>#REF!</v>
      </c>
      <c r="EO7" t="e">
        <f>AND(#REF!,"AAAAAFr8PJA=")</f>
        <v>#REF!</v>
      </c>
      <c r="EP7" t="e">
        <f>AND(#REF!,"AAAAAFr8PJE=")</f>
        <v>#REF!</v>
      </c>
      <c r="EQ7" t="e">
        <f>AND(#REF!,"AAAAAFr8PJI=")</f>
        <v>#REF!</v>
      </c>
      <c r="ER7" t="e">
        <f>AND(#REF!,"AAAAAFr8PJM=")</f>
        <v>#REF!</v>
      </c>
      <c r="ES7" t="e">
        <f>AND(#REF!,"AAAAAFr8PJQ=")</f>
        <v>#REF!</v>
      </c>
      <c r="ET7" t="e">
        <f>AND(#REF!,"AAAAAFr8PJU=")</f>
        <v>#REF!</v>
      </c>
      <c r="EU7" t="e">
        <f>AND(#REF!,"AAAAAFr8PJY=")</f>
        <v>#REF!</v>
      </c>
      <c r="EV7" t="e">
        <f>AND(#REF!,"AAAAAFr8PJc=")</f>
        <v>#REF!</v>
      </c>
      <c r="EW7" t="e">
        <f>AND(#REF!,"AAAAAFr8PJg=")</f>
        <v>#REF!</v>
      </c>
      <c r="EX7" t="e">
        <f>AND(#REF!,"AAAAAFr8PJk=")</f>
        <v>#REF!</v>
      </c>
      <c r="EY7" t="e">
        <f>AND(#REF!,"AAAAAFr8PJo=")</f>
        <v>#REF!</v>
      </c>
      <c r="EZ7" t="e">
        <f>AND(#REF!,"AAAAAFr8PJs=")</f>
        <v>#REF!</v>
      </c>
      <c r="FA7" t="e">
        <f>AND(#REF!,"AAAAAFr8PJw=")</f>
        <v>#REF!</v>
      </c>
      <c r="FB7" t="e">
        <f>AND(#REF!,"AAAAAFr8PJ0=")</f>
        <v>#REF!</v>
      </c>
      <c r="FC7" t="e">
        <f>AND(#REF!,"AAAAAFr8PJ4=")</f>
        <v>#REF!</v>
      </c>
      <c r="FD7" t="e">
        <f>AND(#REF!,"AAAAAFr8PJ8=")</f>
        <v>#REF!</v>
      </c>
      <c r="FE7" t="e">
        <f>AND(#REF!,"AAAAAFr8PKA=")</f>
        <v>#REF!</v>
      </c>
      <c r="FF7" t="e">
        <f>AND(#REF!,"AAAAAFr8PKE=")</f>
        <v>#REF!</v>
      </c>
      <c r="FG7" t="e">
        <f>AND(#REF!,"AAAAAFr8PKI=")</f>
        <v>#REF!</v>
      </c>
      <c r="FH7" t="e">
        <f>AND(#REF!,"AAAAAFr8PKM=")</f>
        <v>#REF!</v>
      </c>
      <c r="FI7" t="e">
        <f>AND(#REF!,"AAAAAFr8PKQ=")</f>
        <v>#REF!</v>
      </c>
      <c r="FJ7" t="e">
        <f>AND(#REF!,"AAAAAFr8PKU=")</f>
        <v>#REF!</v>
      </c>
      <c r="FK7" t="e">
        <f>AND(#REF!,"AAAAAFr8PKY=")</f>
        <v>#REF!</v>
      </c>
      <c r="FL7" t="e">
        <f>AND(#REF!,"AAAAAFr8PKc=")</f>
        <v>#REF!</v>
      </c>
      <c r="FM7" t="e">
        <f>AND(#REF!,"AAAAAFr8PKg=")</f>
        <v>#REF!</v>
      </c>
      <c r="FN7" t="e">
        <f>AND(#REF!,"AAAAAFr8PKk=")</f>
        <v>#REF!</v>
      </c>
      <c r="FO7" t="e">
        <f>AND(#REF!,"AAAAAFr8PKo=")</f>
        <v>#REF!</v>
      </c>
      <c r="FP7" t="e">
        <f>AND(#REF!,"AAAAAFr8PKs=")</f>
        <v>#REF!</v>
      </c>
      <c r="FQ7" t="e">
        <f>AND(#REF!,"AAAAAFr8PKw=")</f>
        <v>#REF!</v>
      </c>
      <c r="FR7" t="e">
        <f>AND(#REF!,"AAAAAFr8PK0=")</f>
        <v>#REF!</v>
      </c>
      <c r="FS7" t="e">
        <f>AND(#REF!,"AAAAAFr8PK4=")</f>
        <v>#REF!</v>
      </c>
      <c r="FT7" t="e">
        <f>IF(#REF!,"AAAAAFr8PK8=",0)</f>
        <v>#REF!</v>
      </c>
      <c r="FU7" t="e">
        <f>AND(#REF!,"AAAAAFr8PLA=")</f>
        <v>#REF!</v>
      </c>
      <c r="FV7" t="e">
        <f>AND(#REF!,"AAAAAFr8PLE=")</f>
        <v>#REF!</v>
      </c>
      <c r="FW7" t="e">
        <f>AND(#REF!,"AAAAAFr8PLI=")</f>
        <v>#REF!</v>
      </c>
      <c r="FX7" t="e">
        <f>AND(#REF!,"AAAAAFr8PLM=")</f>
        <v>#REF!</v>
      </c>
      <c r="FY7" t="e">
        <f>AND(#REF!,"AAAAAFr8PLQ=")</f>
        <v>#REF!</v>
      </c>
      <c r="FZ7" t="e">
        <f>AND(#REF!,"AAAAAFr8PLU=")</f>
        <v>#REF!</v>
      </c>
      <c r="GA7" t="e">
        <f>AND(#REF!,"AAAAAFr8PLY=")</f>
        <v>#REF!</v>
      </c>
      <c r="GB7" t="e">
        <f>AND(#REF!,"AAAAAFr8PLc=")</f>
        <v>#REF!</v>
      </c>
      <c r="GC7" t="e">
        <f>AND(#REF!,"AAAAAFr8PLg=")</f>
        <v>#REF!</v>
      </c>
      <c r="GD7" t="e">
        <f>AND(#REF!,"AAAAAFr8PLk=")</f>
        <v>#REF!</v>
      </c>
      <c r="GE7" t="e">
        <f>AND(#REF!,"AAAAAFr8PLo=")</f>
        <v>#REF!</v>
      </c>
      <c r="GF7" t="e">
        <f>AND(#REF!,"AAAAAFr8PLs=")</f>
        <v>#REF!</v>
      </c>
      <c r="GG7" t="e">
        <f>AND(#REF!,"AAAAAFr8PLw=")</f>
        <v>#REF!</v>
      </c>
      <c r="GH7" t="e">
        <f>AND(#REF!,"AAAAAFr8PL0=")</f>
        <v>#REF!</v>
      </c>
      <c r="GI7" t="e">
        <f>AND(#REF!,"AAAAAFr8PL4=")</f>
        <v>#REF!</v>
      </c>
      <c r="GJ7" t="e">
        <f>AND(#REF!,"AAAAAFr8PL8=")</f>
        <v>#REF!</v>
      </c>
      <c r="GK7" t="e">
        <f>AND(#REF!,"AAAAAFr8PMA=")</f>
        <v>#REF!</v>
      </c>
      <c r="GL7" t="e">
        <f>AND(#REF!,"AAAAAFr8PME=")</f>
        <v>#REF!</v>
      </c>
      <c r="GM7" t="e">
        <f>AND(#REF!,"AAAAAFr8PMI=")</f>
        <v>#REF!</v>
      </c>
      <c r="GN7" t="e">
        <f>AND(#REF!,"AAAAAFr8PMM=")</f>
        <v>#REF!</v>
      </c>
      <c r="GO7" t="e">
        <f>AND(#REF!,"AAAAAFr8PMQ=")</f>
        <v>#REF!</v>
      </c>
      <c r="GP7" t="e">
        <f>AND(#REF!,"AAAAAFr8PMU=")</f>
        <v>#REF!</v>
      </c>
      <c r="GQ7" t="e">
        <f>AND(#REF!,"AAAAAFr8PMY=")</f>
        <v>#REF!</v>
      </c>
      <c r="GR7" t="e">
        <f>AND(#REF!,"AAAAAFr8PMc=")</f>
        <v>#REF!</v>
      </c>
      <c r="GS7" t="e">
        <f>AND(#REF!,"AAAAAFr8PMg=")</f>
        <v>#REF!</v>
      </c>
      <c r="GT7" t="e">
        <f>AND(#REF!,"AAAAAFr8PMk=")</f>
        <v>#REF!</v>
      </c>
      <c r="GU7" t="e">
        <f>AND(#REF!,"AAAAAFr8PMo=")</f>
        <v>#REF!</v>
      </c>
      <c r="GV7" t="e">
        <f>AND(#REF!,"AAAAAFr8PMs=")</f>
        <v>#REF!</v>
      </c>
      <c r="GW7" t="e">
        <f>AND(#REF!,"AAAAAFr8PMw=")</f>
        <v>#REF!</v>
      </c>
      <c r="GX7" t="e">
        <f>AND(#REF!,"AAAAAFr8PM0=")</f>
        <v>#REF!</v>
      </c>
      <c r="GY7" t="e">
        <f>AND(#REF!,"AAAAAFr8PM4=")</f>
        <v>#REF!</v>
      </c>
      <c r="GZ7" t="e">
        <f>AND(#REF!,"AAAAAFr8PM8=")</f>
        <v>#REF!</v>
      </c>
      <c r="HA7" t="e">
        <f>AND(#REF!,"AAAAAFr8PNA=")</f>
        <v>#REF!</v>
      </c>
      <c r="HB7" t="e">
        <f>AND(#REF!,"AAAAAFr8PNE=")</f>
        <v>#REF!</v>
      </c>
      <c r="HC7" t="e">
        <f>AND(#REF!,"AAAAAFr8PNI=")</f>
        <v>#REF!</v>
      </c>
      <c r="HD7" t="e">
        <f>AND(#REF!,"AAAAAFr8PNM=")</f>
        <v>#REF!</v>
      </c>
      <c r="HE7" t="e">
        <f>AND(#REF!,"AAAAAFr8PNQ=")</f>
        <v>#REF!</v>
      </c>
      <c r="HF7" t="e">
        <f>AND(#REF!,"AAAAAFr8PNU=")</f>
        <v>#REF!</v>
      </c>
      <c r="HG7" t="e">
        <f>AND(#REF!,"AAAAAFr8PNY=")</f>
        <v>#REF!</v>
      </c>
      <c r="HH7" t="e">
        <f>AND(#REF!,"AAAAAFr8PNc=")</f>
        <v>#REF!</v>
      </c>
      <c r="HI7" t="e">
        <f>AND(#REF!,"AAAAAFr8PNg=")</f>
        <v>#REF!</v>
      </c>
      <c r="HJ7" t="e">
        <f>AND(#REF!,"AAAAAFr8PNk=")</f>
        <v>#REF!</v>
      </c>
      <c r="HK7" t="e">
        <f>AND(#REF!,"AAAAAFr8PNo=")</f>
        <v>#REF!</v>
      </c>
      <c r="HL7" t="e">
        <f>AND(#REF!,"AAAAAFr8PNs=")</f>
        <v>#REF!</v>
      </c>
      <c r="HM7" t="e">
        <f>AND(#REF!,"AAAAAFr8PNw=")</f>
        <v>#REF!</v>
      </c>
      <c r="HN7" t="e">
        <f>AND(#REF!,"AAAAAFr8PN0=")</f>
        <v>#REF!</v>
      </c>
      <c r="HO7" t="e">
        <f>AND(#REF!,"AAAAAFr8PN4=")</f>
        <v>#REF!</v>
      </c>
      <c r="HP7" t="e">
        <f>AND(#REF!,"AAAAAFr8PN8=")</f>
        <v>#REF!</v>
      </c>
      <c r="HQ7" t="e">
        <f>AND(#REF!,"AAAAAFr8POA=")</f>
        <v>#REF!</v>
      </c>
      <c r="HR7" t="e">
        <f>AND(#REF!,"AAAAAFr8POE=")</f>
        <v>#REF!</v>
      </c>
      <c r="HS7" t="e">
        <f>AND(#REF!,"AAAAAFr8POI=")</f>
        <v>#REF!</v>
      </c>
      <c r="HT7" t="e">
        <f>AND(#REF!,"AAAAAFr8POM=")</f>
        <v>#REF!</v>
      </c>
      <c r="HU7" t="e">
        <f>AND(#REF!,"AAAAAFr8POQ=")</f>
        <v>#REF!</v>
      </c>
      <c r="HV7" t="e">
        <f>AND(#REF!,"AAAAAFr8POU=")</f>
        <v>#REF!</v>
      </c>
      <c r="HW7" t="e">
        <f>AND(#REF!,"AAAAAFr8POY=")</f>
        <v>#REF!</v>
      </c>
      <c r="HX7" t="e">
        <f>AND(#REF!,"AAAAAFr8POc=")</f>
        <v>#REF!</v>
      </c>
      <c r="HY7" t="e">
        <f>AND(#REF!,"AAAAAFr8POg=")</f>
        <v>#REF!</v>
      </c>
      <c r="HZ7" t="e">
        <f>AND(#REF!,"AAAAAFr8POk=")</f>
        <v>#REF!</v>
      </c>
      <c r="IA7" t="e">
        <f>IF(#REF!,"AAAAAFr8POo=",0)</f>
        <v>#REF!</v>
      </c>
      <c r="IB7" t="e">
        <f>AND(#REF!,"AAAAAFr8POs=")</f>
        <v>#REF!</v>
      </c>
      <c r="IC7" t="e">
        <f>AND(#REF!,"AAAAAFr8POw=")</f>
        <v>#REF!</v>
      </c>
      <c r="ID7" t="e">
        <f>AND(#REF!,"AAAAAFr8PO0=")</f>
        <v>#REF!</v>
      </c>
      <c r="IE7" t="e">
        <f>AND(#REF!,"AAAAAFr8PO4=")</f>
        <v>#REF!</v>
      </c>
      <c r="IF7" t="e">
        <f>AND(#REF!,"AAAAAFr8PO8=")</f>
        <v>#REF!</v>
      </c>
      <c r="IG7" t="e">
        <f>AND(#REF!,"AAAAAFr8PPA=")</f>
        <v>#REF!</v>
      </c>
      <c r="IH7" t="e">
        <f>AND(#REF!,"AAAAAFr8PPE=")</f>
        <v>#REF!</v>
      </c>
      <c r="II7" t="e">
        <f>AND(#REF!,"AAAAAFr8PPI=")</f>
        <v>#REF!</v>
      </c>
      <c r="IJ7" t="e">
        <f>AND(#REF!,"AAAAAFr8PPM=")</f>
        <v>#REF!</v>
      </c>
      <c r="IK7" t="e">
        <f>AND(#REF!,"AAAAAFr8PPQ=")</f>
        <v>#REF!</v>
      </c>
      <c r="IL7" t="e">
        <f>AND(#REF!,"AAAAAFr8PPU=")</f>
        <v>#REF!</v>
      </c>
      <c r="IM7" t="e">
        <f>AND(#REF!,"AAAAAFr8PPY=")</f>
        <v>#REF!</v>
      </c>
      <c r="IN7" t="e">
        <f>AND(#REF!,"AAAAAFr8PPc=")</f>
        <v>#REF!</v>
      </c>
      <c r="IO7" t="e">
        <f>AND(#REF!,"AAAAAFr8PPg=")</f>
        <v>#REF!</v>
      </c>
      <c r="IP7" t="e">
        <f>AND(#REF!,"AAAAAFr8PPk=")</f>
        <v>#REF!</v>
      </c>
      <c r="IQ7" t="e">
        <f>AND(#REF!,"AAAAAFr8PPo=")</f>
        <v>#REF!</v>
      </c>
      <c r="IR7" t="e">
        <f>AND(#REF!,"AAAAAFr8PPs=")</f>
        <v>#REF!</v>
      </c>
      <c r="IS7" t="e">
        <f>AND(#REF!,"AAAAAFr8PPw=")</f>
        <v>#REF!</v>
      </c>
      <c r="IT7" t="e">
        <f>AND(#REF!,"AAAAAFr8PP0=")</f>
        <v>#REF!</v>
      </c>
      <c r="IU7" t="e">
        <f>AND(#REF!,"AAAAAFr8PP4=")</f>
        <v>#REF!</v>
      </c>
      <c r="IV7" t="e">
        <f>AND(#REF!,"AAAAAFr8PP8=")</f>
        <v>#REF!</v>
      </c>
    </row>
    <row r="8" spans="1:256" x14ac:dyDescent="0.25">
      <c r="A8" t="e">
        <f>AND(#REF!,"AAAAAHeLOwA=")</f>
        <v>#REF!</v>
      </c>
      <c r="B8" t="e">
        <f>AND(#REF!,"AAAAAHeLOwE=")</f>
        <v>#REF!</v>
      </c>
      <c r="C8" t="e">
        <f>AND(#REF!,"AAAAAHeLOwI=")</f>
        <v>#REF!</v>
      </c>
      <c r="D8" t="e">
        <f>AND(#REF!,"AAAAAHeLOwM=")</f>
        <v>#REF!</v>
      </c>
      <c r="E8" t="e">
        <f>AND(#REF!,"AAAAAHeLOwQ=")</f>
        <v>#REF!</v>
      </c>
      <c r="F8" t="e">
        <f>AND(#REF!,"AAAAAHeLOwU=")</f>
        <v>#REF!</v>
      </c>
      <c r="G8" t="e">
        <f>AND(#REF!,"AAAAAHeLOwY=")</f>
        <v>#REF!</v>
      </c>
      <c r="H8" t="e">
        <f>AND(#REF!,"AAAAAHeLOwc=")</f>
        <v>#REF!</v>
      </c>
      <c r="I8" t="e">
        <f>AND(#REF!,"AAAAAHeLOwg=")</f>
        <v>#REF!</v>
      </c>
      <c r="J8" t="e">
        <f>AND(#REF!,"AAAAAHeLOwk=")</f>
        <v>#REF!</v>
      </c>
      <c r="K8" t="e">
        <f>AND(#REF!,"AAAAAHeLOwo=")</f>
        <v>#REF!</v>
      </c>
      <c r="L8" t="e">
        <f>AND(#REF!,"AAAAAHeLOws=")</f>
        <v>#REF!</v>
      </c>
      <c r="M8" t="e">
        <f>AND(#REF!,"AAAAAHeLOww=")</f>
        <v>#REF!</v>
      </c>
      <c r="N8" t="e">
        <f>AND(#REF!,"AAAAAHeLOw0=")</f>
        <v>#REF!</v>
      </c>
      <c r="O8" t="e">
        <f>AND(#REF!,"AAAAAHeLOw4=")</f>
        <v>#REF!</v>
      </c>
      <c r="P8" t="e">
        <f>AND(#REF!,"AAAAAHeLOw8=")</f>
        <v>#REF!</v>
      </c>
      <c r="Q8" t="e">
        <f>AND(#REF!,"AAAAAHeLOxA=")</f>
        <v>#REF!</v>
      </c>
      <c r="R8" t="e">
        <f>AND(#REF!,"AAAAAHeLOxE=")</f>
        <v>#REF!</v>
      </c>
      <c r="S8" t="e">
        <f>AND(#REF!,"AAAAAHeLOxI=")</f>
        <v>#REF!</v>
      </c>
      <c r="T8" t="e">
        <f>AND(#REF!,"AAAAAHeLOxM=")</f>
        <v>#REF!</v>
      </c>
      <c r="U8" t="e">
        <f>AND(#REF!,"AAAAAHeLOxQ=")</f>
        <v>#REF!</v>
      </c>
      <c r="V8" t="e">
        <f>AND(#REF!,"AAAAAHeLOxU=")</f>
        <v>#REF!</v>
      </c>
      <c r="W8" t="e">
        <f>AND(#REF!,"AAAAAHeLOxY=")</f>
        <v>#REF!</v>
      </c>
      <c r="X8" t="e">
        <f>AND(#REF!,"AAAAAHeLOxc=")</f>
        <v>#REF!</v>
      </c>
      <c r="Y8" t="e">
        <f>AND(#REF!,"AAAAAHeLOxg=")</f>
        <v>#REF!</v>
      </c>
      <c r="Z8" t="e">
        <f>AND(#REF!,"AAAAAHeLOxk=")</f>
        <v>#REF!</v>
      </c>
      <c r="AA8" t="e">
        <f>AND(#REF!,"AAAAAHeLOxo=")</f>
        <v>#REF!</v>
      </c>
      <c r="AB8" t="e">
        <f>AND(#REF!,"AAAAAHeLOxs=")</f>
        <v>#REF!</v>
      </c>
      <c r="AC8" t="e">
        <f>AND(#REF!,"AAAAAHeLOxw=")</f>
        <v>#REF!</v>
      </c>
      <c r="AD8" t="e">
        <f>AND(#REF!,"AAAAAHeLOx0=")</f>
        <v>#REF!</v>
      </c>
      <c r="AE8" t="e">
        <f>AND(#REF!,"AAAAAHeLOx4=")</f>
        <v>#REF!</v>
      </c>
      <c r="AF8" t="e">
        <f>AND(#REF!,"AAAAAHeLOx8=")</f>
        <v>#REF!</v>
      </c>
      <c r="AG8" t="e">
        <f>AND(#REF!,"AAAAAHeLOyA=")</f>
        <v>#REF!</v>
      </c>
      <c r="AH8" t="e">
        <f>AND(#REF!,"AAAAAHeLOyE=")</f>
        <v>#REF!</v>
      </c>
      <c r="AI8" t="e">
        <f>AND(#REF!,"AAAAAHeLOyI=")</f>
        <v>#REF!</v>
      </c>
      <c r="AJ8" t="e">
        <f>AND(#REF!,"AAAAAHeLOyM=")</f>
        <v>#REF!</v>
      </c>
      <c r="AK8" t="e">
        <f>AND(#REF!,"AAAAAHeLOyQ=")</f>
        <v>#REF!</v>
      </c>
      <c r="AL8" t="e">
        <f>IF(#REF!,"AAAAAHeLOyU=",0)</f>
        <v>#REF!</v>
      </c>
      <c r="AM8" t="e">
        <f>AND(#REF!,"AAAAAHeLOyY=")</f>
        <v>#REF!</v>
      </c>
      <c r="AN8" t="e">
        <f>AND(#REF!,"AAAAAHeLOyc=")</f>
        <v>#REF!</v>
      </c>
      <c r="AO8" t="e">
        <f>AND(#REF!,"AAAAAHeLOyg=")</f>
        <v>#REF!</v>
      </c>
      <c r="AP8" t="e">
        <f>AND(#REF!,"AAAAAHeLOyk=")</f>
        <v>#REF!</v>
      </c>
      <c r="AQ8" t="e">
        <f>AND(#REF!,"AAAAAHeLOyo=")</f>
        <v>#REF!</v>
      </c>
      <c r="AR8" t="e">
        <f>AND(#REF!,"AAAAAHeLOys=")</f>
        <v>#REF!</v>
      </c>
      <c r="AS8" t="e">
        <f>AND(#REF!,"AAAAAHeLOyw=")</f>
        <v>#REF!</v>
      </c>
      <c r="AT8" t="e">
        <f>AND(#REF!,"AAAAAHeLOy0=")</f>
        <v>#REF!</v>
      </c>
      <c r="AU8" t="e">
        <f>AND(#REF!,"AAAAAHeLOy4=")</f>
        <v>#REF!</v>
      </c>
      <c r="AV8" t="e">
        <f>AND(#REF!,"AAAAAHeLOy8=")</f>
        <v>#REF!</v>
      </c>
      <c r="AW8" t="e">
        <f>AND(#REF!,"AAAAAHeLOzA=")</f>
        <v>#REF!</v>
      </c>
      <c r="AX8" t="e">
        <f>AND(#REF!,"AAAAAHeLOzE=")</f>
        <v>#REF!</v>
      </c>
      <c r="AY8" t="e">
        <f>AND(#REF!,"AAAAAHeLOzI=")</f>
        <v>#REF!</v>
      </c>
      <c r="AZ8" t="e">
        <f>AND(#REF!,"AAAAAHeLOzM=")</f>
        <v>#REF!</v>
      </c>
      <c r="BA8" t="e">
        <f>AND(#REF!,"AAAAAHeLOzQ=")</f>
        <v>#REF!</v>
      </c>
      <c r="BB8" t="e">
        <f>AND(#REF!,"AAAAAHeLOzU=")</f>
        <v>#REF!</v>
      </c>
      <c r="BC8" t="e">
        <f>AND(#REF!,"AAAAAHeLOzY=")</f>
        <v>#REF!</v>
      </c>
      <c r="BD8" t="e">
        <f>AND(#REF!,"AAAAAHeLOzc=")</f>
        <v>#REF!</v>
      </c>
      <c r="BE8" t="e">
        <f>AND(#REF!,"AAAAAHeLOzg=")</f>
        <v>#REF!</v>
      </c>
      <c r="BF8" t="e">
        <f>AND(#REF!,"AAAAAHeLOzk=")</f>
        <v>#REF!</v>
      </c>
      <c r="BG8" t="e">
        <f>AND(#REF!,"AAAAAHeLOzo=")</f>
        <v>#REF!</v>
      </c>
      <c r="BH8" t="e">
        <f>AND(#REF!,"AAAAAHeLOzs=")</f>
        <v>#REF!</v>
      </c>
      <c r="BI8" t="e">
        <f>AND(#REF!,"AAAAAHeLOzw=")</f>
        <v>#REF!</v>
      </c>
      <c r="BJ8" t="e">
        <f>AND(#REF!,"AAAAAHeLOz0=")</f>
        <v>#REF!</v>
      </c>
      <c r="BK8" t="e">
        <f>AND(#REF!,"AAAAAHeLOz4=")</f>
        <v>#REF!</v>
      </c>
      <c r="BL8" t="e">
        <f>AND(#REF!,"AAAAAHeLOz8=")</f>
        <v>#REF!</v>
      </c>
      <c r="BM8" t="e">
        <f>AND(#REF!,"AAAAAHeLO0A=")</f>
        <v>#REF!</v>
      </c>
      <c r="BN8" t="e">
        <f>AND(#REF!,"AAAAAHeLO0E=")</f>
        <v>#REF!</v>
      </c>
      <c r="BO8" t="e">
        <f>AND(#REF!,"AAAAAHeLO0I=")</f>
        <v>#REF!</v>
      </c>
      <c r="BP8" t="e">
        <f>AND(#REF!,"AAAAAHeLO0M=")</f>
        <v>#REF!</v>
      </c>
      <c r="BQ8" t="e">
        <f>AND(#REF!,"AAAAAHeLO0Q=")</f>
        <v>#REF!</v>
      </c>
      <c r="BR8" t="e">
        <f>AND(#REF!,"AAAAAHeLO0U=")</f>
        <v>#REF!</v>
      </c>
      <c r="BS8" t="e">
        <f>AND(#REF!,"AAAAAHeLO0Y=")</f>
        <v>#REF!</v>
      </c>
      <c r="BT8" t="e">
        <f>AND(#REF!,"AAAAAHeLO0c=")</f>
        <v>#REF!</v>
      </c>
      <c r="BU8" t="e">
        <f>AND(#REF!,"AAAAAHeLO0g=")</f>
        <v>#REF!</v>
      </c>
      <c r="BV8" t="e">
        <f>AND(#REF!,"AAAAAHeLO0k=")</f>
        <v>#REF!</v>
      </c>
      <c r="BW8" t="e">
        <f>AND(#REF!,"AAAAAHeLO0o=")</f>
        <v>#REF!</v>
      </c>
      <c r="BX8" t="e">
        <f>AND(#REF!,"AAAAAHeLO0s=")</f>
        <v>#REF!</v>
      </c>
      <c r="BY8" t="e">
        <f>AND(#REF!,"AAAAAHeLO0w=")</f>
        <v>#REF!</v>
      </c>
      <c r="BZ8" t="e">
        <f>AND(#REF!,"AAAAAHeLO00=")</f>
        <v>#REF!</v>
      </c>
      <c r="CA8" t="e">
        <f>AND(#REF!,"AAAAAHeLO04=")</f>
        <v>#REF!</v>
      </c>
      <c r="CB8" t="e">
        <f>AND(#REF!,"AAAAAHeLO08=")</f>
        <v>#REF!</v>
      </c>
      <c r="CC8" t="e">
        <f>AND(#REF!,"AAAAAHeLO1A=")</f>
        <v>#REF!</v>
      </c>
      <c r="CD8" t="e">
        <f>AND(#REF!,"AAAAAHeLO1E=")</f>
        <v>#REF!</v>
      </c>
      <c r="CE8" t="e">
        <f>AND(#REF!,"AAAAAHeLO1I=")</f>
        <v>#REF!</v>
      </c>
      <c r="CF8" t="e">
        <f>AND(#REF!,"AAAAAHeLO1M=")</f>
        <v>#REF!</v>
      </c>
      <c r="CG8" t="e">
        <f>AND(#REF!,"AAAAAHeLO1Q=")</f>
        <v>#REF!</v>
      </c>
      <c r="CH8" t="e">
        <f>AND(#REF!,"AAAAAHeLO1U=")</f>
        <v>#REF!</v>
      </c>
      <c r="CI8" t="e">
        <f>AND(#REF!,"AAAAAHeLO1Y=")</f>
        <v>#REF!</v>
      </c>
      <c r="CJ8" t="e">
        <f>AND(#REF!,"AAAAAHeLO1c=")</f>
        <v>#REF!</v>
      </c>
      <c r="CK8" t="e">
        <f>AND(#REF!,"AAAAAHeLO1g=")</f>
        <v>#REF!</v>
      </c>
      <c r="CL8" t="e">
        <f>AND(#REF!,"AAAAAHeLO1k=")</f>
        <v>#REF!</v>
      </c>
      <c r="CM8" t="e">
        <f>AND(#REF!,"AAAAAHeLO1o=")</f>
        <v>#REF!</v>
      </c>
      <c r="CN8" t="e">
        <f>AND(#REF!,"AAAAAHeLO1s=")</f>
        <v>#REF!</v>
      </c>
      <c r="CO8" t="e">
        <f>AND(#REF!,"AAAAAHeLO1w=")</f>
        <v>#REF!</v>
      </c>
      <c r="CP8" t="e">
        <f>AND(#REF!,"AAAAAHeLO10=")</f>
        <v>#REF!</v>
      </c>
      <c r="CQ8" t="e">
        <f>AND(#REF!,"AAAAAHeLO14=")</f>
        <v>#REF!</v>
      </c>
      <c r="CR8" t="e">
        <f>AND(#REF!,"AAAAAHeLO18=")</f>
        <v>#REF!</v>
      </c>
      <c r="CS8" t="e">
        <f>IF(#REF!,"AAAAAHeLO2A=",0)</f>
        <v>#REF!</v>
      </c>
      <c r="CT8" t="e">
        <f>AND(#REF!,"AAAAAHeLO2E=")</f>
        <v>#REF!</v>
      </c>
      <c r="CU8" t="e">
        <f>AND(#REF!,"AAAAAHeLO2I=")</f>
        <v>#REF!</v>
      </c>
      <c r="CV8" t="e">
        <f>AND(#REF!,"AAAAAHeLO2M=")</f>
        <v>#REF!</v>
      </c>
      <c r="CW8" t="e">
        <f>AND(#REF!,"AAAAAHeLO2Q=")</f>
        <v>#REF!</v>
      </c>
      <c r="CX8" t="e">
        <f>AND(#REF!,"AAAAAHeLO2U=")</f>
        <v>#REF!</v>
      </c>
      <c r="CY8" t="e">
        <f>AND(#REF!,"AAAAAHeLO2Y=")</f>
        <v>#REF!</v>
      </c>
      <c r="CZ8" t="e">
        <f>AND(#REF!,"AAAAAHeLO2c=")</f>
        <v>#REF!</v>
      </c>
      <c r="DA8" t="e">
        <f>AND(#REF!,"AAAAAHeLO2g=")</f>
        <v>#REF!</v>
      </c>
      <c r="DB8" t="e">
        <f>AND(#REF!,"AAAAAHeLO2k=")</f>
        <v>#REF!</v>
      </c>
      <c r="DC8" t="e">
        <f>AND(#REF!,"AAAAAHeLO2o=")</f>
        <v>#REF!</v>
      </c>
      <c r="DD8" t="e">
        <f>AND(#REF!,"AAAAAHeLO2s=")</f>
        <v>#REF!</v>
      </c>
      <c r="DE8" t="e">
        <f>AND(#REF!,"AAAAAHeLO2w=")</f>
        <v>#REF!</v>
      </c>
      <c r="DF8" t="e">
        <f>AND(#REF!,"AAAAAHeLO20=")</f>
        <v>#REF!</v>
      </c>
      <c r="DG8" t="e">
        <f>AND(#REF!,"AAAAAHeLO24=")</f>
        <v>#REF!</v>
      </c>
      <c r="DH8" t="e">
        <f>AND(#REF!,"AAAAAHeLO28=")</f>
        <v>#REF!</v>
      </c>
      <c r="DI8" t="e">
        <f>AND(#REF!,"AAAAAHeLO3A=")</f>
        <v>#REF!</v>
      </c>
      <c r="DJ8" t="e">
        <f>AND(#REF!,"AAAAAHeLO3E=")</f>
        <v>#REF!</v>
      </c>
      <c r="DK8" t="e">
        <f>AND(#REF!,"AAAAAHeLO3I=")</f>
        <v>#REF!</v>
      </c>
      <c r="DL8" t="e">
        <f>AND(#REF!,"AAAAAHeLO3M=")</f>
        <v>#REF!</v>
      </c>
      <c r="DM8" t="e">
        <f>AND(#REF!,"AAAAAHeLO3Q=")</f>
        <v>#REF!</v>
      </c>
      <c r="DN8" t="e">
        <f>AND(#REF!,"AAAAAHeLO3U=")</f>
        <v>#REF!</v>
      </c>
      <c r="DO8" t="e">
        <f>AND(#REF!,"AAAAAHeLO3Y=")</f>
        <v>#REF!</v>
      </c>
      <c r="DP8" t="e">
        <f>AND(#REF!,"AAAAAHeLO3c=")</f>
        <v>#REF!</v>
      </c>
      <c r="DQ8" t="e">
        <f>AND(#REF!,"AAAAAHeLO3g=")</f>
        <v>#REF!</v>
      </c>
      <c r="DR8" t="e">
        <f>AND(#REF!,"AAAAAHeLO3k=")</f>
        <v>#REF!</v>
      </c>
      <c r="DS8" t="e">
        <f>AND(#REF!,"AAAAAHeLO3o=")</f>
        <v>#REF!</v>
      </c>
      <c r="DT8" t="e">
        <f>AND(#REF!,"AAAAAHeLO3s=")</f>
        <v>#REF!</v>
      </c>
      <c r="DU8" t="e">
        <f>AND(#REF!,"AAAAAHeLO3w=")</f>
        <v>#REF!</v>
      </c>
      <c r="DV8" t="e">
        <f>AND(#REF!,"AAAAAHeLO30=")</f>
        <v>#REF!</v>
      </c>
      <c r="DW8" t="e">
        <f>AND(#REF!,"AAAAAHeLO34=")</f>
        <v>#REF!</v>
      </c>
      <c r="DX8" t="e">
        <f>AND(#REF!,"AAAAAHeLO38=")</f>
        <v>#REF!</v>
      </c>
      <c r="DY8" t="e">
        <f>AND(#REF!,"AAAAAHeLO4A=")</f>
        <v>#REF!</v>
      </c>
      <c r="DZ8" t="e">
        <f>AND(#REF!,"AAAAAHeLO4E=")</f>
        <v>#REF!</v>
      </c>
      <c r="EA8" t="e">
        <f>AND(#REF!,"AAAAAHeLO4I=")</f>
        <v>#REF!</v>
      </c>
      <c r="EB8" t="e">
        <f>AND(#REF!,"AAAAAHeLO4M=")</f>
        <v>#REF!</v>
      </c>
      <c r="EC8" t="e">
        <f>AND(#REF!,"AAAAAHeLO4Q=")</f>
        <v>#REF!</v>
      </c>
      <c r="ED8" t="e">
        <f>AND(#REF!,"AAAAAHeLO4U=")</f>
        <v>#REF!</v>
      </c>
      <c r="EE8" t="e">
        <f>AND(#REF!,"AAAAAHeLO4Y=")</f>
        <v>#REF!</v>
      </c>
      <c r="EF8" t="e">
        <f>AND(#REF!,"AAAAAHeLO4c=")</f>
        <v>#REF!</v>
      </c>
      <c r="EG8" t="e">
        <f>AND(#REF!,"AAAAAHeLO4g=")</f>
        <v>#REF!</v>
      </c>
      <c r="EH8" t="e">
        <f>AND(#REF!,"AAAAAHeLO4k=")</f>
        <v>#REF!</v>
      </c>
      <c r="EI8" t="e">
        <f>AND(#REF!,"AAAAAHeLO4o=")</f>
        <v>#REF!</v>
      </c>
      <c r="EJ8" t="e">
        <f>AND(#REF!,"AAAAAHeLO4s=")</f>
        <v>#REF!</v>
      </c>
      <c r="EK8" t="e">
        <f>AND(#REF!,"AAAAAHeLO4w=")</f>
        <v>#REF!</v>
      </c>
      <c r="EL8" t="e">
        <f>AND(#REF!,"AAAAAHeLO40=")</f>
        <v>#REF!</v>
      </c>
      <c r="EM8" t="e">
        <f>AND(#REF!,"AAAAAHeLO44=")</f>
        <v>#REF!</v>
      </c>
      <c r="EN8" t="e">
        <f>AND(#REF!,"AAAAAHeLO48=")</f>
        <v>#REF!</v>
      </c>
      <c r="EO8" t="e">
        <f>AND(#REF!,"AAAAAHeLO5A=")</f>
        <v>#REF!</v>
      </c>
      <c r="EP8" t="e">
        <f>AND(#REF!,"AAAAAHeLO5E=")</f>
        <v>#REF!</v>
      </c>
      <c r="EQ8" t="e">
        <f>AND(#REF!,"AAAAAHeLO5I=")</f>
        <v>#REF!</v>
      </c>
      <c r="ER8" t="e">
        <f>AND(#REF!,"AAAAAHeLO5M=")</f>
        <v>#REF!</v>
      </c>
      <c r="ES8" t="e">
        <f>AND(#REF!,"AAAAAHeLO5Q=")</f>
        <v>#REF!</v>
      </c>
      <c r="ET8" t="e">
        <f>AND(#REF!,"AAAAAHeLO5U=")</f>
        <v>#REF!</v>
      </c>
      <c r="EU8" t="e">
        <f>AND(#REF!,"AAAAAHeLO5Y=")</f>
        <v>#REF!</v>
      </c>
      <c r="EV8" t="e">
        <f>AND(#REF!,"AAAAAHeLO5c=")</f>
        <v>#REF!</v>
      </c>
      <c r="EW8" t="e">
        <f>AND(#REF!,"AAAAAHeLO5g=")</f>
        <v>#REF!</v>
      </c>
      <c r="EX8" t="e">
        <f>AND(#REF!,"AAAAAHeLO5k=")</f>
        <v>#REF!</v>
      </c>
      <c r="EY8" t="e">
        <f>AND(#REF!,"AAAAAHeLO5o=")</f>
        <v>#REF!</v>
      </c>
      <c r="EZ8" t="e">
        <f>IF(#REF!,"AAAAAHeLO5s=",0)</f>
        <v>#REF!</v>
      </c>
      <c r="FA8" t="e">
        <f>AND(#REF!,"AAAAAHeLO5w=")</f>
        <v>#REF!</v>
      </c>
      <c r="FB8" t="e">
        <f>AND(#REF!,"AAAAAHeLO50=")</f>
        <v>#REF!</v>
      </c>
      <c r="FC8" t="e">
        <f>AND(#REF!,"AAAAAHeLO54=")</f>
        <v>#REF!</v>
      </c>
      <c r="FD8" t="e">
        <f>AND(#REF!,"AAAAAHeLO58=")</f>
        <v>#REF!</v>
      </c>
      <c r="FE8" t="e">
        <f>AND(#REF!,"AAAAAHeLO6A=")</f>
        <v>#REF!</v>
      </c>
      <c r="FF8" t="e">
        <f>AND(#REF!,"AAAAAHeLO6E=")</f>
        <v>#REF!</v>
      </c>
      <c r="FG8" t="e">
        <f>AND(#REF!,"AAAAAHeLO6I=")</f>
        <v>#REF!</v>
      </c>
      <c r="FH8" t="e">
        <f>AND(#REF!,"AAAAAHeLO6M=")</f>
        <v>#REF!</v>
      </c>
      <c r="FI8" t="e">
        <f>AND(#REF!,"AAAAAHeLO6Q=")</f>
        <v>#REF!</v>
      </c>
      <c r="FJ8" t="e">
        <f>AND(#REF!,"AAAAAHeLO6U=")</f>
        <v>#REF!</v>
      </c>
      <c r="FK8" t="e">
        <f>AND(#REF!,"AAAAAHeLO6Y=")</f>
        <v>#REF!</v>
      </c>
      <c r="FL8" t="e">
        <f>AND(#REF!,"AAAAAHeLO6c=")</f>
        <v>#REF!</v>
      </c>
      <c r="FM8" t="e">
        <f>AND(#REF!,"AAAAAHeLO6g=")</f>
        <v>#REF!</v>
      </c>
      <c r="FN8" t="e">
        <f>AND(#REF!,"AAAAAHeLO6k=")</f>
        <v>#REF!</v>
      </c>
      <c r="FO8" t="e">
        <f>AND(#REF!,"AAAAAHeLO6o=")</f>
        <v>#REF!</v>
      </c>
      <c r="FP8" t="e">
        <f>AND(#REF!,"AAAAAHeLO6s=")</f>
        <v>#REF!</v>
      </c>
      <c r="FQ8" t="e">
        <f>AND(#REF!,"AAAAAHeLO6w=")</f>
        <v>#REF!</v>
      </c>
      <c r="FR8" t="e">
        <f>AND(#REF!,"AAAAAHeLO60=")</f>
        <v>#REF!</v>
      </c>
      <c r="FS8" t="e">
        <f>AND(#REF!,"AAAAAHeLO64=")</f>
        <v>#REF!</v>
      </c>
      <c r="FT8" t="e">
        <f>AND(#REF!,"AAAAAHeLO68=")</f>
        <v>#REF!</v>
      </c>
      <c r="FU8" t="e">
        <f>AND(#REF!,"AAAAAHeLO7A=")</f>
        <v>#REF!</v>
      </c>
      <c r="FV8" t="e">
        <f>AND(#REF!,"AAAAAHeLO7E=")</f>
        <v>#REF!</v>
      </c>
      <c r="FW8" t="e">
        <f>AND(#REF!,"AAAAAHeLO7I=")</f>
        <v>#REF!</v>
      </c>
      <c r="FX8" t="e">
        <f>AND(#REF!,"AAAAAHeLO7M=")</f>
        <v>#REF!</v>
      </c>
      <c r="FY8" t="e">
        <f>AND(#REF!,"AAAAAHeLO7Q=")</f>
        <v>#REF!</v>
      </c>
      <c r="FZ8" t="e">
        <f>AND(#REF!,"AAAAAHeLO7U=")</f>
        <v>#REF!</v>
      </c>
      <c r="GA8" t="e">
        <f>AND(#REF!,"AAAAAHeLO7Y=")</f>
        <v>#REF!</v>
      </c>
      <c r="GB8" t="e">
        <f>AND(#REF!,"AAAAAHeLO7c=")</f>
        <v>#REF!</v>
      </c>
      <c r="GC8" t="e">
        <f>AND(#REF!,"AAAAAHeLO7g=")</f>
        <v>#REF!</v>
      </c>
      <c r="GD8" t="e">
        <f>AND(#REF!,"AAAAAHeLO7k=")</f>
        <v>#REF!</v>
      </c>
      <c r="GE8" t="e">
        <f>AND(#REF!,"AAAAAHeLO7o=")</f>
        <v>#REF!</v>
      </c>
      <c r="GF8" t="e">
        <f>AND(#REF!,"AAAAAHeLO7s=")</f>
        <v>#REF!</v>
      </c>
      <c r="GG8" t="e">
        <f>AND(#REF!,"AAAAAHeLO7w=")</f>
        <v>#REF!</v>
      </c>
      <c r="GH8" t="e">
        <f>AND(#REF!,"AAAAAHeLO70=")</f>
        <v>#REF!</v>
      </c>
      <c r="GI8" t="e">
        <f>AND(#REF!,"AAAAAHeLO74=")</f>
        <v>#REF!</v>
      </c>
      <c r="GJ8" t="e">
        <f>AND(#REF!,"AAAAAHeLO78=")</f>
        <v>#REF!</v>
      </c>
      <c r="GK8" t="e">
        <f>AND(#REF!,"AAAAAHeLO8A=")</f>
        <v>#REF!</v>
      </c>
      <c r="GL8" t="e">
        <f>AND(#REF!,"AAAAAHeLO8E=")</f>
        <v>#REF!</v>
      </c>
      <c r="GM8" t="e">
        <f>AND(#REF!,"AAAAAHeLO8I=")</f>
        <v>#REF!</v>
      </c>
      <c r="GN8" t="e">
        <f>AND(#REF!,"AAAAAHeLO8M=")</f>
        <v>#REF!</v>
      </c>
      <c r="GO8" t="e">
        <f>AND(#REF!,"AAAAAHeLO8Q=")</f>
        <v>#REF!</v>
      </c>
      <c r="GP8" t="e">
        <f>AND(#REF!,"AAAAAHeLO8U=")</f>
        <v>#REF!</v>
      </c>
      <c r="GQ8" t="e">
        <f>AND(#REF!,"AAAAAHeLO8Y=")</f>
        <v>#REF!</v>
      </c>
      <c r="GR8" t="e">
        <f>AND(#REF!,"AAAAAHeLO8c=")</f>
        <v>#REF!</v>
      </c>
      <c r="GS8" t="e">
        <f>AND(#REF!,"AAAAAHeLO8g=")</f>
        <v>#REF!</v>
      </c>
      <c r="GT8" t="e">
        <f>AND(#REF!,"AAAAAHeLO8k=")</f>
        <v>#REF!</v>
      </c>
      <c r="GU8" t="e">
        <f>AND(#REF!,"AAAAAHeLO8o=")</f>
        <v>#REF!</v>
      </c>
      <c r="GV8" t="e">
        <f>AND(#REF!,"AAAAAHeLO8s=")</f>
        <v>#REF!</v>
      </c>
      <c r="GW8" t="e">
        <f>AND(#REF!,"AAAAAHeLO8w=")</f>
        <v>#REF!</v>
      </c>
      <c r="GX8" t="e">
        <f>AND(#REF!,"AAAAAHeLO80=")</f>
        <v>#REF!</v>
      </c>
      <c r="GY8" t="e">
        <f>AND(#REF!,"AAAAAHeLO84=")</f>
        <v>#REF!</v>
      </c>
      <c r="GZ8" t="e">
        <f>AND(#REF!,"AAAAAHeLO88=")</f>
        <v>#REF!</v>
      </c>
      <c r="HA8" t="e">
        <f>AND(#REF!,"AAAAAHeLO9A=")</f>
        <v>#REF!</v>
      </c>
      <c r="HB8" t="e">
        <f>AND(#REF!,"AAAAAHeLO9E=")</f>
        <v>#REF!</v>
      </c>
      <c r="HC8" t="e">
        <f>AND(#REF!,"AAAAAHeLO9I=")</f>
        <v>#REF!</v>
      </c>
      <c r="HD8" t="e">
        <f>AND(#REF!,"AAAAAHeLO9M=")</f>
        <v>#REF!</v>
      </c>
      <c r="HE8" t="e">
        <f>AND(#REF!,"AAAAAHeLO9Q=")</f>
        <v>#REF!</v>
      </c>
      <c r="HF8" t="e">
        <f>AND(#REF!,"AAAAAHeLO9U=")</f>
        <v>#REF!</v>
      </c>
      <c r="HG8" t="e">
        <f>IF(#REF!,"AAAAAHeLO9Y=",0)</f>
        <v>#REF!</v>
      </c>
      <c r="HH8" t="e">
        <f>AND(#REF!,"AAAAAHeLO9c=")</f>
        <v>#REF!</v>
      </c>
      <c r="HI8" t="e">
        <f>AND(#REF!,"AAAAAHeLO9g=")</f>
        <v>#REF!</v>
      </c>
      <c r="HJ8" t="e">
        <f>AND(#REF!,"AAAAAHeLO9k=")</f>
        <v>#REF!</v>
      </c>
      <c r="HK8" t="e">
        <f>AND(#REF!,"AAAAAHeLO9o=")</f>
        <v>#REF!</v>
      </c>
      <c r="HL8" t="e">
        <f>AND(#REF!,"AAAAAHeLO9s=")</f>
        <v>#REF!</v>
      </c>
      <c r="HM8" t="e">
        <f>AND(#REF!,"AAAAAHeLO9w=")</f>
        <v>#REF!</v>
      </c>
      <c r="HN8" t="e">
        <f>AND(#REF!,"AAAAAHeLO90=")</f>
        <v>#REF!</v>
      </c>
      <c r="HO8" t="e">
        <f>AND(#REF!,"AAAAAHeLO94=")</f>
        <v>#REF!</v>
      </c>
      <c r="HP8" t="e">
        <f>AND(#REF!,"AAAAAHeLO98=")</f>
        <v>#REF!</v>
      </c>
      <c r="HQ8" t="e">
        <f>AND(#REF!,"AAAAAHeLO+A=")</f>
        <v>#REF!</v>
      </c>
      <c r="HR8" t="e">
        <f>AND(#REF!,"AAAAAHeLO+E=")</f>
        <v>#REF!</v>
      </c>
      <c r="HS8" t="e">
        <f>AND(#REF!,"AAAAAHeLO+I=")</f>
        <v>#REF!</v>
      </c>
      <c r="HT8" t="e">
        <f>AND(#REF!,"AAAAAHeLO+M=")</f>
        <v>#REF!</v>
      </c>
      <c r="HU8" t="e">
        <f>AND(#REF!,"AAAAAHeLO+Q=")</f>
        <v>#REF!</v>
      </c>
      <c r="HV8" t="e">
        <f>AND(#REF!,"AAAAAHeLO+U=")</f>
        <v>#REF!</v>
      </c>
      <c r="HW8" t="e">
        <f>AND(#REF!,"AAAAAHeLO+Y=")</f>
        <v>#REF!</v>
      </c>
      <c r="HX8" t="e">
        <f>AND(#REF!,"AAAAAHeLO+c=")</f>
        <v>#REF!</v>
      </c>
      <c r="HY8" t="e">
        <f>AND(#REF!,"AAAAAHeLO+g=")</f>
        <v>#REF!</v>
      </c>
      <c r="HZ8" t="e">
        <f>AND(#REF!,"AAAAAHeLO+k=")</f>
        <v>#REF!</v>
      </c>
      <c r="IA8" t="e">
        <f>AND(#REF!,"AAAAAHeLO+o=")</f>
        <v>#REF!</v>
      </c>
      <c r="IB8" t="e">
        <f>AND(#REF!,"AAAAAHeLO+s=")</f>
        <v>#REF!</v>
      </c>
      <c r="IC8" t="e">
        <f>AND(#REF!,"AAAAAHeLO+w=")</f>
        <v>#REF!</v>
      </c>
      <c r="ID8" t="e">
        <f>AND(#REF!,"AAAAAHeLO+0=")</f>
        <v>#REF!</v>
      </c>
      <c r="IE8" t="e">
        <f>AND(#REF!,"AAAAAHeLO+4=")</f>
        <v>#REF!</v>
      </c>
      <c r="IF8" t="e">
        <f>AND(#REF!,"AAAAAHeLO+8=")</f>
        <v>#REF!</v>
      </c>
      <c r="IG8" t="e">
        <f>AND(#REF!,"AAAAAHeLO/A=")</f>
        <v>#REF!</v>
      </c>
      <c r="IH8" t="e">
        <f>AND(#REF!,"AAAAAHeLO/E=")</f>
        <v>#REF!</v>
      </c>
      <c r="II8" t="e">
        <f>AND(#REF!,"AAAAAHeLO/I=")</f>
        <v>#REF!</v>
      </c>
      <c r="IJ8" t="e">
        <f>AND(#REF!,"AAAAAHeLO/M=")</f>
        <v>#REF!</v>
      </c>
      <c r="IK8" t="e">
        <f>AND(#REF!,"AAAAAHeLO/Q=")</f>
        <v>#REF!</v>
      </c>
      <c r="IL8" t="e">
        <f>AND(#REF!,"AAAAAHeLO/U=")</f>
        <v>#REF!</v>
      </c>
      <c r="IM8" t="e">
        <f>AND(#REF!,"AAAAAHeLO/Y=")</f>
        <v>#REF!</v>
      </c>
      <c r="IN8" t="e">
        <f>AND(#REF!,"AAAAAHeLO/c=")</f>
        <v>#REF!</v>
      </c>
      <c r="IO8" t="e">
        <f>AND(#REF!,"AAAAAHeLO/g=")</f>
        <v>#REF!</v>
      </c>
      <c r="IP8" t="e">
        <f>AND(#REF!,"AAAAAHeLO/k=")</f>
        <v>#REF!</v>
      </c>
      <c r="IQ8" t="e">
        <f>AND(#REF!,"AAAAAHeLO/o=")</f>
        <v>#REF!</v>
      </c>
      <c r="IR8" t="e">
        <f>AND(#REF!,"AAAAAHeLO/s=")</f>
        <v>#REF!</v>
      </c>
      <c r="IS8" t="e">
        <f>AND(#REF!,"AAAAAHeLO/w=")</f>
        <v>#REF!</v>
      </c>
      <c r="IT8" t="e">
        <f>AND(#REF!,"AAAAAHeLO/0=")</f>
        <v>#REF!</v>
      </c>
      <c r="IU8" t="e">
        <f>AND(#REF!,"AAAAAHeLO/4=")</f>
        <v>#REF!</v>
      </c>
      <c r="IV8" t="e">
        <f>AND(#REF!,"AAAAAHeLO/8=")</f>
        <v>#REF!</v>
      </c>
    </row>
    <row r="9" spans="1:256" x14ac:dyDescent="0.25">
      <c r="A9" t="e">
        <f>AND(#REF!,"AAAAAE1j+QA=")</f>
        <v>#REF!</v>
      </c>
      <c r="B9" t="e">
        <f>AND(#REF!,"AAAAAE1j+QE=")</f>
        <v>#REF!</v>
      </c>
      <c r="C9" t="e">
        <f>AND(#REF!,"AAAAAE1j+QI=")</f>
        <v>#REF!</v>
      </c>
      <c r="D9" t="e">
        <f>AND(#REF!,"AAAAAE1j+QM=")</f>
        <v>#REF!</v>
      </c>
      <c r="E9" t="e">
        <f>AND(#REF!,"AAAAAE1j+QQ=")</f>
        <v>#REF!</v>
      </c>
      <c r="F9" t="e">
        <f>AND(#REF!,"AAAAAE1j+QU=")</f>
        <v>#REF!</v>
      </c>
      <c r="G9" t="e">
        <f>AND(#REF!,"AAAAAE1j+QY=")</f>
        <v>#REF!</v>
      </c>
      <c r="H9" t="e">
        <f>AND(#REF!,"AAAAAE1j+Qc=")</f>
        <v>#REF!</v>
      </c>
      <c r="I9" t="e">
        <f>AND(#REF!,"AAAAAE1j+Qg=")</f>
        <v>#REF!</v>
      </c>
      <c r="J9" t="e">
        <f>AND(#REF!,"AAAAAE1j+Qk=")</f>
        <v>#REF!</v>
      </c>
      <c r="K9" t="e">
        <f>AND(#REF!,"AAAAAE1j+Qo=")</f>
        <v>#REF!</v>
      </c>
      <c r="L9" t="e">
        <f>AND(#REF!,"AAAAAE1j+Qs=")</f>
        <v>#REF!</v>
      </c>
      <c r="M9" t="e">
        <f>AND(#REF!,"AAAAAE1j+Qw=")</f>
        <v>#REF!</v>
      </c>
      <c r="N9" t="e">
        <f>AND(#REF!,"AAAAAE1j+Q0=")</f>
        <v>#REF!</v>
      </c>
      <c r="O9" t="e">
        <f>AND(#REF!,"AAAAAE1j+Q4=")</f>
        <v>#REF!</v>
      </c>
      <c r="P9" t="e">
        <f>AND(#REF!,"AAAAAE1j+Q8=")</f>
        <v>#REF!</v>
      </c>
      <c r="Q9" t="e">
        <f>AND(#REF!,"AAAAAE1j+RA=")</f>
        <v>#REF!</v>
      </c>
      <c r="R9" t="e">
        <f>IF(#REF!,"AAAAAE1j+RE=",0)</f>
        <v>#REF!</v>
      </c>
      <c r="S9" t="e">
        <f>AND(#REF!,"AAAAAE1j+RI=")</f>
        <v>#REF!</v>
      </c>
      <c r="T9" t="e">
        <f>AND(#REF!,"AAAAAE1j+RM=")</f>
        <v>#REF!</v>
      </c>
      <c r="U9" t="e">
        <f>AND(#REF!,"AAAAAE1j+RQ=")</f>
        <v>#REF!</v>
      </c>
      <c r="V9" t="e">
        <f>AND(#REF!,"AAAAAE1j+RU=")</f>
        <v>#REF!</v>
      </c>
      <c r="W9" t="e">
        <f>AND(#REF!,"AAAAAE1j+RY=")</f>
        <v>#REF!</v>
      </c>
      <c r="X9" t="e">
        <f>AND(#REF!,"AAAAAE1j+Rc=")</f>
        <v>#REF!</v>
      </c>
      <c r="Y9" t="e">
        <f>AND(#REF!,"AAAAAE1j+Rg=")</f>
        <v>#REF!</v>
      </c>
      <c r="Z9" t="e">
        <f>AND(#REF!,"AAAAAE1j+Rk=")</f>
        <v>#REF!</v>
      </c>
      <c r="AA9" t="e">
        <f>AND(#REF!,"AAAAAE1j+Ro=")</f>
        <v>#REF!</v>
      </c>
      <c r="AB9" t="e">
        <f>AND(#REF!,"AAAAAE1j+Rs=")</f>
        <v>#REF!</v>
      </c>
      <c r="AC9" t="e">
        <f>AND(#REF!,"AAAAAE1j+Rw=")</f>
        <v>#REF!</v>
      </c>
      <c r="AD9" t="e">
        <f>AND(#REF!,"AAAAAE1j+R0=")</f>
        <v>#REF!</v>
      </c>
      <c r="AE9" t="e">
        <f>AND(#REF!,"AAAAAE1j+R4=")</f>
        <v>#REF!</v>
      </c>
      <c r="AF9" t="e">
        <f>AND(#REF!,"AAAAAE1j+R8=")</f>
        <v>#REF!</v>
      </c>
      <c r="AG9" t="e">
        <f>AND(#REF!,"AAAAAE1j+SA=")</f>
        <v>#REF!</v>
      </c>
      <c r="AH9" t="e">
        <f>AND(#REF!,"AAAAAE1j+SE=")</f>
        <v>#REF!</v>
      </c>
      <c r="AI9" t="e">
        <f>AND(#REF!,"AAAAAE1j+SI=")</f>
        <v>#REF!</v>
      </c>
      <c r="AJ9" t="e">
        <f>AND(#REF!,"AAAAAE1j+SM=")</f>
        <v>#REF!</v>
      </c>
      <c r="AK9" t="e">
        <f>AND(#REF!,"AAAAAE1j+SQ=")</f>
        <v>#REF!</v>
      </c>
      <c r="AL9" t="e">
        <f>AND(#REF!,"AAAAAE1j+SU=")</f>
        <v>#REF!</v>
      </c>
      <c r="AM9" t="e">
        <f>AND(#REF!,"AAAAAE1j+SY=")</f>
        <v>#REF!</v>
      </c>
      <c r="AN9" t="e">
        <f>AND(#REF!,"AAAAAE1j+Sc=")</f>
        <v>#REF!</v>
      </c>
      <c r="AO9" t="e">
        <f>AND(#REF!,"AAAAAE1j+Sg=")</f>
        <v>#REF!</v>
      </c>
      <c r="AP9" t="e">
        <f>AND(#REF!,"AAAAAE1j+Sk=")</f>
        <v>#REF!</v>
      </c>
      <c r="AQ9" t="e">
        <f>AND(#REF!,"AAAAAE1j+So=")</f>
        <v>#REF!</v>
      </c>
      <c r="AR9" t="e">
        <f>AND(#REF!,"AAAAAE1j+Ss=")</f>
        <v>#REF!</v>
      </c>
      <c r="AS9" t="e">
        <f>AND(#REF!,"AAAAAE1j+Sw=")</f>
        <v>#REF!</v>
      </c>
      <c r="AT9" t="e">
        <f>AND(#REF!,"AAAAAE1j+S0=")</f>
        <v>#REF!</v>
      </c>
      <c r="AU9" t="e">
        <f>AND(#REF!,"AAAAAE1j+S4=")</f>
        <v>#REF!</v>
      </c>
      <c r="AV9" t="e">
        <f>AND(#REF!,"AAAAAE1j+S8=")</f>
        <v>#REF!</v>
      </c>
      <c r="AW9" t="e">
        <f>AND(#REF!,"AAAAAE1j+TA=")</f>
        <v>#REF!</v>
      </c>
      <c r="AX9" t="e">
        <f>AND(#REF!,"AAAAAE1j+TE=")</f>
        <v>#REF!</v>
      </c>
      <c r="AY9" t="e">
        <f>AND(#REF!,"AAAAAE1j+TI=")</f>
        <v>#REF!</v>
      </c>
      <c r="AZ9" t="e">
        <f>AND(#REF!,"AAAAAE1j+TM=")</f>
        <v>#REF!</v>
      </c>
      <c r="BA9" t="e">
        <f>AND(#REF!,"AAAAAE1j+TQ=")</f>
        <v>#REF!</v>
      </c>
      <c r="BB9" t="e">
        <f>AND(#REF!,"AAAAAE1j+TU=")</f>
        <v>#REF!</v>
      </c>
      <c r="BC9" t="e">
        <f>AND(#REF!,"AAAAAE1j+TY=")</f>
        <v>#REF!</v>
      </c>
      <c r="BD9" t="e">
        <f>AND(#REF!,"AAAAAE1j+Tc=")</f>
        <v>#REF!</v>
      </c>
      <c r="BE9" t="e">
        <f>AND(#REF!,"AAAAAE1j+Tg=")</f>
        <v>#REF!</v>
      </c>
      <c r="BF9" t="e">
        <f>AND(#REF!,"AAAAAE1j+Tk=")</f>
        <v>#REF!</v>
      </c>
      <c r="BG9" t="e">
        <f>AND(#REF!,"AAAAAE1j+To=")</f>
        <v>#REF!</v>
      </c>
      <c r="BH9" t="e">
        <f>AND(#REF!,"AAAAAE1j+Ts=")</f>
        <v>#REF!</v>
      </c>
      <c r="BI9" t="e">
        <f>AND(#REF!,"AAAAAE1j+Tw=")</f>
        <v>#REF!</v>
      </c>
      <c r="BJ9" t="e">
        <f>AND(#REF!,"AAAAAE1j+T0=")</f>
        <v>#REF!</v>
      </c>
      <c r="BK9" t="e">
        <f>AND(#REF!,"AAAAAE1j+T4=")</f>
        <v>#REF!</v>
      </c>
      <c r="BL9" t="e">
        <f>AND(#REF!,"AAAAAE1j+T8=")</f>
        <v>#REF!</v>
      </c>
      <c r="BM9" t="e">
        <f>AND(#REF!,"AAAAAE1j+UA=")</f>
        <v>#REF!</v>
      </c>
      <c r="BN9" t="e">
        <f>AND(#REF!,"AAAAAE1j+UE=")</f>
        <v>#REF!</v>
      </c>
      <c r="BO9" t="e">
        <f>AND(#REF!,"AAAAAE1j+UI=")</f>
        <v>#REF!</v>
      </c>
      <c r="BP9" t="e">
        <f>AND(#REF!,"AAAAAE1j+UM=")</f>
        <v>#REF!</v>
      </c>
      <c r="BQ9" t="e">
        <f>AND(#REF!,"AAAAAE1j+UQ=")</f>
        <v>#REF!</v>
      </c>
      <c r="BR9" t="e">
        <f>AND(#REF!,"AAAAAE1j+UU=")</f>
        <v>#REF!</v>
      </c>
      <c r="BS9" t="e">
        <f>AND(#REF!,"AAAAAE1j+UY=")</f>
        <v>#REF!</v>
      </c>
      <c r="BT9" t="e">
        <f>AND(#REF!,"AAAAAE1j+Uc=")</f>
        <v>#REF!</v>
      </c>
      <c r="BU9" t="e">
        <f>AND(#REF!,"AAAAAE1j+Ug=")</f>
        <v>#REF!</v>
      </c>
      <c r="BV9" t="e">
        <f>AND(#REF!,"AAAAAE1j+Uk=")</f>
        <v>#REF!</v>
      </c>
      <c r="BW9" t="e">
        <f>AND(#REF!,"AAAAAE1j+Uo=")</f>
        <v>#REF!</v>
      </c>
      <c r="BX9" t="e">
        <f>AND(#REF!,"AAAAAE1j+Us=")</f>
        <v>#REF!</v>
      </c>
      <c r="BY9" t="e">
        <f>IF(#REF!,"AAAAAE1j+Uw=",0)</f>
        <v>#REF!</v>
      </c>
      <c r="BZ9" t="e">
        <f>AND(#REF!,"AAAAAE1j+U0=")</f>
        <v>#REF!</v>
      </c>
      <c r="CA9" t="e">
        <f>AND(#REF!,"AAAAAE1j+U4=")</f>
        <v>#REF!</v>
      </c>
      <c r="CB9" t="e">
        <f>AND(#REF!,"AAAAAE1j+U8=")</f>
        <v>#REF!</v>
      </c>
      <c r="CC9" t="e">
        <f>AND(#REF!,"AAAAAE1j+VA=")</f>
        <v>#REF!</v>
      </c>
      <c r="CD9" t="e">
        <f>AND(#REF!,"AAAAAE1j+VE=")</f>
        <v>#REF!</v>
      </c>
      <c r="CE9" t="e">
        <f>AND(#REF!,"AAAAAE1j+VI=")</f>
        <v>#REF!</v>
      </c>
      <c r="CF9" t="e">
        <f>AND(#REF!,"AAAAAE1j+VM=")</f>
        <v>#REF!</v>
      </c>
      <c r="CG9" t="e">
        <f>AND(#REF!,"AAAAAE1j+VQ=")</f>
        <v>#REF!</v>
      </c>
      <c r="CH9" t="e">
        <f>AND(#REF!,"AAAAAE1j+VU=")</f>
        <v>#REF!</v>
      </c>
      <c r="CI9" t="e">
        <f>AND(#REF!,"AAAAAE1j+VY=")</f>
        <v>#REF!</v>
      </c>
      <c r="CJ9" t="e">
        <f>AND(#REF!,"AAAAAE1j+Vc=")</f>
        <v>#REF!</v>
      </c>
      <c r="CK9" t="e">
        <f>AND(#REF!,"AAAAAE1j+Vg=")</f>
        <v>#REF!</v>
      </c>
      <c r="CL9" t="e">
        <f>AND(#REF!,"AAAAAE1j+Vk=")</f>
        <v>#REF!</v>
      </c>
      <c r="CM9" t="e">
        <f>AND(#REF!,"AAAAAE1j+Vo=")</f>
        <v>#REF!</v>
      </c>
      <c r="CN9" t="e">
        <f>AND(#REF!,"AAAAAE1j+Vs=")</f>
        <v>#REF!</v>
      </c>
      <c r="CO9" t="e">
        <f>AND(#REF!,"AAAAAE1j+Vw=")</f>
        <v>#REF!</v>
      </c>
      <c r="CP9" t="e">
        <f>AND(#REF!,"AAAAAE1j+V0=")</f>
        <v>#REF!</v>
      </c>
      <c r="CQ9" t="e">
        <f>AND(#REF!,"AAAAAE1j+V4=")</f>
        <v>#REF!</v>
      </c>
      <c r="CR9" t="e">
        <f>AND(#REF!,"AAAAAE1j+V8=")</f>
        <v>#REF!</v>
      </c>
      <c r="CS9" t="e">
        <f>AND(#REF!,"AAAAAE1j+WA=")</f>
        <v>#REF!</v>
      </c>
      <c r="CT9" t="e">
        <f>AND(#REF!,"AAAAAE1j+WE=")</f>
        <v>#REF!</v>
      </c>
      <c r="CU9" t="e">
        <f>AND(#REF!,"AAAAAE1j+WI=")</f>
        <v>#REF!</v>
      </c>
      <c r="CV9" t="e">
        <f>AND(#REF!,"AAAAAE1j+WM=")</f>
        <v>#REF!</v>
      </c>
      <c r="CW9" t="e">
        <f>AND(#REF!,"AAAAAE1j+WQ=")</f>
        <v>#REF!</v>
      </c>
      <c r="CX9" t="e">
        <f>AND(#REF!,"AAAAAE1j+WU=")</f>
        <v>#REF!</v>
      </c>
      <c r="CY9" t="e">
        <f>AND(#REF!,"AAAAAE1j+WY=")</f>
        <v>#REF!</v>
      </c>
      <c r="CZ9" t="e">
        <f>AND(#REF!,"AAAAAE1j+Wc=")</f>
        <v>#REF!</v>
      </c>
      <c r="DA9" t="e">
        <f>AND(#REF!,"AAAAAE1j+Wg=")</f>
        <v>#REF!</v>
      </c>
      <c r="DB9" t="e">
        <f>AND(#REF!,"AAAAAE1j+Wk=")</f>
        <v>#REF!</v>
      </c>
      <c r="DC9" t="e">
        <f>AND(#REF!,"AAAAAE1j+Wo=")</f>
        <v>#REF!</v>
      </c>
      <c r="DD9" t="e">
        <f>AND(#REF!,"AAAAAE1j+Ws=")</f>
        <v>#REF!</v>
      </c>
      <c r="DE9" t="e">
        <f>AND(#REF!,"AAAAAE1j+Ww=")</f>
        <v>#REF!</v>
      </c>
      <c r="DF9" t="e">
        <f>AND(#REF!,"AAAAAE1j+W0=")</f>
        <v>#REF!</v>
      </c>
      <c r="DG9" t="e">
        <f>AND(#REF!,"AAAAAE1j+W4=")</f>
        <v>#REF!</v>
      </c>
      <c r="DH9" t="e">
        <f>AND(#REF!,"AAAAAE1j+W8=")</f>
        <v>#REF!</v>
      </c>
      <c r="DI9" t="e">
        <f>AND(#REF!,"AAAAAE1j+XA=")</f>
        <v>#REF!</v>
      </c>
      <c r="DJ9" t="e">
        <f>AND(#REF!,"AAAAAE1j+XE=")</f>
        <v>#REF!</v>
      </c>
      <c r="DK9" t="e">
        <f>AND(#REF!,"AAAAAE1j+XI=")</f>
        <v>#REF!</v>
      </c>
      <c r="DL9" t="e">
        <f>AND(#REF!,"AAAAAE1j+XM=")</f>
        <v>#REF!</v>
      </c>
      <c r="DM9" t="e">
        <f>AND(#REF!,"AAAAAE1j+XQ=")</f>
        <v>#REF!</v>
      </c>
      <c r="DN9" t="e">
        <f>AND(#REF!,"AAAAAE1j+XU=")</f>
        <v>#REF!</v>
      </c>
      <c r="DO9" t="e">
        <f>AND(#REF!,"AAAAAE1j+XY=")</f>
        <v>#REF!</v>
      </c>
      <c r="DP9" t="e">
        <f>AND(#REF!,"AAAAAE1j+Xc=")</f>
        <v>#REF!</v>
      </c>
      <c r="DQ9" t="e">
        <f>AND(#REF!,"AAAAAE1j+Xg=")</f>
        <v>#REF!</v>
      </c>
      <c r="DR9" t="e">
        <f>AND(#REF!,"AAAAAE1j+Xk=")</f>
        <v>#REF!</v>
      </c>
      <c r="DS9" t="e">
        <f>AND(#REF!,"AAAAAE1j+Xo=")</f>
        <v>#REF!</v>
      </c>
      <c r="DT9" t="e">
        <f>AND(#REF!,"AAAAAE1j+Xs=")</f>
        <v>#REF!</v>
      </c>
      <c r="DU9" t="e">
        <f>AND(#REF!,"AAAAAE1j+Xw=")</f>
        <v>#REF!</v>
      </c>
      <c r="DV9" t="e">
        <f>AND(#REF!,"AAAAAE1j+X0=")</f>
        <v>#REF!</v>
      </c>
      <c r="DW9" t="e">
        <f>AND(#REF!,"AAAAAE1j+X4=")</f>
        <v>#REF!</v>
      </c>
      <c r="DX9" t="e">
        <f>AND(#REF!,"AAAAAE1j+X8=")</f>
        <v>#REF!</v>
      </c>
      <c r="DY9" t="e">
        <f>AND(#REF!,"AAAAAE1j+YA=")</f>
        <v>#REF!</v>
      </c>
      <c r="DZ9" t="e">
        <f>AND(#REF!,"AAAAAE1j+YE=")</f>
        <v>#REF!</v>
      </c>
      <c r="EA9" t="e">
        <f>AND(#REF!,"AAAAAE1j+YI=")</f>
        <v>#REF!</v>
      </c>
      <c r="EB9" t="e">
        <f>AND(#REF!,"AAAAAE1j+YM=")</f>
        <v>#REF!</v>
      </c>
      <c r="EC9" t="e">
        <f>AND(#REF!,"AAAAAE1j+YQ=")</f>
        <v>#REF!</v>
      </c>
      <c r="ED9" t="e">
        <f>AND(#REF!,"AAAAAE1j+YU=")</f>
        <v>#REF!</v>
      </c>
      <c r="EE9" t="e">
        <f>AND(#REF!,"AAAAAE1j+YY=")</f>
        <v>#REF!</v>
      </c>
      <c r="EF9" t="e">
        <f>IF(#REF!,"AAAAAE1j+Yc=",0)</f>
        <v>#REF!</v>
      </c>
      <c r="EG9" t="e">
        <f>AND(#REF!,"AAAAAE1j+Yg=")</f>
        <v>#REF!</v>
      </c>
      <c r="EH9" t="e">
        <f>AND(#REF!,"AAAAAE1j+Yk=")</f>
        <v>#REF!</v>
      </c>
      <c r="EI9" t="e">
        <f>AND(#REF!,"AAAAAE1j+Yo=")</f>
        <v>#REF!</v>
      </c>
      <c r="EJ9" t="e">
        <f>AND(#REF!,"AAAAAE1j+Ys=")</f>
        <v>#REF!</v>
      </c>
      <c r="EK9" t="e">
        <f>AND(#REF!,"AAAAAE1j+Yw=")</f>
        <v>#REF!</v>
      </c>
      <c r="EL9" t="e">
        <f>AND(#REF!,"AAAAAE1j+Y0=")</f>
        <v>#REF!</v>
      </c>
      <c r="EM9" t="e">
        <f>AND(#REF!,"AAAAAE1j+Y4=")</f>
        <v>#REF!</v>
      </c>
      <c r="EN9" t="e">
        <f>AND(#REF!,"AAAAAE1j+Y8=")</f>
        <v>#REF!</v>
      </c>
      <c r="EO9" t="e">
        <f>AND(#REF!,"AAAAAE1j+ZA=")</f>
        <v>#REF!</v>
      </c>
      <c r="EP9" t="e">
        <f>AND(#REF!,"AAAAAE1j+ZE=")</f>
        <v>#REF!</v>
      </c>
      <c r="EQ9" t="e">
        <f>AND(#REF!,"AAAAAE1j+ZI=")</f>
        <v>#REF!</v>
      </c>
      <c r="ER9" t="e">
        <f>AND(#REF!,"AAAAAE1j+ZM=")</f>
        <v>#REF!</v>
      </c>
      <c r="ES9" t="e">
        <f>AND(#REF!,"AAAAAE1j+ZQ=")</f>
        <v>#REF!</v>
      </c>
      <c r="ET9" t="e">
        <f>AND(#REF!,"AAAAAE1j+ZU=")</f>
        <v>#REF!</v>
      </c>
      <c r="EU9" t="e">
        <f>AND(#REF!,"AAAAAE1j+ZY=")</f>
        <v>#REF!</v>
      </c>
      <c r="EV9" t="e">
        <f>AND(#REF!,"AAAAAE1j+Zc=")</f>
        <v>#REF!</v>
      </c>
      <c r="EW9" t="e">
        <f>AND(#REF!,"AAAAAE1j+Zg=")</f>
        <v>#REF!</v>
      </c>
      <c r="EX9" t="e">
        <f>AND(#REF!,"AAAAAE1j+Zk=")</f>
        <v>#REF!</v>
      </c>
      <c r="EY9" t="e">
        <f>AND(#REF!,"AAAAAE1j+Zo=")</f>
        <v>#REF!</v>
      </c>
      <c r="EZ9" t="e">
        <f>AND(#REF!,"AAAAAE1j+Zs=")</f>
        <v>#REF!</v>
      </c>
      <c r="FA9" t="e">
        <f>AND(#REF!,"AAAAAE1j+Zw=")</f>
        <v>#REF!</v>
      </c>
      <c r="FB9" t="e">
        <f>AND(#REF!,"AAAAAE1j+Z0=")</f>
        <v>#REF!</v>
      </c>
      <c r="FC9" t="e">
        <f>AND(#REF!,"AAAAAE1j+Z4=")</f>
        <v>#REF!</v>
      </c>
      <c r="FD9" t="e">
        <f>AND(#REF!,"AAAAAE1j+Z8=")</f>
        <v>#REF!</v>
      </c>
      <c r="FE9" t="e">
        <f>AND(#REF!,"AAAAAE1j+aA=")</f>
        <v>#REF!</v>
      </c>
      <c r="FF9" t="e">
        <f>AND(#REF!,"AAAAAE1j+aE=")</f>
        <v>#REF!</v>
      </c>
      <c r="FG9" t="e">
        <f>AND(#REF!,"AAAAAE1j+aI=")</f>
        <v>#REF!</v>
      </c>
      <c r="FH9" t="e">
        <f>AND(#REF!,"AAAAAE1j+aM=")</f>
        <v>#REF!</v>
      </c>
      <c r="FI9" t="e">
        <f>AND(#REF!,"AAAAAE1j+aQ=")</f>
        <v>#REF!</v>
      </c>
      <c r="FJ9" t="e">
        <f>AND(#REF!,"AAAAAE1j+aU=")</f>
        <v>#REF!</v>
      </c>
      <c r="FK9" t="e">
        <f>AND(#REF!,"AAAAAE1j+aY=")</f>
        <v>#REF!</v>
      </c>
      <c r="FL9" t="e">
        <f>AND(#REF!,"AAAAAE1j+ac=")</f>
        <v>#REF!</v>
      </c>
      <c r="FM9" t="e">
        <f>AND(#REF!,"AAAAAE1j+ag=")</f>
        <v>#REF!</v>
      </c>
      <c r="FN9" t="e">
        <f>AND(#REF!,"AAAAAE1j+ak=")</f>
        <v>#REF!</v>
      </c>
      <c r="FO9" t="e">
        <f>AND(#REF!,"AAAAAE1j+ao=")</f>
        <v>#REF!</v>
      </c>
      <c r="FP9" t="e">
        <f>AND(#REF!,"AAAAAE1j+as=")</f>
        <v>#REF!</v>
      </c>
      <c r="FQ9" t="e">
        <f>AND(#REF!,"AAAAAE1j+aw=")</f>
        <v>#REF!</v>
      </c>
      <c r="FR9" t="e">
        <f>AND(#REF!,"AAAAAE1j+a0=")</f>
        <v>#REF!</v>
      </c>
      <c r="FS9" t="e">
        <f>AND(#REF!,"AAAAAE1j+a4=")</f>
        <v>#REF!</v>
      </c>
      <c r="FT9" t="e">
        <f>AND(#REF!,"AAAAAE1j+a8=")</f>
        <v>#REF!</v>
      </c>
      <c r="FU9" t="e">
        <f>AND(#REF!,"AAAAAE1j+bA=")</f>
        <v>#REF!</v>
      </c>
      <c r="FV9" t="e">
        <f>AND(#REF!,"AAAAAE1j+bE=")</f>
        <v>#REF!</v>
      </c>
      <c r="FW9" t="e">
        <f>AND(#REF!,"AAAAAE1j+bI=")</f>
        <v>#REF!</v>
      </c>
      <c r="FX9" t="e">
        <f>AND(#REF!,"AAAAAE1j+bM=")</f>
        <v>#REF!</v>
      </c>
      <c r="FY9" t="e">
        <f>AND(#REF!,"AAAAAE1j+bQ=")</f>
        <v>#REF!</v>
      </c>
      <c r="FZ9" t="e">
        <f>AND(#REF!,"AAAAAE1j+bU=")</f>
        <v>#REF!</v>
      </c>
      <c r="GA9" t="e">
        <f>AND(#REF!,"AAAAAE1j+bY=")</f>
        <v>#REF!</v>
      </c>
      <c r="GB9" t="e">
        <f>AND(#REF!,"AAAAAE1j+bc=")</f>
        <v>#REF!</v>
      </c>
      <c r="GC9" t="e">
        <f>AND(#REF!,"AAAAAE1j+bg=")</f>
        <v>#REF!</v>
      </c>
      <c r="GD9" t="e">
        <f>AND(#REF!,"AAAAAE1j+bk=")</f>
        <v>#REF!</v>
      </c>
      <c r="GE9" t="e">
        <f>AND(#REF!,"AAAAAE1j+bo=")</f>
        <v>#REF!</v>
      </c>
      <c r="GF9" t="e">
        <f>AND(#REF!,"AAAAAE1j+bs=")</f>
        <v>#REF!</v>
      </c>
      <c r="GG9" t="e">
        <f>AND(#REF!,"AAAAAE1j+bw=")</f>
        <v>#REF!</v>
      </c>
      <c r="GH9" t="e">
        <f>AND(#REF!,"AAAAAE1j+b0=")</f>
        <v>#REF!</v>
      </c>
      <c r="GI9" t="e">
        <f>AND(#REF!,"AAAAAE1j+b4=")</f>
        <v>#REF!</v>
      </c>
      <c r="GJ9" t="e">
        <f>AND(#REF!,"AAAAAE1j+b8=")</f>
        <v>#REF!</v>
      </c>
      <c r="GK9" t="e">
        <f>AND(#REF!,"AAAAAE1j+cA=")</f>
        <v>#REF!</v>
      </c>
      <c r="GL9" t="e">
        <f>AND(#REF!,"AAAAAE1j+cE=")</f>
        <v>#REF!</v>
      </c>
      <c r="GM9" t="e">
        <f>IF(#REF!,"AAAAAE1j+cI=",0)</f>
        <v>#REF!</v>
      </c>
      <c r="GN9" t="e">
        <f>AND(#REF!,"AAAAAE1j+cM=")</f>
        <v>#REF!</v>
      </c>
      <c r="GO9" t="e">
        <f>AND(#REF!,"AAAAAE1j+cQ=")</f>
        <v>#REF!</v>
      </c>
      <c r="GP9" t="e">
        <f>AND(#REF!,"AAAAAE1j+cU=")</f>
        <v>#REF!</v>
      </c>
      <c r="GQ9" t="e">
        <f>AND(#REF!,"AAAAAE1j+cY=")</f>
        <v>#REF!</v>
      </c>
      <c r="GR9" t="e">
        <f>AND(#REF!,"AAAAAE1j+cc=")</f>
        <v>#REF!</v>
      </c>
      <c r="GS9" t="e">
        <f>AND(#REF!,"AAAAAE1j+cg=")</f>
        <v>#REF!</v>
      </c>
      <c r="GT9" t="e">
        <f>AND(#REF!,"AAAAAE1j+ck=")</f>
        <v>#REF!</v>
      </c>
      <c r="GU9" t="e">
        <f>AND(#REF!,"AAAAAE1j+co=")</f>
        <v>#REF!</v>
      </c>
      <c r="GV9" t="e">
        <f>AND(#REF!,"AAAAAE1j+cs=")</f>
        <v>#REF!</v>
      </c>
      <c r="GW9" t="e">
        <f>AND(#REF!,"AAAAAE1j+cw=")</f>
        <v>#REF!</v>
      </c>
      <c r="GX9" t="e">
        <f>AND(#REF!,"AAAAAE1j+c0=")</f>
        <v>#REF!</v>
      </c>
      <c r="GY9" t="e">
        <f>AND(#REF!,"AAAAAE1j+c4=")</f>
        <v>#REF!</v>
      </c>
      <c r="GZ9" t="e">
        <f>AND(#REF!,"AAAAAE1j+c8=")</f>
        <v>#REF!</v>
      </c>
      <c r="HA9" t="e">
        <f>AND(#REF!,"AAAAAE1j+dA=")</f>
        <v>#REF!</v>
      </c>
      <c r="HB9" t="e">
        <f>AND(#REF!,"AAAAAE1j+dE=")</f>
        <v>#REF!</v>
      </c>
      <c r="HC9" t="e">
        <f>AND(#REF!,"AAAAAE1j+dI=")</f>
        <v>#REF!</v>
      </c>
      <c r="HD9" t="e">
        <f>AND(#REF!,"AAAAAE1j+dM=")</f>
        <v>#REF!</v>
      </c>
      <c r="HE9" t="e">
        <f>AND(#REF!,"AAAAAE1j+dQ=")</f>
        <v>#REF!</v>
      </c>
      <c r="HF9" t="e">
        <f>AND(#REF!,"AAAAAE1j+dU=")</f>
        <v>#REF!</v>
      </c>
      <c r="HG9" t="e">
        <f>AND(#REF!,"AAAAAE1j+dY=")</f>
        <v>#REF!</v>
      </c>
      <c r="HH9" t="e">
        <f>AND(#REF!,"AAAAAE1j+dc=")</f>
        <v>#REF!</v>
      </c>
      <c r="HI9" t="e">
        <f>AND(#REF!,"AAAAAE1j+dg=")</f>
        <v>#REF!</v>
      </c>
      <c r="HJ9" t="e">
        <f>AND(#REF!,"AAAAAE1j+dk=")</f>
        <v>#REF!</v>
      </c>
      <c r="HK9" t="e">
        <f>AND(#REF!,"AAAAAE1j+do=")</f>
        <v>#REF!</v>
      </c>
      <c r="HL9" t="e">
        <f>AND(#REF!,"AAAAAE1j+ds=")</f>
        <v>#REF!</v>
      </c>
      <c r="HM9" t="e">
        <f>AND(#REF!,"AAAAAE1j+dw=")</f>
        <v>#REF!</v>
      </c>
      <c r="HN9" t="e">
        <f>AND(#REF!,"AAAAAE1j+d0=")</f>
        <v>#REF!</v>
      </c>
      <c r="HO9" t="e">
        <f>AND(#REF!,"AAAAAE1j+d4=")</f>
        <v>#REF!</v>
      </c>
      <c r="HP9" t="e">
        <f>AND(#REF!,"AAAAAE1j+d8=")</f>
        <v>#REF!</v>
      </c>
      <c r="HQ9" t="e">
        <f>AND(#REF!,"AAAAAE1j+eA=")</f>
        <v>#REF!</v>
      </c>
      <c r="HR9" t="e">
        <f>AND(#REF!,"AAAAAE1j+eE=")</f>
        <v>#REF!</v>
      </c>
      <c r="HS9" t="e">
        <f>AND(#REF!,"AAAAAE1j+eI=")</f>
        <v>#REF!</v>
      </c>
      <c r="HT9" t="e">
        <f>AND(#REF!,"AAAAAE1j+eM=")</f>
        <v>#REF!</v>
      </c>
      <c r="HU9" t="e">
        <f>AND(#REF!,"AAAAAE1j+eQ=")</f>
        <v>#REF!</v>
      </c>
      <c r="HV9" t="e">
        <f>AND(#REF!,"AAAAAE1j+eU=")</f>
        <v>#REF!</v>
      </c>
      <c r="HW9" t="e">
        <f>AND(#REF!,"AAAAAE1j+eY=")</f>
        <v>#REF!</v>
      </c>
      <c r="HX9" t="e">
        <f>AND(#REF!,"AAAAAE1j+ec=")</f>
        <v>#REF!</v>
      </c>
      <c r="HY9" t="e">
        <f>AND(#REF!,"AAAAAE1j+eg=")</f>
        <v>#REF!</v>
      </c>
      <c r="HZ9" t="e">
        <f>AND(#REF!,"AAAAAE1j+ek=")</f>
        <v>#REF!</v>
      </c>
      <c r="IA9" t="e">
        <f>AND(#REF!,"AAAAAE1j+eo=")</f>
        <v>#REF!</v>
      </c>
      <c r="IB9" t="e">
        <f>AND(#REF!,"AAAAAE1j+es=")</f>
        <v>#REF!</v>
      </c>
      <c r="IC9" t="e">
        <f>AND(#REF!,"AAAAAE1j+ew=")</f>
        <v>#REF!</v>
      </c>
      <c r="ID9" t="e">
        <f>AND(#REF!,"AAAAAE1j+e0=")</f>
        <v>#REF!</v>
      </c>
      <c r="IE9" t="e">
        <f>AND(#REF!,"AAAAAE1j+e4=")</f>
        <v>#REF!</v>
      </c>
      <c r="IF9" t="e">
        <f>AND(#REF!,"AAAAAE1j+e8=")</f>
        <v>#REF!</v>
      </c>
      <c r="IG9" t="e">
        <f>AND(#REF!,"AAAAAE1j+fA=")</f>
        <v>#REF!</v>
      </c>
      <c r="IH9" t="e">
        <f>AND(#REF!,"AAAAAE1j+fE=")</f>
        <v>#REF!</v>
      </c>
      <c r="II9" t="e">
        <f>AND(#REF!,"AAAAAE1j+fI=")</f>
        <v>#REF!</v>
      </c>
      <c r="IJ9" t="e">
        <f>AND(#REF!,"AAAAAE1j+fM=")</f>
        <v>#REF!</v>
      </c>
      <c r="IK9" t="e">
        <f>AND(#REF!,"AAAAAE1j+fQ=")</f>
        <v>#REF!</v>
      </c>
      <c r="IL9" t="e">
        <f>AND(#REF!,"AAAAAE1j+fU=")</f>
        <v>#REF!</v>
      </c>
      <c r="IM9" t="e">
        <f>AND(#REF!,"AAAAAE1j+fY=")</f>
        <v>#REF!</v>
      </c>
      <c r="IN9" t="e">
        <f>AND(#REF!,"AAAAAE1j+fc=")</f>
        <v>#REF!</v>
      </c>
      <c r="IO9" t="e">
        <f>AND(#REF!,"AAAAAE1j+fg=")</f>
        <v>#REF!</v>
      </c>
      <c r="IP9" t="e">
        <f>AND(#REF!,"AAAAAE1j+fk=")</f>
        <v>#REF!</v>
      </c>
      <c r="IQ9" t="e">
        <f>AND(#REF!,"AAAAAE1j+fo=")</f>
        <v>#REF!</v>
      </c>
      <c r="IR9" t="e">
        <f>AND(#REF!,"AAAAAE1j+fs=")</f>
        <v>#REF!</v>
      </c>
      <c r="IS9" t="e">
        <f>AND(#REF!,"AAAAAE1j+fw=")</f>
        <v>#REF!</v>
      </c>
      <c r="IT9" t="e">
        <f>IF(#REF!,"AAAAAE1j+f0=",0)</f>
        <v>#REF!</v>
      </c>
      <c r="IU9" t="e">
        <f>AND(#REF!,"AAAAAE1j+f4=")</f>
        <v>#REF!</v>
      </c>
      <c r="IV9" t="e">
        <f>AND(#REF!,"AAAAAE1j+f8=")</f>
        <v>#REF!</v>
      </c>
    </row>
    <row r="10" spans="1:256" x14ac:dyDescent="0.25">
      <c r="A10" t="e">
        <f>AND(#REF!,"AAAAAH7V+wA=")</f>
        <v>#REF!</v>
      </c>
      <c r="B10" t="e">
        <f>AND(#REF!,"AAAAAH7V+wE=")</f>
        <v>#REF!</v>
      </c>
      <c r="C10" t="e">
        <f>AND(#REF!,"AAAAAH7V+wI=")</f>
        <v>#REF!</v>
      </c>
      <c r="D10" t="e">
        <f>AND(#REF!,"AAAAAH7V+wM=")</f>
        <v>#REF!</v>
      </c>
      <c r="E10" t="e">
        <f>AND(#REF!,"AAAAAH7V+wQ=")</f>
        <v>#REF!</v>
      </c>
      <c r="F10" t="e">
        <f>AND(#REF!,"AAAAAH7V+wU=")</f>
        <v>#REF!</v>
      </c>
      <c r="G10" t="e">
        <f>AND(#REF!,"AAAAAH7V+wY=")</f>
        <v>#REF!</v>
      </c>
      <c r="H10" t="e">
        <f>AND(#REF!,"AAAAAH7V+wc=")</f>
        <v>#REF!</v>
      </c>
      <c r="I10" t="e">
        <f>AND(#REF!,"AAAAAH7V+wg=")</f>
        <v>#REF!</v>
      </c>
      <c r="J10" t="e">
        <f>AND(#REF!,"AAAAAH7V+wk=")</f>
        <v>#REF!</v>
      </c>
      <c r="K10" t="e">
        <f>AND(#REF!,"AAAAAH7V+wo=")</f>
        <v>#REF!</v>
      </c>
      <c r="L10" t="e">
        <f>AND(#REF!,"AAAAAH7V+ws=")</f>
        <v>#REF!</v>
      </c>
      <c r="M10" t="e">
        <f>AND(#REF!,"AAAAAH7V+ww=")</f>
        <v>#REF!</v>
      </c>
      <c r="N10" t="e">
        <f>AND(#REF!,"AAAAAH7V+w0=")</f>
        <v>#REF!</v>
      </c>
      <c r="O10" t="e">
        <f>AND(#REF!,"AAAAAH7V+w4=")</f>
        <v>#REF!</v>
      </c>
      <c r="P10" t="e">
        <f>AND(#REF!,"AAAAAH7V+w8=")</f>
        <v>#REF!</v>
      </c>
      <c r="Q10" t="e">
        <f>AND(#REF!,"AAAAAH7V+xA=")</f>
        <v>#REF!</v>
      </c>
      <c r="R10" t="e">
        <f>AND(#REF!,"AAAAAH7V+xE=")</f>
        <v>#REF!</v>
      </c>
      <c r="S10" t="e">
        <f>AND(#REF!,"AAAAAH7V+xI=")</f>
        <v>#REF!</v>
      </c>
      <c r="T10" t="e">
        <f>AND(#REF!,"AAAAAH7V+xM=")</f>
        <v>#REF!</v>
      </c>
      <c r="U10" t="e">
        <f>AND(#REF!,"AAAAAH7V+xQ=")</f>
        <v>#REF!</v>
      </c>
      <c r="V10" t="e">
        <f>AND(#REF!,"AAAAAH7V+xU=")</f>
        <v>#REF!</v>
      </c>
      <c r="W10" t="e">
        <f>AND(#REF!,"AAAAAH7V+xY=")</f>
        <v>#REF!</v>
      </c>
      <c r="X10" t="e">
        <f>AND(#REF!,"AAAAAH7V+xc=")</f>
        <v>#REF!</v>
      </c>
      <c r="Y10" t="e">
        <f>AND(#REF!,"AAAAAH7V+xg=")</f>
        <v>#REF!</v>
      </c>
      <c r="Z10" t="e">
        <f>AND(#REF!,"AAAAAH7V+xk=")</f>
        <v>#REF!</v>
      </c>
      <c r="AA10" t="e">
        <f>AND(#REF!,"AAAAAH7V+xo=")</f>
        <v>#REF!</v>
      </c>
      <c r="AB10" t="e">
        <f>AND(#REF!,"AAAAAH7V+xs=")</f>
        <v>#REF!</v>
      </c>
      <c r="AC10" t="e">
        <f>AND(#REF!,"AAAAAH7V+xw=")</f>
        <v>#REF!</v>
      </c>
      <c r="AD10" t="e">
        <f>AND(#REF!,"AAAAAH7V+x0=")</f>
        <v>#REF!</v>
      </c>
      <c r="AE10" t="e">
        <f>AND(#REF!,"AAAAAH7V+x4=")</f>
        <v>#REF!</v>
      </c>
      <c r="AF10" t="e">
        <f>AND(#REF!,"AAAAAH7V+x8=")</f>
        <v>#REF!</v>
      </c>
      <c r="AG10" t="e">
        <f>AND(#REF!,"AAAAAH7V+yA=")</f>
        <v>#REF!</v>
      </c>
      <c r="AH10" t="e">
        <f>AND(#REF!,"AAAAAH7V+yE=")</f>
        <v>#REF!</v>
      </c>
      <c r="AI10" t="e">
        <f>AND(#REF!,"AAAAAH7V+yI=")</f>
        <v>#REF!</v>
      </c>
      <c r="AJ10" t="e">
        <f>AND(#REF!,"AAAAAH7V+yM=")</f>
        <v>#REF!</v>
      </c>
      <c r="AK10" t="e">
        <f>AND(#REF!,"AAAAAH7V+yQ=")</f>
        <v>#REF!</v>
      </c>
      <c r="AL10" t="e">
        <f>AND(#REF!,"AAAAAH7V+yU=")</f>
        <v>#REF!</v>
      </c>
      <c r="AM10" t="e">
        <f>AND(#REF!,"AAAAAH7V+yY=")</f>
        <v>#REF!</v>
      </c>
      <c r="AN10" t="e">
        <f>AND(#REF!,"AAAAAH7V+yc=")</f>
        <v>#REF!</v>
      </c>
      <c r="AO10" t="e">
        <f>AND(#REF!,"AAAAAH7V+yg=")</f>
        <v>#REF!</v>
      </c>
      <c r="AP10" t="e">
        <f>AND(#REF!,"AAAAAH7V+yk=")</f>
        <v>#REF!</v>
      </c>
      <c r="AQ10" t="e">
        <f>AND(#REF!,"AAAAAH7V+yo=")</f>
        <v>#REF!</v>
      </c>
      <c r="AR10" t="e">
        <f>AND(#REF!,"AAAAAH7V+ys=")</f>
        <v>#REF!</v>
      </c>
      <c r="AS10" t="e">
        <f>AND(#REF!,"AAAAAH7V+yw=")</f>
        <v>#REF!</v>
      </c>
      <c r="AT10" t="e">
        <f>AND(#REF!,"AAAAAH7V+y0=")</f>
        <v>#REF!</v>
      </c>
      <c r="AU10" t="e">
        <f>AND(#REF!,"AAAAAH7V+y4=")</f>
        <v>#REF!</v>
      </c>
      <c r="AV10" t="e">
        <f>AND(#REF!,"AAAAAH7V+y8=")</f>
        <v>#REF!</v>
      </c>
      <c r="AW10" t="e">
        <f>AND(#REF!,"AAAAAH7V+zA=")</f>
        <v>#REF!</v>
      </c>
      <c r="AX10" t="e">
        <f>AND(#REF!,"AAAAAH7V+zE=")</f>
        <v>#REF!</v>
      </c>
      <c r="AY10" t="e">
        <f>AND(#REF!,"AAAAAH7V+zI=")</f>
        <v>#REF!</v>
      </c>
      <c r="AZ10" t="e">
        <f>AND(#REF!,"AAAAAH7V+zM=")</f>
        <v>#REF!</v>
      </c>
      <c r="BA10" t="e">
        <f>AND(#REF!,"AAAAAH7V+zQ=")</f>
        <v>#REF!</v>
      </c>
      <c r="BB10" t="e">
        <f>AND(#REF!,"AAAAAH7V+zU=")</f>
        <v>#REF!</v>
      </c>
      <c r="BC10" t="e">
        <f>AND(#REF!,"AAAAAH7V+zY=")</f>
        <v>#REF!</v>
      </c>
      <c r="BD10" t="e">
        <f>AND(#REF!,"AAAAAH7V+zc=")</f>
        <v>#REF!</v>
      </c>
      <c r="BE10" t="e">
        <f>IF(#REF!,"AAAAAH7V+zg=",0)</f>
        <v>#REF!</v>
      </c>
      <c r="BF10" t="e">
        <f>AND(#REF!,"AAAAAH7V+zk=")</f>
        <v>#REF!</v>
      </c>
      <c r="BG10" t="e">
        <f>AND(#REF!,"AAAAAH7V+zo=")</f>
        <v>#REF!</v>
      </c>
      <c r="BH10" t="e">
        <f>AND(#REF!,"AAAAAH7V+zs=")</f>
        <v>#REF!</v>
      </c>
      <c r="BI10" t="e">
        <f>AND(#REF!,"AAAAAH7V+zw=")</f>
        <v>#REF!</v>
      </c>
      <c r="BJ10" t="e">
        <f>AND(#REF!,"AAAAAH7V+z0=")</f>
        <v>#REF!</v>
      </c>
      <c r="BK10" t="e">
        <f>AND(#REF!,"AAAAAH7V+z4=")</f>
        <v>#REF!</v>
      </c>
      <c r="BL10" t="e">
        <f>AND(#REF!,"AAAAAH7V+z8=")</f>
        <v>#REF!</v>
      </c>
      <c r="BM10" t="e">
        <f>AND(#REF!,"AAAAAH7V+0A=")</f>
        <v>#REF!</v>
      </c>
      <c r="BN10" t="e">
        <f>AND(#REF!,"AAAAAH7V+0E=")</f>
        <v>#REF!</v>
      </c>
      <c r="BO10" t="e">
        <f>AND(#REF!,"AAAAAH7V+0I=")</f>
        <v>#REF!</v>
      </c>
      <c r="BP10" t="e">
        <f>AND(#REF!,"AAAAAH7V+0M=")</f>
        <v>#REF!</v>
      </c>
      <c r="BQ10" t="e">
        <f>AND(#REF!,"AAAAAH7V+0Q=")</f>
        <v>#REF!</v>
      </c>
      <c r="BR10" t="e">
        <f>AND(#REF!,"AAAAAH7V+0U=")</f>
        <v>#REF!</v>
      </c>
      <c r="BS10" t="e">
        <f>AND(#REF!,"AAAAAH7V+0Y=")</f>
        <v>#REF!</v>
      </c>
      <c r="BT10" t="e">
        <f>AND(#REF!,"AAAAAH7V+0c=")</f>
        <v>#REF!</v>
      </c>
      <c r="BU10" t="e">
        <f>AND(#REF!,"AAAAAH7V+0g=")</f>
        <v>#REF!</v>
      </c>
      <c r="BV10" t="e">
        <f>AND(#REF!,"AAAAAH7V+0k=")</f>
        <v>#REF!</v>
      </c>
      <c r="BW10" t="e">
        <f>AND(#REF!,"AAAAAH7V+0o=")</f>
        <v>#REF!</v>
      </c>
      <c r="BX10" t="e">
        <f>AND(#REF!,"AAAAAH7V+0s=")</f>
        <v>#REF!</v>
      </c>
      <c r="BY10" t="e">
        <f>AND(#REF!,"AAAAAH7V+0w=")</f>
        <v>#REF!</v>
      </c>
      <c r="BZ10" t="e">
        <f>AND(#REF!,"AAAAAH7V+00=")</f>
        <v>#REF!</v>
      </c>
      <c r="CA10" t="e">
        <f>AND(#REF!,"AAAAAH7V+04=")</f>
        <v>#REF!</v>
      </c>
      <c r="CB10" t="e">
        <f>AND(#REF!,"AAAAAH7V+08=")</f>
        <v>#REF!</v>
      </c>
      <c r="CC10" t="e">
        <f>AND(#REF!,"AAAAAH7V+1A=")</f>
        <v>#REF!</v>
      </c>
      <c r="CD10" t="e">
        <f>AND(#REF!,"AAAAAH7V+1E=")</f>
        <v>#REF!</v>
      </c>
      <c r="CE10" t="e">
        <f>AND(#REF!,"AAAAAH7V+1I=")</f>
        <v>#REF!</v>
      </c>
      <c r="CF10" t="e">
        <f>AND(#REF!,"AAAAAH7V+1M=")</f>
        <v>#REF!</v>
      </c>
      <c r="CG10" t="e">
        <f>AND(#REF!,"AAAAAH7V+1Q=")</f>
        <v>#REF!</v>
      </c>
      <c r="CH10" t="e">
        <f>AND(#REF!,"AAAAAH7V+1U=")</f>
        <v>#REF!</v>
      </c>
      <c r="CI10" t="e">
        <f>AND(#REF!,"AAAAAH7V+1Y=")</f>
        <v>#REF!</v>
      </c>
      <c r="CJ10" t="e">
        <f>AND(#REF!,"AAAAAH7V+1c=")</f>
        <v>#REF!</v>
      </c>
      <c r="CK10" t="e">
        <f>AND(#REF!,"AAAAAH7V+1g=")</f>
        <v>#REF!</v>
      </c>
      <c r="CL10" t="e">
        <f>AND(#REF!,"AAAAAH7V+1k=")</f>
        <v>#REF!</v>
      </c>
      <c r="CM10" t="e">
        <f>AND(#REF!,"AAAAAH7V+1o=")</f>
        <v>#REF!</v>
      </c>
      <c r="CN10" t="e">
        <f>AND(#REF!,"AAAAAH7V+1s=")</f>
        <v>#REF!</v>
      </c>
      <c r="CO10" t="e">
        <f>AND(#REF!,"AAAAAH7V+1w=")</f>
        <v>#REF!</v>
      </c>
      <c r="CP10" t="e">
        <f>AND(#REF!,"AAAAAH7V+10=")</f>
        <v>#REF!</v>
      </c>
      <c r="CQ10" t="e">
        <f>AND(#REF!,"AAAAAH7V+14=")</f>
        <v>#REF!</v>
      </c>
      <c r="CR10" t="e">
        <f>AND(#REF!,"AAAAAH7V+18=")</f>
        <v>#REF!</v>
      </c>
      <c r="CS10" t="e">
        <f>AND(#REF!,"AAAAAH7V+2A=")</f>
        <v>#REF!</v>
      </c>
      <c r="CT10" t="e">
        <f>AND(#REF!,"AAAAAH7V+2E=")</f>
        <v>#REF!</v>
      </c>
      <c r="CU10" t="e">
        <f>AND(#REF!,"AAAAAH7V+2I=")</f>
        <v>#REF!</v>
      </c>
      <c r="CV10" t="e">
        <f>AND(#REF!,"AAAAAH7V+2M=")</f>
        <v>#REF!</v>
      </c>
      <c r="CW10" t="e">
        <f>AND(#REF!,"AAAAAH7V+2Q=")</f>
        <v>#REF!</v>
      </c>
      <c r="CX10" t="e">
        <f>AND(#REF!,"AAAAAH7V+2U=")</f>
        <v>#REF!</v>
      </c>
      <c r="CY10" t="e">
        <f>AND(#REF!,"AAAAAH7V+2Y=")</f>
        <v>#REF!</v>
      </c>
      <c r="CZ10" t="e">
        <f>AND(#REF!,"AAAAAH7V+2c=")</f>
        <v>#REF!</v>
      </c>
      <c r="DA10" t="e">
        <f>AND(#REF!,"AAAAAH7V+2g=")</f>
        <v>#REF!</v>
      </c>
      <c r="DB10" t="e">
        <f>AND(#REF!,"AAAAAH7V+2k=")</f>
        <v>#REF!</v>
      </c>
      <c r="DC10" t="e">
        <f>AND(#REF!,"AAAAAH7V+2o=")</f>
        <v>#REF!</v>
      </c>
      <c r="DD10" t="e">
        <f>AND(#REF!,"AAAAAH7V+2s=")</f>
        <v>#REF!</v>
      </c>
      <c r="DE10" t="e">
        <f>AND(#REF!,"AAAAAH7V+2w=")</f>
        <v>#REF!</v>
      </c>
      <c r="DF10" t="e">
        <f>AND(#REF!,"AAAAAH7V+20=")</f>
        <v>#REF!</v>
      </c>
      <c r="DG10" t="e">
        <f>AND(#REF!,"AAAAAH7V+24=")</f>
        <v>#REF!</v>
      </c>
      <c r="DH10" t="e">
        <f>AND(#REF!,"AAAAAH7V+28=")</f>
        <v>#REF!</v>
      </c>
      <c r="DI10" t="e">
        <f>AND(#REF!,"AAAAAH7V+3A=")</f>
        <v>#REF!</v>
      </c>
      <c r="DJ10" t="e">
        <f>AND(#REF!,"AAAAAH7V+3E=")</f>
        <v>#REF!</v>
      </c>
      <c r="DK10" t="e">
        <f>AND(#REF!,"AAAAAH7V+3I=")</f>
        <v>#REF!</v>
      </c>
      <c r="DL10" t="e">
        <f>IF(#REF!,"AAAAAH7V+3M=",0)</f>
        <v>#REF!</v>
      </c>
      <c r="DM10" t="e">
        <f>AND(#REF!,"AAAAAH7V+3Q=")</f>
        <v>#REF!</v>
      </c>
      <c r="DN10" t="e">
        <f>AND(#REF!,"AAAAAH7V+3U=")</f>
        <v>#REF!</v>
      </c>
      <c r="DO10" t="e">
        <f>AND(#REF!,"AAAAAH7V+3Y=")</f>
        <v>#REF!</v>
      </c>
      <c r="DP10" t="e">
        <f>AND(#REF!,"AAAAAH7V+3c=")</f>
        <v>#REF!</v>
      </c>
      <c r="DQ10" t="e">
        <f>AND(#REF!,"AAAAAH7V+3g=")</f>
        <v>#REF!</v>
      </c>
      <c r="DR10" t="e">
        <f>AND(#REF!,"AAAAAH7V+3k=")</f>
        <v>#REF!</v>
      </c>
      <c r="DS10" t="e">
        <f>AND(#REF!,"AAAAAH7V+3o=")</f>
        <v>#REF!</v>
      </c>
      <c r="DT10" t="e">
        <f>AND(#REF!,"AAAAAH7V+3s=")</f>
        <v>#REF!</v>
      </c>
      <c r="DU10" t="e">
        <f>AND(#REF!,"AAAAAH7V+3w=")</f>
        <v>#REF!</v>
      </c>
      <c r="DV10" t="e">
        <f>AND(#REF!,"AAAAAH7V+30=")</f>
        <v>#REF!</v>
      </c>
      <c r="DW10" t="e">
        <f>AND(#REF!,"AAAAAH7V+34=")</f>
        <v>#REF!</v>
      </c>
      <c r="DX10" t="e">
        <f>AND(#REF!,"AAAAAH7V+38=")</f>
        <v>#REF!</v>
      </c>
      <c r="DY10" t="e">
        <f>AND(#REF!,"AAAAAH7V+4A=")</f>
        <v>#REF!</v>
      </c>
      <c r="DZ10" t="e">
        <f>AND(#REF!,"AAAAAH7V+4E=")</f>
        <v>#REF!</v>
      </c>
      <c r="EA10" t="e">
        <f>AND(#REF!,"AAAAAH7V+4I=")</f>
        <v>#REF!</v>
      </c>
      <c r="EB10" t="e">
        <f>AND(#REF!,"AAAAAH7V+4M=")</f>
        <v>#REF!</v>
      </c>
      <c r="EC10" t="e">
        <f>AND(#REF!,"AAAAAH7V+4Q=")</f>
        <v>#REF!</v>
      </c>
      <c r="ED10" t="e">
        <f>AND(#REF!,"AAAAAH7V+4U=")</f>
        <v>#REF!</v>
      </c>
      <c r="EE10" t="e">
        <f>AND(#REF!,"AAAAAH7V+4Y=")</f>
        <v>#REF!</v>
      </c>
      <c r="EF10" t="e">
        <f>AND(#REF!,"AAAAAH7V+4c=")</f>
        <v>#REF!</v>
      </c>
      <c r="EG10" t="e">
        <f>AND(#REF!,"AAAAAH7V+4g=")</f>
        <v>#REF!</v>
      </c>
      <c r="EH10" t="e">
        <f>AND(#REF!,"AAAAAH7V+4k=")</f>
        <v>#REF!</v>
      </c>
      <c r="EI10" t="e">
        <f>AND(#REF!,"AAAAAH7V+4o=")</f>
        <v>#REF!</v>
      </c>
      <c r="EJ10" t="e">
        <f>AND(#REF!,"AAAAAH7V+4s=")</f>
        <v>#REF!</v>
      </c>
      <c r="EK10" t="e">
        <f>AND(#REF!,"AAAAAH7V+4w=")</f>
        <v>#REF!</v>
      </c>
      <c r="EL10" t="e">
        <f>AND(#REF!,"AAAAAH7V+40=")</f>
        <v>#REF!</v>
      </c>
      <c r="EM10" t="e">
        <f>AND(#REF!,"AAAAAH7V+44=")</f>
        <v>#REF!</v>
      </c>
      <c r="EN10" t="e">
        <f>AND(#REF!,"AAAAAH7V+48=")</f>
        <v>#REF!</v>
      </c>
      <c r="EO10" t="e">
        <f>AND(#REF!,"AAAAAH7V+5A=")</f>
        <v>#REF!</v>
      </c>
      <c r="EP10" t="e">
        <f>AND(#REF!,"AAAAAH7V+5E=")</f>
        <v>#REF!</v>
      </c>
      <c r="EQ10" t="e">
        <f>AND(#REF!,"AAAAAH7V+5I=")</f>
        <v>#REF!</v>
      </c>
      <c r="ER10" t="e">
        <f>AND(#REF!,"AAAAAH7V+5M=")</f>
        <v>#REF!</v>
      </c>
      <c r="ES10" t="e">
        <f>AND(#REF!,"AAAAAH7V+5Q=")</f>
        <v>#REF!</v>
      </c>
      <c r="ET10" t="e">
        <f>AND(#REF!,"AAAAAH7V+5U=")</f>
        <v>#REF!</v>
      </c>
      <c r="EU10" t="e">
        <f>AND(#REF!,"AAAAAH7V+5Y=")</f>
        <v>#REF!</v>
      </c>
      <c r="EV10" t="e">
        <f>AND(#REF!,"AAAAAH7V+5c=")</f>
        <v>#REF!</v>
      </c>
      <c r="EW10" t="e">
        <f>AND(#REF!,"AAAAAH7V+5g=")</f>
        <v>#REF!</v>
      </c>
      <c r="EX10" t="e">
        <f>AND(#REF!,"AAAAAH7V+5k=")</f>
        <v>#REF!</v>
      </c>
      <c r="EY10" t="e">
        <f>AND(#REF!,"AAAAAH7V+5o=")</f>
        <v>#REF!</v>
      </c>
      <c r="EZ10" t="e">
        <f>AND(#REF!,"AAAAAH7V+5s=")</f>
        <v>#REF!</v>
      </c>
      <c r="FA10" t="e">
        <f>AND(#REF!,"AAAAAH7V+5w=")</f>
        <v>#REF!</v>
      </c>
      <c r="FB10" t="e">
        <f>AND(#REF!,"AAAAAH7V+50=")</f>
        <v>#REF!</v>
      </c>
      <c r="FC10" t="e">
        <f>AND(#REF!,"AAAAAH7V+54=")</f>
        <v>#REF!</v>
      </c>
      <c r="FD10" t="e">
        <f>AND(#REF!,"AAAAAH7V+58=")</f>
        <v>#REF!</v>
      </c>
      <c r="FE10" t="e">
        <f>AND(#REF!,"AAAAAH7V+6A=")</f>
        <v>#REF!</v>
      </c>
      <c r="FF10" t="e">
        <f>AND(#REF!,"AAAAAH7V+6E=")</f>
        <v>#REF!</v>
      </c>
      <c r="FG10" t="e">
        <f>AND(#REF!,"AAAAAH7V+6I=")</f>
        <v>#REF!</v>
      </c>
      <c r="FH10" t="e">
        <f>AND(#REF!,"AAAAAH7V+6M=")</f>
        <v>#REF!</v>
      </c>
      <c r="FI10" t="e">
        <f>AND(#REF!,"AAAAAH7V+6Q=")</f>
        <v>#REF!</v>
      </c>
      <c r="FJ10" t="e">
        <f>AND(#REF!,"AAAAAH7V+6U=")</f>
        <v>#REF!</v>
      </c>
      <c r="FK10" t="e">
        <f>AND(#REF!,"AAAAAH7V+6Y=")</f>
        <v>#REF!</v>
      </c>
      <c r="FL10" t="e">
        <f>AND(#REF!,"AAAAAH7V+6c=")</f>
        <v>#REF!</v>
      </c>
      <c r="FM10" t="e">
        <f>AND(#REF!,"AAAAAH7V+6g=")</f>
        <v>#REF!</v>
      </c>
      <c r="FN10" t="e">
        <f>AND(#REF!,"AAAAAH7V+6k=")</f>
        <v>#REF!</v>
      </c>
      <c r="FO10" t="e">
        <f>AND(#REF!,"AAAAAH7V+6o=")</f>
        <v>#REF!</v>
      </c>
      <c r="FP10" t="e">
        <f>AND(#REF!,"AAAAAH7V+6s=")</f>
        <v>#REF!</v>
      </c>
      <c r="FQ10" t="e">
        <f>AND(#REF!,"AAAAAH7V+6w=")</f>
        <v>#REF!</v>
      </c>
      <c r="FR10" t="e">
        <f>AND(#REF!,"AAAAAH7V+60=")</f>
        <v>#REF!</v>
      </c>
      <c r="FS10" t="e">
        <f>IF(#REF!,"AAAAAH7V+64=",0)</f>
        <v>#REF!</v>
      </c>
      <c r="FT10" t="e">
        <f>AND(#REF!,"AAAAAH7V+68=")</f>
        <v>#REF!</v>
      </c>
      <c r="FU10" t="e">
        <f>AND(#REF!,"AAAAAH7V+7A=")</f>
        <v>#REF!</v>
      </c>
      <c r="FV10" t="e">
        <f>AND(#REF!,"AAAAAH7V+7E=")</f>
        <v>#REF!</v>
      </c>
      <c r="FW10" t="e">
        <f>AND(#REF!,"AAAAAH7V+7I=")</f>
        <v>#REF!</v>
      </c>
      <c r="FX10" t="e">
        <f>AND(#REF!,"AAAAAH7V+7M=")</f>
        <v>#REF!</v>
      </c>
      <c r="FY10" t="e">
        <f>AND(#REF!,"AAAAAH7V+7Q=")</f>
        <v>#REF!</v>
      </c>
      <c r="FZ10" t="e">
        <f>AND(#REF!,"AAAAAH7V+7U=")</f>
        <v>#REF!</v>
      </c>
      <c r="GA10" t="e">
        <f>AND(#REF!,"AAAAAH7V+7Y=")</f>
        <v>#REF!</v>
      </c>
      <c r="GB10" t="e">
        <f>AND(#REF!,"AAAAAH7V+7c=")</f>
        <v>#REF!</v>
      </c>
      <c r="GC10" t="e">
        <f>AND(#REF!,"AAAAAH7V+7g=")</f>
        <v>#REF!</v>
      </c>
      <c r="GD10" t="e">
        <f>AND(#REF!,"AAAAAH7V+7k=")</f>
        <v>#REF!</v>
      </c>
      <c r="GE10" t="e">
        <f>AND(#REF!,"AAAAAH7V+7o=")</f>
        <v>#REF!</v>
      </c>
      <c r="GF10" t="e">
        <f>AND(#REF!,"AAAAAH7V+7s=")</f>
        <v>#REF!</v>
      </c>
      <c r="GG10" t="e">
        <f>AND(#REF!,"AAAAAH7V+7w=")</f>
        <v>#REF!</v>
      </c>
      <c r="GH10" t="e">
        <f>AND(#REF!,"AAAAAH7V+70=")</f>
        <v>#REF!</v>
      </c>
      <c r="GI10" t="e">
        <f>AND(#REF!,"AAAAAH7V+74=")</f>
        <v>#REF!</v>
      </c>
      <c r="GJ10" t="e">
        <f>AND(#REF!,"AAAAAH7V+78=")</f>
        <v>#REF!</v>
      </c>
      <c r="GK10" t="e">
        <f>AND(#REF!,"AAAAAH7V+8A=")</f>
        <v>#REF!</v>
      </c>
      <c r="GL10" t="e">
        <f>AND(#REF!,"AAAAAH7V+8E=")</f>
        <v>#REF!</v>
      </c>
      <c r="GM10" t="e">
        <f>AND(#REF!,"AAAAAH7V+8I=")</f>
        <v>#REF!</v>
      </c>
      <c r="GN10" t="e">
        <f>AND(#REF!,"AAAAAH7V+8M=")</f>
        <v>#REF!</v>
      </c>
      <c r="GO10" t="e">
        <f>AND(#REF!,"AAAAAH7V+8Q=")</f>
        <v>#REF!</v>
      </c>
      <c r="GP10" t="e">
        <f>AND(#REF!,"AAAAAH7V+8U=")</f>
        <v>#REF!</v>
      </c>
      <c r="GQ10" t="e">
        <f>AND(#REF!,"AAAAAH7V+8Y=")</f>
        <v>#REF!</v>
      </c>
      <c r="GR10" t="e">
        <f>AND(#REF!,"AAAAAH7V+8c=")</f>
        <v>#REF!</v>
      </c>
      <c r="GS10" t="e">
        <f>AND(#REF!,"AAAAAH7V+8g=")</f>
        <v>#REF!</v>
      </c>
      <c r="GT10" t="e">
        <f>AND(#REF!,"AAAAAH7V+8k=")</f>
        <v>#REF!</v>
      </c>
      <c r="GU10" t="e">
        <f>AND(#REF!,"AAAAAH7V+8o=")</f>
        <v>#REF!</v>
      </c>
      <c r="GV10" t="e">
        <f>AND(#REF!,"AAAAAH7V+8s=")</f>
        <v>#REF!</v>
      </c>
      <c r="GW10" t="e">
        <f>AND(#REF!,"AAAAAH7V+8w=")</f>
        <v>#REF!</v>
      </c>
      <c r="GX10" t="e">
        <f>AND(#REF!,"AAAAAH7V+80=")</f>
        <v>#REF!</v>
      </c>
      <c r="GY10" t="e">
        <f>AND(#REF!,"AAAAAH7V+84=")</f>
        <v>#REF!</v>
      </c>
      <c r="GZ10" t="e">
        <f>AND(#REF!,"AAAAAH7V+88=")</f>
        <v>#REF!</v>
      </c>
      <c r="HA10" t="e">
        <f>AND(#REF!,"AAAAAH7V+9A=")</f>
        <v>#REF!</v>
      </c>
      <c r="HB10" t="e">
        <f>AND(#REF!,"AAAAAH7V+9E=")</f>
        <v>#REF!</v>
      </c>
      <c r="HC10" t="e">
        <f>AND(#REF!,"AAAAAH7V+9I=")</f>
        <v>#REF!</v>
      </c>
      <c r="HD10" t="e">
        <f>AND(#REF!,"AAAAAH7V+9M=")</f>
        <v>#REF!</v>
      </c>
      <c r="HE10" t="e">
        <f>AND(#REF!,"AAAAAH7V+9Q=")</f>
        <v>#REF!</v>
      </c>
      <c r="HF10" t="e">
        <f>AND(#REF!,"AAAAAH7V+9U=")</f>
        <v>#REF!</v>
      </c>
      <c r="HG10" t="e">
        <f>AND(#REF!,"AAAAAH7V+9Y=")</f>
        <v>#REF!</v>
      </c>
      <c r="HH10" t="e">
        <f>AND(#REF!,"AAAAAH7V+9c=")</f>
        <v>#REF!</v>
      </c>
      <c r="HI10" t="e">
        <f>AND(#REF!,"AAAAAH7V+9g=")</f>
        <v>#REF!</v>
      </c>
      <c r="HJ10" t="e">
        <f>AND(#REF!,"AAAAAH7V+9k=")</f>
        <v>#REF!</v>
      </c>
      <c r="HK10" t="e">
        <f>AND(#REF!,"AAAAAH7V+9o=")</f>
        <v>#REF!</v>
      </c>
      <c r="HL10" t="e">
        <f>AND(#REF!,"AAAAAH7V+9s=")</f>
        <v>#REF!</v>
      </c>
      <c r="HM10" t="e">
        <f>AND(#REF!,"AAAAAH7V+9w=")</f>
        <v>#REF!</v>
      </c>
      <c r="HN10" t="e">
        <f>AND(#REF!,"AAAAAH7V+90=")</f>
        <v>#REF!</v>
      </c>
      <c r="HO10" t="e">
        <f>AND(#REF!,"AAAAAH7V+94=")</f>
        <v>#REF!</v>
      </c>
      <c r="HP10" t="e">
        <f>AND(#REF!,"AAAAAH7V+98=")</f>
        <v>#REF!</v>
      </c>
      <c r="HQ10" t="e">
        <f>AND(#REF!,"AAAAAH7V++A=")</f>
        <v>#REF!</v>
      </c>
      <c r="HR10" t="e">
        <f>AND(#REF!,"AAAAAH7V++E=")</f>
        <v>#REF!</v>
      </c>
      <c r="HS10" t="e">
        <f>AND(#REF!,"AAAAAH7V++I=")</f>
        <v>#REF!</v>
      </c>
      <c r="HT10" t="e">
        <f>AND(#REF!,"AAAAAH7V++M=")</f>
        <v>#REF!</v>
      </c>
      <c r="HU10" t="e">
        <f>AND(#REF!,"AAAAAH7V++Q=")</f>
        <v>#REF!</v>
      </c>
      <c r="HV10" t="e">
        <f>AND(#REF!,"AAAAAH7V++U=")</f>
        <v>#REF!</v>
      </c>
      <c r="HW10" t="e">
        <f>AND(#REF!,"AAAAAH7V++Y=")</f>
        <v>#REF!</v>
      </c>
      <c r="HX10" t="e">
        <f>AND(#REF!,"AAAAAH7V++c=")</f>
        <v>#REF!</v>
      </c>
      <c r="HY10" t="e">
        <f>AND(#REF!,"AAAAAH7V++g=")</f>
        <v>#REF!</v>
      </c>
      <c r="HZ10" t="e">
        <f>IF(#REF!,"AAAAAH7V++k=",0)</f>
        <v>#REF!</v>
      </c>
      <c r="IA10" t="e">
        <f>AND(#REF!,"AAAAAH7V++o=")</f>
        <v>#REF!</v>
      </c>
      <c r="IB10" t="e">
        <f>AND(#REF!,"AAAAAH7V++s=")</f>
        <v>#REF!</v>
      </c>
      <c r="IC10" t="e">
        <f>AND(#REF!,"AAAAAH7V++w=")</f>
        <v>#REF!</v>
      </c>
      <c r="ID10" t="e">
        <f>AND(#REF!,"AAAAAH7V++0=")</f>
        <v>#REF!</v>
      </c>
      <c r="IE10" t="e">
        <f>AND(#REF!,"AAAAAH7V++4=")</f>
        <v>#REF!</v>
      </c>
      <c r="IF10" t="e">
        <f>AND(#REF!,"AAAAAH7V++8=")</f>
        <v>#REF!</v>
      </c>
      <c r="IG10" t="e">
        <f>AND(#REF!,"AAAAAH7V+/A=")</f>
        <v>#REF!</v>
      </c>
      <c r="IH10" t="e">
        <f>AND(#REF!,"AAAAAH7V+/E=")</f>
        <v>#REF!</v>
      </c>
      <c r="II10" t="e">
        <f>AND(#REF!,"AAAAAH7V+/I=")</f>
        <v>#REF!</v>
      </c>
      <c r="IJ10" t="e">
        <f>AND(#REF!,"AAAAAH7V+/M=")</f>
        <v>#REF!</v>
      </c>
      <c r="IK10" t="e">
        <f>AND(#REF!,"AAAAAH7V+/Q=")</f>
        <v>#REF!</v>
      </c>
      <c r="IL10" t="e">
        <f>AND(#REF!,"AAAAAH7V+/U=")</f>
        <v>#REF!</v>
      </c>
      <c r="IM10" t="e">
        <f>AND(#REF!,"AAAAAH7V+/Y=")</f>
        <v>#REF!</v>
      </c>
      <c r="IN10" t="e">
        <f>AND(#REF!,"AAAAAH7V+/c=")</f>
        <v>#REF!</v>
      </c>
      <c r="IO10" t="e">
        <f>AND(#REF!,"AAAAAH7V+/g=")</f>
        <v>#REF!</v>
      </c>
      <c r="IP10" t="e">
        <f>AND(#REF!,"AAAAAH7V+/k=")</f>
        <v>#REF!</v>
      </c>
      <c r="IQ10" t="e">
        <f>AND(#REF!,"AAAAAH7V+/o=")</f>
        <v>#REF!</v>
      </c>
      <c r="IR10" t="e">
        <f>AND(#REF!,"AAAAAH7V+/s=")</f>
        <v>#REF!</v>
      </c>
      <c r="IS10" t="e">
        <f>AND(#REF!,"AAAAAH7V+/w=")</f>
        <v>#REF!</v>
      </c>
      <c r="IT10" t="e">
        <f>AND(#REF!,"AAAAAH7V+/0=")</f>
        <v>#REF!</v>
      </c>
      <c r="IU10" t="e">
        <f>AND(#REF!,"AAAAAH7V+/4=")</f>
        <v>#REF!</v>
      </c>
      <c r="IV10" t="e">
        <f>AND(#REF!,"AAAAAH7V+/8=")</f>
        <v>#REF!</v>
      </c>
    </row>
    <row r="11" spans="1:256" x14ac:dyDescent="0.25">
      <c r="A11" t="e">
        <f>AND(#REF!,"AAAAAH/t7gA=")</f>
        <v>#REF!</v>
      </c>
      <c r="B11" t="e">
        <f>AND(#REF!,"AAAAAH/t7gE=")</f>
        <v>#REF!</v>
      </c>
      <c r="C11" t="e">
        <f>AND(#REF!,"AAAAAH/t7gI=")</f>
        <v>#REF!</v>
      </c>
      <c r="D11" t="e">
        <f>AND(#REF!,"AAAAAH/t7gM=")</f>
        <v>#REF!</v>
      </c>
      <c r="E11" t="e">
        <f>AND(#REF!,"AAAAAH/t7gQ=")</f>
        <v>#REF!</v>
      </c>
      <c r="F11" t="e">
        <f>AND(#REF!,"AAAAAH/t7gU=")</f>
        <v>#REF!</v>
      </c>
      <c r="G11" t="e">
        <f>AND(#REF!,"AAAAAH/t7gY=")</f>
        <v>#REF!</v>
      </c>
      <c r="H11" t="e">
        <f>AND(#REF!,"AAAAAH/t7gc=")</f>
        <v>#REF!</v>
      </c>
      <c r="I11" t="e">
        <f>AND(#REF!,"AAAAAH/t7gg=")</f>
        <v>#REF!</v>
      </c>
      <c r="J11" t="e">
        <f>AND(#REF!,"AAAAAH/t7gk=")</f>
        <v>#REF!</v>
      </c>
      <c r="K11" t="e">
        <f>AND(#REF!,"AAAAAH/t7go=")</f>
        <v>#REF!</v>
      </c>
      <c r="L11" t="e">
        <f>AND(#REF!,"AAAAAH/t7gs=")</f>
        <v>#REF!</v>
      </c>
      <c r="M11" t="e">
        <f>AND(#REF!,"AAAAAH/t7gw=")</f>
        <v>#REF!</v>
      </c>
      <c r="N11" t="e">
        <f>AND(#REF!,"AAAAAH/t7g0=")</f>
        <v>#REF!</v>
      </c>
      <c r="O11" t="e">
        <f>AND(#REF!,"AAAAAH/t7g4=")</f>
        <v>#REF!</v>
      </c>
      <c r="P11" t="e">
        <f>AND(#REF!,"AAAAAH/t7g8=")</f>
        <v>#REF!</v>
      </c>
      <c r="Q11" t="e">
        <f>AND(#REF!,"AAAAAH/t7hA=")</f>
        <v>#REF!</v>
      </c>
      <c r="R11" t="e">
        <f>AND(#REF!,"AAAAAH/t7hE=")</f>
        <v>#REF!</v>
      </c>
      <c r="S11" t="e">
        <f>AND(#REF!,"AAAAAH/t7hI=")</f>
        <v>#REF!</v>
      </c>
      <c r="T11" t="e">
        <f>AND(#REF!,"AAAAAH/t7hM=")</f>
        <v>#REF!</v>
      </c>
      <c r="U11" t="e">
        <f>AND(#REF!,"AAAAAH/t7hQ=")</f>
        <v>#REF!</v>
      </c>
      <c r="V11" t="e">
        <f>AND(#REF!,"AAAAAH/t7hU=")</f>
        <v>#REF!</v>
      </c>
      <c r="W11" t="e">
        <f>AND(#REF!,"AAAAAH/t7hY=")</f>
        <v>#REF!</v>
      </c>
      <c r="X11" t="e">
        <f>AND(#REF!,"AAAAAH/t7hc=")</f>
        <v>#REF!</v>
      </c>
      <c r="Y11" t="e">
        <f>AND(#REF!,"AAAAAH/t7hg=")</f>
        <v>#REF!</v>
      </c>
      <c r="Z11" t="e">
        <f>AND(#REF!,"AAAAAH/t7hk=")</f>
        <v>#REF!</v>
      </c>
      <c r="AA11" t="e">
        <f>AND(#REF!,"AAAAAH/t7ho=")</f>
        <v>#REF!</v>
      </c>
      <c r="AB11" t="e">
        <f>AND(#REF!,"AAAAAH/t7hs=")</f>
        <v>#REF!</v>
      </c>
      <c r="AC11" t="e">
        <f>AND(#REF!,"AAAAAH/t7hw=")</f>
        <v>#REF!</v>
      </c>
      <c r="AD11" t="e">
        <f>AND(#REF!,"AAAAAH/t7h0=")</f>
        <v>#REF!</v>
      </c>
      <c r="AE11" t="e">
        <f>AND(#REF!,"AAAAAH/t7h4=")</f>
        <v>#REF!</v>
      </c>
      <c r="AF11" t="e">
        <f>AND(#REF!,"AAAAAH/t7h8=")</f>
        <v>#REF!</v>
      </c>
      <c r="AG11" t="e">
        <f>AND(#REF!,"AAAAAH/t7iA=")</f>
        <v>#REF!</v>
      </c>
      <c r="AH11" t="e">
        <f>AND(#REF!,"AAAAAH/t7iE=")</f>
        <v>#REF!</v>
      </c>
      <c r="AI11" t="e">
        <f>AND(#REF!,"AAAAAH/t7iI=")</f>
        <v>#REF!</v>
      </c>
      <c r="AJ11" t="e">
        <f>AND(#REF!,"AAAAAH/t7iM=")</f>
        <v>#REF!</v>
      </c>
      <c r="AK11" t="e">
        <f>IF(#REF!,"AAAAAH/t7iQ=",0)</f>
        <v>#REF!</v>
      </c>
      <c r="AL11" t="e">
        <f>AND(#REF!,"AAAAAH/t7iU=")</f>
        <v>#REF!</v>
      </c>
      <c r="AM11" t="e">
        <f>AND(#REF!,"AAAAAH/t7iY=")</f>
        <v>#REF!</v>
      </c>
      <c r="AN11" t="e">
        <f>AND(#REF!,"AAAAAH/t7ic=")</f>
        <v>#REF!</v>
      </c>
      <c r="AO11" t="e">
        <f>AND(#REF!,"AAAAAH/t7ig=")</f>
        <v>#REF!</v>
      </c>
      <c r="AP11" t="e">
        <f>AND(#REF!,"AAAAAH/t7ik=")</f>
        <v>#REF!</v>
      </c>
      <c r="AQ11" t="e">
        <f>AND(#REF!,"AAAAAH/t7io=")</f>
        <v>#REF!</v>
      </c>
      <c r="AR11" t="e">
        <f>AND(#REF!,"AAAAAH/t7is=")</f>
        <v>#REF!</v>
      </c>
      <c r="AS11" t="e">
        <f>AND(#REF!,"AAAAAH/t7iw=")</f>
        <v>#REF!</v>
      </c>
      <c r="AT11" t="e">
        <f>AND(#REF!,"AAAAAH/t7i0=")</f>
        <v>#REF!</v>
      </c>
      <c r="AU11" t="e">
        <f>AND(#REF!,"AAAAAH/t7i4=")</f>
        <v>#REF!</v>
      </c>
      <c r="AV11" t="e">
        <f>AND(#REF!,"AAAAAH/t7i8=")</f>
        <v>#REF!</v>
      </c>
      <c r="AW11" t="e">
        <f>AND(#REF!,"AAAAAH/t7jA=")</f>
        <v>#REF!</v>
      </c>
      <c r="AX11" t="e">
        <f>AND(#REF!,"AAAAAH/t7jE=")</f>
        <v>#REF!</v>
      </c>
      <c r="AY11" t="e">
        <f>AND(#REF!,"AAAAAH/t7jI=")</f>
        <v>#REF!</v>
      </c>
      <c r="AZ11" t="e">
        <f>AND(#REF!,"AAAAAH/t7jM=")</f>
        <v>#REF!</v>
      </c>
      <c r="BA11" t="e">
        <f>AND(#REF!,"AAAAAH/t7jQ=")</f>
        <v>#REF!</v>
      </c>
      <c r="BB11" t="e">
        <f>AND(#REF!,"AAAAAH/t7jU=")</f>
        <v>#REF!</v>
      </c>
      <c r="BC11" t="e">
        <f>AND(#REF!,"AAAAAH/t7jY=")</f>
        <v>#REF!</v>
      </c>
      <c r="BD11" t="e">
        <f>AND(#REF!,"AAAAAH/t7jc=")</f>
        <v>#REF!</v>
      </c>
      <c r="BE11" t="e">
        <f>AND(#REF!,"AAAAAH/t7jg=")</f>
        <v>#REF!</v>
      </c>
      <c r="BF11" t="e">
        <f>AND(#REF!,"AAAAAH/t7jk=")</f>
        <v>#REF!</v>
      </c>
      <c r="BG11" t="e">
        <f>AND(#REF!,"AAAAAH/t7jo=")</f>
        <v>#REF!</v>
      </c>
      <c r="BH11" t="e">
        <f>AND(#REF!,"AAAAAH/t7js=")</f>
        <v>#REF!</v>
      </c>
      <c r="BI11" t="e">
        <f>AND(#REF!,"AAAAAH/t7jw=")</f>
        <v>#REF!</v>
      </c>
      <c r="BJ11" t="e">
        <f>AND(#REF!,"AAAAAH/t7j0=")</f>
        <v>#REF!</v>
      </c>
      <c r="BK11" t="e">
        <f>AND(#REF!,"AAAAAH/t7j4=")</f>
        <v>#REF!</v>
      </c>
      <c r="BL11" t="e">
        <f>AND(#REF!,"AAAAAH/t7j8=")</f>
        <v>#REF!</v>
      </c>
      <c r="BM11" t="e">
        <f>AND(#REF!,"AAAAAH/t7kA=")</f>
        <v>#REF!</v>
      </c>
      <c r="BN11" t="e">
        <f>AND(#REF!,"AAAAAH/t7kE=")</f>
        <v>#REF!</v>
      </c>
      <c r="BO11" t="e">
        <f>AND(#REF!,"AAAAAH/t7kI=")</f>
        <v>#REF!</v>
      </c>
      <c r="BP11" t="e">
        <f>AND(#REF!,"AAAAAH/t7kM=")</f>
        <v>#REF!</v>
      </c>
      <c r="BQ11" t="e">
        <f>AND(#REF!,"AAAAAH/t7kQ=")</f>
        <v>#REF!</v>
      </c>
      <c r="BR11" t="e">
        <f>AND(#REF!,"AAAAAH/t7kU=")</f>
        <v>#REF!</v>
      </c>
      <c r="BS11" t="e">
        <f>AND(#REF!,"AAAAAH/t7kY=")</f>
        <v>#REF!</v>
      </c>
      <c r="BT11" t="e">
        <f>AND(#REF!,"AAAAAH/t7kc=")</f>
        <v>#REF!</v>
      </c>
      <c r="BU11" t="e">
        <f>AND(#REF!,"AAAAAH/t7kg=")</f>
        <v>#REF!</v>
      </c>
      <c r="BV11" t="e">
        <f>AND(#REF!,"AAAAAH/t7kk=")</f>
        <v>#REF!</v>
      </c>
      <c r="BW11" t="e">
        <f>AND(#REF!,"AAAAAH/t7ko=")</f>
        <v>#REF!</v>
      </c>
      <c r="BX11" t="e">
        <f>AND(#REF!,"AAAAAH/t7ks=")</f>
        <v>#REF!</v>
      </c>
      <c r="BY11" t="e">
        <f>AND(#REF!,"AAAAAH/t7kw=")</f>
        <v>#REF!</v>
      </c>
      <c r="BZ11" t="e">
        <f>AND(#REF!,"AAAAAH/t7k0=")</f>
        <v>#REF!</v>
      </c>
      <c r="CA11" t="e">
        <f>AND(#REF!,"AAAAAH/t7k4=")</f>
        <v>#REF!</v>
      </c>
      <c r="CB11" t="e">
        <f>AND(#REF!,"AAAAAH/t7k8=")</f>
        <v>#REF!</v>
      </c>
      <c r="CC11" t="e">
        <f>AND(#REF!,"AAAAAH/t7lA=")</f>
        <v>#REF!</v>
      </c>
      <c r="CD11" t="e">
        <f>AND(#REF!,"AAAAAH/t7lE=")</f>
        <v>#REF!</v>
      </c>
      <c r="CE11" t="e">
        <f>AND(#REF!,"AAAAAH/t7lI=")</f>
        <v>#REF!</v>
      </c>
      <c r="CF11" t="e">
        <f>AND(#REF!,"AAAAAH/t7lM=")</f>
        <v>#REF!</v>
      </c>
      <c r="CG11" t="e">
        <f>AND(#REF!,"AAAAAH/t7lQ=")</f>
        <v>#REF!</v>
      </c>
      <c r="CH11" t="e">
        <f>AND(#REF!,"AAAAAH/t7lU=")</f>
        <v>#REF!</v>
      </c>
      <c r="CI11" t="e">
        <f>AND(#REF!,"AAAAAH/t7lY=")</f>
        <v>#REF!</v>
      </c>
      <c r="CJ11" t="e">
        <f>AND(#REF!,"AAAAAH/t7lc=")</f>
        <v>#REF!</v>
      </c>
      <c r="CK11" t="e">
        <f>AND(#REF!,"AAAAAH/t7lg=")</f>
        <v>#REF!</v>
      </c>
      <c r="CL11" t="e">
        <f>AND(#REF!,"AAAAAH/t7lk=")</f>
        <v>#REF!</v>
      </c>
      <c r="CM11" t="e">
        <f>AND(#REF!,"AAAAAH/t7lo=")</f>
        <v>#REF!</v>
      </c>
      <c r="CN11" t="e">
        <f>AND(#REF!,"AAAAAH/t7ls=")</f>
        <v>#REF!</v>
      </c>
      <c r="CO11" t="e">
        <f>AND(#REF!,"AAAAAH/t7lw=")</f>
        <v>#REF!</v>
      </c>
      <c r="CP11" t="e">
        <f>AND(#REF!,"AAAAAH/t7l0=")</f>
        <v>#REF!</v>
      </c>
      <c r="CQ11" t="e">
        <f>AND(#REF!,"AAAAAH/t7l4=")</f>
        <v>#REF!</v>
      </c>
      <c r="CR11" t="e">
        <f>IF(#REF!,"AAAAAH/t7l8=",0)</f>
        <v>#REF!</v>
      </c>
      <c r="CS11" t="e">
        <f>AND(#REF!,"AAAAAH/t7mA=")</f>
        <v>#REF!</v>
      </c>
      <c r="CT11" t="e">
        <f>AND(#REF!,"AAAAAH/t7mE=")</f>
        <v>#REF!</v>
      </c>
      <c r="CU11" t="e">
        <f>AND(#REF!,"AAAAAH/t7mI=")</f>
        <v>#REF!</v>
      </c>
      <c r="CV11" t="e">
        <f>AND(#REF!,"AAAAAH/t7mM=")</f>
        <v>#REF!</v>
      </c>
      <c r="CW11" t="e">
        <f>AND(#REF!,"AAAAAH/t7mQ=")</f>
        <v>#REF!</v>
      </c>
      <c r="CX11" t="e">
        <f>AND(#REF!,"AAAAAH/t7mU=")</f>
        <v>#REF!</v>
      </c>
      <c r="CY11" t="e">
        <f>AND(#REF!,"AAAAAH/t7mY=")</f>
        <v>#REF!</v>
      </c>
      <c r="CZ11" t="e">
        <f>AND(#REF!,"AAAAAH/t7mc=")</f>
        <v>#REF!</v>
      </c>
      <c r="DA11" t="e">
        <f>AND(#REF!,"AAAAAH/t7mg=")</f>
        <v>#REF!</v>
      </c>
      <c r="DB11" t="e">
        <f>AND(#REF!,"AAAAAH/t7mk=")</f>
        <v>#REF!</v>
      </c>
      <c r="DC11" t="e">
        <f>AND(#REF!,"AAAAAH/t7mo=")</f>
        <v>#REF!</v>
      </c>
      <c r="DD11" t="e">
        <f>AND(#REF!,"AAAAAH/t7ms=")</f>
        <v>#REF!</v>
      </c>
      <c r="DE11" t="e">
        <f>AND(#REF!,"AAAAAH/t7mw=")</f>
        <v>#REF!</v>
      </c>
      <c r="DF11" t="e">
        <f>AND(#REF!,"AAAAAH/t7m0=")</f>
        <v>#REF!</v>
      </c>
      <c r="DG11" t="e">
        <f>AND(#REF!,"AAAAAH/t7m4=")</f>
        <v>#REF!</v>
      </c>
      <c r="DH11" t="e">
        <f>AND(#REF!,"AAAAAH/t7m8=")</f>
        <v>#REF!</v>
      </c>
      <c r="DI11" t="e">
        <f>AND(#REF!,"AAAAAH/t7nA=")</f>
        <v>#REF!</v>
      </c>
      <c r="DJ11" t="e">
        <f>AND(#REF!,"AAAAAH/t7nE=")</f>
        <v>#REF!</v>
      </c>
      <c r="DK11" t="e">
        <f>AND(#REF!,"AAAAAH/t7nI=")</f>
        <v>#REF!</v>
      </c>
      <c r="DL11" t="e">
        <f>AND(#REF!,"AAAAAH/t7nM=")</f>
        <v>#REF!</v>
      </c>
      <c r="DM11" t="e">
        <f>AND(#REF!,"AAAAAH/t7nQ=")</f>
        <v>#REF!</v>
      </c>
      <c r="DN11" t="e">
        <f>AND(#REF!,"AAAAAH/t7nU=")</f>
        <v>#REF!</v>
      </c>
      <c r="DO11" t="e">
        <f>AND(#REF!,"AAAAAH/t7nY=")</f>
        <v>#REF!</v>
      </c>
      <c r="DP11" t="e">
        <f>AND(#REF!,"AAAAAH/t7nc=")</f>
        <v>#REF!</v>
      </c>
      <c r="DQ11" t="e">
        <f>AND(#REF!,"AAAAAH/t7ng=")</f>
        <v>#REF!</v>
      </c>
      <c r="DR11" t="e">
        <f>AND(#REF!,"AAAAAH/t7nk=")</f>
        <v>#REF!</v>
      </c>
      <c r="DS11" t="e">
        <f>AND(#REF!,"AAAAAH/t7no=")</f>
        <v>#REF!</v>
      </c>
      <c r="DT11" t="e">
        <f>AND(#REF!,"AAAAAH/t7ns=")</f>
        <v>#REF!</v>
      </c>
      <c r="DU11" t="e">
        <f>AND(#REF!,"AAAAAH/t7nw=")</f>
        <v>#REF!</v>
      </c>
      <c r="DV11" t="e">
        <f>AND(#REF!,"AAAAAH/t7n0=")</f>
        <v>#REF!</v>
      </c>
      <c r="DW11" t="e">
        <f>AND(#REF!,"AAAAAH/t7n4=")</f>
        <v>#REF!</v>
      </c>
      <c r="DX11" t="e">
        <f>AND(#REF!,"AAAAAH/t7n8=")</f>
        <v>#REF!</v>
      </c>
      <c r="DY11" t="e">
        <f>AND(#REF!,"AAAAAH/t7oA=")</f>
        <v>#REF!</v>
      </c>
      <c r="DZ11" t="e">
        <f>AND(#REF!,"AAAAAH/t7oE=")</f>
        <v>#REF!</v>
      </c>
      <c r="EA11" t="e">
        <f>AND(#REF!,"AAAAAH/t7oI=")</f>
        <v>#REF!</v>
      </c>
      <c r="EB11" t="e">
        <f>AND(#REF!,"AAAAAH/t7oM=")</f>
        <v>#REF!</v>
      </c>
      <c r="EC11" t="e">
        <f>AND(#REF!,"AAAAAH/t7oQ=")</f>
        <v>#REF!</v>
      </c>
      <c r="ED11" t="e">
        <f>AND(#REF!,"AAAAAH/t7oU=")</f>
        <v>#REF!</v>
      </c>
      <c r="EE11" t="e">
        <f>AND(#REF!,"AAAAAH/t7oY=")</f>
        <v>#REF!</v>
      </c>
      <c r="EF11" t="e">
        <f>AND(#REF!,"AAAAAH/t7oc=")</f>
        <v>#REF!</v>
      </c>
      <c r="EG11" t="e">
        <f>AND(#REF!,"AAAAAH/t7og=")</f>
        <v>#REF!</v>
      </c>
      <c r="EH11" t="e">
        <f>AND(#REF!,"AAAAAH/t7ok=")</f>
        <v>#REF!</v>
      </c>
      <c r="EI11" t="e">
        <f>AND(#REF!,"AAAAAH/t7oo=")</f>
        <v>#REF!</v>
      </c>
      <c r="EJ11" t="e">
        <f>AND(#REF!,"AAAAAH/t7os=")</f>
        <v>#REF!</v>
      </c>
      <c r="EK11" t="e">
        <f>AND(#REF!,"AAAAAH/t7ow=")</f>
        <v>#REF!</v>
      </c>
      <c r="EL11" t="e">
        <f>AND(#REF!,"AAAAAH/t7o0=")</f>
        <v>#REF!</v>
      </c>
      <c r="EM11" t="e">
        <f>AND(#REF!,"AAAAAH/t7o4=")</f>
        <v>#REF!</v>
      </c>
      <c r="EN11" t="e">
        <f>AND(#REF!,"AAAAAH/t7o8=")</f>
        <v>#REF!</v>
      </c>
      <c r="EO11" t="e">
        <f>AND(#REF!,"AAAAAH/t7pA=")</f>
        <v>#REF!</v>
      </c>
      <c r="EP11" t="e">
        <f>AND(#REF!,"AAAAAH/t7pE=")</f>
        <v>#REF!</v>
      </c>
      <c r="EQ11" t="e">
        <f>AND(#REF!,"AAAAAH/t7pI=")</f>
        <v>#REF!</v>
      </c>
      <c r="ER11" t="e">
        <f>AND(#REF!,"AAAAAH/t7pM=")</f>
        <v>#REF!</v>
      </c>
      <c r="ES11" t="e">
        <f>AND(#REF!,"AAAAAH/t7pQ=")</f>
        <v>#REF!</v>
      </c>
      <c r="ET11" t="e">
        <f>AND(#REF!,"AAAAAH/t7pU=")</f>
        <v>#REF!</v>
      </c>
      <c r="EU11" t="e">
        <f>AND(#REF!,"AAAAAH/t7pY=")</f>
        <v>#REF!</v>
      </c>
      <c r="EV11" t="e">
        <f>AND(#REF!,"AAAAAH/t7pc=")</f>
        <v>#REF!</v>
      </c>
      <c r="EW11" t="e">
        <f>AND(#REF!,"AAAAAH/t7pg=")</f>
        <v>#REF!</v>
      </c>
      <c r="EX11" t="e">
        <f>AND(#REF!,"AAAAAH/t7pk=")</f>
        <v>#REF!</v>
      </c>
      <c r="EY11" t="e">
        <f>IF(#REF!,"AAAAAH/t7po=",0)</f>
        <v>#REF!</v>
      </c>
      <c r="EZ11" t="e">
        <f>AND(#REF!,"AAAAAH/t7ps=")</f>
        <v>#REF!</v>
      </c>
      <c r="FA11" t="e">
        <f>AND(#REF!,"AAAAAH/t7pw=")</f>
        <v>#REF!</v>
      </c>
      <c r="FB11" t="e">
        <f>AND(#REF!,"AAAAAH/t7p0=")</f>
        <v>#REF!</v>
      </c>
      <c r="FC11" t="e">
        <f>AND(#REF!,"AAAAAH/t7p4=")</f>
        <v>#REF!</v>
      </c>
      <c r="FD11" t="e">
        <f>AND(#REF!,"AAAAAH/t7p8=")</f>
        <v>#REF!</v>
      </c>
      <c r="FE11" t="e">
        <f>AND(#REF!,"AAAAAH/t7qA=")</f>
        <v>#REF!</v>
      </c>
      <c r="FF11" t="e">
        <f>AND(#REF!,"AAAAAH/t7qE=")</f>
        <v>#REF!</v>
      </c>
      <c r="FG11" t="e">
        <f>AND(#REF!,"AAAAAH/t7qI=")</f>
        <v>#REF!</v>
      </c>
      <c r="FH11" t="e">
        <f>AND(#REF!,"AAAAAH/t7qM=")</f>
        <v>#REF!</v>
      </c>
      <c r="FI11" t="e">
        <f>AND(#REF!,"AAAAAH/t7qQ=")</f>
        <v>#REF!</v>
      </c>
      <c r="FJ11" t="e">
        <f>AND(#REF!,"AAAAAH/t7qU=")</f>
        <v>#REF!</v>
      </c>
      <c r="FK11" t="e">
        <f>AND(#REF!,"AAAAAH/t7qY=")</f>
        <v>#REF!</v>
      </c>
      <c r="FL11" t="e">
        <f>AND(#REF!,"AAAAAH/t7qc=")</f>
        <v>#REF!</v>
      </c>
      <c r="FM11" t="e">
        <f>AND(#REF!,"AAAAAH/t7qg=")</f>
        <v>#REF!</v>
      </c>
      <c r="FN11" t="e">
        <f>AND(#REF!,"AAAAAH/t7qk=")</f>
        <v>#REF!</v>
      </c>
      <c r="FO11" t="e">
        <f>AND(#REF!,"AAAAAH/t7qo=")</f>
        <v>#REF!</v>
      </c>
      <c r="FP11" t="e">
        <f>AND(#REF!,"AAAAAH/t7qs=")</f>
        <v>#REF!</v>
      </c>
      <c r="FQ11" t="e">
        <f>AND(#REF!,"AAAAAH/t7qw=")</f>
        <v>#REF!</v>
      </c>
      <c r="FR11" t="e">
        <f>AND(#REF!,"AAAAAH/t7q0=")</f>
        <v>#REF!</v>
      </c>
      <c r="FS11" t="e">
        <f>AND(#REF!,"AAAAAH/t7q4=")</f>
        <v>#REF!</v>
      </c>
      <c r="FT11" t="e">
        <f>AND(#REF!,"AAAAAH/t7q8=")</f>
        <v>#REF!</v>
      </c>
      <c r="FU11" t="e">
        <f>AND(#REF!,"AAAAAH/t7rA=")</f>
        <v>#REF!</v>
      </c>
      <c r="FV11" t="e">
        <f>AND(#REF!,"AAAAAH/t7rE=")</f>
        <v>#REF!</v>
      </c>
      <c r="FW11" t="e">
        <f>AND(#REF!,"AAAAAH/t7rI=")</f>
        <v>#REF!</v>
      </c>
      <c r="FX11" t="e">
        <f>AND(#REF!,"AAAAAH/t7rM=")</f>
        <v>#REF!</v>
      </c>
      <c r="FY11" t="e">
        <f>AND(#REF!,"AAAAAH/t7rQ=")</f>
        <v>#REF!</v>
      </c>
      <c r="FZ11" t="e">
        <f>AND(#REF!,"AAAAAH/t7rU=")</f>
        <v>#REF!</v>
      </c>
      <c r="GA11" t="e">
        <f>AND(#REF!,"AAAAAH/t7rY=")</f>
        <v>#REF!</v>
      </c>
      <c r="GB11" t="e">
        <f>AND(#REF!,"AAAAAH/t7rc=")</f>
        <v>#REF!</v>
      </c>
      <c r="GC11" t="e">
        <f>AND(#REF!,"AAAAAH/t7rg=")</f>
        <v>#REF!</v>
      </c>
      <c r="GD11" t="e">
        <f>AND(#REF!,"AAAAAH/t7rk=")</f>
        <v>#REF!</v>
      </c>
      <c r="GE11" t="e">
        <f>AND(#REF!,"AAAAAH/t7ro=")</f>
        <v>#REF!</v>
      </c>
      <c r="GF11" t="e">
        <f>AND(#REF!,"AAAAAH/t7rs=")</f>
        <v>#REF!</v>
      </c>
      <c r="GG11" t="e">
        <f>AND(#REF!,"AAAAAH/t7rw=")</f>
        <v>#REF!</v>
      </c>
      <c r="GH11" t="e">
        <f>AND(#REF!,"AAAAAH/t7r0=")</f>
        <v>#REF!</v>
      </c>
      <c r="GI11" t="e">
        <f>AND(#REF!,"AAAAAH/t7r4=")</f>
        <v>#REF!</v>
      </c>
      <c r="GJ11" t="e">
        <f>AND(#REF!,"AAAAAH/t7r8=")</f>
        <v>#REF!</v>
      </c>
      <c r="GK11" t="e">
        <f>AND(#REF!,"AAAAAH/t7sA=")</f>
        <v>#REF!</v>
      </c>
      <c r="GL11" t="e">
        <f>AND(#REF!,"AAAAAH/t7sE=")</f>
        <v>#REF!</v>
      </c>
      <c r="GM11" t="e">
        <f>AND(#REF!,"AAAAAH/t7sI=")</f>
        <v>#REF!</v>
      </c>
      <c r="GN11" t="e">
        <f>AND(#REF!,"AAAAAH/t7sM=")</f>
        <v>#REF!</v>
      </c>
      <c r="GO11" t="e">
        <f>AND(#REF!,"AAAAAH/t7sQ=")</f>
        <v>#REF!</v>
      </c>
      <c r="GP11" t="e">
        <f>AND(#REF!,"AAAAAH/t7sU=")</f>
        <v>#REF!</v>
      </c>
      <c r="GQ11" t="e">
        <f>AND(#REF!,"AAAAAH/t7sY=")</f>
        <v>#REF!</v>
      </c>
      <c r="GR11" t="e">
        <f>AND(#REF!,"AAAAAH/t7sc=")</f>
        <v>#REF!</v>
      </c>
      <c r="GS11" t="e">
        <f>AND(#REF!,"AAAAAH/t7sg=")</f>
        <v>#REF!</v>
      </c>
      <c r="GT11" t="e">
        <f>AND(#REF!,"AAAAAH/t7sk=")</f>
        <v>#REF!</v>
      </c>
      <c r="GU11" t="e">
        <f>AND(#REF!,"AAAAAH/t7so=")</f>
        <v>#REF!</v>
      </c>
      <c r="GV11" t="e">
        <f>AND(#REF!,"AAAAAH/t7ss=")</f>
        <v>#REF!</v>
      </c>
      <c r="GW11" t="e">
        <f>AND(#REF!,"AAAAAH/t7sw=")</f>
        <v>#REF!</v>
      </c>
      <c r="GX11" t="e">
        <f>AND(#REF!,"AAAAAH/t7s0=")</f>
        <v>#REF!</v>
      </c>
      <c r="GY11" t="e">
        <f>AND(#REF!,"AAAAAH/t7s4=")</f>
        <v>#REF!</v>
      </c>
      <c r="GZ11" t="e">
        <f>AND(#REF!,"AAAAAH/t7s8=")</f>
        <v>#REF!</v>
      </c>
      <c r="HA11" t="e">
        <f>AND(#REF!,"AAAAAH/t7tA=")</f>
        <v>#REF!</v>
      </c>
      <c r="HB11" t="e">
        <f>AND(#REF!,"AAAAAH/t7tE=")</f>
        <v>#REF!</v>
      </c>
      <c r="HC11" t="e">
        <f>AND(#REF!,"AAAAAH/t7tI=")</f>
        <v>#REF!</v>
      </c>
      <c r="HD11" t="e">
        <f>AND(#REF!,"AAAAAH/t7tM=")</f>
        <v>#REF!</v>
      </c>
      <c r="HE11" t="e">
        <f>AND(#REF!,"AAAAAH/t7tQ=")</f>
        <v>#REF!</v>
      </c>
      <c r="HF11" t="e">
        <f>IF(#REF!,"AAAAAH/t7tU=",0)</f>
        <v>#REF!</v>
      </c>
      <c r="HG11" t="e">
        <f>AND(#REF!,"AAAAAH/t7tY=")</f>
        <v>#REF!</v>
      </c>
      <c r="HH11" t="e">
        <f>AND(#REF!,"AAAAAH/t7tc=")</f>
        <v>#REF!</v>
      </c>
      <c r="HI11" t="e">
        <f>AND(#REF!,"AAAAAH/t7tg=")</f>
        <v>#REF!</v>
      </c>
      <c r="HJ11" t="e">
        <f>AND(#REF!,"AAAAAH/t7tk=")</f>
        <v>#REF!</v>
      </c>
      <c r="HK11" t="e">
        <f>AND(#REF!,"AAAAAH/t7to=")</f>
        <v>#REF!</v>
      </c>
      <c r="HL11" t="e">
        <f>AND(#REF!,"AAAAAH/t7ts=")</f>
        <v>#REF!</v>
      </c>
      <c r="HM11" t="e">
        <f>AND(#REF!,"AAAAAH/t7tw=")</f>
        <v>#REF!</v>
      </c>
      <c r="HN11" t="e">
        <f>AND(#REF!,"AAAAAH/t7t0=")</f>
        <v>#REF!</v>
      </c>
      <c r="HO11" t="e">
        <f>AND(#REF!,"AAAAAH/t7t4=")</f>
        <v>#REF!</v>
      </c>
      <c r="HP11" t="e">
        <f>AND(#REF!,"AAAAAH/t7t8=")</f>
        <v>#REF!</v>
      </c>
      <c r="HQ11" t="e">
        <f>AND(#REF!,"AAAAAH/t7uA=")</f>
        <v>#REF!</v>
      </c>
      <c r="HR11" t="e">
        <f>AND(#REF!,"AAAAAH/t7uE=")</f>
        <v>#REF!</v>
      </c>
      <c r="HS11" t="e">
        <f>AND(#REF!,"AAAAAH/t7uI=")</f>
        <v>#REF!</v>
      </c>
      <c r="HT11" t="e">
        <f>AND(#REF!,"AAAAAH/t7uM=")</f>
        <v>#REF!</v>
      </c>
      <c r="HU11" t="e">
        <f>AND(#REF!,"AAAAAH/t7uQ=")</f>
        <v>#REF!</v>
      </c>
      <c r="HV11" t="e">
        <f>AND(#REF!,"AAAAAH/t7uU=")</f>
        <v>#REF!</v>
      </c>
      <c r="HW11" t="e">
        <f>AND(#REF!,"AAAAAH/t7uY=")</f>
        <v>#REF!</v>
      </c>
      <c r="HX11" t="e">
        <f>AND(#REF!,"AAAAAH/t7uc=")</f>
        <v>#REF!</v>
      </c>
      <c r="HY11" t="e">
        <f>AND(#REF!,"AAAAAH/t7ug=")</f>
        <v>#REF!</v>
      </c>
      <c r="HZ11" t="e">
        <f>AND(#REF!,"AAAAAH/t7uk=")</f>
        <v>#REF!</v>
      </c>
      <c r="IA11" t="e">
        <f>AND(#REF!,"AAAAAH/t7uo=")</f>
        <v>#REF!</v>
      </c>
      <c r="IB11" t="e">
        <f>AND(#REF!,"AAAAAH/t7us=")</f>
        <v>#REF!</v>
      </c>
      <c r="IC11" t="e">
        <f>AND(#REF!,"AAAAAH/t7uw=")</f>
        <v>#REF!</v>
      </c>
      <c r="ID11" t="e">
        <f>AND(#REF!,"AAAAAH/t7u0=")</f>
        <v>#REF!</v>
      </c>
      <c r="IE11" t="e">
        <f>AND(#REF!,"AAAAAH/t7u4=")</f>
        <v>#REF!</v>
      </c>
      <c r="IF11" t="e">
        <f>AND(#REF!,"AAAAAH/t7u8=")</f>
        <v>#REF!</v>
      </c>
      <c r="IG11" t="e">
        <f>AND(#REF!,"AAAAAH/t7vA=")</f>
        <v>#REF!</v>
      </c>
      <c r="IH11" t="e">
        <f>AND(#REF!,"AAAAAH/t7vE=")</f>
        <v>#REF!</v>
      </c>
      <c r="II11" t="e">
        <f>AND(#REF!,"AAAAAH/t7vI=")</f>
        <v>#REF!</v>
      </c>
      <c r="IJ11" t="e">
        <f>AND(#REF!,"AAAAAH/t7vM=")</f>
        <v>#REF!</v>
      </c>
      <c r="IK11" t="e">
        <f>AND(#REF!,"AAAAAH/t7vQ=")</f>
        <v>#REF!</v>
      </c>
      <c r="IL11" t="e">
        <f>AND(#REF!,"AAAAAH/t7vU=")</f>
        <v>#REF!</v>
      </c>
      <c r="IM11" t="e">
        <f>AND(#REF!,"AAAAAH/t7vY=")</f>
        <v>#REF!</v>
      </c>
      <c r="IN11" t="e">
        <f>AND(#REF!,"AAAAAH/t7vc=")</f>
        <v>#REF!</v>
      </c>
      <c r="IO11" t="e">
        <f>AND(#REF!,"AAAAAH/t7vg=")</f>
        <v>#REF!</v>
      </c>
      <c r="IP11" t="e">
        <f>AND(#REF!,"AAAAAH/t7vk=")</f>
        <v>#REF!</v>
      </c>
      <c r="IQ11" t="e">
        <f>AND(#REF!,"AAAAAH/t7vo=")</f>
        <v>#REF!</v>
      </c>
      <c r="IR11" t="e">
        <f>AND(#REF!,"AAAAAH/t7vs=")</f>
        <v>#REF!</v>
      </c>
      <c r="IS11" t="e">
        <f>AND(#REF!,"AAAAAH/t7vw=")</f>
        <v>#REF!</v>
      </c>
      <c r="IT11" t="e">
        <f>AND(#REF!,"AAAAAH/t7v0=")</f>
        <v>#REF!</v>
      </c>
      <c r="IU11" t="e">
        <f>AND(#REF!,"AAAAAH/t7v4=")</f>
        <v>#REF!</v>
      </c>
      <c r="IV11" t="e">
        <f>AND(#REF!,"AAAAAH/t7v8=")</f>
        <v>#REF!</v>
      </c>
    </row>
    <row r="12" spans="1:256" x14ac:dyDescent="0.25">
      <c r="A12" t="e">
        <f>AND(#REF!,"AAAAAHa2twA=")</f>
        <v>#REF!</v>
      </c>
      <c r="B12" t="e">
        <f>AND(#REF!,"AAAAAHa2twE=")</f>
        <v>#REF!</v>
      </c>
      <c r="C12" t="e">
        <f>AND(#REF!,"AAAAAHa2twI=")</f>
        <v>#REF!</v>
      </c>
      <c r="D12" t="e">
        <f>AND(#REF!,"AAAAAHa2twM=")</f>
        <v>#REF!</v>
      </c>
      <c r="E12" t="e">
        <f>AND(#REF!,"AAAAAHa2twQ=")</f>
        <v>#REF!</v>
      </c>
      <c r="F12" t="e">
        <f>AND(#REF!,"AAAAAHa2twU=")</f>
        <v>#REF!</v>
      </c>
      <c r="G12" t="e">
        <f>AND(#REF!,"AAAAAHa2twY=")</f>
        <v>#REF!</v>
      </c>
      <c r="H12" t="e">
        <f>AND(#REF!,"AAAAAHa2twc=")</f>
        <v>#REF!</v>
      </c>
      <c r="I12" t="e">
        <f>AND(#REF!,"AAAAAHa2twg=")</f>
        <v>#REF!</v>
      </c>
      <c r="J12" t="e">
        <f>AND(#REF!,"AAAAAHa2twk=")</f>
        <v>#REF!</v>
      </c>
      <c r="K12" t="e">
        <f>AND(#REF!,"AAAAAHa2two=")</f>
        <v>#REF!</v>
      </c>
      <c r="L12" t="e">
        <f>AND(#REF!,"AAAAAHa2tws=")</f>
        <v>#REF!</v>
      </c>
      <c r="M12" t="e">
        <f>AND(#REF!,"AAAAAHa2tww=")</f>
        <v>#REF!</v>
      </c>
      <c r="N12" t="e">
        <f>AND(#REF!,"AAAAAHa2tw0=")</f>
        <v>#REF!</v>
      </c>
      <c r="O12" t="e">
        <f>AND(#REF!,"AAAAAHa2tw4=")</f>
        <v>#REF!</v>
      </c>
      <c r="P12" t="e">
        <f>AND(#REF!,"AAAAAHa2tw8=")</f>
        <v>#REF!</v>
      </c>
      <c r="Q12" t="e">
        <f>IF(#REF!,"AAAAAHa2txA=",0)</f>
        <v>#REF!</v>
      </c>
      <c r="R12" t="e">
        <f>AND(#REF!,"AAAAAHa2txE=")</f>
        <v>#REF!</v>
      </c>
      <c r="S12" t="e">
        <f>AND(#REF!,"AAAAAHa2txI=")</f>
        <v>#REF!</v>
      </c>
      <c r="T12" t="e">
        <f>AND(#REF!,"AAAAAHa2txM=")</f>
        <v>#REF!</v>
      </c>
      <c r="U12" t="e">
        <f>AND(#REF!,"AAAAAHa2txQ=")</f>
        <v>#REF!</v>
      </c>
      <c r="V12" t="e">
        <f>AND(#REF!,"AAAAAHa2txU=")</f>
        <v>#REF!</v>
      </c>
      <c r="W12" t="e">
        <f>AND(#REF!,"AAAAAHa2txY=")</f>
        <v>#REF!</v>
      </c>
      <c r="X12" t="e">
        <f>AND(#REF!,"AAAAAHa2txc=")</f>
        <v>#REF!</v>
      </c>
      <c r="Y12" t="e">
        <f>AND(#REF!,"AAAAAHa2txg=")</f>
        <v>#REF!</v>
      </c>
      <c r="Z12" t="e">
        <f>AND(#REF!,"AAAAAHa2txk=")</f>
        <v>#REF!</v>
      </c>
      <c r="AA12" t="e">
        <f>AND(#REF!,"AAAAAHa2txo=")</f>
        <v>#REF!</v>
      </c>
      <c r="AB12" t="e">
        <f>AND(#REF!,"AAAAAHa2txs=")</f>
        <v>#REF!</v>
      </c>
      <c r="AC12" t="e">
        <f>AND(#REF!,"AAAAAHa2txw=")</f>
        <v>#REF!</v>
      </c>
      <c r="AD12" t="e">
        <f>AND(#REF!,"AAAAAHa2tx0=")</f>
        <v>#REF!</v>
      </c>
      <c r="AE12" t="e">
        <f>AND(#REF!,"AAAAAHa2tx4=")</f>
        <v>#REF!</v>
      </c>
      <c r="AF12" t="e">
        <f>AND(#REF!,"AAAAAHa2tx8=")</f>
        <v>#REF!</v>
      </c>
      <c r="AG12" t="e">
        <f>AND(#REF!,"AAAAAHa2tyA=")</f>
        <v>#REF!</v>
      </c>
      <c r="AH12" t="e">
        <f>AND(#REF!,"AAAAAHa2tyE=")</f>
        <v>#REF!</v>
      </c>
      <c r="AI12" t="e">
        <f>AND(#REF!,"AAAAAHa2tyI=")</f>
        <v>#REF!</v>
      </c>
      <c r="AJ12" t="e">
        <f>AND(#REF!,"AAAAAHa2tyM=")</f>
        <v>#REF!</v>
      </c>
      <c r="AK12" t="e">
        <f>AND(#REF!,"AAAAAHa2tyQ=")</f>
        <v>#REF!</v>
      </c>
      <c r="AL12" t="e">
        <f>AND(#REF!,"AAAAAHa2tyU=")</f>
        <v>#REF!</v>
      </c>
      <c r="AM12" t="e">
        <f>AND(#REF!,"AAAAAHa2tyY=")</f>
        <v>#REF!</v>
      </c>
      <c r="AN12" t="e">
        <f>AND(#REF!,"AAAAAHa2tyc=")</f>
        <v>#REF!</v>
      </c>
      <c r="AO12" t="e">
        <f>AND(#REF!,"AAAAAHa2tyg=")</f>
        <v>#REF!</v>
      </c>
      <c r="AP12" t="e">
        <f>AND(#REF!,"AAAAAHa2tyk=")</f>
        <v>#REF!</v>
      </c>
      <c r="AQ12" t="e">
        <f>AND(#REF!,"AAAAAHa2tyo=")</f>
        <v>#REF!</v>
      </c>
      <c r="AR12" t="e">
        <f>AND(#REF!,"AAAAAHa2tys=")</f>
        <v>#REF!</v>
      </c>
      <c r="AS12" t="e">
        <f>AND(#REF!,"AAAAAHa2tyw=")</f>
        <v>#REF!</v>
      </c>
      <c r="AT12" t="e">
        <f>AND(#REF!,"AAAAAHa2ty0=")</f>
        <v>#REF!</v>
      </c>
      <c r="AU12" t="e">
        <f>AND(#REF!,"AAAAAHa2ty4=")</f>
        <v>#REF!</v>
      </c>
      <c r="AV12" t="e">
        <f>AND(#REF!,"AAAAAHa2ty8=")</f>
        <v>#REF!</v>
      </c>
      <c r="AW12" t="e">
        <f>AND(#REF!,"AAAAAHa2tzA=")</f>
        <v>#REF!</v>
      </c>
      <c r="AX12" t="e">
        <f>AND(#REF!,"AAAAAHa2tzE=")</f>
        <v>#REF!</v>
      </c>
      <c r="AY12" t="e">
        <f>AND(#REF!,"AAAAAHa2tzI=")</f>
        <v>#REF!</v>
      </c>
      <c r="AZ12" t="e">
        <f>AND(#REF!,"AAAAAHa2tzM=")</f>
        <v>#REF!</v>
      </c>
      <c r="BA12" t="e">
        <f>AND(#REF!,"AAAAAHa2tzQ=")</f>
        <v>#REF!</v>
      </c>
      <c r="BB12" t="e">
        <f>AND(#REF!,"AAAAAHa2tzU=")</f>
        <v>#REF!</v>
      </c>
      <c r="BC12" t="e">
        <f>AND(#REF!,"AAAAAHa2tzY=")</f>
        <v>#REF!</v>
      </c>
      <c r="BD12" t="e">
        <f>AND(#REF!,"AAAAAHa2tzc=")</f>
        <v>#REF!</v>
      </c>
      <c r="BE12" t="e">
        <f>AND(#REF!,"AAAAAHa2tzg=")</f>
        <v>#REF!</v>
      </c>
      <c r="BF12" t="e">
        <f>AND(#REF!,"AAAAAHa2tzk=")</f>
        <v>#REF!</v>
      </c>
      <c r="BG12" t="e">
        <f>AND(#REF!,"AAAAAHa2tzo=")</f>
        <v>#REF!</v>
      </c>
      <c r="BH12" t="e">
        <f>AND(#REF!,"AAAAAHa2tzs=")</f>
        <v>#REF!</v>
      </c>
      <c r="BI12" t="e">
        <f>AND(#REF!,"AAAAAHa2tzw=")</f>
        <v>#REF!</v>
      </c>
      <c r="BJ12" t="e">
        <f>AND(#REF!,"AAAAAHa2tz0=")</f>
        <v>#REF!</v>
      </c>
      <c r="BK12" t="e">
        <f>AND(#REF!,"AAAAAHa2tz4=")</f>
        <v>#REF!</v>
      </c>
      <c r="BL12" t="e">
        <f>AND(#REF!,"AAAAAHa2tz8=")</f>
        <v>#REF!</v>
      </c>
      <c r="BM12" t="e">
        <f>AND(#REF!,"AAAAAHa2t0A=")</f>
        <v>#REF!</v>
      </c>
      <c r="BN12" t="e">
        <f>AND(#REF!,"AAAAAHa2t0E=")</f>
        <v>#REF!</v>
      </c>
      <c r="BO12" t="e">
        <f>AND(#REF!,"AAAAAHa2t0I=")</f>
        <v>#REF!</v>
      </c>
      <c r="BP12" t="e">
        <f>AND(#REF!,"AAAAAHa2t0M=")</f>
        <v>#REF!</v>
      </c>
      <c r="BQ12" t="e">
        <f>AND(#REF!,"AAAAAHa2t0Q=")</f>
        <v>#REF!</v>
      </c>
      <c r="BR12" t="e">
        <f>AND(#REF!,"AAAAAHa2t0U=")</f>
        <v>#REF!</v>
      </c>
      <c r="BS12" t="e">
        <f>AND(#REF!,"AAAAAHa2t0Y=")</f>
        <v>#REF!</v>
      </c>
      <c r="BT12" t="e">
        <f>AND(#REF!,"AAAAAHa2t0c=")</f>
        <v>#REF!</v>
      </c>
      <c r="BU12" t="e">
        <f>AND(#REF!,"AAAAAHa2t0g=")</f>
        <v>#REF!</v>
      </c>
      <c r="BV12" t="e">
        <f>AND(#REF!,"AAAAAHa2t0k=")</f>
        <v>#REF!</v>
      </c>
      <c r="BW12" t="e">
        <f>AND(#REF!,"AAAAAHa2t0o=")</f>
        <v>#REF!</v>
      </c>
      <c r="BX12" t="e">
        <f>IF(#REF!,"AAAAAHa2t0s=",0)</f>
        <v>#REF!</v>
      </c>
      <c r="BY12" t="e">
        <f>AND(#REF!,"AAAAAHa2t0w=")</f>
        <v>#REF!</v>
      </c>
      <c r="BZ12" t="e">
        <f>AND(#REF!,"AAAAAHa2t00=")</f>
        <v>#REF!</v>
      </c>
      <c r="CA12" t="e">
        <f>AND(#REF!,"AAAAAHa2t04=")</f>
        <v>#REF!</v>
      </c>
      <c r="CB12" t="e">
        <f>AND(#REF!,"AAAAAHa2t08=")</f>
        <v>#REF!</v>
      </c>
      <c r="CC12" t="e">
        <f>AND(#REF!,"AAAAAHa2t1A=")</f>
        <v>#REF!</v>
      </c>
      <c r="CD12" t="e">
        <f>AND(#REF!,"AAAAAHa2t1E=")</f>
        <v>#REF!</v>
      </c>
      <c r="CE12" t="e">
        <f>AND(#REF!,"AAAAAHa2t1I=")</f>
        <v>#REF!</v>
      </c>
      <c r="CF12" t="e">
        <f>AND(#REF!,"AAAAAHa2t1M=")</f>
        <v>#REF!</v>
      </c>
      <c r="CG12" t="e">
        <f>AND(#REF!,"AAAAAHa2t1Q=")</f>
        <v>#REF!</v>
      </c>
      <c r="CH12" t="e">
        <f>AND(#REF!,"AAAAAHa2t1U=")</f>
        <v>#REF!</v>
      </c>
      <c r="CI12" t="e">
        <f>AND(#REF!,"AAAAAHa2t1Y=")</f>
        <v>#REF!</v>
      </c>
      <c r="CJ12" t="e">
        <f>AND(#REF!,"AAAAAHa2t1c=")</f>
        <v>#REF!</v>
      </c>
      <c r="CK12" t="e">
        <f>AND(#REF!,"AAAAAHa2t1g=")</f>
        <v>#REF!</v>
      </c>
      <c r="CL12" t="e">
        <f>AND(#REF!,"AAAAAHa2t1k=")</f>
        <v>#REF!</v>
      </c>
      <c r="CM12" t="e">
        <f>AND(#REF!,"AAAAAHa2t1o=")</f>
        <v>#REF!</v>
      </c>
      <c r="CN12" t="e">
        <f>AND(#REF!,"AAAAAHa2t1s=")</f>
        <v>#REF!</v>
      </c>
      <c r="CO12" t="e">
        <f>AND(#REF!,"AAAAAHa2t1w=")</f>
        <v>#REF!</v>
      </c>
      <c r="CP12" t="e">
        <f>AND(#REF!,"AAAAAHa2t10=")</f>
        <v>#REF!</v>
      </c>
      <c r="CQ12" t="e">
        <f>AND(#REF!,"AAAAAHa2t14=")</f>
        <v>#REF!</v>
      </c>
      <c r="CR12" t="e">
        <f>AND(#REF!,"AAAAAHa2t18=")</f>
        <v>#REF!</v>
      </c>
      <c r="CS12" t="e">
        <f>AND(#REF!,"AAAAAHa2t2A=")</f>
        <v>#REF!</v>
      </c>
      <c r="CT12" t="e">
        <f>AND(#REF!,"AAAAAHa2t2E=")</f>
        <v>#REF!</v>
      </c>
      <c r="CU12" t="e">
        <f>AND(#REF!,"AAAAAHa2t2I=")</f>
        <v>#REF!</v>
      </c>
      <c r="CV12" t="e">
        <f>AND(#REF!,"AAAAAHa2t2M=")</f>
        <v>#REF!</v>
      </c>
      <c r="CW12" t="e">
        <f>AND(#REF!,"AAAAAHa2t2Q=")</f>
        <v>#REF!</v>
      </c>
      <c r="CX12" t="e">
        <f>AND(#REF!,"AAAAAHa2t2U=")</f>
        <v>#REF!</v>
      </c>
      <c r="CY12" t="e">
        <f>AND(#REF!,"AAAAAHa2t2Y=")</f>
        <v>#REF!</v>
      </c>
      <c r="CZ12" t="e">
        <f>AND(#REF!,"AAAAAHa2t2c=")</f>
        <v>#REF!</v>
      </c>
      <c r="DA12" t="e">
        <f>AND(#REF!,"AAAAAHa2t2g=")</f>
        <v>#REF!</v>
      </c>
      <c r="DB12" t="e">
        <f>AND(#REF!,"AAAAAHa2t2k=")</f>
        <v>#REF!</v>
      </c>
      <c r="DC12" t="e">
        <f>AND(#REF!,"AAAAAHa2t2o=")</f>
        <v>#REF!</v>
      </c>
      <c r="DD12" t="e">
        <f>AND(#REF!,"AAAAAHa2t2s=")</f>
        <v>#REF!</v>
      </c>
      <c r="DE12" t="e">
        <f>AND(#REF!,"AAAAAHa2t2w=")</f>
        <v>#REF!</v>
      </c>
      <c r="DF12" t="e">
        <f>AND(#REF!,"AAAAAHa2t20=")</f>
        <v>#REF!</v>
      </c>
      <c r="DG12" t="e">
        <f>AND(#REF!,"AAAAAHa2t24=")</f>
        <v>#REF!</v>
      </c>
      <c r="DH12" t="e">
        <f>AND(#REF!,"AAAAAHa2t28=")</f>
        <v>#REF!</v>
      </c>
      <c r="DI12" t="e">
        <f>AND(#REF!,"AAAAAHa2t3A=")</f>
        <v>#REF!</v>
      </c>
      <c r="DJ12" t="e">
        <f>AND(#REF!,"AAAAAHa2t3E=")</f>
        <v>#REF!</v>
      </c>
      <c r="DK12" t="e">
        <f>AND(#REF!,"AAAAAHa2t3I=")</f>
        <v>#REF!</v>
      </c>
      <c r="DL12" t="e">
        <f>AND(#REF!,"AAAAAHa2t3M=")</f>
        <v>#REF!</v>
      </c>
      <c r="DM12" t="e">
        <f>AND(#REF!,"AAAAAHa2t3Q=")</f>
        <v>#REF!</v>
      </c>
      <c r="DN12" t="e">
        <f>AND(#REF!,"AAAAAHa2t3U=")</f>
        <v>#REF!</v>
      </c>
      <c r="DO12" t="e">
        <f>AND(#REF!,"AAAAAHa2t3Y=")</f>
        <v>#REF!</v>
      </c>
      <c r="DP12" t="e">
        <f>AND(#REF!,"AAAAAHa2t3c=")</f>
        <v>#REF!</v>
      </c>
      <c r="DQ12" t="e">
        <f>AND(#REF!,"AAAAAHa2t3g=")</f>
        <v>#REF!</v>
      </c>
      <c r="DR12" t="e">
        <f>AND(#REF!,"AAAAAHa2t3k=")</f>
        <v>#REF!</v>
      </c>
      <c r="DS12" t="e">
        <f>AND(#REF!,"AAAAAHa2t3o=")</f>
        <v>#REF!</v>
      </c>
      <c r="DT12" t="e">
        <f>AND(#REF!,"AAAAAHa2t3s=")</f>
        <v>#REF!</v>
      </c>
      <c r="DU12" t="e">
        <f>AND(#REF!,"AAAAAHa2t3w=")</f>
        <v>#REF!</v>
      </c>
      <c r="DV12" t="e">
        <f>AND(#REF!,"AAAAAHa2t30=")</f>
        <v>#REF!</v>
      </c>
      <c r="DW12" t="e">
        <f>AND(#REF!,"AAAAAHa2t34=")</f>
        <v>#REF!</v>
      </c>
      <c r="DX12" t="e">
        <f>AND(#REF!,"AAAAAHa2t38=")</f>
        <v>#REF!</v>
      </c>
      <c r="DY12" t="e">
        <f>AND(#REF!,"AAAAAHa2t4A=")</f>
        <v>#REF!</v>
      </c>
      <c r="DZ12" t="e">
        <f>AND(#REF!,"AAAAAHa2t4E=")</f>
        <v>#REF!</v>
      </c>
      <c r="EA12" t="e">
        <f>AND(#REF!,"AAAAAHa2t4I=")</f>
        <v>#REF!</v>
      </c>
      <c r="EB12" t="e">
        <f>AND(#REF!,"AAAAAHa2t4M=")</f>
        <v>#REF!</v>
      </c>
      <c r="EC12" t="e">
        <f>AND(#REF!,"AAAAAHa2t4Q=")</f>
        <v>#REF!</v>
      </c>
      <c r="ED12" t="e">
        <f>AND(#REF!,"AAAAAHa2t4U=")</f>
        <v>#REF!</v>
      </c>
      <c r="EE12" t="e">
        <f>IF(#REF!,"AAAAAHa2t4Y=",0)</f>
        <v>#REF!</v>
      </c>
      <c r="EF12" t="e">
        <f>AND(#REF!,"AAAAAHa2t4c=")</f>
        <v>#REF!</v>
      </c>
      <c r="EG12" t="e">
        <f>AND(#REF!,"AAAAAHa2t4g=")</f>
        <v>#REF!</v>
      </c>
      <c r="EH12" t="e">
        <f>AND(#REF!,"AAAAAHa2t4k=")</f>
        <v>#REF!</v>
      </c>
      <c r="EI12" t="e">
        <f>AND(#REF!,"AAAAAHa2t4o=")</f>
        <v>#REF!</v>
      </c>
      <c r="EJ12" t="e">
        <f>AND(#REF!,"AAAAAHa2t4s=")</f>
        <v>#REF!</v>
      </c>
      <c r="EK12" t="e">
        <f>AND(#REF!,"AAAAAHa2t4w=")</f>
        <v>#REF!</v>
      </c>
      <c r="EL12" t="e">
        <f>AND(#REF!,"AAAAAHa2t40=")</f>
        <v>#REF!</v>
      </c>
      <c r="EM12" t="e">
        <f>AND(#REF!,"AAAAAHa2t44=")</f>
        <v>#REF!</v>
      </c>
      <c r="EN12" t="e">
        <f>AND(#REF!,"AAAAAHa2t48=")</f>
        <v>#REF!</v>
      </c>
      <c r="EO12" t="e">
        <f>AND(#REF!,"AAAAAHa2t5A=")</f>
        <v>#REF!</v>
      </c>
      <c r="EP12" t="e">
        <f>AND(#REF!,"AAAAAHa2t5E=")</f>
        <v>#REF!</v>
      </c>
      <c r="EQ12" t="e">
        <f>AND(#REF!,"AAAAAHa2t5I=")</f>
        <v>#REF!</v>
      </c>
      <c r="ER12" t="e">
        <f>AND(#REF!,"AAAAAHa2t5M=")</f>
        <v>#REF!</v>
      </c>
      <c r="ES12" t="e">
        <f>AND(#REF!,"AAAAAHa2t5Q=")</f>
        <v>#REF!</v>
      </c>
      <c r="ET12" t="e">
        <f>AND(#REF!,"AAAAAHa2t5U=")</f>
        <v>#REF!</v>
      </c>
      <c r="EU12" t="e">
        <f>AND(#REF!,"AAAAAHa2t5Y=")</f>
        <v>#REF!</v>
      </c>
      <c r="EV12" t="e">
        <f>AND(#REF!,"AAAAAHa2t5c=")</f>
        <v>#REF!</v>
      </c>
      <c r="EW12" t="e">
        <f>AND(#REF!,"AAAAAHa2t5g=")</f>
        <v>#REF!</v>
      </c>
      <c r="EX12" t="e">
        <f>AND(#REF!,"AAAAAHa2t5k=")</f>
        <v>#REF!</v>
      </c>
      <c r="EY12" t="e">
        <f>AND(#REF!,"AAAAAHa2t5o=")</f>
        <v>#REF!</v>
      </c>
      <c r="EZ12" t="e">
        <f>AND(#REF!,"AAAAAHa2t5s=")</f>
        <v>#REF!</v>
      </c>
      <c r="FA12" t="e">
        <f>AND(#REF!,"AAAAAHa2t5w=")</f>
        <v>#REF!</v>
      </c>
      <c r="FB12" t="e">
        <f>AND(#REF!,"AAAAAHa2t50=")</f>
        <v>#REF!</v>
      </c>
      <c r="FC12" t="e">
        <f>AND(#REF!,"AAAAAHa2t54=")</f>
        <v>#REF!</v>
      </c>
      <c r="FD12" t="e">
        <f>AND(#REF!,"AAAAAHa2t58=")</f>
        <v>#REF!</v>
      </c>
      <c r="FE12" t="e">
        <f>AND(#REF!,"AAAAAHa2t6A=")</f>
        <v>#REF!</v>
      </c>
      <c r="FF12" t="e">
        <f>AND(#REF!,"AAAAAHa2t6E=")</f>
        <v>#REF!</v>
      </c>
      <c r="FG12" t="e">
        <f>AND(#REF!,"AAAAAHa2t6I=")</f>
        <v>#REF!</v>
      </c>
      <c r="FH12" t="e">
        <f>AND(#REF!,"AAAAAHa2t6M=")</f>
        <v>#REF!</v>
      </c>
      <c r="FI12" t="e">
        <f>AND(#REF!,"AAAAAHa2t6Q=")</f>
        <v>#REF!</v>
      </c>
      <c r="FJ12" t="e">
        <f>AND(#REF!,"AAAAAHa2t6U=")</f>
        <v>#REF!</v>
      </c>
      <c r="FK12" t="e">
        <f>AND(#REF!,"AAAAAHa2t6Y=")</f>
        <v>#REF!</v>
      </c>
      <c r="FL12" t="e">
        <f>AND(#REF!,"AAAAAHa2t6c=")</f>
        <v>#REF!</v>
      </c>
      <c r="FM12" t="e">
        <f>AND(#REF!,"AAAAAHa2t6g=")</f>
        <v>#REF!</v>
      </c>
      <c r="FN12" t="e">
        <f>AND(#REF!,"AAAAAHa2t6k=")</f>
        <v>#REF!</v>
      </c>
      <c r="FO12" t="e">
        <f>AND(#REF!,"AAAAAHa2t6o=")</f>
        <v>#REF!</v>
      </c>
      <c r="FP12" t="e">
        <f>AND(#REF!,"AAAAAHa2t6s=")</f>
        <v>#REF!</v>
      </c>
      <c r="FQ12" t="e">
        <f>AND(#REF!,"AAAAAHa2t6w=")</f>
        <v>#REF!</v>
      </c>
      <c r="FR12" t="e">
        <f>AND(#REF!,"AAAAAHa2t60=")</f>
        <v>#REF!</v>
      </c>
      <c r="FS12" t="e">
        <f>AND(#REF!,"AAAAAHa2t64=")</f>
        <v>#REF!</v>
      </c>
      <c r="FT12" t="e">
        <f>AND(#REF!,"AAAAAHa2t68=")</f>
        <v>#REF!</v>
      </c>
      <c r="FU12" t="e">
        <f>AND(#REF!,"AAAAAHa2t7A=")</f>
        <v>#REF!</v>
      </c>
      <c r="FV12" t="e">
        <f>AND(#REF!,"AAAAAHa2t7E=")</f>
        <v>#REF!</v>
      </c>
      <c r="FW12" t="e">
        <f>AND(#REF!,"AAAAAHa2t7I=")</f>
        <v>#REF!</v>
      </c>
      <c r="FX12" t="e">
        <f>AND(#REF!,"AAAAAHa2t7M=")</f>
        <v>#REF!</v>
      </c>
      <c r="FY12" t="e">
        <f>AND(#REF!,"AAAAAHa2t7Q=")</f>
        <v>#REF!</v>
      </c>
      <c r="FZ12" t="e">
        <f>AND(#REF!,"AAAAAHa2t7U=")</f>
        <v>#REF!</v>
      </c>
      <c r="GA12" t="e">
        <f>AND(#REF!,"AAAAAHa2t7Y=")</f>
        <v>#REF!</v>
      </c>
      <c r="GB12" t="e">
        <f>AND(#REF!,"AAAAAHa2t7c=")</f>
        <v>#REF!</v>
      </c>
      <c r="GC12" t="e">
        <f>AND(#REF!,"AAAAAHa2t7g=")</f>
        <v>#REF!</v>
      </c>
      <c r="GD12" t="e">
        <f>AND(#REF!,"AAAAAHa2t7k=")</f>
        <v>#REF!</v>
      </c>
      <c r="GE12" t="e">
        <f>AND(#REF!,"AAAAAHa2t7o=")</f>
        <v>#REF!</v>
      </c>
      <c r="GF12" t="e">
        <f>AND(#REF!,"AAAAAHa2t7s=")</f>
        <v>#REF!</v>
      </c>
      <c r="GG12" t="e">
        <f>AND(#REF!,"AAAAAHa2t7w=")</f>
        <v>#REF!</v>
      </c>
      <c r="GH12" t="e">
        <f>AND(#REF!,"AAAAAHa2t70=")</f>
        <v>#REF!</v>
      </c>
      <c r="GI12" t="e">
        <f>AND(#REF!,"AAAAAHa2t74=")</f>
        <v>#REF!</v>
      </c>
      <c r="GJ12" t="e">
        <f>AND(#REF!,"AAAAAHa2t78=")</f>
        <v>#REF!</v>
      </c>
      <c r="GK12" t="e">
        <f>AND(#REF!,"AAAAAHa2t8A=")</f>
        <v>#REF!</v>
      </c>
      <c r="GL12" t="e">
        <f>IF(#REF!,"AAAAAHa2t8E=",0)</f>
        <v>#REF!</v>
      </c>
      <c r="GM12" t="e">
        <f>AND(#REF!,"AAAAAHa2t8I=")</f>
        <v>#REF!</v>
      </c>
      <c r="GN12" t="e">
        <f>AND(#REF!,"AAAAAHa2t8M=")</f>
        <v>#REF!</v>
      </c>
      <c r="GO12" t="e">
        <f>AND(#REF!,"AAAAAHa2t8Q=")</f>
        <v>#REF!</v>
      </c>
      <c r="GP12" t="e">
        <f>AND(#REF!,"AAAAAHa2t8U=")</f>
        <v>#REF!</v>
      </c>
      <c r="GQ12" t="e">
        <f>AND(#REF!,"AAAAAHa2t8Y=")</f>
        <v>#REF!</v>
      </c>
      <c r="GR12" t="e">
        <f>AND(#REF!,"AAAAAHa2t8c=")</f>
        <v>#REF!</v>
      </c>
      <c r="GS12" t="e">
        <f>AND(#REF!,"AAAAAHa2t8g=")</f>
        <v>#REF!</v>
      </c>
      <c r="GT12" t="e">
        <f>AND(#REF!,"AAAAAHa2t8k=")</f>
        <v>#REF!</v>
      </c>
      <c r="GU12" t="e">
        <f>AND(#REF!,"AAAAAHa2t8o=")</f>
        <v>#REF!</v>
      </c>
      <c r="GV12" t="e">
        <f>AND(#REF!,"AAAAAHa2t8s=")</f>
        <v>#REF!</v>
      </c>
      <c r="GW12" t="e">
        <f>AND(#REF!,"AAAAAHa2t8w=")</f>
        <v>#REF!</v>
      </c>
      <c r="GX12" t="e">
        <f>AND(#REF!,"AAAAAHa2t80=")</f>
        <v>#REF!</v>
      </c>
      <c r="GY12" t="e">
        <f>AND(#REF!,"AAAAAHa2t84=")</f>
        <v>#REF!</v>
      </c>
      <c r="GZ12" t="e">
        <f>AND(#REF!,"AAAAAHa2t88=")</f>
        <v>#REF!</v>
      </c>
      <c r="HA12" t="e">
        <f>AND(#REF!,"AAAAAHa2t9A=")</f>
        <v>#REF!</v>
      </c>
      <c r="HB12" t="e">
        <f>AND(#REF!,"AAAAAHa2t9E=")</f>
        <v>#REF!</v>
      </c>
      <c r="HC12" t="e">
        <f>AND(#REF!,"AAAAAHa2t9I=")</f>
        <v>#REF!</v>
      </c>
      <c r="HD12" t="e">
        <f>AND(#REF!,"AAAAAHa2t9M=")</f>
        <v>#REF!</v>
      </c>
      <c r="HE12" t="e">
        <f>AND(#REF!,"AAAAAHa2t9Q=")</f>
        <v>#REF!</v>
      </c>
      <c r="HF12" t="e">
        <f>AND(#REF!,"AAAAAHa2t9U=")</f>
        <v>#REF!</v>
      </c>
      <c r="HG12" t="e">
        <f>AND(#REF!,"AAAAAHa2t9Y=")</f>
        <v>#REF!</v>
      </c>
      <c r="HH12" t="e">
        <f>AND(#REF!,"AAAAAHa2t9c=")</f>
        <v>#REF!</v>
      </c>
      <c r="HI12" t="e">
        <f>AND(#REF!,"AAAAAHa2t9g=")</f>
        <v>#REF!</v>
      </c>
      <c r="HJ12" t="e">
        <f>AND(#REF!,"AAAAAHa2t9k=")</f>
        <v>#REF!</v>
      </c>
      <c r="HK12" t="e">
        <f>AND(#REF!,"AAAAAHa2t9o=")</f>
        <v>#REF!</v>
      </c>
      <c r="HL12" t="e">
        <f>AND(#REF!,"AAAAAHa2t9s=")</f>
        <v>#REF!</v>
      </c>
      <c r="HM12" t="e">
        <f>AND(#REF!,"AAAAAHa2t9w=")</f>
        <v>#REF!</v>
      </c>
      <c r="HN12" t="e">
        <f>AND(#REF!,"AAAAAHa2t90=")</f>
        <v>#REF!</v>
      </c>
      <c r="HO12" t="e">
        <f>AND(#REF!,"AAAAAHa2t94=")</f>
        <v>#REF!</v>
      </c>
      <c r="HP12" t="e">
        <f>AND(#REF!,"AAAAAHa2t98=")</f>
        <v>#REF!</v>
      </c>
      <c r="HQ12" t="e">
        <f>AND(#REF!,"AAAAAHa2t+A=")</f>
        <v>#REF!</v>
      </c>
      <c r="HR12" t="e">
        <f>AND(#REF!,"AAAAAHa2t+E=")</f>
        <v>#REF!</v>
      </c>
      <c r="HS12" t="e">
        <f>AND(#REF!,"AAAAAHa2t+I=")</f>
        <v>#REF!</v>
      </c>
      <c r="HT12" t="e">
        <f>AND(#REF!,"AAAAAHa2t+M=")</f>
        <v>#REF!</v>
      </c>
      <c r="HU12" t="e">
        <f>AND(#REF!,"AAAAAHa2t+Q=")</f>
        <v>#REF!</v>
      </c>
      <c r="HV12" t="e">
        <f>AND(#REF!,"AAAAAHa2t+U=")</f>
        <v>#REF!</v>
      </c>
      <c r="HW12" t="e">
        <f>AND(#REF!,"AAAAAHa2t+Y=")</f>
        <v>#REF!</v>
      </c>
      <c r="HX12" t="e">
        <f>AND(#REF!,"AAAAAHa2t+c=")</f>
        <v>#REF!</v>
      </c>
      <c r="HY12" t="e">
        <f>AND(#REF!,"AAAAAHa2t+g=")</f>
        <v>#REF!</v>
      </c>
      <c r="HZ12" t="e">
        <f>AND(#REF!,"AAAAAHa2t+k=")</f>
        <v>#REF!</v>
      </c>
      <c r="IA12" t="e">
        <f>AND(#REF!,"AAAAAHa2t+o=")</f>
        <v>#REF!</v>
      </c>
      <c r="IB12" t="e">
        <f>AND(#REF!,"AAAAAHa2t+s=")</f>
        <v>#REF!</v>
      </c>
      <c r="IC12" t="e">
        <f>AND(#REF!,"AAAAAHa2t+w=")</f>
        <v>#REF!</v>
      </c>
      <c r="ID12" t="e">
        <f>AND(#REF!,"AAAAAHa2t+0=")</f>
        <v>#REF!</v>
      </c>
      <c r="IE12" t="e">
        <f>AND(#REF!,"AAAAAHa2t+4=")</f>
        <v>#REF!</v>
      </c>
      <c r="IF12" t="e">
        <f>AND(#REF!,"AAAAAHa2t+8=")</f>
        <v>#REF!</v>
      </c>
      <c r="IG12" t="e">
        <f>AND(#REF!,"AAAAAHa2t/A=")</f>
        <v>#REF!</v>
      </c>
      <c r="IH12" t="e">
        <f>AND(#REF!,"AAAAAHa2t/E=")</f>
        <v>#REF!</v>
      </c>
      <c r="II12" t="e">
        <f>AND(#REF!,"AAAAAHa2t/I=")</f>
        <v>#REF!</v>
      </c>
      <c r="IJ12" t="e">
        <f>AND(#REF!,"AAAAAHa2t/M=")</f>
        <v>#REF!</v>
      </c>
      <c r="IK12" t="e">
        <f>AND(#REF!,"AAAAAHa2t/Q=")</f>
        <v>#REF!</v>
      </c>
      <c r="IL12" t="e">
        <f>AND(#REF!,"AAAAAHa2t/U=")</f>
        <v>#REF!</v>
      </c>
      <c r="IM12" t="e">
        <f>AND(#REF!,"AAAAAHa2t/Y=")</f>
        <v>#REF!</v>
      </c>
      <c r="IN12" t="e">
        <f>AND(#REF!,"AAAAAHa2t/c=")</f>
        <v>#REF!</v>
      </c>
      <c r="IO12" t="e">
        <f>AND(#REF!,"AAAAAHa2t/g=")</f>
        <v>#REF!</v>
      </c>
      <c r="IP12" t="e">
        <f>AND(#REF!,"AAAAAHa2t/k=")</f>
        <v>#REF!</v>
      </c>
      <c r="IQ12" t="e">
        <f>AND(#REF!,"AAAAAHa2t/o=")</f>
        <v>#REF!</v>
      </c>
      <c r="IR12" t="e">
        <f>AND(#REF!,"AAAAAHa2t/s=")</f>
        <v>#REF!</v>
      </c>
      <c r="IS12" t="e">
        <f>IF(#REF!,"AAAAAHa2t/w=",0)</f>
        <v>#REF!</v>
      </c>
      <c r="IT12" t="e">
        <f>AND(#REF!,"AAAAAHa2t/0=")</f>
        <v>#REF!</v>
      </c>
      <c r="IU12" t="e">
        <f>AND(#REF!,"AAAAAHa2t/4=")</f>
        <v>#REF!</v>
      </c>
      <c r="IV12" t="e">
        <f>AND(#REF!,"AAAAAHa2t/8=")</f>
        <v>#REF!</v>
      </c>
    </row>
    <row r="13" spans="1:256" x14ac:dyDescent="0.25">
      <c r="A13" t="e">
        <f>AND(#REF!,"AAAAAH7fnAA=")</f>
        <v>#REF!</v>
      </c>
      <c r="B13" t="e">
        <f>AND(#REF!,"AAAAAH7fnAE=")</f>
        <v>#REF!</v>
      </c>
      <c r="C13" t="e">
        <f>AND(#REF!,"AAAAAH7fnAI=")</f>
        <v>#REF!</v>
      </c>
      <c r="D13" t="e">
        <f>AND(#REF!,"AAAAAH7fnAM=")</f>
        <v>#REF!</v>
      </c>
      <c r="E13" t="e">
        <f>AND(#REF!,"AAAAAH7fnAQ=")</f>
        <v>#REF!</v>
      </c>
      <c r="F13" t="e">
        <f>AND(#REF!,"AAAAAH7fnAU=")</f>
        <v>#REF!</v>
      </c>
      <c r="G13" t="e">
        <f>AND(#REF!,"AAAAAH7fnAY=")</f>
        <v>#REF!</v>
      </c>
      <c r="H13" t="e">
        <f>AND(#REF!,"AAAAAH7fnAc=")</f>
        <v>#REF!</v>
      </c>
      <c r="I13" t="e">
        <f>AND(#REF!,"AAAAAH7fnAg=")</f>
        <v>#REF!</v>
      </c>
      <c r="J13" t="e">
        <f>AND(#REF!,"AAAAAH7fnAk=")</f>
        <v>#REF!</v>
      </c>
      <c r="K13" t="e">
        <f>AND(#REF!,"AAAAAH7fnAo=")</f>
        <v>#REF!</v>
      </c>
      <c r="L13" t="e">
        <f>AND(#REF!,"AAAAAH7fnAs=")</f>
        <v>#REF!</v>
      </c>
      <c r="M13" t="e">
        <f>AND(#REF!,"AAAAAH7fnAw=")</f>
        <v>#REF!</v>
      </c>
      <c r="N13" t="e">
        <f>AND(#REF!,"AAAAAH7fnA0=")</f>
        <v>#REF!</v>
      </c>
      <c r="O13" t="e">
        <f>AND(#REF!,"AAAAAH7fnA4=")</f>
        <v>#REF!</v>
      </c>
      <c r="P13" t="e">
        <f>AND(#REF!,"AAAAAH7fnA8=")</f>
        <v>#REF!</v>
      </c>
      <c r="Q13" t="e">
        <f>AND(#REF!,"AAAAAH7fnBA=")</f>
        <v>#REF!</v>
      </c>
      <c r="R13" t="e">
        <f>AND(#REF!,"AAAAAH7fnBE=")</f>
        <v>#REF!</v>
      </c>
      <c r="S13" t="e">
        <f>AND(#REF!,"AAAAAH7fnBI=")</f>
        <v>#REF!</v>
      </c>
      <c r="T13" t="e">
        <f>AND(#REF!,"AAAAAH7fnBM=")</f>
        <v>#REF!</v>
      </c>
      <c r="U13" t="e">
        <f>AND(#REF!,"AAAAAH7fnBQ=")</f>
        <v>#REF!</v>
      </c>
      <c r="V13" t="e">
        <f>AND(#REF!,"AAAAAH7fnBU=")</f>
        <v>#REF!</v>
      </c>
      <c r="W13" t="e">
        <f>AND(#REF!,"AAAAAH7fnBY=")</f>
        <v>#REF!</v>
      </c>
      <c r="X13" t="e">
        <f>AND(#REF!,"AAAAAH7fnBc=")</f>
        <v>#REF!</v>
      </c>
      <c r="Y13" t="e">
        <f>AND(#REF!,"AAAAAH7fnBg=")</f>
        <v>#REF!</v>
      </c>
      <c r="Z13" t="e">
        <f>AND(#REF!,"AAAAAH7fnBk=")</f>
        <v>#REF!</v>
      </c>
      <c r="AA13" t="e">
        <f>AND(#REF!,"AAAAAH7fnBo=")</f>
        <v>#REF!</v>
      </c>
      <c r="AB13" t="e">
        <f>AND(#REF!,"AAAAAH7fnBs=")</f>
        <v>#REF!</v>
      </c>
      <c r="AC13" t="e">
        <f>AND(#REF!,"AAAAAH7fnBw=")</f>
        <v>#REF!</v>
      </c>
      <c r="AD13" t="e">
        <f>AND(#REF!,"AAAAAH7fnB0=")</f>
        <v>#REF!</v>
      </c>
      <c r="AE13" t="e">
        <f>AND(#REF!,"AAAAAH7fnB4=")</f>
        <v>#REF!</v>
      </c>
      <c r="AF13" t="e">
        <f>AND(#REF!,"AAAAAH7fnB8=")</f>
        <v>#REF!</v>
      </c>
      <c r="AG13" t="e">
        <f>AND(#REF!,"AAAAAH7fnCA=")</f>
        <v>#REF!</v>
      </c>
      <c r="AH13" t="e">
        <f>AND(#REF!,"AAAAAH7fnCE=")</f>
        <v>#REF!</v>
      </c>
      <c r="AI13" t="e">
        <f>AND(#REF!,"AAAAAH7fnCI=")</f>
        <v>#REF!</v>
      </c>
      <c r="AJ13" t="e">
        <f>AND(#REF!,"AAAAAH7fnCM=")</f>
        <v>#REF!</v>
      </c>
      <c r="AK13" t="e">
        <f>AND(#REF!,"AAAAAH7fnCQ=")</f>
        <v>#REF!</v>
      </c>
      <c r="AL13" t="e">
        <f>AND(#REF!,"AAAAAH7fnCU=")</f>
        <v>#REF!</v>
      </c>
      <c r="AM13" t="e">
        <f>AND(#REF!,"AAAAAH7fnCY=")</f>
        <v>#REF!</v>
      </c>
      <c r="AN13" t="e">
        <f>AND(#REF!,"AAAAAH7fnCc=")</f>
        <v>#REF!</v>
      </c>
      <c r="AO13" t="e">
        <f>AND(#REF!,"AAAAAH7fnCg=")</f>
        <v>#REF!</v>
      </c>
      <c r="AP13" t="e">
        <f>AND(#REF!,"AAAAAH7fnCk=")</f>
        <v>#REF!</v>
      </c>
      <c r="AQ13" t="e">
        <f>AND(#REF!,"AAAAAH7fnCo=")</f>
        <v>#REF!</v>
      </c>
      <c r="AR13" t="e">
        <f>AND(#REF!,"AAAAAH7fnCs=")</f>
        <v>#REF!</v>
      </c>
      <c r="AS13" t="e">
        <f>AND(#REF!,"AAAAAH7fnCw=")</f>
        <v>#REF!</v>
      </c>
      <c r="AT13" t="e">
        <f>AND(#REF!,"AAAAAH7fnC0=")</f>
        <v>#REF!</v>
      </c>
      <c r="AU13" t="e">
        <f>AND(#REF!,"AAAAAH7fnC4=")</f>
        <v>#REF!</v>
      </c>
      <c r="AV13" t="e">
        <f>AND(#REF!,"AAAAAH7fnC8=")</f>
        <v>#REF!</v>
      </c>
      <c r="AW13" t="e">
        <f>AND(#REF!,"AAAAAH7fnDA=")</f>
        <v>#REF!</v>
      </c>
      <c r="AX13" t="e">
        <f>AND(#REF!,"AAAAAH7fnDE=")</f>
        <v>#REF!</v>
      </c>
      <c r="AY13" t="e">
        <f>AND(#REF!,"AAAAAH7fnDI=")</f>
        <v>#REF!</v>
      </c>
      <c r="AZ13" t="e">
        <f>AND(#REF!,"AAAAAH7fnDM=")</f>
        <v>#REF!</v>
      </c>
      <c r="BA13" t="e">
        <f>AND(#REF!,"AAAAAH7fnDQ=")</f>
        <v>#REF!</v>
      </c>
      <c r="BB13" t="e">
        <f>AND(#REF!,"AAAAAH7fnDU=")</f>
        <v>#REF!</v>
      </c>
      <c r="BC13" t="e">
        <f>AND(#REF!,"AAAAAH7fnDY=")</f>
        <v>#REF!</v>
      </c>
      <c r="BD13" t="e">
        <f>IF(#REF!,"AAAAAH7fnDc=",0)</f>
        <v>#REF!</v>
      </c>
      <c r="BE13" t="e">
        <f>AND(#REF!,"AAAAAH7fnDg=")</f>
        <v>#REF!</v>
      </c>
      <c r="BF13" t="e">
        <f>AND(#REF!,"AAAAAH7fnDk=")</f>
        <v>#REF!</v>
      </c>
      <c r="BG13" t="e">
        <f>AND(#REF!,"AAAAAH7fnDo=")</f>
        <v>#REF!</v>
      </c>
      <c r="BH13" t="e">
        <f>AND(#REF!,"AAAAAH7fnDs=")</f>
        <v>#REF!</v>
      </c>
      <c r="BI13" t="e">
        <f>AND(#REF!,"AAAAAH7fnDw=")</f>
        <v>#REF!</v>
      </c>
      <c r="BJ13" t="e">
        <f>AND(#REF!,"AAAAAH7fnD0=")</f>
        <v>#REF!</v>
      </c>
      <c r="BK13" t="e">
        <f>AND(#REF!,"AAAAAH7fnD4=")</f>
        <v>#REF!</v>
      </c>
      <c r="BL13" t="e">
        <f>AND(#REF!,"AAAAAH7fnD8=")</f>
        <v>#REF!</v>
      </c>
      <c r="BM13" t="e">
        <f>AND(#REF!,"AAAAAH7fnEA=")</f>
        <v>#REF!</v>
      </c>
      <c r="BN13" t="e">
        <f>AND(#REF!,"AAAAAH7fnEE=")</f>
        <v>#REF!</v>
      </c>
      <c r="BO13" t="e">
        <f>AND(#REF!,"AAAAAH7fnEI=")</f>
        <v>#REF!</v>
      </c>
      <c r="BP13" t="e">
        <f>AND(#REF!,"AAAAAH7fnEM=")</f>
        <v>#REF!</v>
      </c>
      <c r="BQ13" t="e">
        <f>AND(#REF!,"AAAAAH7fnEQ=")</f>
        <v>#REF!</v>
      </c>
      <c r="BR13" t="e">
        <f>AND(#REF!,"AAAAAH7fnEU=")</f>
        <v>#REF!</v>
      </c>
      <c r="BS13" t="e">
        <f>AND(#REF!,"AAAAAH7fnEY=")</f>
        <v>#REF!</v>
      </c>
      <c r="BT13" t="e">
        <f>AND(#REF!,"AAAAAH7fnEc=")</f>
        <v>#REF!</v>
      </c>
      <c r="BU13" t="e">
        <f>AND(#REF!,"AAAAAH7fnEg=")</f>
        <v>#REF!</v>
      </c>
      <c r="BV13" t="e">
        <f>AND(#REF!,"AAAAAH7fnEk=")</f>
        <v>#REF!</v>
      </c>
      <c r="BW13" t="e">
        <f>AND(#REF!,"AAAAAH7fnEo=")</f>
        <v>#REF!</v>
      </c>
      <c r="BX13" t="e">
        <f>AND(#REF!,"AAAAAH7fnEs=")</f>
        <v>#REF!</v>
      </c>
      <c r="BY13" t="e">
        <f>AND(#REF!,"AAAAAH7fnEw=")</f>
        <v>#REF!</v>
      </c>
      <c r="BZ13" t="e">
        <f>AND(#REF!,"AAAAAH7fnE0=")</f>
        <v>#REF!</v>
      </c>
      <c r="CA13" t="e">
        <f>AND(#REF!,"AAAAAH7fnE4=")</f>
        <v>#REF!</v>
      </c>
      <c r="CB13" t="e">
        <f>AND(#REF!,"AAAAAH7fnE8=")</f>
        <v>#REF!</v>
      </c>
      <c r="CC13" t="e">
        <f>AND(#REF!,"AAAAAH7fnFA=")</f>
        <v>#REF!</v>
      </c>
      <c r="CD13" t="e">
        <f>AND(#REF!,"AAAAAH7fnFE=")</f>
        <v>#REF!</v>
      </c>
      <c r="CE13" t="e">
        <f>AND(#REF!,"AAAAAH7fnFI=")</f>
        <v>#REF!</v>
      </c>
      <c r="CF13" t="e">
        <f>AND(#REF!,"AAAAAH7fnFM=")</f>
        <v>#REF!</v>
      </c>
      <c r="CG13" t="e">
        <f>AND(#REF!,"AAAAAH7fnFQ=")</f>
        <v>#REF!</v>
      </c>
      <c r="CH13" t="e">
        <f>AND(#REF!,"AAAAAH7fnFU=")</f>
        <v>#REF!</v>
      </c>
      <c r="CI13" t="e">
        <f>AND(#REF!,"AAAAAH7fnFY=")</f>
        <v>#REF!</v>
      </c>
      <c r="CJ13" t="e">
        <f>AND(#REF!,"AAAAAH7fnFc=")</f>
        <v>#REF!</v>
      </c>
      <c r="CK13" t="e">
        <f>AND(#REF!,"AAAAAH7fnFg=")</f>
        <v>#REF!</v>
      </c>
      <c r="CL13" t="e">
        <f>AND(#REF!,"AAAAAH7fnFk=")</f>
        <v>#REF!</v>
      </c>
      <c r="CM13" t="e">
        <f>AND(#REF!,"AAAAAH7fnFo=")</f>
        <v>#REF!</v>
      </c>
      <c r="CN13" t="e">
        <f>AND(#REF!,"AAAAAH7fnFs=")</f>
        <v>#REF!</v>
      </c>
      <c r="CO13" t="e">
        <f>AND(#REF!,"AAAAAH7fnFw=")</f>
        <v>#REF!</v>
      </c>
      <c r="CP13" t="e">
        <f>AND(#REF!,"AAAAAH7fnF0=")</f>
        <v>#REF!</v>
      </c>
      <c r="CQ13" t="e">
        <f>AND(#REF!,"AAAAAH7fnF4=")</f>
        <v>#REF!</v>
      </c>
      <c r="CR13" t="e">
        <f>AND(#REF!,"AAAAAH7fnF8=")</f>
        <v>#REF!</v>
      </c>
      <c r="CS13" t="e">
        <f>AND(#REF!,"AAAAAH7fnGA=")</f>
        <v>#REF!</v>
      </c>
      <c r="CT13" t="e">
        <f>AND(#REF!,"AAAAAH7fnGE=")</f>
        <v>#REF!</v>
      </c>
      <c r="CU13" t="e">
        <f>AND(#REF!,"AAAAAH7fnGI=")</f>
        <v>#REF!</v>
      </c>
      <c r="CV13" t="e">
        <f>AND(#REF!,"AAAAAH7fnGM=")</f>
        <v>#REF!</v>
      </c>
      <c r="CW13" t="e">
        <f>AND(#REF!,"AAAAAH7fnGQ=")</f>
        <v>#REF!</v>
      </c>
      <c r="CX13" t="e">
        <f>AND(#REF!,"AAAAAH7fnGU=")</f>
        <v>#REF!</v>
      </c>
      <c r="CY13" t="e">
        <f>AND(#REF!,"AAAAAH7fnGY=")</f>
        <v>#REF!</v>
      </c>
      <c r="CZ13" t="e">
        <f>AND(#REF!,"AAAAAH7fnGc=")</f>
        <v>#REF!</v>
      </c>
      <c r="DA13" t="e">
        <f>AND(#REF!,"AAAAAH7fnGg=")</f>
        <v>#REF!</v>
      </c>
      <c r="DB13" t="e">
        <f>AND(#REF!,"AAAAAH7fnGk=")</f>
        <v>#REF!</v>
      </c>
      <c r="DC13" t="e">
        <f>AND(#REF!,"AAAAAH7fnGo=")</f>
        <v>#REF!</v>
      </c>
      <c r="DD13" t="e">
        <f>AND(#REF!,"AAAAAH7fnGs=")</f>
        <v>#REF!</v>
      </c>
      <c r="DE13" t="e">
        <f>AND(#REF!,"AAAAAH7fnGw=")</f>
        <v>#REF!</v>
      </c>
      <c r="DF13" t="e">
        <f>AND(#REF!,"AAAAAH7fnG0=")</f>
        <v>#REF!</v>
      </c>
      <c r="DG13" t="e">
        <f>AND(#REF!,"AAAAAH7fnG4=")</f>
        <v>#REF!</v>
      </c>
      <c r="DH13" t="e">
        <f>AND(#REF!,"AAAAAH7fnG8=")</f>
        <v>#REF!</v>
      </c>
      <c r="DI13" t="e">
        <f>AND(#REF!,"AAAAAH7fnHA=")</f>
        <v>#REF!</v>
      </c>
      <c r="DJ13" t="e">
        <f>AND(#REF!,"AAAAAH7fnHE=")</f>
        <v>#REF!</v>
      </c>
      <c r="DK13" t="e">
        <f>IF(#REF!,"AAAAAH7fnHI=",0)</f>
        <v>#REF!</v>
      </c>
      <c r="DL13" t="e">
        <f>AND(#REF!,"AAAAAH7fnHM=")</f>
        <v>#REF!</v>
      </c>
      <c r="DM13" t="e">
        <f>AND(#REF!,"AAAAAH7fnHQ=")</f>
        <v>#REF!</v>
      </c>
      <c r="DN13" t="e">
        <f>AND(#REF!,"AAAAAH7fnHU=")</f>
        <v>#REF!</v>
      </c>
      <c r="DO13" t="e">
        <f>AND(#REF!,"AAAAAH7fnHY=")</f>
        <v>#REF!</v>
      </c>
      <c r="DP13" t="e">
        <f>AND(#REF!,"AAAAAH7fnHc=")</f>
        <v>#REF!</v>
      </c>
      <c r="DQ13" t="e">
        <f>AND(#REF!,"AAAAAH7fnHg=")</f>
        <v>#REF!</v>
      </c>
      <c r="DR13" t="e">
        <f>AND(#REF!,"AAAAAH7fnHk=")</f>
        <v>#REF!</v>
      </c>
      <c r="DS13" t="e">
        <f>AND(#REF!,"AAAAAH7fnHo=")</f>
        <v>#REF!</v>
      </c>
      <c r="DT13" t="e">
        <f>AND(#REF!,"AAAAAH7fnHs=")</f>
        <v>#REF!</v>
      </c>
      <c r="DU13" t="e">
        <f>AND(#REF!,"AAAAAH7fnHw=")</f>
        <v>#REF!</v>
      </c>
      <c r="DV13" t="e">
        <f>AND(#REF!,"AAAAAH7fnH0=")</f>
        <v>#REF!</v>
      </c>
      <c r="DW13" t="e">
        <f>AND(#REF!,"AAAAAH7fnH4=")</f>
        <v>#REF!</v>
      </c>
      <c r="DX13" t="e">
        <f>AND(#REF!,"AAAAAH7fnH8=")</f>
        <v>#REF!</v>
      </c>
      <c r="DY13" t="e">
        <f>AND(#REF!,"AAAAAH7fnIA=")</f>
        <v>#REF!</v>
      </c>
      <c r="DZ13" t="e">
        <f>AND(#REF!,"AAAAAH7fnIE=")</f>
        <v>#REF!</v>
      </c>
      <c r="EA13" t="e">
        <f>AND(#REF!,"AAAAAH7fnII=")</f>
        <v>#REF!</v>
      </c>
      <c r="EB13" t="e">
        <f>AND(#REF!,"AAAAAH7fnIM=")</f>
        <v>#REF!</v>
      </c>
      <c r="EC13" t="e">
        <f>AND(#REF!,"AAAAAH7fnIQ=")</f>
        <v>#REF!</v>
      </c>
      <c r="ED13" t="e">
        <f>AND(#REF!,"AAAAAH7fnIU=")</f>
        <v>#REF!</v>
      </c>
      <c r="EE13" t="e">
        <f>AND(#REF!,"AAAAAH7fnIY=")</f>
        <v>#REF!</v>
      </c>
      <c r="EF13" t="e">
        <f>AND(#REF!,"AAAAAH7fnIc=")</f>
        <v>#REF!</v>
      </c>
      <c r="EG13" t="e">
        <f>AND(#REF!,"AAAAAH7fnIg=")</f>
        <v>#REF!</v>
      </c>
      <c r="EH13" t="e">
        <f>AND(#REF!,"AAAAAH7fnIk=")</f>
        <v>#REF!</v>
      </c>
      <c r="EI13" t="e">
        <f>AND(#REF!,"AAAAAH7fnIo=")</f>
        <v>#REF!</v>
      </c>
      <c r="EJ13" t="e">
        <f>AND(#REF!,"AAAAAH7fnIs=")</f>
        <v>#REF!</v>
      </c>
      <c r="EK13" t="e">
        <f>AND(#REF!,"AAAAAH7fnIw=")</f>
        <v>#REF!</v>
      </c>
      <c r="EL13" t="e">
        <f>AND(#REF!,"AAAAAH7fnI0=")</f>
        <v>#REF!</v>
      </c>
      <c r="EM13" t="e">
        <f>AND(#REF!,"AAAAAH7fnI4=")</f>
        <v>#REF!</v>
      </c>
      <c r="EN13" t="e">
        <f>AND(#REF!,"AAAAAH7fnI8=")</f>
        <v>#REF!</v>
      </c>
      <c r="EO13" t="e">
        <f>AND(#REF!,"AAAAAH7fnJA=")</f>
        <v>#REF!</v>
      </c>
      <c r="EP13" t="e">
        <f>AND(#REF!,"AAAAAH7fnJE=")</f>
        <v>#REF!</v>
      </c>
      <c r="EQ13" t="e">
        <f>AND(#REF!,"AAAAAH7fnJI=")</f>
        <v>#REF!</v>
      </c>
      <c r="ER13" t="e">
        <f>AND(#REF!,"AAAAAH7fnJM=")</f>
        <v>#REF!</v>
      </c>
      <c r="ES13" t="e">
        <f>AND(#REF!,"AAAAAH7fnJQ=")</f>
        <v>#REF!</v>
      </c>
      <c r="ET13" t="e">
        <f>AND(#REF!,"AAAAAH7fnJU=")</f>
        <v>#REF!</v>
      </c>
      <c r="EU13" t="e">
        <f>AND(#REF!,"AAAAAH7fnJY=")</f>
        <v>#REF!</v>
      </c>
      <c r="EV13" t="e">
        <f>AND(#REF!,"AAAAAH7fnJc=")</f>
        <v>#REF!</v>
      </c>
      <c r="EW13" t="e">
        <f>AND(#REF!,"AAAAAH7fnJg=")</f>
        <v>#REF!</v>
      </c>
      <c r="EX13" t="e">
        <f>AND(#REF!,"AAAAAH7fnJk=")</f>
        <v>#REF!</v>
      </c>
      <c r="EY13" t="e">
        <f>AND(#REF!,"AAAAAH7fnJo=")</f>
        <v>#REF!</v>
      </c>
      <c r="EZ13" t="e">
        <f>AND(#REF!,"AAAAAH7fnJs=")</f>
        <v>#REF!</v>
      </c>
      <c r="FA13" t="e">
        <f>AND(#REF!,"AAAAAH7fnJw=")</f>
        <v>#REF!</v>
      </c>
      <c r="FB13" t="e">
        <f>AND(#REF!,"AAAAAH7fnJ0=")</f>
        <v>#REF!</v>
      </c>
      <c r="FC13" t="e">
        <f>AND(#REF!,"AAAAAH7fnJ4=")</f>
        <v>#REF!</v>
      </c>
      <c r="FD13" t="e">
        <f>AND(#REF!,"AAAAAH7fnJ8=")</f>
        <v>#REF!</v>
      </c>
      <c r="FE13" t="e">
        <f>AND(#REF!,"AAAAAH7fnKA=")</f>
        <v>#REF!</v>
      </c>
      <c r="FF13" t="e">
        <f>AND(#REF!,"AAAAAH7fnKE=")</f>
        <v>#REF!</v>
      </c>
      <c r="FG13" t="e">
        <f>AND(#REF!,"AAAAAH7fnKI=")</f>
        <v>#REF!</v>
      </c>
      <c r="FH13" t="e">
        <f>AND(#REF!,"AAAAAH7fnKM=")</f>
        <v>#REF!</v>
      </c>
      <c r="FI13" t="e">
        <f>AND(#REF!,"AAAAAH7fnKQ=")</f>
        <v>#REF!</v>
      </c>
      <c r="FJ13" t="e">
        <f>AND(#REF!,"AAAAAH7fnKU=")</f>
        <v>#REF!</v>
      </c>
      <c r="FK13" t="e">
        <f>AND(#REF!,"AAAAAH7fnKY=")</f>
        <v>#REF!</v>
      </c>
      <c r="FL13" t="e">
        <f>AND(#REF!,"AAAAAH7fnKc=")</f>
        <v>#REF!</v>
      </c>
      <c r="FM13" t="e">
        <f>AND(#REF!,"AAAAAH7fnKg=")</f>
        <v>#REF!</v>
      </c>
      <c r="FN13" t="e">
        <f>AND(#REF!,"AAAAAH7fnKk=")</f>
        <v>#REF!</v>
      </c>
      <c r="FO13" t="e">
        <f>AND(#REF!,"AAAAAH7fnKo=")</f>
        <v>#REF!</v>
      </c>
      <c r="FP13" t="e">
        <f>AND(#REF!,"AAAAAH7fnKs=")</f>
        <v>#REF!</v>
      </c>
      <c r="FQ13" t="e">
        <f>AND(#REF!,"AAAAAH7fnKw=")</f>
        <v>#REF!</v>
      </c>
      <c r="FR13" t="e">
        <f>IF(#REF!,"AAAAAH7fnK0=",0)</f>
        <v>#REF!</v>
      </c>
      <c r="FS13" t="e">
        <f>IF(#REF!,"AAAAAH7fnK4=",0)</f>
        <v>#REF!</v>
      </c>
      <c r="FT13" t="e">
        <f>IF(#REF!,"AAAAAH7fnK8=",0)</f>
        <v>#REF!</v>
      </c>
      <c r="FU13" t="e">
        <f>IF(#REF!,"AAAAAH7fnLA=",0)</f>
        <v>#REF!</v>
      </c>
      <c r="FV13" t="e">
        <f>IF(#REF!,"AAAAAH7fnLE=",0)</f>
        <v>#REF!</v>
      </c>
      <c r="FW13" t="e">
        <f>IF(#REF!,"AAAAAH7fnLI=",0)</f>
        <v>#REF!</v>
      </c>
      <c r="FX13" t="e">
        <f>IF(#REF!,"AAAAAH7fnLM=",0)</f>
        <v>#REF!</v>
      </c>
      <c r="FY13" t="e">
        <f>IF(#REF!,"AAAAAH7fnLQ=",0)</f>
        <v>#REF!</v>
      </c>
      <c r="FZ13" t="e">
        <f>IF(#REF!,"AAAAAH7fnLU=",0)</f>
        <v>#REF!</v>
      </c>
      <c r="GA13" t="e">
        <f>IF(#REF!,"AAAAAH7fnLY=",0)</f>
        <v>#REF!</v>
      </c>
      <c r="GB13" t="e">
        <f>IF(#REF!,"AAAAAH7fnLc=",0)</f>
        <v>#REF!</v>
      </c>
      <c r="GC13" t="e">
        <f>IF(#REF!,"AAAAAH7fnLg=",0)</f>
        <v>#REF!</v>
      </c>
      <c r="GD13" t="e">
        <f>IF(#REF!,"AAAAAH7fnLk=",0)</f>
        <v>#REF!</v>
      </c>
      <c r="GE13" t="e">
        <f>IF(#REF!,"AAAAAH7fnLo=",0)</f>
        <v>#REF!</v>
      </c>
      <c r="GF13" t="e">
        <f>IF(#REF!,"AAAAAH7fnLs=",0)</f>
        <v>#REF!</v>
      </c>
      <c r="GG13" t="e">
        <f>IF(#REF!,"AAAAAH7fnLw=",0)</f>
        <v>#REF!</v>
      </c>
      <c r="GH13" t="e">
        <f>IF(#REF!,"AAAAAH7fnL0=",0)</f>
        <v>#REF!</v>
      </c>
      <c r="GI13" t="e">
        <f>IF(#REF!,"AAAAAH7fnL4=",0)</f>
        <v>#REF!</v>
      </c>
      <c r="GJ13" t="e">
        <f>IF(#REF!,"AAAAAH7fnL8=",0)</f>
        <v>#REF!</v>
      </c>
      <c r="GK13" t="e">
        <f>IF(#REF!,"AAAAAH7fnMA=",0)</f>
        <v>#REF!</v>
      </c>
      <c r="GL13" t="e">
        <f>IF(#REF!,"AAAAAH7fnME=",0)</f>
        <v>#REF!</v>
      </c>
      <c r="GM13" t="e">
        <f>IF(#REF!,"AAAAAH7fnMI=",0)</f>
        <v>#REF!</v>
      </c>
      <c r="GN13" t="e">
        <f>IF(#REF!,"AAAAAH7fnMM=",0)</f>
        <v>#REF!</v>
      </c>
      <c r="GO13" t="e">
        <f>IF(#REF!,"AAAAAH7fnMQ=",0)</f>
        <v>#REF!</v>
      </c>
      <c r="GP13" t="e">
        <f>IF(#REF!,"AAAAAH7fnMU=",0)</f>
        <v>#REF!</v>
      </c>
      <c r="GQ13" t="e">
        <f>IF(#REF!,"AAAAAH7fnMY=",0)</f>
        <v>#REF!</v>
      </c>
      <c r="GR13" t="e">
        <f>IF(#REF!,"AAAAAH7fnMc=",0)</f>
        <v>#REF!</v>
      </c>
      <c r="GS13" t="e">
        <f>IF(#REF!,"AAAAAH7fnMg=",0)</f>
        <v>#REF!</v>
      </c>
      <c r="GT13" t="e">
        <f>IF(#REF!,"AAAAAH7fnMk=",0)</f>
        <v>#REF!</v>
      </c>
      <c r="GU13" t="e">
        <f>IF(#REF!,"AAAAAH7fnMo=",0)</f>
        <v>#REF!</v>
      </c>
      <c r="GV13" t="e">
        <f>IF(#REF!,"AAAAAH7fnMs=",0)</f>
        <v>#REF!</v>
      </c>
      <c r="GW13" t="e">
        <f>IF(#REF!,"AAAAAH7fnMw=",0)</f>
        <v>#REF!</v>
      </c>
      <c r="GX13" t="e">
        <f>IF(#REF!,"AAAAAH7fnM0=",0)</f>
        <v>#REF!</v>
      </c>
      <c r="GY13" t="e">
        <f>IF(#REF!,"AAAAAH7fnM4=",0)</f>
        <v>#REF!</v>
      </c>
      <c r="GZ13" t="e">
        <f>IF(#REF!,"AAAAAH7fnM8=",0)</f>
        <v>#REF!</v>
      </c>
      <c r="HA13" t="e">
        <f>IF(#REF!,"AAAAAH7fnNA=",0)</f>
        <v>#REF!</v>
      </c>
      <c r="HB13" t="e">
        <f>IF(#REF!,"AAAAAH7fnNE=",0)</f>
        <v>#REF!</v>
      </c>
      <c r="HC13" t="e">
        <f>IF(#REF!,"AAAAAH7fnNI=",0)</f>
        <v>#REF!</v>
      </c>
      <c r="HD13" t="e">
        <f>IF(#REF!,"AAAAAH7fnNM=",0)</f>
        <v>#REF!</v>
      </c>
      <c r="HE13" t="e">
        <f>IF(#REF!,"AAAAAH7fnNQ=",0)</f>
        <v>#REF!</v>
      </c>
      <c r="HF13" t="e">
        <f>IF(#REF!,"AAAAAH7fnNU=",0)</f>
        <v>#REF!</v>
      </c>
      <c r="HG13" t="e">
        <f>IF(#REF!,"AAAAAH7fnNY=",0)</f>
        <v>#REF!</v>
      </c>
      <c r="HH13" t="e">
        <f>IF(#REF!,"AAAAAH7fnNc=",0)</f>
        <v>#REF!</v>
      </c>
      <c r="HI13" t="e">
        <f>IF(#REF!,"AAAAAH7fnNg=",0)</f>
        <v>#REF!</v>
      </c>
      <c r="HJ13" t="e">
        <f>IF(#REF!,"AAAAAH7fnNk=",0)</f>
        <v>#REF!</v>
      </c>
      <c r="HK13" t="e">
        <f>IF(#REF!,"AAAAAH7fnNo=",0)</f>
        <v>#REF!</v>
      </c>
      <c r="HL13" t="e">
        <f>IF(#REF!,"AAAAAH7fnNs=",0)</f>
        <v>#REF!</v>
      </c>
      <c r="HM13" t="e">
        <f>IF(#REF!,"AAAAAH7fnNw=",0)</f>
        <v>#REF!</v>
      </c>
      <c r="HN13" t="e">
        <f>IF(#REF!,"AAAAAH7fnN0=",0)</f>
        <v>#REF!</v>
      </c>
      <c r="HO13" t="e">
        <f>IF(#REF!,"AAAAAH7fnN4=",0)</f>
        <v>#REF!</v>
      </c>
      <c r="HP13" t="e">
        <f>IF(#REF!,"AAAAAH7fnN8=",0)</f>
        <v>#REF!</v>
      </c>
      <c r="HQ13" t="e">
        <f>IF(#REF!,"AAAAAH7fnOA=",0)</f>
        <v>#REF!</v>
      </c>
      <c r="HR13" t="e">
        <f>IF(#REF!,"AAAAAH7fnOE=",0)</f>
        <v>#REF!</v>
      </c>
      <c r="HS13" t="e">
        <f>IF(#REF!,"AAAAAH7fnOI=",0)</f>
        <v>#REF!</v>
      </c>
      <c r="HT13" t="e">
        <f>IF(#REF!,"AAAAAH7fnOM=",0)</f>
        <v>#REF!</v>
      </c>
      <c r="HU13" t="e">
        <f>IF(#REF!,"AAAAAH7fnOQ=",0)</f>
        <v>#REF!</v>
      </c>
      <c r="HV13" t="e">
        <f>IF(#REF!,"AAAAAH7fnOU=",0)</f>
        <v>#REF!</v>
      </c>
      <c r="HW13" t="e">
        <f>IF(#REF!,"AAAAAH7fnOY=",0)</f>
        <v>#REF!</v>
      </c>
      <c r="HX13" t="e">
        <f>IF(#REF!,"AAAAAH7fnOc=",0)</f>
        <v>#REF!</v>
      </c>
      <c r="HY13" t="e">
        <f>AND(#REF!,"AAAAAH7fnOg=")</f>
        <v>#REF!</v>
      </c>
      <c r="HZ13" t="e">
        <f>AND(#REF!,"AAAAAH7fnOk=")</f>
        <v>#REF!</v>
      </c>
      <c r="IA13" t="e">
        <f>AND(#REF!,"AAAAAH7fnOo=")</f>
        <v>#REF!</v>
      </c>
      <c r="IB13" t="e">
        <f>AND(#REF!,"AAAAAH7fnOs=")</f>
        <v>#REF!</v>
      </c>
      <c r="IC13" t="e">
        <f>AND(#REF!,"AAAAAH7fnOw=")</f>
        <v>#REF!</v>
      </c>
      <c r="ID13" t="e">
        <f>AND(#REF!,"AAAAAH7fnO0=")</f>
        <v>#REF!</v>
      </c>
      <c r="IE13" t="e">
        <f>AND(#REF!,"AAAAAH7fnO4=")</f>
        <v>#REF!</v>
      </c>
      <c r="IF13" t="e">
        <f>AND(#REF!,"AAAAAH7fnO8=")</f>
        <v>#REF!</v>
      </c>
      <c r="IG13" t="e">
        <f>AND(#REF!,"AAAAAH7fnPA=")</f>
        <v>#REF!</v>
      </c>
      <c r="IH13" t="e">
        <f>AND(#REF!,"AAAAAH7fnPE=")</f>
        <v>#REF!</v>
      </c>
      <c r="II13" t="e">
        <f>AND(#REF!,"AAAAAH7fnPI=")</f>
        <v>#REF!</v>
      </c>
      <c r="IJ13" t="e">
        <f>AND(#REF!,"AAAAAH7fnPM=")</f>
        <v>#REF!</v>
      </c>
      <c r="IK13" t="e">
        <f>AND(#REF!,"AAAAAH7fnPQ=")</f>
        <v>#REF!</v>
      </c>
      <c r="IL13" t="e">
        <f>AND(#REF!,"AAAAAH7fnPU=")</f>
        <v>#REF!</v>
      </c>
      <c r="IM13" t="e">
        <f>AND(#REF!,"AAAAAH7fnPY=")</f>
        <v>#REF!</v>
      </c>
      <c r="IN13" t="e">
        <f>AND(#REF!,"AAAAAH7fnPc=")</f>
        <v>#REF!</v>
      </c>
      <c r="IO13" t="e">
        <f>AND(#REF!,"AAAAAH7fnPg=")</f>
        <v>#REF!</v>
      </c>
      <c r="IP13" t="e">
        <f>AND(#REF!,"AAAAAH7fnPk=")</f>
        <v>#REF!</v>
      </c>
      <c r="IQ13" t="e">
        <f>AND(#REF!,"AAAAAH7fnPo=")</f>
        <v>#REF!</v>
      </c>
      <c r="IR13" t="e">
        <f>AND(#REF!,"AAAAAH7fnPs=")</f>
        <v>#REF!</v>
      </c>
      <c r="IS13" t="e">
        <f>AND(#REF!,"AAAAAH7fnPw=")</f>
        <v>#REF!</v>
      </c>
      <c r="IT13" t="e">
        <f>AND(#REF!,"AAAAAH7fnP0=")</f>
        <v>#REF!</v>
      </c>
      <c r="IU13" t="e">
        <f>AND(#REF!,"AAAAAH7fnP4=")</f>
        <v>#REF!</v>
      </c>
      <c r="IV13" t="e">
        <f>AND(#REF!,"AAAAAH7fnP8=")</f>
        <v>#REF!</v>
      </c>
    </row>
    <row r="14" spans="1:256" x14ac:dyDescent="0.25">
      <c r="A14" t="e">
        <f>AND(#REF!,"AAAAAFn53QA=")</f>
        <v>#REF!</v>
      </c>
      <c r="B14" t="e">
        <f>AND(#REF!,"AAAAAFn53QE=")</f>
        <v>#REF!</v>
      </c>
      <c r="C14" t="e">
        <f>AND(#REF!,"AAAAAFn53QI=")</f>
        <v>#REF!</v>
      </c>
      <c r="D14" t="e">
        <f>AND(#REF!,"AAAAAFn53QM=")</f>
        <v>#REF!</v>
      </c>
      <c r="E14" t="e">
        <f>AND(#REF!,"AAAAAFn53QQ=")</f>
        <v>#REF!</v>
      </c>
      <c r="F14" t="e">
        <f>AND(#REF!,"AAAAAFn53QU=")</f>
        <v>#REF!</v>
      </c>
      <c r="G14" t="e">
        <f>AND(#REF!,"AAAAAFn53QY=")</f>
        <v>#REF!</v>
      </c>
      <c r="H14" t="e">
        <f>AND(#REF!,"AAAAAFn53Qc=")</f>
        <v>#REF!</v>
      </c>
      <c r="I14" t="e">
        <f>AND(#REF!,"AAAAAFn53Qg=")</f>
        <v>#REF!</v>
      </c>
      <c r="J14" t="e">
        <f>AND(#REF!,"AAAAAFn53Qk=")</f>
        <v>#REF!</v>
      </c>
      <c r="K14" t="e">
        <f>AND(#REF!,"AAAAAFn53Qo=")</f>
        <v>#REF!</v>
      </c>
      <c r="L14" t="e">
        <f>AND(#REF!,"AAAAAFn53Qs=")</f>
        <v>#REF!</v>
      </c>
      <c r="M14" t="e">
        <f>AND(#REF!,"AAAAAFn53Qw=")</f>
        <v>#REF!</v>
      </c>
      <c r="N14" t="e">
        <f>AND(#REF!,"AAAAAFn53Q0=")</f>
        <v>#REF!</v>
      </c>
      <c r="O14" t="e">
        <f>AND(#REF!,"AAAAAFn53Q4=")</f>
        <v>#REF!</v>
      </c>
      <c r="P14" t="e">
        <f>AND(#REF!,"AAAAAFn53Q8=")</f>
        <v>#REF!</v>
      </c>
      <c r="Q14" t="e">
        <f>AND(#REF!,"AAAAAFn53RA=")</f>
        <v>#REF!</v>
      </c>
      <c r="R14" t="e">
        <f>AND(#REF!,"AAAAAFn53RE=")</f>
        <v>#REF!</v>
      </c>
      <c r="S14" t="e">
        <f>AND(#REF!,"AAAAAFn53RI=")</f>
        <v>#REF!</v>
      </c>
      <c r="T14" t="e">
        <f>AND(#REF!,"AAAAAFn53RM=")</f>
        <v>#REF!</v>
      </c>
      <c r="U14" t="e">
        <f>AND(#REF!,"AAAAAFn53RQ=")</f>
        <v>#REF!</v>
      </c>
      <c r="V14" t="e">
        <f>AND(#REF!,"AAAAAFn53RU=")</f>
        <v>#REF!</v>
      </c>
      <c r="W14" t="e">
        <f>AND(#REF!,"AAAAAFn53RY=")</f>
        <v>#REF!</v>
      </c>
      <c r="X14" t="e">
        <f>AND(#REF!,"AAAAAFn53Rc=")</f>
        <v>#REF!</v>
      </c>
      <c r="Y14" t="e">
        <f>AND(#REF!,"AAAAAFn53Rg=")</f>
        <v>#REF!</v>
      </c>
      <c r="Z14" t="e">
        <f>AND(#REF!,"AAAAAFn53Rk=")</f>
        <v>#REF!</v>
      </c>
      <c r="AA14" t="e">
        <f>AND(#REF!,"AAAAAFn53Ro=")</f>
        <v>#REF!</v>
      </c>
      <c r="AB14" t="e">
        <f>AND(#REF!,"AAAAAFn53Rs=")</f>
        <v>#REF!</v>
      </c>
      <c r="AC14" t="e">
        <f>AND(#REF!,"AAAAAFn53Rw=")</f>
        <v>#REF!</v>
      </c>
      <c r="AD14" t="e">
        <f>AND(#REF!,"AAAAAFn53R0=")</f>
        <v>#REF!</v>
      </c>
      <c r="AE14" t="e">
        <f>AND(#REF!,"AAAAAFn53R4=")</f>
        <v>#REF!</v>
      </c>
      <c r="AF14" t="e">
        <f>AND(#REF!,"AAAAAFn53R8=")</f>
        <v>#REF!</v>
      </c>
      <c r="AG14" t="e">
        <f>AND(#REF!,"AAAAAFn53SA=")</f>
        <v>#REF!</v>
      </c>
      <c r="AH14" t="e">
        <f>AND(#REF!,"AAAAAFn53SE=")</f>
        <v>#REF!</v>
      </c>
      <c r="AI14" t="e">
        <f>AND(#REF!,"AAAAAFn53SI=")</f>
        <v>#REF!</v>
      </c>
      <c r="AJ14" t="e">
        <f>AND(#REF!,"AAAAAFn53SM=")</f>
        <v>#REF!</v>
      </c>
      <c r="AK14" t="e">
        <f>AND(#REF!,"AAAAAFn53SQ=")</f>
        <v>#REF!</v>
      </c>
      <c r="AL14" t="e">
        <f>AND(#REF!,"AAAAAFn53SU=")</f>
        <v>#REF!</v>
      </c>
      <c r="AM14" t="e">
        <f>AND(#REF!,"AAAAAFn53SY=")</f>
        <v>#REF!</v>
      </c>
      <c r="AN14" t="e">
        <f>AND(#REF!,"AAAAAFn53Sc=")</f>
        <v>#REF!</v>
      </c>
      <c r="AO14" t="e">
        <f>AND(#REF!,"AAAAAFn53Sg=")</f>
        <v>#REF!</v>
      </c>
      <c r="AP14" t="e">
        <f>AND(#REF!,"AAAAAFn53Sk=")</f>
        <v>#REF!</v>
      </c>
      <c r="AQ14" t="e">
        <f>AND(#REF!,"AAAAAFn53So=")</f>
        <v>#REF!</v>
      </c>
      <c r="AR14" t="e">
        <f>AND(#REF!,"AAAAAFn53Ss=")</f>
        <v>#REF!</v>
      </c>
      <c r="AS14" t="e">
        <f>AND(#REF!,"AAAAAFn53Sw=")</f>
        <v>#REF!</v>
      </c>
      <c r="AT14" t="e">
        <f>AND(#REF!,"AAAAAFn53S0=")</f>
        <v>#REF!</v>
      </c>
      <c r="AU14" t="e">
        <f>AND(#REF!,"AAAAAFn53S4=")</f>
        <v>#REF!</v>
      </c>
      <c r="AV14" t="e">
        <f>AND(#REF!,"AAAAAFn53S8=")</f>
        <v>#REF!</v>
      </c>
      <c r="AW14" t="e">
        <f>AND(#REF!,"AAAAAFn53TA=")</f>
        <v>#REF!</v>
      </c>
      <c r="AX14" t="e">
        <f>AND(#REF!,"AAAAAFn53TE=")</f>
        <v>#REF!</v>
      </c>
      <c r="AY14" t="e">
        <f>AND(#REF!,"AAAAAFn53TI=")</f>
        <v>#REF!</v>
      </c>
      <c r="AZ14" t="e">
        <f>AND(#REF!,"AAAAAFn53TM=")</f>
        <v>#REF!</v>
      </c>
      <c r="BA14" t="e">
        <f>AND(#REF!,"AAAAAFn53TQ=")</f>
        <v>#REF!</v>
      </c>
      <c r="BB14" t="e">
        <f>AND(#REF!,"AAAAAFn53TU=")</f>
        <v>#REF!</v>
      </c>
      <c r="BC14" t="e">
        <f>AND(#REF!,"AAAAAFn53TY=")</f>
        <v>#REF!</v>
      </c>
      <c r="BD14" t="e">
        <f>AND(#REF!,"AAAAAFn53Tc=")</f>
        <v>#REF!</v>
      </c>
      <c r="BE14" t="e">
        <f>AND(#REF!,"AAAAAFn53Tg=")</f>
        <v>#REF!</v>
      </c>
      <c r="BF14" t="e">
        <f>AND(#REF!,"AAAAAFn53Tk=")</f>
        <v>#REF!</v>
      </c>
      <c r="BG14" t="e">
        <f>AND(#REF!,"AAAAAFn53To=")</f>
        <v>#REF!</v>
      </c>
      <c r="BH14" t="e">
        <f>AND(#REF!,"AAAAAFn53Ts=")</f>
        <v>#REF!</v>
      </c>
      <c r="BI14" t="e">
        <f>AND(#REF!,"AAAAAFn53Tw=")</f>
        <v>#REF!</v>
      </c>
      <c r="BJ14" t="e">
        <f>AND(#REF!,"AAAAAFn53T0=")</f>
        <v>#REF!</v>
      </c>
      <c r="BK14" t="e">
        <f>AND(#REF!,"AAAAAFn53T4=")</f>
        <v>#REF!</v>
      </c>
      <c r="BL14" t="e">
        <f>AND(#REF!,"AAAAAFn53T8=")</f>
        <v>#REF!</v>
      </c>
      <c r="BM14" t="e">
        <f>AND(#REF!,"AAAAAFn53UA=")</f>
        <v>#REF!</v>
      </c>
      <c r="BN14" t="e">
        <f>AND(#REF!,"AAAAAFn53UE=")</f>
        <v>#REF!</v>
      </c>
      <c r="BO14" t="e">
        <f>AND(#REF!,"AAAAAFn53UI=")</f>
        <v>#REF!</v>
      </c>
      <c r="BP14" t="e">
        <f>AND(#REF!,"AAAAAFn53UM=")</f>
        <v>#REF!</v>
      </c>
      <c r="BQ14" t="e">
        <f>AND(#REF!,"AAAAAFn53UQ=")</f>
        <v>#REF!</v>
      </c>
      <c r="BR14" t="e">
        <f>AND(#REF!,"AAAAAFn53UU=")</f>
        <v>#REF!</v>
      </c>
      <c r="BS14" t="e">
        <f>AND(#REF!,"AAAAAFn53UY=")</f>
        <v>#REF!</v>
      </c>
      <c r="BT14" t="e">
        <f>AND(#REF!,"AAAAAFn53Uc=")</f>
        <v>#REF!</v>
      </c>
      <c r="BU14" t="e">
        <f>AND(#REF!,"AAAAAFn53Ug=")</f>
        <v>#REF!</v>
      </c>
      <c r="BV14" t="e">
        <f>AND(#REF!,"AAAAAFn53Uk=")</f>
        <v>#REF!</v>
      </c>
      <c r="BW14" t="e">
        <f>AND(#REF!,"AAAAAFn53Uo=")</f>
        <v>#REF!</v>
      </c>
      <c r="BX14" t="e">
        <f>AND(#REF!,"AAAAAFn53Us=")</f>
        <v>#REF!</v>
      </c>
      <c r="BY14" t="e">
        <f>AND(#REF!,"AAAAAFn53Uw=")</f>
        <v>#REF!</v>
      </c>
      <c r="BZ14" t="e">
        <f>AND(#REF!,"AAAAAFn53U0=")</f>
        <v>#REF!</v>
      </c>
      <c r="CA14" t="e">
        <f>AND(#REF!,"AAAAAFn53U4=")</f>
        <v>#REF!</v>
      </c>
      <c r="CB14" t="e">
        <f>IF(#REF!,"AAAAAFn53U8=",0)</f>
        <v>#REF!</v>
      </c>
      <c r="CC14" t="e">
        <f>AND(#REF!,"AAAAAFn53VA=")</f>
        <v>#REF!</v>
      </c>
      <c r="CD14" t="e">
        <f>AND(#REF!,"AAAAAFn53VE=")</f>
        <v>#REF!</v>
      </c>
      <c r="CE14" t="e">
        <f>AND(#REF!,"AAAAAFn53VI=")</f>
        <v>#REF!</v>
      </c>
      <c r="CF14" t="e">
        <f>AND(#REF!,"AAAAAFn53VM=")</f>
        <v>#REF!</v>
      </c>
      <c r="CG14" t="e">
        <f>AND(#REF!,"AAAAAFn53VQ=")</f>
        <v>#REF!</v>
      </c>
      <c r="CH14" t="e">
        <f>AND(#REF!,"AAAAAFn53VU=")</f>
        <v>#REF!</v>
      </c>
      <c r="CI14" t="e">
        <f>AND(#REF!,"AAAAAFn53VY=")</f>
        <v>#REF!</v>
      </c>
      <c r="CJ14" t="e">
        <f>AND(#REF!,"AAAAAFn53Vc=")</f>
        <v>#REF!</v>
      </c>
      <c r="CK14" t="e">
        <f>AND(#REF!,"AAAAAFn53Vg=")</f>
        <v>#REF!</v>
      </c>
      <c r="CL14" t="e">
        <f>AND(#REF!,"AAAAAFn53Vk=")</f>
        <v>#REF!</v>
      </c>
      <c r="CM14" t="e">
        <f>AND(#REF!,"AAAAAFn53Vo=")</f>
        <v>#REF!</v>
      </c>
      <c r="CN14" t="e">
        <f>AND(#REF!,"AAAAAFn53Vs=")</f>
        <v>#REF!</v>
      </c>
      <c r="CO14" t="e">
        <f>AND(#REF!,"AAAAAFn53Vw=")</f>
        <v>#REF!</v>
      </c>
      <c r="CP14" t="e">
        <f>AND(#REF!,"AAAAAFn53V0=")</f>
        <v>#REF!</v>
      </c>
      <c r="CQ14" t="e">
        <f>AND(#REF!,"AAAAAFn53V4=")</f>
        <v>#REF!</v>
      </c>
      <c r="CR14" t="e">
        <f>AND(#REF!,"AAAAAFn53V8=")</f>
        <v>#REF!</v>
      </c>
      <c r="CS14" t="e">
        <f>AND(#REF!,"AAAAAFn53WA=")</f>
        <v>#REF!</v>
      </c>
      <c r="CT14" t="e">
        <f>AND(#REF!,"AAAAAFn53WE=")</f>
        <v>#REF!</v>
      </c>
      <c r="CU14" t="e">
        <f>AND(#REF!,"AAAAAFn53WI=")</f>
        <v>#REF!</v>
      </c>
      <c r="CV14" t="e">
        <f>AND(#REF!,"AAAAAFn53WM=")</f>
        <v>#REF!</v>
      </c>
      <c r="CW14" t="e">
        <f>AND(#REF!,"AAAAAFn53WQ=")</f>
        <v>#REF!</v>
      </c>
      <c r="CX14" t="e">
        <f>AND(#REF!,"AAAAAFn53WU=")</f>
        <v>#REF!</v>
      </c>
      <c r="CY14" t="e">
        <f>AND(#REF!,"AAAAAFn53WY=")</f>
        <v>#REF!</v>
      </c>
      <c r="CZ14" t="e">
        <f>AND(#REF!,"AAAAAFn53Wc=")</f>
        <v>#REF!</v>
      </c>
      <c r="DA14" t="e">
        <f>AND(#REF!,"AAAAAFn53Wg=")</f>
        <v>#REF!</v>
      </c>
      <c r="DB14" t="e">
        <f>AND(#REF!,"AAAAAFn53Wk=")</f>
        <v>#REF!</v>
      </c>
      <c r="DC14" t="e">
        <f>AND(#REF!,"AAAAAFn53Wo=")</f>
        <v>#REF!</v>
      </c>
      <c r="DD14" t="e">
        <f>AND(#REF!,"AAAAAFn53Ws=")</f>
        <v>#REF!</v>
      </c>
      <c r="DE14" t="e">
        <f>AND(#REF!,"AAAAAFn53Ww=")</f>
        <v>#REF!</v>
      </c>
      <c r="DF14" t="e">
        <f>AND(#REF!,"AAAAAFn53W0=")</f>
        <v>#REF!</v>
      </c>
      <c r="DG14" t="e">
        <f>AND(#REF!,"AAAAAFn53W4=")</f>
        <v>#REF!</v>
      </c>
      <c r="DH14" t="e">
        <f>AND(#REF!,"AAAAAFn53W8=")</f>
        <v>#REF!</v>
      </c>
      <c r="DI14" t="e">
        <f>AND(#REF!,"AAAAAFn53XA=")</f>
        <v>#REF!</v>
      </c>
      <c r="DJ14" t="e">
        <f>AND(#REF!,"AAAAAFn53XE=")</f>
        <v>#REF!</v>
      </c>
      <c r="DK14" t="e">
        <f>AND(#REF!,"AAAAAFn53XI=")</f>
        <v>#REF!</v>
      </c>
      <c r="DL14" t="e">
        <f>AND(#REF!,"AAAAAFn53XM=")</f>
        <v>#REF!</v>
      </c>
      <c r="DM14" t="e">
        <f>AND(#REF!,"AAAAAFn53XQ=")</f>
        <v>#REF!</v>
      </c>
      <c r="DN14" t="e">
        <f>AND(#REF!,"AAAAAFn53XU=")</f>
        <v>#REF!</v>
      </c>
      <c r="DO14" t="e">
        <f>AND(#REF!,"AAAAAFn53XY=")</f>
        <v>#REF!</v>
      </c>
      <c r="DP14" t="e">
        <f>AND(#REF!,"AAAAAFn53Xc=")</f>
        <v>#REF!</v>
      </c>
      <c r="DQ14" t="e">
        <f>AND(#REF!,"AAAAAFn53Xg=")</f>
        <v>#REF!</v>
      </c>
      <c r="DR14" t="e">
        <f>AND(#REF!,"AAAAAFn53Xk=")</f>
        <v>#REF!</v>
      </c>
      <c r="DS14" t="e">
        <f>AND(#REF!,"AAAAAFn53Xo=")</f>
        <v>#REF!</v>
      </c>
      <c r="DT14" t="e">
        <f>AND(#REF!,"AAAAAFn53Xs=")</f>
        <v>#REF!</v>
      </c>
      <c r="DU14" t="e">
        <f>AND(#REF!,"AAAAAFn53Xw=")</f>
        <v>#REF!</v>
      </c>
      <c r="DV14" t="e">
        <f>AND(#REF!,"AAAAAFn53X0=")</f>
        <v>#REF!</v>
      </c>
      <c r="DW14" t="e">
        <f>AND(#REF!,"AAAAAFn53X4=")</f>
        <v>#REF!</v>
      </c>
      <c r="DX14" t="e">
        <f>AND(#REF!,"AAAAAFn53X8=")</f>
        <v>#REF!</v>
      </c>
      <c r="DY14" t="e">
        <f>AND(#REF!,"AAAAAFn53YA=")</f>
        <v>#REF!</v>
      </c>
      <c r="DZ14" t="e">
        <f>AND(#REF!,"AAAAAFn53YE=")</f>
        <v>#REF!</v>
      </c>
      <c r="EA14" t="e">
        <f>AND(#REF!,"AAAAAFn53YI=")</f>
        <v>#REF!</v>
      </c>
      <c r="EB14" t="e">
        <f>AND(#REF!,"AAAAAFn53YM=")</f>
        <v>#REF!</v>
      </c>
      <c r="EC14" t="e">
        <f>AND(#REF!,"AAAAAFn53YQ=")</f>
        <v>#REF!</v>
      </c>
      <c r="ED14" t="e">
        <f>AND(#REF!,"AAAAAFn53YU=")</f>
        <v>#REF!</v>
      </c>
      <c r="EE14" t="e">
        <f>AND(#REF!,"AAAAAFn53YY=")</f>
        <v>#REF!</v>
      </c>
      <c r="EF14" t="e">
        <f>AND(#REF!,"AAAAAFn53Yc=")</f>
        <v>#REF!</v>
      </c>
      <c r="EG14" t="e">
        <f>AND(#REF!,"AAAAAFn53Yg=")</f>
        <v>#REF!</v>
      </c>
      <c r="EH14" t="e">
        <f>AND(#REF!,"AAAAAFn53Yk=")</f>
        <v>#REF!</v>
      </c>
      <c r="EI14" t="e">
        <f>AND(#REF!,"AAAAAFn53Yo=")</f>
        <v>#REF!</v>
      </c>
      <c r="EJ14" t="e">
        <f>AND(#REF!,"AAAAAFn53Ys=")</f>
        <v>#REF!</v>
      </c>
      <c r="EK14" t="e">
        <f>AND(#REF!,"AAAAAFn53Yw=")</f>
        <v>#REF!</v>
      </c>
      <c r="EL14" t="e">
        <f>AND(#REF!,"AAAAAFn53Y0=")</f>
        <v>#REF!</v>
      </c>
      <c r="EM14" t="e">
        <f>AND(#REF!,"AAAAAFn53Y4=")</f>
        <v>#REF!</v>
      </c>
      <c r="EN14" t="e">
        <f>AND(#REF!,"AAAAAFn53Y8=")</f>
        <v>#REF!</v>
      </c>
      <c r="EO14" t="e">
        <f>AND(#REF!,"AAAAAFn53ZA=")</f>
        <v>#REF!</v>
      </c>
      <c r="EP14" t="e">
        <f>AND(#REF!,"AAAAAFn53ZE=")</f>
        <v>#REF!</v>
      </c>
      <c r="EQ14" t="e">
        <f>AND(#REF!,"AAAAAFn53ZI=")</f>
        <v>#REF!</v>
      </c>
      <c r="ER14" t="e">
        <f>AND(#REF!,"AAAAAFn53ZM=")</f>
        <v>#REF!</v>
      </c>
      <c r="ES14" t="e">
        <f>AND(#REF!,"AAAAAFn53ZQ=")</f>
        <v>#REF!</v>
      </c>
      <c r="ET14" t="e">
        <f>AND(#REF!,"AAAAAFn53ZU=")</f>
        <v>#REF!</v>
      </c>
      <c r="EU14" t="e">
        <f>AND(#REF!,"AAAAAFn53ZY=")</f>
        <v>#REF!</v>
      </c>
      <c r="EV14" t="e">
        <f>AND(#REF!,"AAAAAFn53Zc=")</f>
        <v>#REF!</v>
      </c>
      <c r="EW14" t="e">
        <f>AND(#REF!,"AAAAAFn53Zg=")</f>
        <v>#REF!</v>
      </c>
      <c r="EX14" t="e">
        <f>AND(#REF!,"AAAAAFn53Zk=")</f>
        <v>#REF!</v>
      </c>
      <c r="EY14" t="e">
        <f>AND(#REF!,"AAAAAFn53Zo=")</f>
        <v>#REF!</v>
      </c>
      <c r="EZ14" t="e">
        <f>AND(#REF!,"AAAAAFn53Zs=")</f>
        <v>#REF!</v>
      </c>
      <c r="FA14" t="e">
        <f>AND(#REF!,"AAAAAFn53Zw=")</f>
        <v>#REF!</v>
      </c>
      <c r="FB14" t="e">
        <f>AND(#REF!,"AAAAAFn53Z0=")</f>
        <v>#REF!</v>
      </c>
      <c r="FC14" t="e">
        <f>AND(#REF!,"AAAAAFn53Z4=")</f>
        <v>#REF!</v>
      </c>
      <c r="FD14" t="e">
        <f>AND(#REF!,"AAAAAFn53Z8=")</f>
        <v>#REF!</v>
      </c>
      <c r="FE14" t="e">
        <f>AND(#REF!,"AAAAAFn53aA=")</f>
        <v>#REF!</v>
      </c>
      <c r="FF14" t="e">
        <f>AND(#REF!,"AAAAAFn53aE=")</f>
        <v>#REF!</v>
      </c>
      <c r="FG14" t="e">
        <f>AND(#REF!,"AAAAAFn53aI=")</f>
        <v>#REF!</v>
      </c>
      <c r="FH14" t="e">
        <f>AND(#REF!,"AAAAAFn53aM=")</f>
        <v>#REF!</v>
      </c>
      <c r="FI14" t="e">
        <f>AND(#REF!,"AAAAAFn53aQ=")</f>
        <v>#REF!</v>
      </c>
      <c r="FJ14" t="e">
        <f>AND(#REF!,"AAAAAFn53aU=")</f>
        <v>#REF!</v>
      </c>
      <c r="FK14" t="e">
        <f>AND(#REF!,"AAAAAFn53aY=")</f>
        <v>#REF!</v>
      </c>
      <c r="FL14" t="e">
        <f>AND(#REF!,"AAAAAFn53ac=")</f>
        <v>#REF!</v>
      </c>
      <c r="FM14" t="e">
        <f>AND(#REF!,"AAAAAFn53ag=")</f>
        <v>#REF!</v>
      </c>
      <c r="FN14" t="e">
        <f>AND(#REF!,"AAAAAFn53ak=")</f>
        <v>#REF!</v>
      </c>
      <c r="FO14" t="e">
        <f>AND(#REF!,"AAAAAFn53ao=")</f>
        <v>#REF!</v>
      </c>
      <c r="FP14" t="e">
        <f>AND(#REF!,"AAAAAFn53as=")</f>
        <v>#REF!</v>
      </c>
      <c r="FQ14" t="e">
        <f>AND(#REF!,"AAAAAFn53aw=")</f>
        <v>#REF!</v>
      </c>
      <c r="FR14" t="e">
        <f>AND(#REF!,"AAAAAFn53a0=")</f>
        <v>#REF!</v>
      </c>
      <c r="FS14" t="e">
        <f>AND(#REF!,"AAAAAFn53a4=")</f>
        <v>#REF!</v>
      </c>
      <c r="FT14" t="e">
        <f>AND(#REF!,"AAAAAFn53a8=")</f>
        <v>#REF!</v>
      </c>
      <c r="FU14" t="e">
        <f>AND(#REF!,"AAAAAFn53bA=")</f>
        <v>#REF!</v>
      </c>
      <c r="FV14" t="e">
        <f>AND(#REF!,"AAAAAFn53bE=")</f>
        <v>#REF!</v>
      </c>
      <c r="FW14" t="e">
        <f>AND(#REF!,"AAAAAFn53bI=")</f>
        <v>#REF!</v>
      </c>
      <c r="FX14" t="e">
        <f>AND(#REF!,"AAAAAFn53bM=")</f>
        <v>#REF!</v>
      </c>
      <c r="FY14" t="e">
        <f>AND(#REF!,"AAAAAFn53bQ=")</f>
        <v>#REF!</v>
      </c>
      <c r="FZ14" t="e">
        <f>AND(#REF!,"AAAAAFn53bU=")</f>
        <v>#REF!</v>
      </c>
      <c r="GA14" t="e">
        <f>AND(#REF!,"AAAAAFn53bY=")</f>
        <v>#REF!</v>
      </c>
      <c r="GB14" t="e">
        <f>IF(_xlfn.SINGLE(#REF!),"AAAAAFn53bc=",0)</f>
        <v>#REF!</v>
      </c>
      <c r="GC14" t="e">
        <f>AND(#REF!,"AAAAAFn53bg=")</f>
        <v>#REF!</v>
      </c>
      <c r="GD14" t="e">
        <f>AND(#REF!,"AAAAAFn53bk=")</f>
        <v>#REF!</v>
      </c>
      <c r="GE14" t="e">
        <f>AND(#REF!,"AAAAAFn53bo=")</f>
        <v>#REF!</v>
      </c>
      <c r="GF14" t="e">
        <f>AND(#REF!,"AAAAAFn53bs=")</f>
        <v>#REF!</v>
      </c>
      <c r="GG14" t="e">
        <f>AND(#REF!,"AAAAAFn53bw=")</f>
        <v>#REF!</v>
      </c>
      <c r="GH14" t="e">
        <f>AND(#REF!,"AAAAAFn53b0=")</f>
        <v>#REF!</v>
      </c>
      <c r="GI14" t="e">
        <f>AND(#REF!,"AAAAAFn53b4=")</f>
        <v>#REF!</v>
      </c>
      <c r="GJ14" t="e">
        <f>AND(#REF!,"AAAAAFn53b8=")</f>
        <v>#REF!</v>
      </c>
      <c r="GK14" t="e">
        <f>AND(#REF!,"AAAAAFn53cA=")</f>
        <v>#REF!</v>
      </c>
      <c r="GL14" t="e">
        <f>AND(#REF!,"AAAAAFn53cE=")</f>
        <v>#REF!</v>
      </c>
      <c r="GM14" t="e">
        <f>AND(#REF!,"AAAAAFn53cI=")</f>
        <v>#REF!</v>
      </c>
      <c r="GN14" t="e">
        <f>AND(#REF!,"AAAAAFn53cM=")</f>
        <v>#REF!</v>
      </c>
      <c r="GO14" t="e">
        <f>AND(#REF!,"AAAAAFn53cQ=")</f>
        <v>#REF!</v>
      </c>
      <c r="GP14" t="e">
        <f>AND(#REF!,"AAAAAFn53cU=")</f>
        <v>#REF!</v>
      </c>
      <c r="GQ14" t="e">
        <f>AND(#REF!,"AAAAAFn53cY=")</f>
        <v>#REF!</v>
      </c>
      <c r="GR14" t="e">
        <f>AND(#REF!,"AAAAAFn53cc=")</f>
        <v>#REF!</v>
      </c>
      <c r="GS14" t="e">
        <f>AND(#REF!,"AAAAAFn53cg=")</f>
        <v>#REF!</v>
      </c>
      <c r="GT14" t="e">
        <f>AND(#REF!,"AAAAAFn53ck=")</f>
        <v>#REF!</v>
      </c>
      <c r="GU14" t="e">
        <f>AND(#REF!,"AAAAAFn53co=")</f>
        <v>#REF!</v>
      </c>
      <c r="GV14" t="e">
        <f>AND(#REF!,"AAAAAFn53cs=")</f>
        <v>#REF!</v>
      </c>
      <c r="GW14" t="e">
        <f>AND(#REF!,"AAAAAFn53cw=")</f>
        <v>#REF!</v>
      </c>
      <c r="GX14" t="e">
        <f>AND(#REF!,"AAAAAFn53c0=")</f>
        <v>#REF!</v>
      </c>
      <c r="GY14" t="e">
        <f>AND(#REF!,"AAAAAFn53c4=")</f>
        <v>#REF!</v>
      </c>
      <c r="GZ14" t="e">
        <f>AND(#REF!,"AAAAAFn53c8=")</f>
        <v>#REF!</v>
      </c>
      <c r="HA14" t="e">
        <f>AND(#REF!,"AAAAAFn53dA=")</f>
        <v>#REF!</v>
      </c>
      <c r="HB14" t="e">
        <f>AND(#REF!,"AAAAAFn53dE=")</f>
        <v>#REF!</v>
      </c>
      <c r="HC14" t="e">
        <f>AND(#REF!,"AAAAAFn53dI=")</f>
        <v>#REF!</v>
      </c>
      <c r="HD14" t="e">
        <f>AND(#REF!,"AAAAAFn53dM=")</f>
        <v>#REF!</v>
      </c>
      <c r="HE14" t="e">
        <f>AND(#REF!,"AAAAAFn53dQ=")</f>
        <v>#REF!</v>
      </c>
      <c r="HF14" t="e">
        <f>AND(#REF!,"AAAAAFn53dU=")</f>
        <v>#REF!</v>
      </c>
      <c r="HG14" t="e">
        <f>AND(#REF!,"AAAAAFn53dY=")</f>
        <v>#REF!</v>
      </c>
      <c r="HH14" t="e">
        <f>AND(#REF!,"AAAAAFn53dc=")</f>
        <v>#REF!</v>
      </c>
      <c r="HI14" t="e">
        <f>AND(#REF!,"AAAAAFn53dg=")</f>
        <v>#REF!</v>
      </c>
      <c r="HJ14" t="e">
        <f>AND(#REF!,"AAAAAFn53dk=")</f>
        <v>#REF!</v>
      </c>
      <c r="HK14" t="e">
        <f>AND(#REF!,"AAAAAFn53do=")</f>
        <v>#REF!</v>
      </c>
      <c r="HL14" t="e">
        <f>IF(_xlfn.SINGLE(#REF!),"AAAAAFn53ds=",0)</f>
        <v>#REF!</v>
      </c>
      <c r="HM14" t="e">
        <f>AND(#REF!,"AAAAAFn53dw=")</f>
        <v>#REF!</v>
      </c>
      <c r="HN14" t="e">
        <f>AND(#REF!,"AAAAAFn53d0=")</f>
        <v>#REF!</v>
      </c>
      <c r="HO14" t="e">
        <f>AND(#REF!,"AAAAAFn53d4=")</f>
        <v>#REF!</v>
      </c>
      <c r="HP14" t="e">
        <f>AND(#REF!,"AAAAAFn53d8=")</f>
        <v>#REF!</v>
      </c>
      <c r="HQ14" t="e">
        <f>AND(#REF!,"AAAAAFn53eA=")</f>
        <v>#REF!</v>
      </c>
      <c r="HR14" t="e">
        <f>AND(#REF!,"AAAAAFn53eE=")</f>
        <v>#REF!</v>
      </c>
      <c r="HS14" t="e">
        <f>AND(#REF!,"AAAAAFn53eI=")</f>
        <v>#REF!</v>
      </c>
      <c r="HT14" t="e">
        <f>AND(#REF!,"AAAAAFn53eM=")</f>
        <v>#REF!</v>
      </c>
      <c r="HU14" t="e">
        <f>AND(#REF!,"AAAAAFn53eQ=")</f>
        <v>#REF!</v>
      </c>
      <c r="HV14" t="e">
        <f>AND(#REF!,"AAAAAFn53eU=")</f>
        <v>#REF!</v>
      </c>
      <c r="HW14" t="e">
        <f>AND(#REF!,"AAAAAFn53eY=")</f>
        <v>#REF!</v>
      </c>
      <c r="HX14" t="e">
        <f>AND(#REF!,"AAAAAFn53ec=")</f>
        <v>#REF!</v>
      </c>
      <c r="HY14" t="e">
        <f>AND(#REF!,"AAAAAFn53eg=")</f>
        <v>#REF!</v>
      </c>
      <c r="HZ14" t="e">
        <f>AND(#REF!,"AAAAAFn53ek=")</f>
        <v>#REF!</v>
      </c>
      <c r="IA14" t="e">
        <f>AND(#REF!,"AAAAAFn53eo=")</f>
        <v>#REF!</v>
      </c>
      <c r="IB14" t="e">
        <f>AND(#REF!,"AAAAAFn53es=")</f>
        <v>#REF!</v>
      </c>
      <c r="IC14" t="e">
        <f>AND(#REF!,"AAAAAFn53ew=")</f>
        <v>#REF!</v>
      </c>
      <c r="ID14" t="e">
        <f>AND(#REF!,"AAAAAFn53e0=")</f>
        <v>#REF!</v>
      </c>
      <c r="IE14" t="e">
        <f>AND(#REF!,"AAAAAFn53e4=")</f>
        <v>#REF!</v>
      </c>
      <c r="IF14" t="e">
        <f>AND(#REF!,"AAAAAFn53e8=")</f>
        <v>#REF!</v>
      </c>
      <c r="IG14" t="e">
        <f>AND(#REF!,"AAAAAFn53fA=")</f>
        <v>#REF!</v>
      </c>
      <c r="IH14" t="e">
        <f>AND(#REF!,"AAAAAFn53fE=")</f>
        <v>#REF!</v>
      </c>
      <c r="II14" t="e">
        <f>AND(#REF!,"AAAAAFn53fI=")</f>
        <v>#REF!</v>
      </c>
      <c r="IJ14" t="e">
        <f>AND(#REF!,"AAAAAFn53fM=")</f>
        <v>#REF!</v>
      </c>
      <c r="IK14" t="e">
        <f>AND(#REF!,"AAAAAFn53fQ=")</f>
        <v>#REF!</v>
      </c>
      <c r="IL14" t="e">
        <f>AND(#REF!,"AAAAAFn53fU=")</f>
        <v>#REF!</v>
      </c>
      <c r="IM14" t="e">
        <f>AND(#REF!,"AAAAAFn53fY=")</f>
        <v>#REF!</v>
      </c>
      <c r="IN14" t="e">
        <f>AND(#REF!,"AAAAAFn53fc=")</f>
        <v>#REF!</v>
      </c>
      <c r="IO14" t="e">
        <f>AND(#REF!,"AAAAAFn53fg=")</f>
        <v>#REF!</v>
      </c>
      <c r="IP14" t="e">
        <f>AND(#REF!,"AAAAAFn53fk=")</f>
        <v>#REF!</v>
      </c>
      <c r="IQ14" t="e">
        <f>AND(#REF!,"AAAAAFn53fo=")</f>
        <v>#REF!</v>
      </c>
      <c r="IR14" t="e">
        <f>AND(#REF!,"AAAAAFn53fs=")</f>
        <v>#REF!</v>
      </c>
      <c r="IS14" t="e">
        <f>AND(#REF!,"AAAAAFn53fw=")</f>
        <v>#REF!</v>
      </c>
      <c r="IT14" t="e">
        <f>AND(#REF!,"AAAAAFn53f0=")</f>
        <v>#REF!</v>
      </c>
      <c r="IU14" t="e">
        <f>AND(#REF!,"AAAAAFn53f4=")</f>
        <v>#REF!</v>
      </c>
      <c r="IV14" t="e">
        <f>IF(_xlfn.SINGLE(#REF!),"AAAAAFn53f8=",0)</f>
        <v>#REF!</v>
      </c>
    </row>
    <row r="15" spans="1:256" x14ac:dyDescent="0.25">
      <c r="A15" t="e">
        <f>AND(#REF!,"AAAAAH/rcwA=")</f>
        <v>#REF!</v>
      </c>
      <c r="B15" t="e">
        <f>AND(#REF!,"AAAAAH/rcwE=")</f>
        <v>#REF!</v>
      </c>
      <c r="C15" t="e">
        <f>AND(#REF!,"AAAAAH/rcwI=")</f>
        <v>#REF!</v>
      </c>
      <c r="D15" t="e">
        <f>AND(#REF!,"AAAAAH/rcwM=")</f>
        <v>#REF!</v>
      </c>
      <c r="E15" t="e">
        <f>AND(#REF!,"AAAAAH/rcwQ=")</f>
        <v>#REF!</v>
      </c>
      <c r="F15" t="e">
        <f>AND(#REF!,"AAAAAH/rcwU=")</f>
        <v>#REF!</v>
      </c>
      <c r="G15" t="e">
        <f>AND(#REF!,"AAAAAH/rcwY=")</f>
        <v>#REF!</v>
      </c>
      <c r="H15" t="e">
        <f>AND(#REF!,"AAAAAH/rcwc=")</f>
        <v>#REF!</v>
      </c>
      <c r="I15" t="e">
        <f>AND(#REF!,"AAAAAH/rcwg=")</f>
        <v>#REF!</v>
      </c>
      <c r="J15" t="e">
        <f>AND(#REF!,"AAAAAH/rcwk=")</f>
        <v>#REF!</v>
      </c>
      <c r="K15" t="e">
        <f>AND(#REF!,"AAAAAH/rcwo=")</f>
        <v>#REF!</v>
      </c>
      <c r="L15" t="e">
        <f>AND(#REF!,"AAAAAH/rcws=")</f>
        <v>#REF!</v>
      </c>
      <c r="M15" t="e">
        <f>AND(#REF!,"AAAAAH/rcww=")</f>
        <v>#REF!</v>
      </c>
      <c r="N15" t="e">
        <f>AND(#REF!,"AAAAAH/rcw0=")</f>
        <v>#REF!</v>
      </c>
      <c r="O15" t="e">
        <f>AND(#REF!,"AAAAAH/rcw4=")</f>
        <v>#REF!</v>
      </c>
      <c r="P15" t="e">
        <f>AND(#REF!,"AAAAAH/rcw8=")</f>
        <v>#REF!</v>
      </c>
      <c r="Q15" t="e">
        <f>AND(#REF!,"AAAAAH/rcxA=")</f>
        <v>#REF!</v>
      </c>
      <c r="R15" t="e">
        <f>AND(#REF!,"AAAAAH/rcxE=")</f>
        <v>#REF!</v>
      </c>
      <c r="S15" t="e">
        <f>AND(#REF!,"AAAAAH/rcxI=")</f>
        <v>#REF!</v>
      </c>
      <c r="T15" t="e">
        <f>AND(#REF!,"AAAAAH/rcxM=")</f>
        <v>#REF!</v>
      </c>
      <c r="U15" t="e">
        <f>AND(#REF!,"AAAAAH/rcxQ=")</f>
        <v>#REF!</v>
      </c>
      <c r="V15" t="e">
        <f>AND(#REF!,"AAAAAH/rcxU=")</f>
        <v>#REF!</v>
      </c>
      <c r="W15" t="e">
        <f>AND(#REF!,"AAAAAH/rcxY=")</f>
        <v>#REF!</v>
      </c>
      <c r="X15" t="e">
        <f>AND(#REF!,"AAAAAH/rcxc=")</f>
        <v>#REF!</v>
      </c>
      <c r="Y15" t="e">
        <f>AND(#REF!,"AAAAAH/rcxg=")</f>
        <v>#REF!</v>
      </c>
      <c r="Z15" t="e">
        <f>AND(#REF!,"AAAAAH/rcxk=")</f>
        <v>#REF!</v>
      </c>
      <c r="AA15" t="e">
        <f>AND(#REF!,"AAAAAH/rcxo=")</f>
        <v>#REF!</v>
      </c>
      <c r="AB15" t="e">
        <f>AND(#REF!,"AAAAAH/rcxs=")</f>
        <v>#REF!</v>
      </c>
      <c r="AC15" t="e">
        <f>AND(#REF!,"AAAAAH/rcxw=")</f>
        <v>#REF!</v>
      </c>
      <c r="AD15" t="e">
        <f>AND(#REF!,"AAAAAH/rcx0=")</f>
        <v>#REF!</v>
      </c>
      <c r="AE15" t="e">
        <f>AND(#REF!,"AAAAAH/rcx4=")</f>
        <v>#REF!</v>
      </c>
      <c r="AF15" t="e">
        <f>AND(#REF!,"AAAAAH/rcx8=")</f>
        <v>#REF!</v>
      </c>
      <c r="AG15" t="e">
        <f>AND(#REF!,"AAAAAH/rcyA=")</f>
        <v>#REF!</v>
      </c>
      <c r="AH15" t="e">
        <f>AND(#REF!,"AAAAAH/rcyE=")</f>
        <v>#REF!</v>
      </c>
      <c r="AI15" t="e">
        <f>AND(#REF!,"AAAAAH/rcyI=")</f>
        <v>#REF!</v>
      </c>
      <c r="AJ15" t="e">
        <f>IF(_xlfn.SINGLE(#REF!),"AAAAAH/rcyM=",0)</f>
        <v>#REF!</v>
      </c>
      <c r="AK15" t="e">
        <f>AND(#REF!,"AAAAAH/rcyQ=")</f>
        <v>#REF!</v>
      </c>
      <c r="AL15" t="e">
        <f>AND(#REF!,"AAAAAH/rcyU=")</f>
        <v>#REF!</v>
      </c>
      <c r="AM15" t="e">
        <f>AND(#REF!,"AAAAAH/rcyY=")</f>
        <v>#REF!</v>
      </c>
      <c r="AN15" t="e">
        <f>AND(#REF!,"AAAAAH/rcyc=")</f>
        <v>#REF!</v>
      </c>
      <c r="AO15" t="e">
        <f>AND(#REF!,"AAAAAH/rcyg=")</f>
        <v>#REF!</v>
      </c>
      <c r="AP15" t="e">
        <f>AND(#REF!,"AAAAAH/rcyk=")</f>
        <v>#REF!</v>
      </c>
      <c r="AQ15" t="e">
        <f>AND(#REF!,"AAAAAH/rcyo=")</f>
        <v>#REF!</v>
      </c>
      <c r="AR15" t="e">
        <f>AND(#REF!,"AAAAAH/rcys=")</f>
        <v>#REF!</v>
      </c>
      <c r="AS15" t="e">
        <f>AND(#REF!,"AAAAAH/rcyw=")</f>
        <v>#REF!</v>
      </c>
      <c r="AT15" t="e">
        <f>AND(#REF!,"AAAAAH/rcy0=")</f>
        <v>#REF!</v>
      </c>
      <c r="AU15" t="e">
        <f>AND(#REF!,"AAAAAH/rcy4=")</f>
        <v>#REF!</v>
      </c>
      <c r="AV15" t="e">
        <f>AND(#REF!,"AAAAAH/rcy8=")</f>
        <v>#REF!</v>
      </c>
      <c r="AW15" t="e">
        <f>AND(#REF!,"AAAAAH/rczA=")</f>
        <v>#REF!</v>
      </c>
      <c r="AX15" t="e">
        <f>AND(#REF!,"AAAAAH/rczE=")</f>
        <v>#REF!</v>
      </c>
      <c r="AY15" t="e">
        <f>AND(#REF!,"AAAAAH/rczI=")</f>
        <v>#REF!</v>
      </c>
      <c r="AZ15" t="e">
        <f>AND(#REF!,"AAAAAH/rczM=")</f>
        <v>#REF!</v>
      </c>
      <c r="BA15" t="e">
        <f>AND(#REF!,"AAAAAH/rczQ=")</f>
        <v>#REF!</v>
      </c>
      <c r="BB15" t="e">
        <f>AND(#REF!,"AAAAAH/rczU=")</f>
        <v>#REF!</v>
      </c>
      <c r="BC15" t="e">
        <f>AND(#REF!,"AAAAAH/rczY=")</f>
        <v>#REF!</v>
      </c>
      <c r="BD15" t="e">
        <f>AND(#REF!,"AAAAAH/rczc=")</f>
        <v>#REF!</v>
      </c>
      <c r="BE15" t="e">
        <f>AND(#REF!,"AAAAAH/rczg=")</f>
        <v>#REF!</v>
      </c>
      <c r="BF15" t="e">
        <f>AND(#REF!,"AAAAAH/rczk=")</f>
        <v>#REF!</v>
      </c>
      <c r="BG15" t="e">
        <f>AND(#REF!,"AAAAAH/rczo=")</f>
        <v>#REF!</v>
      </c>
      <c r="BH15" t="e">
        <f>AND(#REF!,"AAAAAH/rczs=")</f>
        <v>#REF!</v>
      </c>
      <c r="BI15" t="e">
        <f>AND(#REF!,"AAAAAH/rczw=")</f>
        <v>#REF!</v>
      </c>
      <c r="BJ15" t="e">
        <f>AND(#REF!,"AAAAAH/rcz0=")</f>
        <v>#REF!</v>
      </c>
      <c r="BK15" t="e">
        <f>AND(#REF!,"AAAAAH/rcz4=")</f>
        <v>#REF!</v>
      </c>
      <c r="BL15" t="e">
        <f>AND(#REF!,"AAAAAH/rcz8=")</f>
        <v>#REF!</v>
      </c>
      <c r="BM15" t="e">
        <f>AND(#REF!,"AAAAAH/rc0A=")</f>
        <v>#REF!</v>
      </c>
      <c r="BN15" t="e">
        <f>AND(#REF!,"AAAAAH/rc0E=")</f>
        <v>#REF!</v>
      </c>
      <c r="BO15" t="e">
        <f>AND(#REF!,"AAAAAH/rc0I=")</f>
        <v>#REF!</v>
      </c>
      <c r="BP15" t="e">
        <f>AND(#REF!,"AAAAAH/rc0M=")</f>
        <v>#REF!</v>
      </c>
      <c r="BQ15" t="e">
        <f>AND(#REF!,"AAAAAH/rc0Q=")</f>
        <v>#REF!</v>
      </c>
      <c r="BR15" t="e">
        <f>AND(#REF!,"AAAAAH/rc0U=")</f>
        <v>#REF!</v>
      </c>
      <c r="BS15" t="e">
        <f>AND(#REF!,"AAAAAH/rc0Y=")</f>
        <v>#REF!</v>
      </c>
      <c r="BT15" t="e">
        <f>IF(_xlfn.SINGLE(#REF!),"AAAAAH/rc0c=",0)</f>
        <v>#REF!</v>
      </c>
      <c r="BU15" t="e">
        <f>AND(#REF!,"AAAAAH/rc0g=")</f>
        <v>#REF!</v>
      </c>
      <c r="BV15" t="e">
        <f>AND(#REF!,"AAAAAH/rc0k=")</f>
        <v>#REF!</v>
      </c>
      <c r="BW15" t="e">
        <f>AND(#REF!,"AAAAAH/rc0o=")</f>
        <v>#REF!</v>
      </c>
      <c r="BX15" t="e">
        <f>AND(#REF!,"AAAAAH/rc0s=")</f>
        <v>#REF!</v>
      </c>
      <c r="BY15" t="e">
        <f>AND(#REF!,"AAAAAH/rc0w=")</f>
        <v>#REF!</v>
      </c>
      <c r="BZ15" t="e">
        <f>AND(#REF!,"AAAAAH/rc00=")</f>
        <v>#REF!</v>
      </c>
      <c r="CA15" t="e">
        <f>AND(#REF!,"AAAAAH/rc04=")</f>
        <v>#REF!</v>
      </c>
      <c r="CB15" t="e">
        <f>AND(#REF!,"AAAAAH/rc08=")</f>
        <v>#REF!</v>
      </c>
      <c r="CC15" t="e">
        <f>AND(#REF!,"AAAAAH/rc1A=")</f>
        <v>#REF!</v>
      </c>
      <c r="CD15" t="e">
        <f>AND(#REF!,"AAAAAH/rc1E=")</f>
        <v>#REF!</v>
      </c>
      <c r="CE15" t="e">
        <f>AND(#REF!,"AAAAAH/rc1I=")</f>
        <v>#REF!</v>
      </c>
      <c r="CF15" t="e">
        <f>AND(#REF!,"AAAAAH/rc1M=")</f>
        <v>#REF!</v>
      </c>
      <c r="CG15" t="e">
        <f>AND(#REF!,"AAAAAH/rc1Q=")</f>
        <v>#REF!</v>
      </c>
      <c r="CH15" t="e">
        <f>AND(#REF!,"AAAAAH/rc1U=")</f>
        <v>#REF!</v>
      </c>
      <c r="CI15" t="e">
        <f>AND(#REF!,"AAAAAH/rc1Y=")</f>
        <v>#REF!</v>
      </c>
      <c r="CJ15" t="e">
        <f>AND(#REF!,"AAAAAH/rc1c=")</f>
        <v>#REF!</v>
      </c>
      <c r="CK15" t="e">
        <f>AND(#REF!,"AAAAAH/rc1g=")</f>
        <v>#REF!</v>
      </c>
      <c r="CL15" t="e">
        <f>AND(#REF!,"AAAAAH/rc1k=")</f>
        <v>#REF!</v>
      </c>
      <c r="CM15" t="e">
        <f>AND(#REF!,"AAAAAH/rc1o=")</f>
        <v>#REF!</v>
      </c>
      <c r="CN15" t="e">
        <f>AND(#REF!,"AAAAAH/rc1s=")</f>
        <v>#REF!</v>
      </c>
      <c r="CO15" t="e">
        <f>AND(#REF!,"AAAAAH/rc1w=")</f>
        <v>#REF!</v>
      </c>
      <c r="CP15" t="e">
        <f>AND(#REF!,"AAAAAH/rc10=")</f>
        <v>#REF!</v>
      </c>
      <c r="CQ15" t="e">
        <f>AND(#REF!,"AAAAAH/rc14=")</f>
        <v>#REF!</v>
      </c>
      <c r="CR15" t="e">
        <f>AND(#REF!,"AAAAAH/rc18=")</f>
        <v>#REF!</v>
      </c>
      <c r="CS15" t="e">
        <f>AND(#REF!,"AAAAAH/rc2A=")</f>
        <v>#REF!</v>
      </c>
      <c r="CT15" t="e">
        <f>AND(#REF!,"AAAAAH/rc2E=")</f>
        <v>#REF!</v>
      </c>
      <c r="CU15" t="e">
        <f>AND(#REF!,"AAAAAH/rc2I=")</f>
        <v>#REF!</v>
      </c>
      <c r="CV15" t="e">
        <f>AND(#REF!,"AAAAAH/rc2M=")</f>
        <v>#REF!</v>
      </c>
      <c r="CW15" t="e">
        <f>AND(#REF!,"AAAAAH/rc2Q=")</f>
        <v>#REF!</v>
      </c>
      <c r="CX15" t="e">
        <f>AND(#REF!,"AAAAAH/rc2U=")</f>
        <v>#REF!</v>
      </c>
      <c r="CY15" t="e">
        <f>AND(#REF!,"AAAAAH/rc2Y=")</f>
        <v>#REF!</v>
      </c>
      <c r="CZ15" t="e">
        <f>AND(#REF!,"AAAAAH/rc2c=")</f>
        <v>#REF!</v>
      </c>
      <c r="DA15" t="e">
        <f>AND(#REF!,"AAAAAH/rc2g=")</f>
        <v>#REF!</v>
      </c>
      <c r="DB15" t="e">
        <f>AND(#REF!,"AAAAAH/rc2k=")</f>
        <v>#REF!</v>
      </c>
      <c r="DC15" t="e">
        <f>AND(#REF!,"AAAAAH/rc2o=")</f>
        <v>#REF!</v>
      </c>
      <c r="DD15" t="e">
        <f>IF(_xlfn.SINGLE(#REF!),"AAAAAH/rc2s=",0)</f>
        <v>#REF!</v>
      </c>
      <c r="DE15" t="e">
        <f>AND(#REF!,"AAAAAH/rc2w=")</f>
        <v>#REF!</v>
      </c>
      <c r="DF15" t="e">
        <f>AND(#REF!,"AAAAAH/rc20=")</f>
        <v>#REF!</v>
      </c>
      <c r="DG15" t="e">
        <f>AND(#REF!,"AAAAAH/rc24=")</f>
        <v>#REF!</v>
      </c>
      <c r="DH15" t="e">
        <f>AND(#REF!,"AAAAAH/rc28=")</f>
        <v>#REF!</v>
      </c>
      <c r="DI15" t="e">
        <f>AND(#REF!,"AAAAAH/rc3A=")</f>
        <v>#REF!</v>
      </c>
      <c r="DJ15" t="e">
        <f>AND(#REF!,"AAAAAH/rc3E=")</f>
        <v>#REF!</v>
      </c>
      <c r="DK15" t="e">
        <f>AND(#REF!,"AAAAAH/rc3I=")</f>
        <v>#REF!</v>
      </c>
      <c r="DL15" t="e">
        <f>AND(#REF!,"AAAAAH/rc3M=")</f>
        <v>#REF!</v>
      </c>
      <c r="DM15" t="e">
        <f>AND(#REF!,"AAAAAH/rc3Q=")</f>
        <v>#REF!</v>
      </c>
      <c r="DN15" t="e">
        <f>AND(#REF!,"AAAAAH/rc3U=")</f>
        <v>#REF!</v>
      </c>
      <c r="DO15" t="e">
        <f>AND(#REF!,"AAAAAH/rc3Y=")</f>
        <v>#REF!</v>
      </c>
      <c r="DP15" t="e">
        <f>AND(#REF!,"AAAAAH/rc3c=")</f>
        <v>#REF!</v>
      </c>
      <c r="DQ15" t="e">
        <f>AND(#REF!,"AAAAAH/rc3g=")</f>
        <v>#REF!</v>
      </c>
      <c r="DR15" t="e">
        <f>AND(#REF!,"AAAAAH/rc3k=")</f>
        <v>#REF!</v>
      </c>
      <c r="DS15" t="e">
        <f>AND(#REF!,"AAAAAH/rc3o=")</f>
        <v>#REF!</v>
      </c>
      <c r="DT15" t="e">
        <f>AND(#REF!,"AAAAAH/rc3s=")</f>
        <v>#REF!</v>
      </c>
      <c r="DU15" t="e">
        <f>AND(#REF!,"AAAAAH/rc3w=")</f>
        <v>#REF!</v>
      </c>
      <c r="DV15" t="e">
        <f>AND(#REF!,"AAAAAH/rc30=")</f>
        <v>#REF!</v>
      </c>
      <c r="DW15" t="e">
        <f>AND(#REF!,"AAAAAH/rc34=")</f>
        <v>#REF!</v>
      </c>
      <c r="DX15" t="e">
        <f>AND(#REF!,"AAAAAH/rc38=")</f>
        <v>#REF!</v>
      </c>
      <c r="DY15" t="e">
        <f>AND(#REF!,"AAAAAH/rc4A=")</f>
        <v>#REF!</v>
      </c>
      <c r="DZ15" t="e">
        <f>AND(#REF!,"AAAAAH/rc4E=")</f>
        <v>#REF!</v>
      </c>
      <c r="EA15" t="e">
        <f>AND(#REF!,"AAAAAH/rc4I=")</f>
        <v>#REF!</v>
      </c>
      <c r="EB15" t="e">
        <f>AND(#REF!,"AAAAAH/rc4M=")</f>
        <v>#REF!</v>
      </c>
      <c r="EC15" t="e">
        <f>AND(#REF!,"AAAAAH/rc4Q=")</f>
        <v>#REF!</v>
      </c>
      <c r="ED15" t="e">
        <f>AND(#REF!,"AAAAAH/rc4U=")</f>
        <v>#REF!</v>
      </c>
      <c r="EE15" t="e">
        <f>AND(#REF!,"AAAAAH/rc4Y=")</f>
        <v>#REF!</v>
      </c>
      <c r="EF15" t="e">
        <f>AND(#REF!,"AAAAAH/rc4c=")</f>
        <v>#REF!</v>
      </c>
      <c r="EG15" t="e">
        <f>AND(#REF!,"AAAAAH/rc4g=")</f>
        <v>#REF!</v>
      </c>
      <c r="EH15" t="e">
        <f>AND(#REF!,"AAAAAH/rc4k=")</f>
        <v>#REF!</v>
      </c>
      <c r="EI15" t="e">
        <f>AND(#REF!,"AAAAAH/rc4o=")</f>
        <v>#REF!</v>
      </c>
      <c r="EJ15" t="e">
        <f>AND(#REF!,"AAAAAH/rc4s=")</f>
        <v>#REF!</v>
      </c>
      <c r="EK15" t="e">
        <f>AND(#REF!,"AAAAAH/rc4w=")</f>
        <v>#REF!</v>
      </c>
      <c r="EL15" t="e">
        <f>AND(#REF!,"AAAAAH/rc40=")</f>
        <v>#REF!</v>
      </c>
      <c r="EM15" t="e">
        <f>AND(#REF!,"AAAAAH/rc44=")</f>
        <v>#REF!</v>
      </c>
      <c r="EN15" t="e">
        <f>IF(#REF!,"AAAAAH/rc48=",0)</f>
        <v>#REF!</v>
      </c>
      <c r="EO15" t="e">
        <f>AND(#REF!,"AAAAAH/rc5A=")</f>
        <v>#REF!</v>
      </c>
      <c r="EP15" t="e">
        <f>AND(#REF!,"AAAAAH/rc5E=")</f>
        <v>#REF!</v>
      </c>
      <c r="EQ15" t="e">
        <f>AND(#REF!,"AAAAAH/rc5I=")</f>
        <v>#REF!</v>
      </c>
      <c r="ER15" t="e">
        <f>AND(#REF!,"AAAAAH/rc5M=")</f>
        <v>#REF!</v>
      </c>
      <c r="ES15" t="e">
        <f>AND(#REF!,"AAAAAH/rc5Q=")</f>
        <v>#REF!</v>
      </c>
      <c r="ET15" t="e">
        <f>AND(#REF!,"AAAAAH/rc5U=")</f>
        <v>#REF!</v>
      </c>
      <c r="EU15" t="e">
        <f>AND(#REF!,"AAAAAH/rc5Y=")</f>
        <v>#REF!</v>
      </c>
      <c r="EV15" t="e">
        <f>AND(#REF!,"AAAAAH/rc5c=")</f>
        <v>#REF!</v>
      </c>
      <c r="EW15" t="e">
        <f>AND(#REF!,"AAAAAH/rc5g=")</f>
        <v>#REF!</v>
      </c>
      <c r="EX15" t="e">
        <f>AND(#REF!,"AAAAAH/rc5k=")</f>
        <v>#REF!</v>
      </c>
      <c r="EY15" t="e">
        <f>AND(#REF!,"AAAAAH/rc5o=")</f>
        <v>#REF!</v>
      </c>
      <c r="EZ15" t="e">
        <f>AND(#REF!,"AAAAAH/rc5s=")</f>
        <v>#REF!</v>
      </c>
      <c r="FA15" t="e">
        <f>AND(#REF!,"AAAAAH/rc5w=")</f>
        <v>#REF!</v>
      </c>
      <c r="FB15" t="e">
        <f>AND(#REF!,"AAAAAH/rc50=")</f>
        <v>#REF!</v>
      </c>
      <c r="FC15" t="e">
        <f>AND(#REF!,"AAAAAH/rc54=")</f>
        <v>#REF!</v>
      </c>
      <c r="FD15" t="e">
        <f>AND(#REF!,"AAAAAH/rc58=")</f>
        <v>#REF!</v>
      </c>
      <c r="FE15" t="e">
        <f>AND(#REF!,"AAAAAH/rc6A=")</f>
        <v>#REF!</v>
      </c>
      <c r="FF15" t="e">
        <f>AND(#REF!,"AAAAAH/rc6E=")</f>
        <v>#REF!</v>
      </c>
      <c r="FG15" t="e">
        <f>AND(#REF!,"AAAAAH/rc6I=")</f>
        <v>#REF!</v>
      </c>
      <c r="FH15" t="e">
        <f>AND(#REF!,"AAAAAH/rc6M=")</f>
        <v>#REF!</v>
      </c>
      <c r="FI15" t="e">
        <f>AND(#REF!,"AAAAAH/rc6Q=")</f>
        <v>#REF!</v>
      </c>
      <c r="FJ15" t="e">
        <f>AND(#REF!,"AAAAAH/rc6U=")</f>
        <v>#REF!</v>
      </c>
      <c r="FK15" t="e">
        <f>AND(#REF!,"AAAAAH/rc6Y=")</f>
        <v>#REF!</v>
      </c>
      <c r="FL15" t="e">
        <f>AND(#REF!,"AAAAAH/rc6c=")</f>
        <v>#REF!</v>
      </c>
      <c r="FM15" t="e">
        <f>AND(#REF!,"AAAAAH/rc6g=")</f>
        <v>#REF!</v>
      </c>
      <c r="FN15" t="e">
        <f>AND(#REF!,"AAAAAH/rc6k=")</f>
        <v>#REF!</v>
      </c>
      <c r="FO15" t="e">
        <f>AND(#REF!,"AAAAAH/rc6o=")</f>
        <v>#REF!</v>
      </c>
      <c r="FP15" t="e">
        <f>AND(#REF!,"AAAAAH/rc6s=")</f>
        <v>#REF!</v>
      </c>
      <c r="FQ15" t="e">
        <f>AND(#REF!,"AAAAAH/rc6w=")</f>
        <v>#REF!</v>
      </c>
      <c r="FR15" t="e">
        <f>AND(#REF!,"AAAAAH/rc60=")</f>
        <v>#REF!</v>
      </c>
      <c r="FS15" t="e">
        <f>AND(#REF!,"AAAAAH/rc64=")</f>
        <v>#REF!</v>
      </c>
      <c r="FT15" t="e">
        <f>AND(#REF!,"AAAAAH/rc68=")</f>
        <v>#REF!</v>
      </c>
      <c r="FU15" t="e">
        <f>AND(#REF!,"AAAAAH/rc7A=")</f>
        <v>#REF!</v>
      </c>
      <c r="FV15" t="e">
        <f>AND(#REF!,"AAAAAH/rc7E=")</f>
        <v>#REF!</v>
      </c>
      <c r="FW15" t="e">
        <f>AND(#REF!,"AAAAAH/rc7I=")</f>
        <v>#REF!</v>
      </c>
      <c r="FX15" t="e">
        <f>IF(#REF!,"AAAAAH/rc7M=",0)</f>
        <v>#REF!</v>
      </c>
      <c r="FY15" t="e">
        <f>AND(#REF!,"AAAAAH/rc7Q=")</f>
        <v>#REF!</v>
      </c>
      <c r="FZ15" t="e">
        <f>AND(#REF!,"AAAAAH/rc7U=")</f>
        <v>#REF!</v>
      </c>
      <c r="GA15" t="e">
        <f>AND(#REF!,"AAAAAH/rc7Y=")</f>
        <v>#REF!</v>
      </c>
      <c r="GB15" t="e">
        <f>AND(#REF!,"AAAAAH/rc7c=")</f>
        <v>#REF!</v>
      </c>
      <c r="GC15" t="e">
        <f>AND(#REF!,"AAAAAH/rc7g=")</f>
        <v>#REF!</v>
      </c>
      <c r="GD15" t="e">
        <f>AND(#REF!,"AAAAAH/rc7k=")</f>
        <v>#REF!</v>
      </c>
      <c r="GE15" t="e">
        <f>AND(#REF!,"AAAAAH/rc7o=")</f>
        <v>#REF!</v>
      </c>
      <c r="GF15" t="e">
        <f>AND(#REF!,"AAAAAH/rc7s=")</f>
        <v>#REF!</v>
      </c>
      <c r="GG15" t="e">
        <f>AND(#REF!,"AAAAAH/rc7w=")</f>
        <v>#REF!</v>
      </c>
      <c r="GH15" t="e">
        <f>AND(#REF!,"AAAAAH/rc70=")</f>
        <v>#REF!</v>
      </c>
      <c r="GI15" t="e">
        <f>AND(#REF!,"AAAAAH/rc74=")</f>
        <v>#REF!</v>
      </c>
      <c r="GJ15" t="e">
        <f>AND(#REF!,"AAAAAH/rc78=")</f>
        <v>#REF!</v>
      </c>
      <c r="GK15" t="e">
        <f>AND(#REF!,"AAAAAH/rc8A=")</f>
        <v>#REF!</v>
      </c>
      <c r="GL15" t="e">
        <f>AND(#REF!,"AAAAAH/rc8E=")</f>
        <v>#REF!</v>
      </c>
      <c r="GM15" t="e">
        <f>AND(#REF!,"AAAAAH/rc8I=")</f>
        <v>#REF!</v>
      </c>
      <c r="GN15" t="e">
        <f>AND(#REF!,"AAAAAH/rc8M=")</f>
        <v>#REF!</v>
      </c>
      <c r="GO15" t="e">
        <f>AND(#REF!,"AAAAAH/rc8Q=")</f>
        <v>#REF!</v>
      </c>
      <c r="GP15" t="e">
        <f>AND(#REF!,"AAAAAH/rc8U=")</f>
        <v>#REF!</v>
      </c>
      <c r="GQ15" t="e">
        <f>AND(#REF!,"AAAAAH/rc8Y=")</f>
        <v>#REF!</v>
      </c>
      <c r="GR15" t="e">
        <f>AND(#REF!,"AAAAAH/rc8c=")</f>
        <v>#REF!</v>
      </c>
      <c r="GS15" t="e">
        <f>AND(#REF!,"AAAAAH/rc8g=")</f>
        <v>#REF!</v>
      </c>
      <c r="GT15" t="e">
        <f>AND(#REF!,"AAAAAH/rc8k=")</f>
        <v>#REF!</v>
      </c>
      <c r="GU15" t="e">
        <f>AND(#REF!,"AAAAAH/rc8o=")</f>
        <v>#REF!</v>
      </c>
      <c r="GV15" t="e">
        <f>AND(#REF!,"AAAAAH/rc8s=")</f>
        <v>#REF!</v>
      </c>
      <c r="GW15" t="e">
        <f>AND(#REF!,"AAAAAH/rc8w=")</f>
        <v>#REF!</v>
      </c>
      <c r="GX15" t="e">
        <f>AND(#REF!,"AAAAAH/rc80=")</f>
        <v>#REF!</v>
      </c>
      <c r="GY15" t="e">
        <f>AND(#REF!,"AAAAAH/rc84=")</f>
        <v>#REF!</v>
      </c>
      <c r="GZ15" t="e">
        <f>AND(#REF!,"AAAAAH/rc88=")</f>
        <v>#REF!</v>
      </c>
      <c r="HA15" t="e">
        <f>AND(#REF!,"AAAAAH/rc9A=")</f>
        <v>#REF!</v>
      </c>
      <c r="HB15" t="e">
        <f>AND(#REF!,"AAAAAH/rc9E=")</f>
        <v>#REF!</v>
      </c>
      <c r="HC15" t="e">
        <f>AND(#REF!,"AAAAAH/rc9I=")</f>
        <v>#REF!</v>
      </c>
      <c r="HD15" t="e">
        <f>AND(#REF!,"AAAAAH/rc9M=")</f>
        <v>#REF!</v>
      </c>
      <c r="HE15" t="e">
        <f>AND(#REF!,"AAAAAH/rc9Q=")</f>
        <v>#REF!</v>
      </c>
      <c r="HF15" t="e">
        <f>AND(#REF!,"AAAAAH/rc9U=")</f>
        <v>#REF!</v>
      </c>
      <c r="HG15" t="e">
        <f>AND(#REF!,"AAAAAH/rc9Y=")</f>
        <v>#REF!</v>
      </c>
      <c r="HH15" t="e">
        <f>IF(#REF!,"AAAAAH/rc9c=",0)</f>
        <v>#REF!</v>
      </c>
      <c r="HI15" t="e">
        <f>AND(#REF!,"AAAAAH/rc9g=")</f>
        <v>#REF!</v>
      </c>
      <c r="HJ15" t="e">
        <f>AND(#REF!,"AAAAAH/rc9k=")</f>
        <v>#REF!</v>
      </c>
      <c r="HK15" t="e">
        <f>AND(#REF!,"AAAAAH/rc9o=")</f>
        <v>#REF!</v>
      </c>
      <c r="HL15" t="e">
        <f>AND(#REF!,"AAAAAH/rc9s=")</f>
        <v>#REF!</v>
      </c>
      <c r="HM15" t="e">
        <f>AND(#REF!,"AAAAAH/rc9w=")</f>
        <v>#REF!</v>
      </c>
      <c r="HN15" t="e">
        <f>AND(#REF!,"AAAAAH/rc90=")</f>
        <v>#REF!</v>
      </c>
      <c r="HO15" t="e">
        <f>AND(#REF!,"AAAAAH/rc94=")</f>
        <v>#REF!</v>
      </c>
      <c r="HP15" t="e">
        <f>AND(#REF!,"AAAAAH/rc98=")</f>
        <v>#REF!</v>
      </c>
      <c r="HQ15" t="e">
        <f>AND(#REF!,"AAAAAH/rc+A=")</f>
        <v>#REF!</v>
      </c>
      <c r="HR15" t="e">
        <f>AND(#REF!,"AAAAAH/rc+E=")</f>
        <v>#REF!</v>
      </c>
      <c r="HS15" t="e">
        <f>AND(#REF!,"AAAAAH/rc+I=")</f>
        <v>#REF!</v>
      </c>
      <c r="HT15" t="e">
        <f>AND(#REF!,"AAAAAH/rc+M=")</f>
        <v>#REF!</v>
      </c>
      <c r="HU15" t="e">
        <f>AND(#REF!,"AAAAAH/rc+Q=")</f>
        <v>#REF!</v>
      </c>
      <c r="HV15" t="e">
        <f>AND(#REF!,"AAAAAH/rc+U=")</f>
        <v>#REF!</v>
      </c>
      <c r="HW15" t="e">
        <f>AND(#REF!,"AAAAAH/rc+Y=")</f>
        <v>#REF!</v>
      </c>
      <c r="HX15" t="e">
        <f>AND(#REF!,"AAAAAH/rc+c=")</f>
        <v>#REF!</v>
      </c>
      <c r="HY15" t="e">
        <f>AND(#REF!,"AAAAAH/rc+g=")</f>
        <v>#REF!</v>
      </c>
      <c r="HZ15" t="e">
        <f>AND(#REF!,"AAAAAH/rc+k=")</f>
        <v>#REF!</v>
      </c>
      <c r="IA15" t="e">
        <f>AND(#REF!,"AAAAAH/rc+o=")</f>
        <v>#REF!</v>
      </c>
      <c r="IB15" t="e">
        <f>AND(#REF!,"AAAAAH/rc+s=")</f>
        <v>#REF!</v>
      </c>
      <c r="IC15" t="e">
        <f>AND(#REF!,"AAAAAH/rc+w=")</f>
        <v>#REF!</v>
      </c>
      <c r="ID15" t="e">
        <f>AND(#REF!,"AAAAAH/rc+0=")</f>
        <v>#REF!</v>
      </c>
      <c r="IE15" t="e">
        <f>AND(#REF!,"AAAAAH/rc+4=")</f>
        <v>#REF!</v>
      </c>
      <c r="IF15" t="e">
        <f>AND(#REF!,"AAAAAH/rc+8=")</f>
        <v>#REF!</v>
      </c>
      <c r="IG15" t="e">
        <f>AND(#REF!,"AAAAAH/rc/A=")</f>
        <v>#REF!</v>
      </c>
      <c r="IH15" t="e">
        <f>AND(#REF!,"AAAAAH/rc/E=")</f>
        <v>#REF!</v>
      </c>
      <c r="II15" t="e">
        <f>AND(#REF!,"AAAAAH/rc/I=")</f>
        <v>#REF!</v>
      </c>
      <c r="IJ15" t="e">
        <f>AND(#REF!,"AAAAAH/rc/M=")</f>
        <v>#REF!</v>
      </c>
      <c r="IK15" t="e">
        <f>AND(#REF!,"AAAAAH/rc/Q=")</f>
        <v>#REF!</v>
      </c>
      <c r="IL15" t="e">
        <f>AND(#REF!,"AAAAAH/rc/U=")</f>
        <v>#REF!</v>
      </c>
      <c r="IM15" t="e">
        <f>AND(#REF!,"AAAAAH/rc/Y=")</f>
        <v>#REF!</v>
      </c>
      <c r="IN15" t="e">
        <f>AND(#REF!,"AAAAAH/rc/c=")</f>
        <v>#REF!</v>
      </c>
      <c r="IO15" t="e">
        <f>AND(#REF!,"AAAAAH/rc/g=")</f>
        <v>#REF!</v>
      </c>
      <c r="IP15" t="e">
        <f>AND(#REF!,"AAAAAH/rc/k=")</f>
        <v>#REF!</v>
      </c>
      <c r="IQ15" t="e">
        <f>AND(#REF!,"AAAAAH/rc/o=")</f>
        <v>#REF!</v>
      </c>
      <c r="IR15" t="e">
        <f>IF(#REF!,"AAAAAH/rc/s=",0)</f>
        <v>#REF!</v>
      </c>
      <c r="IS15" t="e">
        <f>AND(#REF!,"AAAAAH/rc/w=")</f>
        <v>#REF!</v>
      </c>
      <c r="IT15" t="e">
        <f>AND(#REF!,"AAAAAH/rc/0=")</f>
        <v>#REF!</v>
      </c>
      <c r="IU15" t="e">
        <f>AND(#REF!,"AAAAAH/rc/4=")</f>
        <v>#REF!</v>
      </c>
      <c r="IV15" t="e">
        <f>AND(#REF!,"AAAAAH/rc/8=")</f>
        <v>#REF!</v>
      </c>
    </row>
    <row r="16" spans="1:256" x14ac:dyDescent="0.25">
      <c r="A16" t="e">
        <f>AND(#REF!,"AAAAAHva7wA=")</f>
        <v>#REF!</v>
      </c>
      <c r="B16" t="e">
        <f>AND(#REF!,"AAAAAHva7wE=")</f>
        <v>#REF!</v>
      </c>
      <c r="C16" t="e">
        <f>AND(#REF!,"AAAAAHva7wI=")</f>
        <v>#REF!</v>
      </c>
      <c r="D16" t="e">
        <f>AND(#REF!,"AAAAAHva7wM=")</f>
        <v>#REF!</v>
      </c>
      <c r="E16" t="e">
        <f>AND(#REF!,"AAAAAHva7wQ=")</f>
        <v>#REF!</v>
      </c>
      <c r="F16" t="e">
        <f>AND(#REF!,"AAAAAHva7wU=")</f>
        <v>#REF!</v>
      </c>
      <c r="G16" t="e">
        <f>AND(#REF!,"AAAAAHva7wY=")</f>
        <v>#REF!</v>
      </c>
      <c r="H16" t="e">
        <f>AND(#REF!,"AAAAAHva7wc=")</f>
        <v>#REF!</v>
      </c>
      <c r="I16" t="e">
        <f>AND(#REF!,"AAAAAHva7wg=")</f>
        <v>#REF!</v>
      </c>
      <c r="J16" t="e">
        <f>AND(#REF!,"AAAAAHva7wk=")</f>
        <v>#REF!</v>
      </c>
      <c r="K16" t="e">
        <f>AND(#REF!,"AAAAAHva7wo=")</f>
        <v>#REF!</v>
      </c>
      <c r="L16" t="e">
        <f>AND(#REF!,"AAAAAHva7ws=")</f>
        <v>#REF!</v>
      </c>
      <c r="M16" t="e">
        <f>AND(#REF!,"AAAAAHva7ww=")</f>
        <v>#REF!</v>
      </c>
      <c r="N16" t="e">
        <f>AND(#REF!,"AAAAAHva7w0=")</f>
        <v>#REF!</v>
      </c>
      <c r="O16" t="e">
        <f>AND(#REF!,"AAAAAHva7w4=")</f>
        <v>#REF!</v>
      </c>
      <c r="P16" t="e">
        <f>AND(#REF!,"AAAAAHva7w8=")</f>
        <v>#REF!</v>
      </c>
      <c r="Q16" t="e">
        <f>AND(#REF!,"AAAAAHva7xA=")</f>
        <v>#REF!</v>
      </c>
      <c r="R16" t="e">
        <f>AND(#REF!,"AAAAAHva7xE=")</f>
        <v>#REF!</v>
      </c>
      <c r="S16" t="e">
        <f>AND(#REF!,"AAAAAHva7xI=")</f>
        <v>#REF!</v>
      </c>
      <c r="T16" t="e">
        <f>AND(#REF!,"AAAAAHva7xM=")</f>
        <v>#REF!</v>
      </c>
      <c r="U16" t="e">
        <f>AND(#REF!,"AAAAAHva7xQ=")</f>
        <v>#REF!</v>
      </c>
      <c r="V16" t="e">
        <f>AND(#REF!,"AAAAAHva7xU=")</f>
        <v>#REF!</v>
      </c>
      <c r="W16" t="e">
        <f>AND(#REF!,"AAAAAHva7xY=")</f>
        <v>#REF!</v>
      </c>
      <c r="X16" t="e">
        <f>AND(#REF!,"AAAAAHva7xc=")</f>
        <v>#REF!</v>
      </c>
      <c r="Y16" t="e">
        <f>AND(#REF!,"AAAAAHva7xg=")</f>
        <v>#REF!</v>
      </c>
      <c r="Z16" t="e">
        <f>AND(#REF!,"AAAAAHva7xk=")</f>
        <v>#REF!</v>
      </c>
      <c r="AA16" t="e">
        <f>AND(#REF!,"AAAAAHva7xo=")</f>
        <v>#REF!</v>
      </c>
      <c r="AB16" t="e">
        <f>AND(#REF!,"AAAAAHva7xs=")</f>
        <v>#REF!</v>
      </c>
      <c r="AC16" t="e">
        <f>AND(#REF!,"AAAAAHva7xw=")</f>
        <v>#REF!</v>
      </c>
      <c r="AD16" t="e">
        <f>AND(#REF!,"AAAAAHva7x0=")</f>
        <v>#REF!</v>
      </c>
      <c r="AE16" t="e">
        <f>AND(#REF!,"AAAAAHva7x4=")</f>
        <v>#REF!</v>
      </c>
      <c r="AF16" t="e">
        <f>IF(#REF!,"AAAAAHva7x8=",0)</f>
        <v>#REF!</v>
      </c>
      <c r="AG16" t="e">
        <f>AND(#REF!,"AAAAAHva7yA=")</f>
        <v>#REF!</v>
      </c>
      <c r="AH16" t="e">
        <f>AND(#REF!,"AAAAAHva7yE=")</f>
        <v>#REF!</v>
      </c>
      <c r="AI16" t="e">
        <f>AND(#REF!,"AAAAAHva7yI=")</f>
        <v>#REF!</v>
      </c>
      <c r="AJ16" t="e">
        <f>AND(#REF!,"AAAAAHva7yM=")</f>
        <v>#REF!</v>
      </c>
      <c r="AK16" t="e">
        <f>AND(#REF!,"AAAAAHva7yQ=")</f>
        <v>#REF!</v>
      </c>
      <c r="AL16" t="e">
        <f>AND(#REF!,"AAAAAHva7yU=")</f>
        <v>#REF!</v>
      </c>
      <c r="AM16" t="e">
        <f>AND(#REF!,"AAAAAHva7yY=")</f>
        <v>#REF!</v>
      </c>
      <c r="AN16" t="e">
        <f>AND(#REF!,"AAAAAHva7yc=")</f>
        <v>#REF!</v>
      </c>
      <c r="AO16" t="e">
        <f>AND(#REF!,"AAAAAHva7yg=")</f>
        <v>#REF!</v>
      </c>
      <c r="AP16" t="e">
        <f>AND(#REF!,"AAAAAHva7yk=")</f>
        <v>#REF!</v>
      </c>
      <c r="AQ16" t="e">
        <f>AND(#REF!,"AAAAAHva7yo=")</f>
        <v>#REF!</v>
      </c>
      <c r="AR16" t="e">
        <f>AND(#REF!,"AAAAAHva7ys=")</f>
        <v>#REF!</v>
      </c>
      <c r="AS16" t="e">
        <f>AND(#REF!,"AAAAAHva7yw=")</f>
        <v>#REF!</v>
      </c>
      <c r="AT16" t="e">
        <f>AND(#REF!,"AAAAAHva7y0=")</f>
        <v>#REF!</v>
      </c>
      <c r="AU16" t="e">
        <f>AND(#REF!,"AAAAAHva7y4=")</f>
        <v>#REF!</v>
      </c>
      <c r="AV16" t="e">
        <f>AND(#REF!,"AAAAAHva7y8=")</f>
        <v>#REF!</v>
      </c>
      <c r="AW16" t="e">
        <f>AND(#REF!,"AAAAAHva7zA=")</f>
        <v>#REF!</v>
      </c>
      <c r="AX16" t="e">
        <f>AND(#REF!,"AAAAAHva7zE=")</f>
        <v>#REF!</v>
      </c>
      <c r="AY16" t="e">
        <f>AND(#REF!,"AAAAAHva7zI=")</f>
        <v>#REF!</v>
      </c>
      <c r="AZ16" t="e">
        <f>AND(#REF!,"AAAAAHva7zM=")</f>
        <v>#REF!</v>
      </c>
      <c r="BA16" t="e">
        <f>AND(#REF!,"AAAAAHva7zQ=")</f>
        <v>#REF!</v>
      </c>
      <c r="BB16" t="e">
        <f>AND(#REF!,"AAAAAHva7zU=")</f>
        <v>#REF!</v>
      </c>
      <c r="BC16" t="e">
        <f>AND(#REF!,"AAAAAHva7zY=")</f>
        <v>#REF!</v>
      </c>
      <c r="BD16" t="e">
        <f>AND(#REF!,"AAAAAHva7zc=")</f>
        <v>#REF!</v>
      </c>
      <c r="BE16" t="e">
        <f>AND(#REF!,"AAAAAHva7zg=")</f>
        <v>#REF!</v>
      </c>
      <c r="BF16" t="e">
        <f>AND(#REF!,"AAAAAHva7zk=")</f>
        <v>#REF!</v>
      </c>
      <c r="BG16" t="e">
        <f>AND(#REF!,"AAAAAHva7zo=")</f>
        <v>#REF!</v>
      </c>
      <c r="BH16" t="e">
        <f>AND(#REF!,"AAAAAHva7zs=")</f>
        <v>#REF!</v>
      </c>
      <c r="BI16" t="e">
        <f>AND(#REF!,"AAAAAHva7zw=")</f>
        <v>#REF!</v>
      </c>
      <c r="BJ16" t="e">
        <f>AND(#REF!,"AAAAAHva7z0=")</f>
        <v>#REF!</v>
      </c>
      <c r="BK16" t="e">
        <f>AND(#REF!,"AAAAAHva7z4=")</f>
        <v>#REF!</v>
      </c>
      <c r="BL16" t="e">
        <f>AND(#REF!,"AAAAAHva7z8=")</f>
        <v>#REF!</v>
      </c>
      <c r="BM16" t="e">
        <f>AND(#REF!,"AAAAAHva70A=")</f>
        <v>#REF!</v>
      </c>
      <c r="BN16" t="e">
        <f>AND(#REF!,"AAAAAHva70E=")</f>
        <v>#REF!</v>
      </c>
      <c r="BO16" t="e">
        <f>AND(#REF!,"AAAAAHva70I=")</f>
        <v>#REF!</v>
      </c>
      <c r="BP16" t="e">
        <f>IF(#REF!,"AAAAAHva70M=",0)</f>
        <v>#REF!</v>
      </c>
      <c r="BQ16" t="e">
        <f>AND(#REF!,"AAAAAHva70Q=")</f>
        <v>#REF!</v>
      </c>
      <c r="BR16" t="e">
        <f>AND(#REF!,"AAAAAHva70U=")</f>
        <v>#REF!</v>
      </c>
      <c r="BS16" t="e">
        <f>AND(#REF!,"AAAAAHva70Y=")</f>
        <v>#REF!</v>
      </c>
      <c r="BT16" t="e">
        <f>AND(#REF!,"AAAAAHva70c=")</f>
        <v>#REF!</v>
      </c>
      <c r="BU16" t="e">
        <f>AND(#REF!,"AAAAAHva70g=")</f>
        <v>#REF!</v>
      </c>
      <c r="BV16" t="e">
        <f>AND(#REF!,"AAAAAHva70k=")</f>
        <v>#REF!</v>
      </c>
      <c r="BW16" t="e">
        <f>AND(#REF!,"AAAAAHva70o=")</f>
        <v>#REF!</v>
      </c>
      <c r="BX16" t="e">
        <f>AND(#REF!,"AAAAAHva70s=")</f>
        <v>#REF!</v>
      </c>
      <c r="BY16" t="e">
        <f>AND(#REF!,"AAAAAHva70w=")</f>
        <v>#REF!</v>
      </c>
      <c r="BZ16" t="e">
        <f>AND(#REF!,"AAAAAHva700=")</f>
        <v>#REF!</v>
      </c>
      <c r="CA16" t="e">
        <f>AND(#REF!,"AAAAAHva704=")</f>
        <v>#REF!</v>
      </c>
      <c r="CB16" t="e">
        <f>AND(#REF!,"AAAAAHva708=")</f>
        <v>#REF!</v>
      </c>
      <c r="CC16" t="e">
        <f>AND(#REF!,"AAAAAHva71A=")</f>
        <v>#REF!</v>
      </c>
      <c r="CD16" t="e">
        <f>AND(#REF!,"AAAAAHva71E=")</f>
        <v>#REF!</v>
      </c>
      <c r="CE16" t="e">
        <f>AND(#REF!,"AAAAAHva71I=")</f>
        <v>#REF!</v>
      </c>
      <c r="CF16" t="e">
        <f>AND(#REF!,"AAAAAHva71M=")</f>
        <v>#REF!</v>
      </c>
      <c r="CG16" t="e">
        <f>AND(#REF!,"AAAAAHva71Q=")</f>
        <v>#REF!</v>
      </c>
      <c r="CH16" t="e">
        <f>AND(#REF!,"AAAAAHva71U=")</f>
        <v>#REF!</v>
      </c>
      <c r="CI16" t="e">
        <f>AND(#REF!,"AAAAAHva71Y=")</f>
        <v>#REF!</v>
      </c>
      <c r="CJ16" t="e">
        <f>AND(#REF!,"AAAAAHva71c=")</f>
        <v>#REF!</v>
      </c>
      <c r="CK16" t="e">
        <f>AND(#REF!,"AAAAAHva71g=")</f>
        <v>#REF!</v>
      </c>
      <c r="CL16" t="e">
        <f>AND(#REF!,"AAAAAHva71k=")</f>
        <v>#REF!</v>
      </c>
      <c r="CM16" t="e">
        <f>AND(#REF!,"AAAAAHva71o=")</f>
        <v>#REF!</v>
      </c>
      <c r="CN16" t="e">
        <f>AND(#REF!,"AAAAAHva71s=")</f>
        <v>#REF!</v>
      </c>
      <c r="CO16" t="e">
        <f>AND(#REF!,"AAAAAHva71w=")</f>
        <v>#REF!</v>
      </c>
      <c r="CP16" t="e">
        <f>AND(#REF!,"AAAAAHva710=")</f>
        <v>#REF!</v>
      </c>
      <c r="CQ16" t="e">
        <f>AND(#REF!,"AAAAAHva714=")</f>
        <v>#REF!</v>
      </c>
      <c r="CR16" t="e">
        <f>AND(#REF!,"AAAAAHva718=")</f>
        <v>#REF!</v>
      </c>
      <c r="CS16" t="e">
        <f>AND(#REF!,"AAAAAHva72A=")</f>
        <v>#REF!</v>
      </c>
      <c r="CT16" t="e">
        <f>AND(#REF!,"AAAAAHva72E=")</f>
        <v>#REF!</v>
      </c>
      <c r="CU16" t="e">
        <f>AND(#REF!,"AAAAAHva72I=")</f>
        <v>#REF!</v>
      </c>
      <c r="CV16" t="e">
        <f>AND(#REF!,"AAAAAHva72M=")</f>
        <v>#REF!</v>
      </c>
      <c r="CW16" t="e">
        <f>AND(#REF!,"AAAAAHva72Q=")</f>
        <v>#REF!</v>
      </c>
      <c r="CX16" t="e">
        <f>AND(#REF!,"AAAAAHva72U=")</f>
        <v>#REF!</v>
      </c>
      <c r="CY16" t="e">
        <f>AND(#REF!,"AAAAAHva72Y=")</f>
        <v>#REF!</v>
      </c>
      <c r="CZ16" t="e">
        <f>IF(#REF!,"AAAAAHva72c=",0)</f>
        <v>#REF!</v>
      </c>
      <c r="DA16" t="e">
        <f>AND(#REF!,"AAAAAHva72g=")</f>
        <v>#REF!</v>
      </c>
      <c r="DB16" t="e">
        <f>AND(#REF!,"AAAAAHva72k=")</f>
        <v>#REF!</v>
      </c>
      <c r="DC16" t="e">
        <f>AND(#REF!,"AAAAAHva72o=")</f>
        <v>#REF!</v>
      </c>
      <c r="DD16" t="e">
        <f>AND(#REF!,"AAAAAHva72s=")</f>
        <v>#REF!</v>
      </c>
      <c r="DE16" t="e">
        <f>AND(#REF!,"AAAAAHva72w=")</f>
        <v>#REF!</v>
      </c>
      <c r="DF16" t="e">
        <f>AND(#REF!,"AAAAAHva720=")</f>
        <v>#REF!</v>
      </c>
      <c r="DG16" t="e">
        <f>AND(#REF!,"AAAAAHva724=")</f>
        <v>#REF!</v>
      </c>
      <c r="DH16" t="e">
        <f>AND(#REF!,"AAAAAHva728=")</f>
        <v>#REF!</v>
      </c>
      <c r="DI16" t="e">
        <f>AND(#REF!,"AAAAAHva73A=")</f>
        <v>#REF!</v>
      </c>
      <c r="DJ16" t="e">
        <f>AND(#REF!,"AAAAAHva73E=")</f>
        <v>#REF!</v>
      </c>
      <c r="DK16" t="e">
        <f>AND(#REF!,"AAAAAHva73I=")</f>
        <v>#REF!</v>
      </c>
      <c r="DL16" t="e">
        <f>AND(#REF!,"AAAAAHva73M=")</f>
        <v>#REF!</v>
      </c>
      <c r="DM16" t="e">
        <f>AND(#REF!,"AAAAAHva73Q=")</f>
        <v>#REF!</v>
      </c>
      <c r="DN16" t="e">
        <f>AND(#REF!,"AAAAAHva73U=")</f>
        <v>#REF!</v>
      </c>
      <c r="DO16" t="e">
        <f>AND(#REF!,"AAAAAHva73Y=")</f>
        <v>#REF!</v>
      </c>
      <c r="DP16" t="e">
        <f>AND(#REF!,"AAAAAHva73c=")</f>
        <v>#REF!</v>
      </c>
      <c r="DQ16" t="e">
        <f>AND(#REF!,"AAAAAHva73g=")</f>
        <v>#REF!</v>
      </c>
      <c r="DR16" t="e">
        <f>AND(#REF!,"AAAAAHva73k=")</f>
        <v>#REF!</v>
      </c>
      <c r="DS16" t="e">
        <f>AND(#REF!,"AAAAAHva73o=")</f>
        <v>#REF!</v>
      </c>
      <c r="DT16" t="e">
        <f>AND(#REF!,"AAAAAHva73s=")</f>
        <v>#REF!</v>
      </c>
      <c r="DU16" t="e">
        <f>AND(#REF!,"AAAAAHva73w=")</f>
        <v>#REF!</v>
      </c>
      <c r="DV16" t="e">
        <f>AND(#REF!,"AAAAAHva730=")</f>
        <v>#REF!</v>
      </c>
      <c r="DW16" t="e">
        <f>AND(#REF!,"AAAAAHva734=")</f>
        <v>#REF!</v>
      </c>
      <c r="DX16" t="e">
        <f>AND(#REF!,"AAAAAHva738=")</f>
        <v>#REF!</v>
      </c>
      <c r="DY16" t="e">
        <f>AND(#REF!,"AAAAAHva74A=")</f>
        <v>#REF!</v>
      </c>
      <c r="DZ16" t="e">
        <f>AND(#REF!,"AAAAAHva74E=")</f>
        <v>#REF!</v>
      </c>
      <c r="EA16" t="e">
        <f>AND(#REF!,"AAAAAHva74I=")</f>
        <v>#REF!</v>
      </c>
      <c r="EB16" t="e">
        <f>AND(#REF!,"AAAAAHva74M=")</f>
        <v>#REF!</v>
      </c>
      <c r="EC16" t="e">
        <f>AND(#REF!,"AAAAAHva74Q=")</f>
        <v>#REF!</v>
      </c>
      <c r="ED16" t="e">
        <f>AND(#REF!,"AAAAAHva74U=")</f>
        <v>#REF!</v>
      </c>
      <c r="EE16" t="e">
        <f>AND(#REF!,"AAAAAHva74Y=")</f>
        <v>#REF!</v>
      </c>
      <c r="EF16" t="e">
        <f>AND(#REF!,"AAAAAHva74c=")</f>
        <v>#REF!</v>
      </c>
      <c r="EG16" t="e">
        <f>AND(#REF!,"AAAAAHva74g=")</f>
        <v>#REF!</v>
      </c>
      <c r="EH16" t="e">
        <f>AND(#REF!,"AAAAAHva74k=")</f>
        <v>#REF!</v>
      </c>
      <c r="EI16" t="e">
        <f>AND(#REF!,"AAAAAHva74o=")</f>
        <v>#REF!</v>
      </c>
      <c r="EJ16" t="e">
        <f>IF(#REF!,"AAAAAHva74s=",0)</f>
        <v>#REF!</v>
      </c>
      <c r="EK16" t="e">
        <f>AND(#REF!,"AAAAAHva74w=")</f>
        <v>#REF!</v>
      </c>
      <c r="EL16" t="e">
        <f>AND(#REF!,"AAAAAHva740=")</f>
        <v>#REF!</v>
      </c>
      <c r="EM16" t="e">
        <f>AND(#REF!,"AAAAAHva744=")</f>
        <v>#REF!</v>
      </c>
      <c r="EN16" t="e">
        <f>AND(#REF!,"AAAAAHva748=")</f>
        <v>#REF!</v>
      </c>
      <c r="EO16" t="e">
        <f>AND(#REF!,"AAAAAHva75A=")</f>
        <v>#REF!</v>
      </c>
      <c r="EP16" t="e">
        <f>AND(#REF!,"AAAAAHva75E=")</f>
        <v>#REF!</v>
      </c>
      <c r="EQ16" t="e">
        <f>AND(#REF!,"AAAAAHva75I=")</f>
        <v>#REF!</v>
      </c>
      <c r="ER16" t="e">
        <f>AND(#REF!,"AAAAAHva75M=")</f>
        <v>#REF!</v>
      </c>
      <c r="ES16" t="e">
        <f>AND(#REF!,"AAAAAHva75Q=")</f>
        <v>#REF!</v>
      </c>
      <c r="ET16" t="e">
        <f>AND(#REF!,"AAAAAHva75U=")</f>
        <v>#REF!</v>
      </c>
      <c r="EU16" t="e">
        <f>AND(#REF!,"AAAAAHva75Y=")</f>
        <v>#REF!</v>
      </c>
      <c r="EV16" t="e">
        <f>AND(#REF!,"AAAAAHva75c=")</f>
        <v>#REF!</v>
      </c>
      <c r="EW16" t="e">
        <f>AND(#REF!,"AAAAAHva75g=")</f>
        <v>#REF!</v>
      </c>
      <c r="EX16" t="e">
        <f>AND(#REF!,"AAAAAHva75k=")</f>
        <v>#REF!</v>
      </c>
      <c r="EY16" t="e">
        <f>AND(#REF!,"AAAAAHva75o=")</f>
        <v>#REF!</v>
      </c>
      <c r="EZ16" t="e">
        <f>AND(#REF!,"AAAAAHva75s=")</f>
        <v>#REF!</v>
      </c>
      <c r="FA16" t="e">
        <f>AND(#REF!,"AAAAAHva75w=")</f>
        <v>#REF!</v>
      </c>
      <c r="FB16" t="e">
        <f>AND(#REF!,"AAAAAHva750=")</f>
        <v>#REF!</v>
      </c>
      <c r="FC16" t="e">
        <f>AND(#REF!,"AAAAAHva754=")</f>
        <v>#REF!</v>
      </c>
      <c r="FD16" t="e">
        <f>AND(#REF!,"AAAAAHva758=")</f>
        <v>#REF!</v>
      </c>
      <c r="FE16" t="e">
        <f>AND(#REF!,"AAAAAHva76A=")</f>
        <v>#REF!</v>
      </c>
      <c r="FF16" t="e">
        <f>AND(#REF!,"AAAAAHva76E=")</f>
        <v>#REF!</v>
      </c>
      <c r="FG16" t="e">
        <f>AND(#REF!,"AAAAAHva76I=")</f>
        <v>#REF!</v>
      </c>
      <c r="FH16" t="e">
        <f>AND(#REF!,"AAAAAHva76M=")</f>
        <v>#REF!</v>
      </c>
      <c r="FI16" t="e">
        <f>AND(#REF!,"AAAAAHva76Q=")</f>
        <v>#REF!</v>
      </c>
      <c r="FJ16" t="e">
        <f>AND(#REF!,"AAAAAHva76U=")</f>
        <v>#REF!</v>
      </c>
      <c r="FK16" t="e">
        <f>AND(#REF!,"AAAAAHva76Y=")</f>
        <v>#REF!</v>
      </c>
      <c r="FL16" t="e">
        <f>AND(#REF!,"AAAAAHva76c=")</f>
        <v>#REF!</v>
      </c>
      <c r="FM16" t="e">
        <f>AND(#REF!,"AAAAAHva76g=")</f>
        <v>#REF!</v>
      </c>
      <c r="FN16" t="e">
        <f>AND(#REF!,"AAAAAHva76k=")</f>
        <v>#REF!</v>
      </c>
      <c r="FO16" t="e">
        <f>AND(#REF!,"AAAAAHva76o=")</f>
        <v>#REF!</v>
      </c>
      <c r="FP16" t="e">
        <f>AND(#REF!,"AAAAAHva76s=")</f>
        <v>#REF!</v>
      </c>
      <c r="FQ16" t="e">
        <f>AND(#REF!,"AAAAAHva76w=")</f>
        <v>#REF!</v>
      </c>
      <c r="FR16" t="e">
        <f>AND(#REF!,"AAAAAHva760=")</f>
        <v>#REF!</v>
      </c>
      <c r="FS16" t="e">
        <f>AND(#REF!,"AAAAAHva764=")</f>
        <v>#REF!</v>
      </c>
      <c r="FT16" t="e">
        <f>IF(#REF!,"AAAAAHva768=",0)</f>
        <v>#REF!</v>
      </c>
      <c r="FU16" t="e">
        <f>AND(#REF!,"AAAAAHva77A=")</f>
        <v>#REF!</v>
      </c>
      <c r="FV16" t="e">
        <f>AND(#REF!,"AAAAAHva77E=")</f>
        <v>#REF!</v>
      </c>
      <c r="FW16" t="e">
        <f>AND(#REF!,"AAAAAHva77I=")</f>
        <v>#REF!</v>
      </c>
      <c r="FX16" t="e">
        <f>AND(#REF!,"AAAAAHva77M=")</f>
        <v>#REF!</v>
      </c>
      <c r="FY16" t="e">
        <f>AND(#REF!,"AAAAAHva77Q=")</f>
        <v>#REF!</v>
      </c>
      <c r="FZ16" t="e">
        <f>AND(#REF!,"AAAAAHva77U=")</f>
        <v>#REF!</v>
      </c>
      <c r="GA16" t="e">
        <f>AND(#REF!,"AAAAAHva77Y=")</f>
        <v>#REF!</v>
      </c>
      <c r="GB16" t="e">
        <f>AND(#REF!,"AAAAAHva77c=")</f>
        <v>#REF!</v>
      </c>
      <c r="GC16" t="e">
        <f>AND(#REF!,"AAAAAHva77g=")</f>
        <v>#REF!</v>
      </c>
      <c r="GD16" t="e">
        <f>AND(#REF!,"AAAAAHva77k=")</f>
        <v>#REF!</v>
      </c>
      <c r="GE16" t="e">
        <f>AND(#REF!,"AAAAAHva77o=")</f>
        <v>#REF!</v>
      </c>
      <c r="GF16" t="e">
        <f>AND(#REF!,"AAAAAHva77s=")</f>
        <v>#REF!</v>
      </c>
      <c r="GG16" t="e">
        <f>AND(#REF!,"AAAAAHva77w=")</f>
        <v>#REF!</v>
      </c>
      <c r="GH16" t="e">
        <f>AND(#REF!,"AAAAAHva770=")</f>
        <v>#REF!</v>
      </c>
      <c r="GI16" t="e">
        <f>AND(#REF!,"AAAAAHva774=")</f>
        <v>#REF!</v>
      </c>
      <c r="GJ16" t="e">
        <f>AND(#REF!,"AAAAAHva778=")</f>
        <v>#REF!</v>
      </c>
      <c r="GK16" t="e">
        <f>AND(#REF!,"AAAAAHva78A=")</f>
        <v>#REF!</v>
      </c>
      <c r="GL16" t="e">
        <f>AND(#REF!,"AAAAAHva78E=")</f>
        <v>#REF!</v>
      </c>
      <c r="GM16" t="e">
        <f>AND(#REF!,"AAAAAHva78I=")</f>
        <v>#REF!</v>
      </c>
      <c r="GN16" t="e">
        <f>AND(#REF!,"AAAAAHva78M=")</f>
        <v>#REF!</v>
      </c>
      <c r="GO16" t="e">
        <f>AND(#REF!,"AAAAAHva78Q=")</f>
        <v>#REF!</v>
      </c>
      <c r="GP16" t="e">
        <f>AND(#REF!,"AAAAAHva78U=")</f>
        <v>#REF!</v>
      </c>
      <c r="GQ16" t="e">
        <f>AND(#REF!,"AAAAAHva78Y=")</f>
        <v>#REF!</v>
      </c>
      <c r="GR16" t="e">
        <f>AND(#REF!,"AAAAAHva78c=")</f>
        <v>#REF!</v>
      </c>
      <c r="GS16" t="e">
        <f>AND(#REF!,"AAAAAHva78g=")</f>
        <v>#REF!</v>
      </c>
      <c r="GT16" t="e">
        <f>AND(#REF!,"AAAAAHva78k=")</f>
        <v>#REF!</v>
      </c>
      <c r="GU16" t="e">
        <f>AND(#REF!,"AAAAAHva78o=")</f>
        <v>#REF!</v>
      </c>
      <c r="GV16" t="e">
        <f>AND(#REF!,"AAAAAHva78s=")</f>
        <v>#REF!</v>
      </c>
      <c r="GW16" t="e">
        <f>AND(#REF!,"AAAAAHva78w=")</f>
        <v>#REF!</v>
      </c>
      <c r="GX16" t="e">
        <f>AND(#REF!,"AAAAAHva780=")</f>
        <v>#REF!</v>
      </c>
      <c r="GY16" t="e">
        <f>AND(#REF!,"AAAAAHva784=")</f>
        <v>#REF!</v>
      </c>
      <c r="GZ16" t="e">
        <f>AND(#REF!,"AAAAAHva788=")</f>
        <v>#REF!</v>
      </c>
      <c r="HA16" t="e">
        <f>AND(#REF!,"AAAAAHva79A=")</f>
        <v>#REF!</v>
      </c>
      <c r="HB16" t="e">
        <f>AND(#REF!,"AAAAAHva79E=")</f>
        <v>#REF!</v>
      </c>
      <c r="HC16" t="e">
        <f>AND(#REF!,"AAAAAHva79I=")</f>
        <v>#REF!</v>
      </c>
      <c r="HD16" t="e">
        <f>IF(#REF!,"AAAAAHva79M=",0)</f>
        <v>#REF!</v>
      </c>
      <c r="HE16" t="e">
        <f>AND(#REF!,"AAAAAHva79Q=")</f>
        <v>#REF!</v>
      </c>
      <c r="HF16" t="e">
        <f>AND(#REF!,"AAAAAHva79U=")</f>
        <v>#REF!</v>
      </c>
      <c r="HG16" t="e">
        <f>AND(#REF!,"AAAAAHva79Y=")</f>
        <v>#REF!</v>
      </c>
      <c r="HH16" t="e">
        <f>AND(#REF!,"AAAAAHva79c=")</f>
        <v>#REF!</v>
      </c>
      <c r="HI16" t="e">
        <f>AND(#REF!,"AAAAAHva79g=")</f>
        <v>#REF!</v>
      </c>
      <c r="HJ16" t="e">
        <f>AND(#REF!,"AAAAAHva79k=")</f>
        <v>#REF!</v>
      </c>
      <c r="HK16" t="e">
        <f>AND(#REF!,"AAAAAHva79o=")</f>
        <v>#REF!</v>
      </c>
      <c r="HL16" t="e">
        <f>AND(#REF!,"AAAAAHva79s=")</f>
        <v>#REF!</v>
      </c>
      <c r="HM16" t="e">
        <f>AND(#REF!,"AAAAAHva79w=")</f>
        <v>#REF!</v>
      </c>
      <c r="HN16" t="e">
        <f>AND(#REF!,"AAAAAHva790=")</f>
        <v>#REF!</v>
      </c>
      <c r="HO16" t="e">
        <f>AND(#REF!,"AAAAAHva794=")</f>
        <v>#REF!</v>
      </c>
      <c r="HP16" t="e">
        <f>AND(#REF!,"AAAAAHva798=")</f>
        <v>#REF!</v>
      </c>
      <c r="HQ16" t="e">
        <f>AND(#REF!,"AAAAAHva7+A=")</f>
        <v>#REF!</v>
      </c>
      <c r="HR16" t="e">
        <f>AND(#REF!,"AAAAAHva7+E=")</f>
        <v>#REF!</v>
      </c>
      <c r="HS16" t="e">
        <f>AND(#REF!,"AAAAAHva7+I=")</f>
        <v>#REF!</v>
      </c>
      <c r="HT16" t="e">
        <f>AND(#REF!,"AAAAAHva7+M=")</f>
        <v>#REF!</v>
      </c>
      <c r="HU16" t="e">
        <f>AND(#REF!,"AAAAAHva7+Q=")</f>
        <v>#REF!</v>
      </c>
      <c r="HV16" t="e">
        <f>AND(#REF!,"AAAAAHva7+U=")</f>
        <v>#REF!</v>
      </c>
      <c r="HW16" t="e">
        <f>AND(#REF!,"AAAAAHva7+Y=")</f>
        <v>#REF!</v>
      </c>
      <c r="HX16" t="e">
        <f>AND(#REF!,"AAAAAHva7+c=")</f>
        <v>#REF!</v>
      </c>
      <c r="HY16" t="e">
        <f>AND(#REF!,"AAAAAHva7+g=")</f>
        <v>#REF!</v>
      </c>
      <c r="HZ16" t="e">
        <f>AND(#REF!,"AAAAAHva7+k=")</f>
        <v>#REF!</v>
      </c>
      <c r="IA16" t="e">
        <f>AND(#REF!,"AAAAAHva7+o=")</f>
        <v>#REF!</v>
      </c>
      <c r="IB16" t="e">
        <f>AND(#REF!,"AAAAAHva7+s=")</f>
        <v>#REF!</v>
      </c>
      <c r="IC16" t="e">
        <f>AND(#REF!,"AAAAAHva7+w=")</f>
        <v>#REF!</v>
      </c>
      <c r="ID16" t="e">
        <f>AND(#REF!,"AAAAAHva7+0=")</f>
        <v>#REF!</v>
      </c>
      <c r="IE16" t="e">
        <f>AND(#REF!,"AAAAAHva7+4=")</f>
        <v>#REF!</v>
      </c>
      <c r="IF16" t="e">
        <f>AND(#REF!,"AAAAAHva7+8=")</f>
        <v>#REF!</v>
      </c>
      <c r="IG16" t="e">
        <f>AND(#REF!,"AAAAAHva7/A=")</f>
        <v>#REF!</v>
      </c>
      <c r="IH16" t="e">
        <f>AND(#REF!,"AAAAAHva7/E=")</f>
        <v>#REF!</v>
      </c>
      <c r="II16" t="e">
        <f>AND(#REF!,"AAAAAHva7/I=")</f>
        <v>#REF!</v>
      </c>
      <c r="IJ16" t="e">
        <f>AND(#REF!,"AAAAAHva7/M=")</f>
        <v>#REF!</v>
      </c>
      <c r="IK16" t="e">
        <f>AND(#REF!,"AAAAAHva7/Q=")</f>
        <v>#REF!</v>
      </c>
      <c r="IL16" t="e">
        <f>AND(#REF!,"AAAAAHva7/U=")</f>
        <v>#REF!</v>
      </c>
      <c r="IM16" t="e">
        <f>AND(#REF!,"AAAAAHva7/Y=")</f>
        <v>#REF!</v>
      </c>
      <c r="IN16" t="e">
        <f>IF(#REF!,"AAAAAHva7/c=",0)</f>
        <v>#REF!</v>
      </c>
      <c r="IO16" t="e">
        <f>AND(#REF!,"AAAAAHva7/g=")</f>
        <v>#REF!</v>
      </c>
      <c r="IP16" t="e">
        <f>AND(#REF!,"AAAAAHva7/k=")</f>
        <v>#REF!</v>
      </c>
      <c r="IQ16" t="e">
        <f>AND(#REF!,"AAAAAHva7/o=")</f>
        <v>#REF!</v>
      </c>
      <c r="IR16" t="e">
        <f>AND(#REF!,"AAAAAHva7/s=")</f>
        <v>#REF!</v>
      </c>
      <c r="IS16" t="e">
        <f>AND(#REF!,"AAAAAHva7/w=")</f>
        <v>#REF!</v>
      </c>
      <c r="IT16" t="e">
        <f>AND(#REF!,"AAAAAHva7/0=")</f>
        <v>#REF!</v>
      </c>
      <c r="IU16" t="e">
        <f>AND(#REF!,"AAAAAHva7/4=")</f>
        <v>#REF!</v>
      </c>
      <c r="IV16" t="e">
        <f>AND(#REF!,"AAAAAHva7/8=")</f>
        <v>#REF!</v>
      </c>
    </row>
    <row r="17" spans="1:256" x14ac:dyDescent="0.25">
      <c r="A17" t="e">
        <f>AND(#REF!,"AAAAAHP/vwA=")</f>
        <v>#REF!</v>
      </c>
      <c r="B17" t="e">
        <f>AND(#REF!,"AAAAAHP/vwE=")</f>
        <v>#REF!</v>
      </c>
      <c r="C17" t="e">
        <f>AND(#REF!,"AAAAAHP/vwI=")</f>
        <v>#REF!</v>
      </c>
      <c r="D17" t="e">
        <f>AND(#REF!,"AAAAAHP/vwM=")</f>
        <v>#REF!</v>
      </c>
      <c r="E17" t="e">
        <f>AND(#REF!,"AAAAAHP/vwQ=")</f>
        <v>#REF!</v>
      </c>
      <c r="F17" t="e">
        <f>AND(#REF!,"AAAAAHP/vwU=")</f>
        <v>#REF!</v>
      </c>
      <c r="G17" t="e">
        <f>AND(#REF!,"AAAAAHP/vwY=")</f>
        <v>#REF!</v>
      </c>
      <c r="H17" t="e">
        <f>AND(#REF!,"AAAAAHP/vwc=")</f>
        <v>#REF!</v>
      </c>
      <c r="I17" t="e">
        <f>AND(#REF!,"AAAAAHP/vwg=")</f>
        <v>#REF!</v>
      </c>
      <c r="J17" t="e">
        <f>AND(#REF!,"AAAAAHP/vwk=")</f>
        <v>#REF!</v>
      </c>
      <c r="K17" t="e">
        <f>AND(#REF!,"AAAAAHP/vwo=")</f>
        <v>#REF!</v>
      </c>
      <c r="L17" t="e">
        <f>AND(#REF!,"AAAAAHP/vws=")</f>
        <v>#REF!</v>
      </c>
      <c r="M17" t="e">
        <f>AND(#REF!,"AAAAAHP/vww=")</f>
        <v>#REF!</v>
      </c>
      <c r="N17" t="e">
        <f>AND(#REF!,"AAAAAHP/vw0=")</f>
        <v>#REF!</v>
      </c>
      <c r="O17" t="e">
        <f>AND(#REF!,"AAAAAHP/vw4=")</f>
        <v>#REF!</v>
      </c>
      <c r="P17" t="e">
        <f>AND(#REF!,"AAAAAHP/vw8=")</f>
        <v>#REF!</v>
      </c>
      <c r="Q17" t="e">
        <f>AND(#REF!,"AAAAAHP/vxA=")</f>
        <v>#REF!</v>
      </c>
      <c r="R17" t="e">
        <f>AND(#REF!,"AAAAAHP/vxE=")</f>
        <v>#REF!</v>
      </c>
      <c r="S17" t="e">
        <f>AND(#REF!,"AAAAAHP/vxI=")</f>
        <v>#REF!</v>
      </c>
      <c r="T17" t="e">
        <f>AND(#REF!,"AAAAAHP/vxM=")</f>
        <v>#REF!</v>
      </c>
      <c r="U17" t="e">
        <f>AND(#REF!,"AAAAAHP/vxQ=")</f>
        <v>#REF!</v>
      </c>
      <c r="V17" t="e">
        <f>AND(#REF!,"AAAAAHP/vxU=")</f>
        <v>#REF!</v>
      </c>
      <c r="W17" t="e">
        <f>AND(#REF!,"AAAAAHP/vxY=")</f>
        <v>#REF!</v>
      </c>
      <c r="X17" t="e">
        <f>AND(#REF!,"AAAAAHP/vxc=")</f>
        <v>#REF!</v>
      </c>
      <c r="Y17" t="e">
        <f>AND(#REF!,"AAAAAHP/vxg=")</f>
        <v>#REF!</v>
      </c>
      <c r="Z17" t="e">
        <f>AND(#REF!,"AAAAAHP/vxk=")</f>
        <v>#REF!</v>
      </c>
      <c r="AA17" t="e">
        <f>AND(#REF!,"AAAAAHP/vxo=")</f>
        <v>#REF!</v>
      </c>
      <c r="AB17" t="e">
        <f>IF(#REF!,"AAAAAHP/vxs=",0)</f>
        <v>#REF!</v>
      </c>
      <c r="AC17" t="e">
        <f>AND(#REF!,"AAAAAHP/vxw=")</f>
        <v>#REF!</v>
      </c>
      <c r="AD17" t="e">
        <f>AND(#REF!,"AAAAAHP/vx0=")</f>
        <v>#REF!</v>
      </c>
      <c r="AE17" t="e">
        <f>AND(#REF!,"AAAAAHP/vx4=")</f>
        <v>#REF!</v>
      </c>
      <c r="AF17" t="e">
        <f>AND(#REF!,"AAAAAHP/vx8=")</f>
        <v>#REF!</v>
      </c>
      <c r="AG17" t="e">
        <f>AND(#REF!,"AAAAAHP/vyA=")</f>
        <v>#REF!</v>
      </c>
      <c r="AH17" t="e">
        <f>AND(#REF!,"AAAAAHP/vyE=")</f>
        <v>#REF!</v>
      </c>
      <c r="AI17" t="e">
        <f>AND(#REF!,"AAAAAHP/vyI=")</f>
        <v>#REF!</v>
      </c>
      <c r="AJ17" t="e">
        <f>AND(#REF!,"AAAAAHP/vyM=")</f>
        <v>#REF!</v>
      </c>
      <c r="AK17" t="e">
        <f>AND(#REF!,"AAAAAHP/vyQ=")</f>
        <v>#REF!</v>
      </c>
      <c r="AL17" t="e">
        <f>AND(#REF!,"AAAAAHP/vyU=")</f>
        <v>#REF!</v>
      </c>
      <c r="AM17" t="e">
        <f>AND(#REF!,"AAAAAHP/vyY=")</f>
        <v>#REF!</v>
      </c>
      <c r="AN17" t="e">
        <f>AND(#REF!,"AAAAAHP/vyc=")</f>
        <v>#REF!</v>
      </c>
      <c r="AO17" t="e">
        <f>AND(#REF!,"AAAAAHP/vyg=")</f>
        <v>#REF!</v>
      </c>
      <c r="AP17" t="e">
        <f>AND(#REF!,"AAAAAHP/vyk=")</f>
        <v>#REF!</v>
      </c>
      <c r="AQ17" t="e">
        <f>AND(#REF!,"AAAAAHP/vyo=")</f>
        <v>#REF!</v>
      </c>
      <c r="AR17" t="e">
        <f>AND(#REF!,"AAAAAHP/vys=")</f>
        <v>#REF!</v>
      </c>
      <c r="AS17" t="e">
        <f>AND(#REF!,"AAAAAHP/vyw=")</f>
        <v>#REF!</v>
      </c>
      <c r="AT17" t="e">
        <f>AND(#REF!,"AAAAAHP/vy0=")</f>
        <v>#REF!</v>
      </c>
      <c r="AU17" t="e">
        <f>AND(#REF!,"AAAAAHP/vy4=")</f>
        <v>#REF!</v>
      </c>
      <c r="AV17" t="e">
        <f>AND(#REF!,"AAAAAHP/vy8=")</f>
        <v>#REF!</v>
      </c>
      <c r="AW17" t="e">
        <f>AND(#REF!,"AAAAAHP/vzA=")</f>
        <v>#REF!</v>
      </c>
      <c r="AX17" t="e">
        <f>AND(#REF!,"AAAAAHP/vzE=")</f>
        <v>#REF!</v>
      </c>
      <c r="AY17" t="e">
        <f>AND(#REF!,"AAAAAHP/vzI=")</f>
        <v>#REF!</v>
      </c>
      <c r="AZ17" t="e">
        <f>AND(#REF!,"AAAAAHP/vzM=")</f>
        <v>#REF!</v>
      </c>
      <c r="BA17" t="e">
        <f>AND(#REF!,"AAAAAHP/vzQ=")</f>
        <v>#REF!</v>
      </c>
      <c r="BB17" t="e">
        <f>AND(#REF!,"AAAAAHP/vzU=")</f>
        <v>#REF!</v>
      </c>
      <c r="BC17" t="e">
        <f>AND(#REF!,"AAAAAHP/vzY=")</f>
        <v>#REF!</v>
      </c>
      <c r="BD17" t="e">
        <f>AND(#REF!,"AAAAAHP/vzc=")</f>
        <v>#REF!</v>
      </c>
      <c r="BE17" t="e">
        <f>AND(#REF!,"AAAAAHP/vzg=")</f>
        <v>#REF!</v>
      </c>
      <c r="BF17" t="e">
        <f>AND(#REF!,"AAAAAHP/vzk=")</f>
        <v>#REF!</v>
      </c>
      <c r="BG17" t="e">
        <f>AND(#REF!,"AAAAAHP/vzo=")</f>
        <v>#REF!</v>
      </c>
      <c r="BH17" t="e">
        <f>AND(#REF!,"AAAAAHP/vzs=")</f>
        <v>#REF!</v>
      </c>
      <c r="BI17" t="e">
        <f>AND(#REF!,"AAAAAHP/vzw=")</f>
        <v>#REF!</v>
      </c>
      <c r="BJ17" t="e">
        <f>AND(#REF!,"AAAAAHP/vz0=")</f>
        <v>#REF!</v>
      </c>
      <c r="BK17" t="e">
        <f>AND(#REF!,"AAAAAHP/vz4=")</f>
        <v>#REF!</v>
      </c>
      <c r="BL17" t="e">
        <f>IF(#REF!,"AAAAAHP/vz8=",0)</f>
        <v>#REF!</v>
      </c>
      <c r="BM17" t="e">
        <f>AND(#REF!,"AAAAAHP/v0A=")</f>
        <v>#REF!</v>
      </c>
      <c r="BN17" t="e">
        <f>AND(#REF!,"AAAAAHP/v0E=")</f>
        <v>#REF!</v>
      </c>
      <c r="BO17" t="e">
        <f>AND(#REF!,"AAAAAHP/v0I=")</f>
        <v>#REF!</v>
      </c>
      <c r="BP17" t="e">
        <f>AND(#REF!,"AAAAAHP/v0M=")</f>
        <v>#REF!</v>
      </c>
      <c r="BQ17" t="e">
        <f>AND(#REF!,"AAAAAHP/v0Q=")</f>
        <v>#REF!</v>
      </c>
      <c r="BR17" t="e">
        <f>AND(#REF!,"AAAAAHP/v0U=")</f>
        <v>#REF!</v>
      </c>
      <c r="BS17" t="e">
        <f>AND(#REF!,"AAAAAHP/v0Y=")</f>
        <v>#REF!</v>
      </c>
      <c r="BT17" t="e">
        <f>AND(#REF!,"AAAAAHP/v0c=")</f>
        <v>#REF!</v>
      </c>
      <c r="BU17" t="e">
        <f>AND(#REF!,"AAAAAHP/v0g=")</f>
        <v>#REF!</v>
      </c>
      <c r="BV17" t="e">
        <f>AND(#REF!,"AAAAAHP/v0k=")</f>
        <v>#REF!</v>
      </c>
      <c r="BW17" t="e">
        <f>AND(#REF!,"AAAAAHP/v0o=")</f>
        <v>#REF!</v>
      </c>
      <c r="BX17" t="e">
        <f>AND(#REF!,"AAAAAHP/v0s=")</f>
        <v>#REF!</v>
      </c>
      <c r="BY17" t="e">
        <f>AND(#REF!,"AAAAAHP/v0w=")</f>
        <v>#REF!</v>
      </c>
      <c r="BZ17" t="e">
        <f>AND(#REF!,"AAAAAHP/v00=")</f>
        <v>#REF!</v>
      </c>
      <c r="CA17" t="e">
        <f>AND(#REF!,"AAAAAHP/v04=")</f>
        <v>#REF!</v>
      </c>
      <c r="CB17" t="e">
        <f>AND(#REF!,"AAAAAHP/v08=")</f>
        <v>#REF!</v>
      </c>
      <c r="CC17" t="e">
        <f>AND(#REF!,"AAAAAHP/v1A=")</f>
        <v>#REF!</v>
      </c>
      <c r="CD17" t="e">
        <f>AND(#REF!,"AAAAAHP/v1E=")</f>
        <v>#REF!</v>
      </c>
      <c r="CE17" t="e">
        <f>AND(#REF!,"AAAAAHP/v1I=")</f>
        <v>#REF!</v>
      </c>
      <c r="CF17" t="e">
        <f>AND(#REF!,"AAAAAHP/v1M=")</f>
        <v>#REF!</v>
      </c>
      <c r="CG17" t="e">
        <f>AND(#REF!,"AAAAAHP/v1Q=")</f>
        <v>#REF!</v>
      </c>
      <c r="CH17" t="e">
        <f>AND(#REF!,"AAAAAHP/v1U=")</f>
        <v>#REF!</v>
      </c>
      <c r="CI17" t="e">
        <f>AND(#REF!,"AAAAAHP/v1Y=")</f>
        <v>#REF!</v>
      </c>
      <c r="CJ17" t="e">
        <f>AND(#REF!,"AAAAAHP/v1c=")</f>
        <v>#REF!</v>
      </c>
      <c r="CK17" t="e">
        <f>AND(#REF!,"AAAAAHP/v1g=")</f>
        <v>#REF!</v>
      </c>
      <c r="CL17" t="e">
        <f>AND(#REF!,"AAAAAHP/v1k=")</f>
        <v>#REF!</v>
      </c>
      <c r="CM17" t="e">
        <f>AND(#REF!,"AAAAAHP/v1o=")</f>
        <v>#REF!</v>
      </c>
      <c r="CN17" t="e">
        <f>AND(#REF!,"AAAAAHP/v1s=")</f>
        <v>#REF!</v>
      </c>
      <c r="CO17" t="e">
        <f>AND(#REF!,"AAAAAHP/v1w=")</f>
        <v>#REF!</v>
      </c>
      <c r="CP17" t="e">
        <f>AND(#REF!,"AAAAAHP/v10=")</f>
        <v>#REF!</v>
      </c>
      <c r="CQ17" t="e">
        <f>AND(#REF!,"AAAAAHP/v14=")</f>
        <v>#REF!</v>
      </c>
      <c r="CR17" t="e">
        <f>AND(#REF!,"AAAAAHP/v18=")</f>
        <v>#REF!</v>
      </c>
      <c r="CS17" t="e">
        <f>AND(#REF!,"AAAAAHP/v2A=")</f>
        <v>#REF!</v>
      </c>
      <c r="CT17" t="e">
        <f>AND(#REF!,"AAAAAHP/v2E=")</f>
        <v>#REF!</v>
      </c>
      <c r="CU17" t="e">
        <f>AND(#REF!,"AAAAAHP/v2I=")</f>
        <v>#REF!</v>
      </c>
      <c r="CV17" t="e">
        <f>IF(#REF!,"AAAAAHP/v2M=",0)</f>
        <v>#REF!</v>
      </c>
      <c r="CW17" t="e">
        <f>AND(#REF!,"AAAAAHP/v2Q=")</f>
        <v>#REF!</v>
      </c>
      <c r="CX17" t="e">
        <f>AND(#REF!,"AAAAAHP/v2U=")</f>
        <v>#REF!</v>
      </c>
      <c r="CY17" t="e">
        <f>AND(#REF!,"AAAAAHP/v2Y=")</f>
        <v>#REF!</v>
      </c>
      <c r="CZ17" t="e">
        <f>AND(#REF!,"AAAAAHP/v2c=")</f>
        <v>#REF!</v>
      </c>
      <c r="DA17" t="e">
        <f>AND(#REF!,"AAAAAHP/v2g=")</f>
        <v>#REF!</v>
      </c>
      <c r="DB17" t="e">
        <f>AND(#REF!,"AAAAAHP/v2k=")</f>
        <v>#REF!</v>
      </c>
      <c r="DC17" t="e">
        <f>AND(#REF!,"AAAAAHP/v2o=")</f>
        <v>#REF!</v>
      </c>
      <c r="DD17" t="e">
        <f>AND(#REF!,"AAAAAHP/v2s=")</f>
        <v>#REF!</v>
      </c>
      <c r="DE17" t="e">
        <f>AND(#REF!,"AAAAAHP/v2w=")</f>
        <v>#REF!</v>
      </c>
      <c r="DF17" t="e">
        <f>AND(#REF!,"AAAAAHP/v20=")</f>
        <v>#REF!</v>
      </c>
      <c r="DG17" t="e">
        <f>AND(#REF!,"AAAAAHP/v24=")</f>
        <v>#REF!</v>
      </c>
      <c r="DH17" t="e">
        <f>AND(#REF!,"AAAAAHP/v28=")</f>
        <v>#REF!</v>
      </c>
      <c r="DI17" t="e">
        <f>AND(#REF!,"AAAAAHP/v3A=")</f>
        <v>#REF!</v>
      </c>
      <c r="DJ17" t="e">
        <f>AND(#REF!,"AAAAAHP/v3E=")</f>
        <v>#REF!</v>
      </c>
      <c r="DK17" t="e">
        <f>AND(#REF!,"AAAAAHP/v3I=")</f>
        <v>#REF!</v>
      </c>
      <c r="DL17" t="e">
        <f>AND(#REF!,"AAAAAHP/v3M=")</f>
        <v>#REF!</v>
      </c>
      <c r="DM17" t="e">
        <f>AND(#REF!,"AAAAAHP/v3Q=")</f>
        <v>#REF!</v>
      </c>
      <c r="DN17" t="e">
        <f>AND(#REF!,"AAAAAHP/v3U=")</f>
        <v>#REF!</v>
      </c>
      <c r="DO17" t="e">
        <f>AND(#REF!,"AAAAAHP/v3Y=")</f>
        <v>#REF!</v>
      </c>
      <c r="DP17" t="e">
        <f>AND(#REF!,"AAAAAHP/v3c=")</f>
        <v>#REF!</v>
      </c>
      <c r="DQ17" t="e">
        <f>AND(#REF!,"AAAAAHP/v3g=")</f>
        <v>#REF!</v>
      </c>
      <c r="DR17" t="e">
        <f>AND(#REF!,"AAAAAHP/v3k=")</f>
        <v>#REF!</v>
      </c>
      <c r="DS17" t="e">
        <f>AND(#REF!,"AAAAAHP/v3o=")</f>
        <v>#REF!</v>
      </c>
      <c r="DT17" t="e">
        <f>AND(#REF!,"AAAAAHP/v3s=")</f>
        <v>#REF!</v>
      </c>
      <c r="DU17" t="e">
        <f>AND(#REF!,"AAAAAHP/v3w=")</f>
        <v>#REF!</v>
      </c>
      <c r="DV17" t="e">
        <f>AND(#REF!,"AAAAAHP/v30=")</f>
        <v>#REF!</v>
      </c>
      <c r="DW17" t="e">
        <f>AND(#REF!,"AAAAAHP/v34=")</f>
        <v>#REF!</v>
      </c>
      <c r="DX17" t="e">
        <f>AND(#REF!,"AAAAAHP/v38=")</f>
        <v>#REF!</v>
      </c>
      <c r="DY17" t="e">
        <f>AND(#REF!,"AAAAAHP/v4A=")</f>
        <v>#REF!</v>
      </c>
      <c r="DZ17" t="e">
        <f>AND(#REF!,"AAAAAHP/v4E=")</f>
        <v>#REF!</v>
      </c>
      <c r="EA17" t="e">
        <f>AND(#REF!,"AAAAAHP/v4I=")</f>
        <v>#REF!</v>
      </c>
      <c r="EB17" t="e">
        <f>AND(#REF!,"AAAAAHP/v4M=")</f>
        <v>#REF!</v>
      </c>
      <c r="EC17" t="e">
        <f>AND(#REF!,"AAAAAHP/v4Q=")</f>
        <v>#REF!</v>
      </c>
      <c r="ED17" t="e">
        <f>AND(#REF!,"AAAAAHP/v4U=")</f>
        <v>#REF!</v>
      </c>
      <c r="EE17" t="e">
        <f>AND(#REF!,"AAAAAHP/v4Y=")</f>
        <v>#REF!</v>
      </c>
      <c r="EF17" t="e">
        <f>IF(#REF!,"AAAAAHP/v4c=",0)</f>
        <v>#REF!</v>
      </c>
      <c r="EG17" t="e">
        <f>AND(#REF!,"AAAAAHP/v4g=")</f>
        <v>#REF!</v>
      </c>
      <c r="EH17" t="e">
        <f>AND(#REF!,"AAAAAHP/v4k=")</f>
        <v>#REF!</v>
      </c>
      <c r="EI17" t="e">
        <f>AND(#REF!,"AAAAAHP/v4o=")</f>
        <v>#REF!</v>
      </c>
      <c r="EJ17" t="e">
        <f>AND(#REF!,"AAAAAHP/v4s=")</f>
        <v>#REF!</v>
      </c>
      <c r="EK17" t="e">
        <f>AND(#REF!,"AAAAAHP/v4w=")</f>
        <v>#REF!</v>
      </c>
      <c r="EL17" t="e">
        <f>AND(#REF!,"AAAAAHP/v40=")</f>
        <v>#REF!</v>
      </c>
      <c r="EM17" t="e">
        <f>AND(#REF!,"AAAAAHP/v44=")</f>
        <v>#REF!</v>
      </c>
      <c r="EN17" t="e">
        <f>AND(#REF!,"AAAAAHP/v48=")</f>
        <v>#REF!</v>
      </c>
      <c r="EO17" t="e">
        <f>AND(#REF!,"AAAAAHP/v5A=")</f>
        <v>#REF!</v>
      </c>
      <c r="EP17" t="e">
        <f>AND(#REF!,"AAAAAHP/v5E=")</f>
        <v>#REF!</v>
      </c>
      <c r="EQ17" t="e">
        <f>AND(#REF!,"AAAAAHP/v5I=")</f>
        <v>#REF!</v>
      </c>
      <c r="ER17" t="e">
        <f>AND(#REF!,"AAAAAHP/v5M=")</f>
        <v>#REF!</v>
      </c>
      <c r="ES17" t="e">
        <f>AND(#REF!,"AAAAAHP/v5Q=")</f>
        <v>#REF!</v>
      </c>
      <c r="ET17" t="e">
        <f>AND(#REF!,"AAAAAHP/v5U=")</f>
        <v>#REF!</v>
      </c>
      <c r="EU17" t="e">
        <f>AND(#REF!,"AAAAAHP/v5Y=")</f>
        <v>#REF!</v>
      </c>
      <c r="EV17" t="e">
        <f>AND(#REF!,"AAAAAHP/v5c=")</f>
        <v>#REF!</v>
      </c>
      <c r="EW17" t="e">
        <f>AND(#REF!,"AAAAAHP/v5g=")</f>
        <v>#REF!</v>
      </c>
      <c r="EX17" t="e">
        <f>AND(#REF!,"AAAAAHP/v5k=")</f>
        <v>#REF!</v>
      </c>
      <c r="EY17" t="e">
        <f>AND(#REF!,"AAAAAHP/v5o=")</f>
        <v>#REF!</v>
      </c>
      <c r="EZ17" t="e">
        <f>AND(#REF!,"AAAAAHP/v5s=")</f>
        <v>#REF!</v>
      </c>
      <c r="FA17" t="e">
        <f>AND(#REF!,"AAAAAHP/v5w=")</f>
        <v>#REF!</v>
      </c>
      <c r="FB17" t="e">
        <f>AND(#REF!,"AAAAAHP/v50=")</f>
        <v>#REF!</v>
      </c>
      <c r="FC17" t="e">
        <f>AND(#REF!,"AAAAAHP/v54=")</f>
        <v>#REF!</v>
      </c>
      <c r="FD17" t="e">
        <f>AND(#REF!,"AAAAAHP/v58=")</f>
        <v>#REF!</v>
      </c>
      <c r="FE17" t="e">
        <f>AND(#REF!,"AAAAAHP/v6A=")</f>
        <v>#REF!</v>
      </c>
      <c r="FF17" t="e">
        <f>AND(#REF!,"AAAAAHP/v6E=")</f>
        <v>#REF!</v>
      </c>
      <c r="FG17" t="e">
        <f>AND(#REF!,"AAAAAHP/v6I=")</f>
        <v>#REF!</v>
      </c>
      <c r="FH17" t="e">
        <f>AND(#REF!,"AAAAAHP/v6M=")</f>
        <v>#REF!</v>
      </c>
      <c r="FI17" t="e">
        <f>AND(#REF!,"AAAAAHP/v6Q=")</f>
        <v>#REF!</v>
      </c>
      <c r="FJ17" t="e">
        <f>AND(#REF!,"AAAAAHP/v6U=")</f>
        <v>#REF!</v>
      </c>
      <c r="FK17" t="e">
        <f>AND(#REF!,"AAAAAHP/v6Y=")</f>
        <v>#REF!</v>
      </c>
      <c r="FL17" t="e">
        <f>AND(#REF!,"AAAAAHP/v6c=")</f>
        <v>#REF!</v>
      </c>
      <c r="FM17" t="e">
        <f>AND(#REF!,"AAAAAHP/v6g=")</f>
        <v>#REF!</v>
      </c>
      <c r="FN17" t="e">
        <f>AND(#REF!,"AAAAAHP/v6k=")</f>
        <v>#REF!</v>
      </c>
      <c r="FO17" t="e">
        <f>AND(#REF!,"AAAAAHP/v6o=")</f>
        <v>#REF!</v>
      </c>
      <c r="FP17" t="e">
        <f>IF(#REF!,"AAAAAHP/v6s=",0)</f>
        <v>#REF!</v>
      </c>
      <c r="FQ17" t="e">
        <f>AND(#REF!,"AAAAAHP/v6w=")</f>
        <v>#REF!</v>
      </c>
      <c r="FR17" t="e">
        <f>AND(#REF!,"AAAAAHP/v60=")</f>
        <v>#REF!</v>
      </c>
      <c r="FS17" t="e">
        <f>AND(#REF!,"AAAAAHP/v64=")</f>
        <v>#REF!</v>
      </c>
      <c r="FT17" t="e">
        <f>AND(#REF!,"AAAAAHP/v68=")</f>
        <v>#REF!</v>
      </c>
      <c r="FU17" t="e">
        <f>AND(#REF!,"AAAAAHP/v7A=")</f>
        <v>#REF!</v>
      </c>
      <c r="FV17" t="e">
        <f>AND(#REF!,"AAAAAHP/v7E=")</f>
        <v>#REF!</v>
      </c>
      <c r="FW17" t="e">
        <f>AND(#REF!,"AAAAAHP/v7I=")</f>
        <v>#REF!</v>
      </c>
      <c r="FX17" t="e">
        <f>AND(#REF!,"AAAAAHP/v7M=")</f>
        <v>#REF!</v>
      </c>
      <c r="FY17" t="e">
        <f>AND(#REF!,"AAAAAHP/v7Q=")</f>
        <v>#REF!</v>
      </c>
      <c r="FZ17" t="e">
        <f>AND(#REF!,"AAAAAHP/v7U=")</f>
        <v>#REF!</v>
      </c>
      <c r="GA17" t="e">
        <f>AND(#REF!,"AAAAAHP/v7Y=")</f>
        <v>#REF!</v>
      </c>
      <c r="GB17" t="e">
        <f>AND(#REF!,"AAAAAHP/v7c=")</f>
        <v>#REF!</v>
      </c>
      <c r="GC17" t="e">
        <f>AND(#REF!,"AAAAAHP/v7g=")</f>
        <v>#REF!</v>
      </c>
      <c r="GD17" t="e">
        <f>AND(#REF!,"AAAAAHP/v7k=")</f>
        <v>#REF!</v>
      </c>
      <c r="GE17" t="e">
        <f>AND(#REF!,"AAAAAHP/v7o=")</f>
        <v>#REF!</v>
      </c>
      <c r="GF17" t="e">
        <f>AND(#REF!,"AAAAAHP/v7s=")</f>
        <v>#REF!</v>
      </c>
      <c r="GG17" t="e">
        <f>AND(#REF!,"AAAAAHP/v7w=")</f>
        <v>#REF!</v>
      </c>
      <c r="GH17" t="e">
        <f>AND(#REF!,"AAAAAHP/v70=")</f>
        <v>#REF!</v>
      </c>
      <c r="GI17" t="e">
        <f>AND(#REF!,"AAAAAHP/v74=")</f>
        <v>#REF!</v>
      </c>
      <c r="GJ17" t="e">
        <f>AND(#REF!,"AAAAAHP/v78=")</f>
        <v>#REF!</v>
      </c>
      <c r="GK17" t="e">
        <f>AND(#REF!,"AAAAAHP/v8A=")</f>
        <v>#REF!</v>
      </c>
      <c r="GL17" t="e">
        <f>AND(#REF!,"AAAAAHP/v8E=")</f>
        <v>#REF!</v>
      </c>
      <c r="GM17" t="e">
        <f>AND(#REF!,"AAAAAHP/v8I=")</f>
        <v>#REF!</v>
      </c>
      <c r="GN17" t="e">
        <f>AND(#REF!,"AAAAAHP/v8M=")</f>
        <v>#REF!</v>
      </c>
      <c r="GO17" t="e">
        <f>AND(#REF!,"AAAAAHP/v8Q=")</f>
        <v>#REF!</v>
      </c>
      <c r="GP17" t="e">
        <f>AND(#REF!,"AAAAAHP/v8U=")</f>
        <v>#REF!</v>
      </c>
      <c r="GQ17" t="e">
        <f>AND(#REF!,"AAAAAHP/v8Y=")</f>
        <v>#REF!</v>
      </c>
      <c r="GR17" t="e">
        <f>AND(#REF!,"AAAAAHP/v8c=")</f>
        <v>#REF!</v>
      </c>
      <c r="GS17" t="e">
        <f>AND(#REF!,"AAAAAHP/v8g=")</f>
        <v>#REF!</v>
      </c>
      <c r="GT17" t="e">
        <f>AND(#REF!,"AAAAAHP/v8k=")</f>
        <v>#REF!</v>
      </c>
      <c r="GU17" t="e">
        <f>AND(#REF!,"AAAAAHP/v8o=")</f>
        <v>#REF!</v>
      </c>
      <c r="GV17" t="e">
        <f>AND(#REF!,"AAAAAHP/v8s=")</f>
        <v>#REF!</v>
      </c>
      <c r="GW17" t="e">
        <f>AND(#REF!,"AAAAAHP/v8w=")</f>
        <v>#REF!</v>
      </c>
      <c r="GX17" t="e">
        <f>AND(#REF!,"AAAAAHP/v80=")</f>
        <v>#REF!</v>
      </c>
      <c r="GY17" t="e">
        <f>AND(#REF!,"AAAAAHP/v84=")</f>
        <v>#REF!</v>
      </c>
      <c r="GZ17" t="e">
        <f>IF(#REF!,"AAAAAHP/v88=",0)</f>
        <v>#REF!</v>
      </c>
      <c r="HA17" t="e">
        <f>AND(#REF!,"AAAAAHP/v9A=")</f>
        <v>#REF!</v>
      </c>
      <c r="HB17" t="e">
        <f>AND(#REF!,"AAAAAHP/v9E=")</f>
        <v>#REF!</v>
      </c>
      <c r="HC17" t="e">
        <f>AND(#REF!,"AAAAAHP/v9I=")</f>
        <v>#REF!</v>
      </c>
      <c r="HD17" t="e">
        <f>AND(#REF!,"AAAAAHP/v9M=")</f>
        <v>#REF!</v>
      </c>
      <c r="HE17" t="e">
        <f>AND(#REF!,"AAAAAHP/v9Q=")</f>
        <v>#REF!</v>
      </c>
      <c r="HF17" t="e">
        <f>AND(#REF!,"AAAAAHP/v9U=")</f>
        <v>#REF!</v>
      </c>
      <c r="HG17" t="e">
        <f>AND(#REF!,"AAAAAHP/v9Y=")</f>
        <v>#REF!</v>
      </c>
      <c r="HH17" t="e">
        <f>AND(#REF!,"AAAAAHP/v9c=")</f>
        <v>#REF!</v>
      </c>
      <c r="HI17" t="e">
        <f>AND(#REF!,"AAAAAHP/v9g=")</f>
        <v>#REF!</v>
      </c>
      <c r="HJ17" t="e">
        <f>AND(#REF!,"AAAAAHP/v9k=")</f>
        <v>#REF!</v>
      </c>
      <c r="HK17" t="e">
        <f>AND(#REF!,"AAAAAHP/v9o=")</f>
        <v>#REF!</v>
      </c>
      <c r="HL17" t="e">
        <f>AND(#REF!,"AAAAAHP/v9s=")</f>
        <v>#REF!</v>
      </c>
      <c r="HM17" t="e">
        <f>AND(#REF!,"AAAAAHP/v9w=")</f>
        <v>#REF!</v>
      </c>
      <c r="HN17" t="e">
        <f>AND(#REF!,"AAAAAHP/v90=")</f>
        <v>#REF!</v>
      </c>
      <c r="HO17" t="e">
        <f>AND(#REF!,"AAAAAHP/v94=")</f>
        <v>#REF!</v>
      </c>
      <c r="HP17" t="e">
        <f>AND(#REF!,"AAAAAHP/v98=")</f>
        <v>#REF!</v>
      </c>
      <c r="HQ17" t="e">
        <f>AND(#REF!,"AAAAAHP/v+A=")</f>
        <v>#REF!</v>
      </c>
      <c r="HR17" t="e">
        <f>AND(#REF!,"AAAAAHP/v+E=")</f>
        <v>#REF!</v>
      </c>
      <c r="HS17" t="e">
        <f>AND(#REF!,"AAAAAHP/v+I=")</f>
        <v>#REF!</v>
      </c>
      <c r="HT17" t="e">
        <f>AND(#REF!,"AAAAAHP/v+M=")</f>
        <v>#REF!</v>
      </c>
      <c r="HU17" t="e">
        <f>AND(#REF!,"AAAAAHP/v+Q=")</f>
        <v>#REF!</v>
      </c>
      <c r="HV17" t="e">
        <f>AND(#REF!,"AAAAAHP/v+U=")</f>
        <v>#REF!</v>
      </c>
      <c r="HW17" t="e">
        <f>AND(#REF!,"AAAAAHP/v+Y=")</f>
        <v>#REF!</v>
      </c>
      <c r="HX17" t="e">
        <f>AND(#REF!,"AAAAAHP/v+c=")</f>
        <v>#REF!</v>
      </c>
      <c r="HY17" t="e">
        <f>AND(#REF!,"AAAAAHP/v+g=")</f>
        <v>#REF!</v>
      </c>
      <c r="HZ17" t="e">
        <f>AND(#REF!,"AAAAAHP/v+k=")</f>
        <v>#REF!</v>
      </c>
      <c r="IA17" t="e">
        <f>AND(#REF!,"AAAAAHP/v+o=")</f>
        <v>#REF!</v>
      </c>
      <c r="IB17" t="e">
        <f>AND(#REF!,"AAAAAHP/v+s=")</f>
        <v>#REF!</v>
      </c>
      <c r="IC17" t="e">
        <f>AND(#REF!,"AAAAAHP/v+w=")</f>
        <v>#REF!</v>
      </c>
      <c r="ID17" t="e">
        <f>AND(#REF!,"AAAAAHP/v+0=")</f>
        <v>#REF!</v>
      </c>
      <c r="IE17" t="e">
        <f>AND(#REF!,"AAAAAHP/v+4=")</f>
        <v>#REF!</v>
      </c>
      <c r="IF17" t="e">
        <f>AND(#REF!,"AAAAAHP/v+8=")</f>
        <v>#REF!</v>
      </c>
      <c r="IG17" t="e">
        <f>AND(#REF!,"AAAAAHP/v/A=")</f>
        <v>#REF!</v>
      </c>
      <c r="IH17" t="e">
        <f>AND(#REF!,"AAAAAHP/v/E=")</f>
        <v>#REF!</v>
      </c>
      <c r="II17" t="e">
        <f>AND(#REF!,"AAAAAHP/v/I=")</f>
        <v>#REF!</v>
      </c>
      <c r="IJ17" t="e">
        <f>IF(#REF!,"AAAAAHP/v/M=",0)</f>
        <v>#REF!</v>
      </c>
      <c r="IK17" t="e">
        <f>AND(#REF!,"AAAAAHP/v/Q=")</f>
        <v>#REF!</v>
      </c>
      <c r="IL17" t="e">
        <f>AND(#REF!,"AAAAAHP/v/U=")</f>
        <v>#REF!</v>
      </c>
      <c r="IM17" t="e">
        <f>AND(#REF!,"AAAAAHP/v/Y=")</f>
        <v>#REF!</v>
      </c>
      <c r="IN17" t="e">
        <f>AND(#REF!,"AAAAAHP/v/c=")</f>
        <v>#REF!</v>
      </c>
      <c r="IO17" t="e">
        <f>AND(#REF!,"AAAAAHP/v/g=")</f>
        <v>#REF!</v>
      </c>
      <c r="IP17" t="e">
        <f>AND(#REF!,"AAAAAHP/v/k=")</f>
        <v>#REF!</v>
      </c>
      <c r="IQ17" t="e">
        <f>AND(#REF!,"AAAAAHP/v/o=")</f>
        <v>#REF!</v>
      </c>
      <c r="IR17" t="e">
        <f>AND(#REF!,"AAAAAHP/v/s=")</f>
        <v>#REF!</v>
      </c>
      <c r="IS17" t="e">
        <f>AND(#REF!,"AAAAAHP/v/w=")</f>
        <v>#REF!</v>
      </c>
      <c r="IT17" t="e">
        <f>AND(#REF!,"AAAAAHP/v/0=")</f>
        <v>#REF!</v>
      </c>
      <c r="IU17" t="e">
        <f>AND(#REF!,"AAAAAHP/v/4=")</f>
        <v>#REF!</v>
      </c>
      <c r="IV17" t="e">
        <f>AND(#REF!,"AAAAAHP/v/8=")</f>
        <v>#REF!</v>
      </c>
    </row>
    <row r="18" spans="1:256" x14ac:dyDescent="0.25">
      <c r="A18" t="e">
        <f>AND(#REF!,"AAAAAC+1/gA=")</f>
        <v>#REF!</v>
      </c>
      <c r="B18" t="e">
        <f>AND(#REF!,"AAAAAC+1/gE=")</f>
        <v>#REF!</v>
      </c>
      <c r="C18" t="e">
        <f>AND(#REF!,"AAAAAC+1/gI=")</f>
        <v>#REF!</v>
      </c>
      <c r="D18" t="e">
        <f>AND(#REF!,"AAAAAC+1/gM=")</f>
        <v>#REF!</v>
      </c>
      <c r="E18" t="e">
        <f>AND(#REF!,"AAAAAC+1/gQ=")</f>
        <v>#REF!</v>
      </c>
      <c r="F18" t="e">
        <f>AND(#REF!,"AAAAAC+1/gU=")</f>
        <v>#REF!</v>
      </c>
      <c r="G18" t="e">
        <f>AND(#REF!,"AAAAAC+1/gY=")</f>
        <v>#REF!</v>
      </c>
      <c r="H18" t="e">
        <f>AND(#REF!,"AAAAAC+1/gc=")</f>
        <v>#REF!</v>
      </c>
      <c r="I18" t="e">
        <f>AND(#REF!,"AAAAAC+1/gg=")</f>
        <v>#REF!</v>
      </c>
      <c r="J18" t="e">
        <f>AND(#REF!,"AAAAAC+1/gk=")</f>
        <v>#REF!</v>
      </c>
      <c r="K18" t="e">
        <f>AND(#REF!,"AAAAAC+1/go=")</f>
        <v>#REF!</v>
      </c>
      <c r="L18" t="e">
        <f>AND(#REF!,"AAAAAC+1/gs=")</f>
        <v>#REF!</v>
      </c>
      <c r="M18" t="e">
        <f>AND(#REF!,"AAAAAC+1/gw=")</f>
        <v>#REF!</v>
      </c>
      <c r="N18" t="e">
        <f>AND(#REF!,"AAAAAC+1/g0=")</f>
        <v>#REF!</v>
      </c>
      <c r="O18" t="e">
        <f>AND(#REF!,"AAAAAC+1/g4=")</f>
        <v>#REF!</v>
      </c>
      <c r="P18" t="e">
        <f>AND(#REF!,"AAAAAC+1/g8=")</f>
        <v>#REF!</v>
      </c>
      <c r="Q18" t="e">
        <f>AND(#REF!,"AAAAAC+1/hA=")</f>
        <v>#REF!</v>
      </c>
      <c r="R18" t="e">
        <f>AND(#REF!,"AAAAAC+1/hE=")</f>
        <v>#REF!</v>
      </c>
      <c r="S18" t="e">
        <f>AND(#REF!,"AAAAAC+1/hI=")</f>
        <v>#REF!</v>
      </c>
      <c r="T18" t="e">
        <f>AND(#REF!,"AAAAAC+1/hM=")</f>
        <v>#REF!</v>
      </c>
      <c r="U18" t="e">
        <f>AND(#REF!,"AAAAAC+1/hQ=")</f>
        <v>#REF!</v>
      </c>
      <c r="V18" t="e">
        <f>AND(#REF!,"AAAAAC+1/hU=")</f>
        <v>#REF!</v>
      </c>
      <c r="W18" t="e">
        <f>AND(#REF!,"AAAAAC+1/hY=")</f>
        <v>#REF!</v>
      </c>
      <c r="X18" t="e">
        <f>IF(#REF!,"AAAAAC+1/hc=",0)</f>
        <v>#REF!</v>
      </c>
      <c r="Y18" t="e">
        <f>AND(#REF!,"AAAAAC+1/hg=")</f>
        <v>#REF!</v>
      </c>
      <c r="Z18" t="e">
        <f>AND(#REF!,"AAAAAC+1/hk=")</f>
        <v>#REF!</v>
      </c>
      <c r="AA18" t="e">
        <f>AND(#REF!,"AAAAAC+1/ho=")</f>
        <v>#REF!</v>
      </c>
      <c r="AB18" t="e">
        <f>AND(#REF!,"AAAAAC+1/hs=")</f>
        <v>#REF!</v>
      </c>
      <c r="AC18" t="e">
        <f>AND(#REF!,"AAAAAC+1/hw=")</f>
        <v>#REF!</v>
      </c>
      <c r="AD18" t="e">
        <f>AND(#REF!,"AAAAAC+1/h0=")</f>
        <v>#REF!</v>
      </c>
      <c r="AE18" t="e">
        <f>AND(#REF!,"AAAAAC+1/h4=")</f>
        <v>#REF!</v>
      </c>
      <c r="AF18" t="e">
        <f>AND(#REF!,"AAAAAC+1/h8=")</f>
        <v>#REF!</v>
      </c>
      <c r="AG18" t="e">
        <f>AND(#REF!,"AAAAAC+1/iA=")</f>
        <v>#REF!</v>
      </c>
      <c r="AH18" t="e">
        <f>AND(#REF!,"AAAAAC+1/iE=")</f>
        <v>#REF!</v>
      </c>
      <c r="AI18" t="e">
        <f>AND(#REF!,"AAAAAC+1/iI=")</f>
        <v>#REF!</v>
      </c>
      <c r="AJ18" t="e">
        <f>AND(#REF!,"AAAAAC+1/iM=")</f>
        <v>#REF!</v>
      </c>
      <c r="AK18" t="e">
        <f>AND(#REF!,"AAAAAC+1/iQ=")</f>
        <v>#REF!</v>
      </c>
      <c r="AL18" t="e">
        <f>AND(#REF!,"AAAAAC+1/iU=")</f>
        <v>#REF!</v>
      </c>
      <c r="AM18" t="e">
        <f>AND(#REF!,"AAAAAC+1/iY=")</f>
        <v>#REF!</v>
      </c>
      <c r="AN18" t="e">
        <f>AND(#REF!,"AAAAAC+1/ic=")</f>
        <v>#REF!</v>
      </c>
      <c r="AO18" t="e">
        <f>AND(#REF!,"AAAAAC+1/ig=")</f>
        <v>#REF!</v>
      </c>
      <c r="AP18" t="e">
        <f>AND(#REF!,"AAAAAC+1/ik=")</f>
        <v>#REF!</v>
      </c>
      <c r="AQ18" t="e">
        <f>AND(#REF!,"AAAAAC+1/io=")</f>
        <v>#REF!</v>
      </c>
      <c r="AR18" t="e">
        <f>AND(#REF!,"AAAAAC+1/is=")</f>
        <v>#REF!</v>
      </c>
      <c r="AS18" t="e">
        <f>AND(#REF!,"AAAAAC+1/iw=")</f>
        <v>#REF!</v>
      </c>
      <c r="AT18" t="e">
        <f>AND(#REF!,"AAAAAC+1/i0=")</f>
        <v>#REF!</v>
      </c>
      <c r="AU18" t="e">
        <f>AND(#REF!,"AAAAAC+1/i4=")</f>
        <v>#REF!</v>
      </c>
      <c r="AV18" t="e">
        <f>AND(#REF!,"AAAAAC+1/i8=")</f>
        <v>#REF!</v>
      </c>
      <c r="AW18" t="e">
        <f>AND(#REF!,"AAAAAC+1/jA=")</f>
        <v>#REF!</v>
      </c>
      <c r="AX18" t="e">
        <f>AND(#REF!,"AAAAAC+1/jE=")</f>
        <v>#REF!</v>
      </c>
      <c r="AY18" t="e">
        <f>AND(#REF!,"AAAAAC+1/jI=")</f>
        <v>#REF!</v>
      </c>
      <c r="AZ18" t="e">
        <f>AND(#REF!,"AAAAAC+1/jM=")</f>
        <v>#REF!</v>
      </c>
      <c r="BA18" t="e">
        <f>AND(#REF!,"AAAAAC+1/jQ=")</f>
        <v>#REF!</v>
      </c>
      <c r="BB18" t="e">
        <f>AND(#REF!,"AAAAAC+1/jU=")</f>
        <v>#REF!</v>
      </c>
      <c r="BC18" t="e">
        <f>AND(#REF!,"AAAAAC+1/jY=")</f>
        <v>#REF!</v>
      </c>
      <c r="BD18" t="e">
        <f>AND(#REF!,"AAAAAC+1/jc=")</f>
        <v>#REF!</v>
      </c>
      <c r="BE18" t="e">
        <f>AND(#REF!,"AAAAAC+1/jg=")</f>
        <v>#REF!</v>
      </c>
      <c r="BF18" t="e">
        <f>AND(#REF!,"AAAAAC+1/jk=")</f>
        <v>#REF!</v>
      </c>
      <c r="BG18" t="e">
        <f>AND(#REF!,"AAAAAC+1/jo=")</f>
        <v>#REF!</v>
      </c>
      <c r="BH18" t="e">
        <f>IF(#REF!,"AAAAAC+1/js=",0)</f>
        <v>#REF!</v>
      </c>
      <c r="BI18" t="e">
        <f>AND(#REF!,"AAAAAC+1/jw=")</f>
        <v>#REF!</v>
      </c>
      <c r="BJ18" t="e">
        <f>AND(#REF!,"AAAAAC+1/j0=")</f>
        <v>#REF!</v>
      </c>
      <c r="BK18" t="e">
        <f>AND(#REF!,"AAAAAC+1/j4=")</f>
        <v>#REF!</v>
      </c>
      <c r="BL18" t="e">
        <f>AND(#REF!,"AAAAAC+1/j8=")</f>
        <v>#REF!</v>
      </c>
      <c r="BM18" t="e">
        <f>AND(#REF!,"AAAAAC+1/kA=")</f>
        <v>#REF!</v>
      </c>
      <c r="BN18" t="e">
        <f>AND(#REF!,"AAAAAC+1/kE=")</f>
        <v>#REF!</v>
      </c>
      <c r="BO18" t="e">
        <f>AND(#REF!,"AAAAAC+1/kI=")</f>
        <v>#REF!</v>
      </c>
      <c r="BP18" t="e">
        <f>AND(#REF!,"AAAAAC+1/kM=")</f>
        <v>#REF!</v>
      </c>
      <c r="BQ18" t="e">
        <f>AND(#REF!,"AAAAAC+1/kQ=")</f>
        <v>#REF!</v>
      </c>
      <c r="BR18" t="e">
        <f>AND(#REF!,"AAAAAC+1/kU=")</f>
        <v>#REF!</v>
      </c>
      <c r="BS18" t="e">
        <f>AND(#REF!,"AAAAAC+1/kY=")</f>
        <v>#REF!</v>
      </c>
      <c r="BT18" t="e">
        <f>AND(#REF!,"AAAAAC+1/kc=")</f>
        <v>#REF!</v>
      </c>
      <c r="BU18" t="e">
        <f>AND(#REF!,"AAAAAC+1/kg=")</f>
        <v>#REF!</v>
      </c>
      <c r="BV18" t="e">
        <f>AND(#REF!,"AAAAAC+1/kk=")</f>
        <v>#REF!</v>
      </c>
      <c r="BW18" t="e">
        <f>AND(#REF!,"AAAAAC+1/ko=")</f>
        <v>#REF!</v>
      </c>
      <c r="BX18" t="e">
        <f>AND(#REF!,"AAAAAC+1/ks=")</f>
        <v>#REF!</v>
      </c>
      <c r="BY18" t="e">
        <f>AND(#REF!,"AAAAAC+1/kw=")</f>
        <v>#REF!</v>
      </c>
      <c r="BZ18" t="e">
        <f>AND(#REF!,"AAAAAC+1/k0=")</f>
        <v>#REF!</v>
      </c>
      <c r="CA18" t="e">
        <f>AND(#REF!,"AAAAAC+1/k4=")</f>
        <v>#REF!</v>
      </c>
      <c r="CB18" t="e">
        <f>AND(#REF!,"AAAAAC+1/k8=")</f>
        <v>#REF!</v>
      </c>
      <c r="CC18" t="e">
        <f>AND(#REF!,"AAAAAC+1/lA=")</f>
        <v>#REF!</v>
      </c>
      <c r="CD18" t="e">
        <f>AND(#REF!,"AAAAAC+1/lE=")</f>
        <v>#REF!</v>
      </c>
      <c r="CE18" t="e">
        <f>AND(#REF!,"AAAAAC+1/lI=")</f>
        <v>#REF!</v>
      </c>
      <c r="CF18" t="e">
        <f>AND(#REF!,"AAAAAC+1/lM=")</f>
        <v>#REF!</v>
      </c>
      <c r="CG18" t="e">
        <f>AND(#REF!,"AAAAAC+1/lQ=")</f>
        <v>#REF!</v>
      </c>
      <c r="CH18" t="e">
        <f>AND(#REF!,"AAAAAC+1/lU=")</f>
        <v>#REF!</v>
      </c>
      <c r="CI18" t="e">
        <f>AND(#REF!,"AAAAAC+1/lY=")</f>
        <v>#REF!</v>
      </c>
      <c r="CJ18" t="e">
        <f>AND(#REF!,"AAAAAC+1/lc=")</f>
        <v>#REF!</v>
      </c>
      <c r="CK18" t="e">
        <f>AND(#REF!,"AAAAAC+1/lg=")</f>
        <v>#REF!</v>
      </c>
      <c r="CL18" t="e">
        <f>AND(#REF!,"AAAAAC+1/lk=")</f>
        <v>#REF!</v>
      </c>
      <c r="CM18" t="e">
        <f>AND(#REF!,"AAAAAC+1/lo=")</f>
        <v>#REF!</v>
      </c>
      <c r="CN18" t="e">
        <f>AND(#REF!,"AAAAAC+1/ls=")</f>
        <v>#REF!</v>
      </c>
      <c r="CO18" t="e">
        <f>AND(#REF!,"AAAAAC+1/lw=")</f>
        <v>#REF!</v>
      </c>
      <c r="CP18" t="e">
        <f>AND(#REF!,"AAAAAC+1/l0=")</f>
        <v>#REF!</v>
      </c>
      <c r="CQ18" t="e">
        <f>AND(#REF!,"AAAAAC+1/l4=")</f>
        <v>#REF!</v>
      </c>
      <c r="CR18" t="e">
        <f>IF(#REF!,"AAAAAC+1/l8=",0)</f>
        <v>#REF!</v>
      </c>
      <c r="CS18" t="e">
        <f>AND(#REF!,"AAAAAC+1/mA=")</f>
        <v>#REF!</v>
      </c>
      <c r="CT18" t="e">
        <f>AND(#REF!,"AAAAAC+1/mE=")</f>
        <v>#REF!</v>
      </c>
      <c r="CU18" t="e">
        <f>AND(#REF!,"AAAAAC+1/mI=")</f>
        <v>#REF!</v>
      </c>
      <c r="CV18" t="e">
        <f>AND(#REF!,"AAAAAC+1/mM=")</f>
        <v>#REF!</v>
      </c>
      <c r="CW18" t="e">
        <f>AND(#REF!,"AAAAAC+1/mQ=")</f>
        <v>#REF!</v>
      </c>
      <c r="CX18" t="e">
        <f>AND(#REF!,"AAAAAC+1/mU=")</f>
        <v>#REF!</v>
      </c>
      <c r="CY18" t="e">
        <f>AND(#REF!,"AAAAAC+1/mY=")</f>
        <v>#REF!</v>
      </c>
      <c r="CZ18" t="e">
        <f>AND(#REF!,"AAAAAC+1/mc=")</f>
        <v>#REF!</v>
      </c>
      <c r="DA18" t="e">
        <f>AND(#REF!,"AAAAAC+1/mg=")</f>
        <v>#REF!</v>
      </c>
      <c r="DB18" t="e">
        <f>AND(#REF!,"AAAAAC+1/mk=")</f>
        <v>#REF!</v>
      </c>
      <c r="DC18" t="e">
        <f>AND(#REF!,"AAAAAC+1/mo=")</f>
        <v>#REF!</v>
      </c>
      <c r="DD18" t="e">
        <f>AND(#REF!,"AAAAAC+1/ms=")</f>
        <v>#REF!</v>
      </c>
      <c r="DE18" t="e">
        <f>AND(#REF!,"AAAAAC+1/mw=")</f>
        <v>#REF!</v>
      </c>
      <c r="DF18" t="e">
        <f>AND(#REF!,"AAAAAC+1/m0=")</f>
        <v>#REF!</v>
      </c>
      <c r="DG18" t="e">
        <f>AND(#REF!,"AAAAAC+1/m4=")</f>
        <v>#REF!</v>
      </c>
      <c r="DH18" t="e">
        <f>AND(#REF!,"AAAAAC+1/m8=")</f>
        <v>#REF!</v>
      </c>
      <c r="DI18" t="e">
        <f>AND(#REF!,"AAAAAC+1/nA=")</f>
        <v>#REF!</v>
      </c>
      <c r="DJ18" t="e">
        <f>AND(#REF!,"AAAAAC+1/nE=")</f>
        <v>#REF!</v>
      </c>
      <c r="DK18" t="e">
        <f>AND(#REF!,"AAAAAC+1/nI=")</f>
        <v>#REF!</v>
      </c>
      <c r="DL18" t="e">
        <f>AND(#REF!,"AAAAAC+1/nM=")</f>
        <v>#REF!</v>
      </c>
      <c r="DM18" t="e">
        <f>AND(#REF!,"AAAAAC+1/nQ=")</f>
        <v>#REF!</v>
      </c>
      <c r="DN18" t="e">
        <f>AND(#REF!,"AAAAAC+1/nU=")</f>
        <v>#REF!</v>
      </c>
      <c r="DO18" t="e">
        <f>AND(#REF!,"AAAAAC+1/nY=")</f>
        <v>#REF!</v>
      </c>
      <c r="DP18" t="e">
        <f>AND(#REF!,"AAAAAC+1/nc=")</f>
        <v>#REF!</v>
      </c>
      <c r="DQ18" t="e">
        <f>AND(#REF!,"AAAAAC+1/ng=")</f>
        <v>#REF!</v>
      </c>
      <c r="DR18" t="e">
        <f>AND(#REF!,"AAAAAC+1/nk=")</f>
        <v>#REF!</v>
      </c>
      <c r="DS18" t="e">
        <f>AND(#REF!,"AAAAAC+1/no=")</f>
        <v>#REF!</v>
      </c>
      <c r="DT18" t="e">
        <f>AND(#REF!,"AAAAAC+1/ns=")</f>
        <v>#REF!</v>
      </c>
      <c r="DU18" t="e">
        <f>AND(#REF!,"AAAAAC+1/nw=")</f>
        <v>#REF!</v>
      </c>
      <c r="DV18" t="e">
        <f>AND(#REF!,"AAAAAC+1/n0=")</f>
        <v>#REF!</v>
      </c>
      <c r="DW18" t="e">
        <f>AND(#REF!,"AAAAAC+1/n4=")</f>
        <v>#REF!</v>
      </c>
      <c r="DX18" t="e">
        <f>AND(#REF!,"AAAAAC+1/n8=")</f>
        <v>#REF!</v>
      </c>
      <c r="DY18" t="e">
        <f>AND(#REF!,"AAAAAC+1/oA=")</f>
        <v>#REF!</v>
      </c>
      <c r="DZ18" t="e">
        <f>AND(#REF!,"AAAAAC+1/oE=")</f>
        <v>#REF!</v>
      </c>
      <c r="EA18" t="e">
        <f>AND(#REF!,"AAAAAC+1/oI=")</f>
        <v>#REF!</v>
      </c>
      <c r="EB18" t="e">
        <f>IF(#REF!,"AAAAAC+1/oM=",0)</f>
        <v>#REF!</v>
      </c>
      <c r="EC18" t="e">
        <f>AND(#REF!,"AAAAAC+1/oQ=")</f>
        <v>#REF!</v>
      </c>
      <c r="ED18" t="e">
        <f>AND(#REF!,"AAAAAC+1/oU=")</f>
        <v>#REF!</v>
      </c>
      <c r="EE18" t="e">
        <f>AND(#REF!,"AAAAAC+1/oY=")</f>
        <v>#REF!</v>
      </c>
      <c r="EF18" t="e">
        <f>AND(#REF!,"AAAAAC+1/oc=")</f>
        <v>#REF!</v>
      </c>
      <c r="EG18" t="e">
        <f>AND(#REF!,"AAAAAC+1/og=")</f>
        <v>#REF!</v>
      </c>
      <c r="EH18" t="e">
        <f>AND(#REF!,"AAAAAC+1/ok=")</f>
        <v>#REF!</v>
      </c>
      <c r="EI18" t="e">
        <f>AND(#REF!,"AAAAAC+1/oo=")</f>
        <v>#REF!</v>
      </c>
      <c r="EJ18" t="e">
        <f>AND(#REF!,"AAAAAC+1/os=")</f>
        <v>#REF!</v>
      </c>
      <c r="EK18" t="e">
        <f>AND(#REF!,"AAAAAC+1/ow=")</f>
        <v>#REF!</v>
      </c>
      <c r="EL18" t="e">
        <f>AND(#REF!,"AAAAAC+1/o0=")</f>
        <v>#REF!</v>
      </c>
      <c r="EM18" t="e">
        <f>AND(#REF!,"AAAAAC+1/o4=")</f>
        <v>#REF!</v>
      </c>
      <c r="EN18" t="e">
        <f>AND(#REF!,"AAAAAC+1/o8=")</f>
        <v>#REF!</v>
      </c>
      <c r="EO18" t="e">
        <f>AND(#REF!,"AAAAAC+1/pA=")</f>
        <v>#REF!</v>
      </c>
      <c r="EP18" t="e">
        <f>AND(#REF!,"AAAAAC+1/pE=")</f>
        <v>#REF!</v>
      </c>
      <c r="EQ18" t="e">
        <f>AND(#REF!,"AAAAAC+1/pI=")</f>
        <v>#REF!</v>
      </c>
      <c r="ER18" t="e">
        <f>AND(#REF!,"AAAAAC+1/pM=")</f>
        <v>#REF!</v>
      </c>
      <c r="ES18" t="e">
        <f>AND(#REF!,"AAAAAC+1/pQ=")</f>
        <v>#REF!</v>
      </c>
      <c r="ET18" t="e">
        <f>AND(#REF!,"AAAAAC+1/pU=")</f>
        <v>#REF!</v>
      </c>
      <c r="EU18" t="e">
        <f>AND(#REF!,"AAAAAC+1/pY=")</f>
        <v>#REF!</v>
      </c>
      <c r="EV18" t="e">
        <f>AND(#REF!,"AAAAAC+1/pc=")</f>
        <v>#REF!</v>
      </c>
      <c r="EW18" t="e">
        <f>AND(#REF!,"AAAAAC+1/pg=")</f>
        <v>#REF!</v>
      </c>
      <c r="EX18" t="e">
        <f>AND(#REF!,"AAAAAC+1/pk=")</f>
        <v>#REF!</v>
      </c>
      <c r="EY18" t="e">
        <f>AND(#REF!,"AAAAAC+1/po=")</f>
        <v>#REF!</v>
      </c>
      <c r="EZ18" t="e">
        <f>AND(#REF!,"AAAAAC+1/ps=")</f>
        <v>#REF!</v>
      </c>
      <c r="FA18" t="e">
        <f>AND(#REF!,"AAAAAC+1/pw=")</f>
        <v>#REF!</v>
      </c>
      <c r="FB18" t="e">
        <f>AND(#REF!,"AAAAAC+1/p0=")</f>
        <v>#REF!</v>
      </c>
      <c r="FC18" t="e">
        <f>AND(#REF!,"AAAAAC+1/p4=")</f>
        <v>#REF!</v>
      </c>
      <c r="FD18" t="e">
        <f>AND(#REF!,"AAAAAC+1/p8=")</f>
        <v>#REF!</v>
      </c>
      <c r="FE18" t="e">
        <f>AND(#REF!,"AAAAAC+1/qA=")</f>
        <v>#REF!</v>
      </c>
      <c r="FF18" t="e">
        <f>AND(#REF!,"AAAAAC+1/qE=")</f>
        <v>#REF!</v>
      </c>
      <c r="FG18" t="e">
        <f>AND(#REF!,"AAAAAC+1/qI=")</f>
        <v>#REF!</v>
      </c>
      <c r="FH18" t="e">
        <f>AND(#REF!,"AAAAAC+1/qM=")</f>
        <v>#REF!</v>
      </c>
      <c r="FI18" t="e">
        <f>AND(#REF!,"AAAAAC+1/qQ=")</f>
        <v>#REF!</v>
      </c>
      <c r="FJ18" t="e">
        <f>AND(#REF!,"AAAAAC+1/qU=")</f>
        <v>#REF!</v>
      </c>
      <c r="FK18" t="e">
        <f>AND(#REF!,"AAAAAC+1/qY=")</f>
        <v>#REF!</v>
      </c>
      <c r="FL18" t="e">
        <f>IF(#REF!,"AAAAAC+1/qc=",0)</f>
        <v>#REF!</v>
      </c>
      <c r="FM18" t="e">
        <f>AND(#REF!,"AAAAAC+1/qg=")</f>
        <v>#REF!</v>
      </c>
      <c r="FN18" t="e">
        <f>AND(#REF!,"AAAAAC+1/qk=")</f>
        <v>#REF!</v>
      </c>
      <c r="FO18" t="e">
        <f>AND(#REF!,"AAAAAC+1/qo=")</f>
        <v>#REF!</v>
      </c>
      <c r="FP18" t="e">
        <f>AND(#REF!,"AAAAAC+1/qs=")</f>
        <v>#REF!</v>
      </c>
      <c r="FQ18" t="e">
        <f>AND(#REF!,"AAAAAC+1/qw=")</f>
        <v>#REF!</v>
      </c>
      <c r="FR18" t="e">
        <f>AND(#REF!,"AAAAAC+1/q0=")</f>
        <v>#REF!</v>
      </c>
      <c r="FS18" t="e">
        <f>AND(#REF!,"AAAAAC+1/q4=")</f>
        <v>#REF!</v>
      </c>
      <c r="FT18" t="e">
        <f>AND(#REF!,"AAAAAC+1/q8=")</f>
        <v>#REF!</v>
      </c>
      <c r="FU18" t="e">
        <f>AND(#REF!,"AAAAAC+1/rA=")</f>
        <v>#REF!</v>
      </c>
      <c r="FV18" t="e">
        <f>AND(#REF!,"AAAAAC+1/rE=")</f>
        <v>#REF!</v>
      </c>
      <c r="FW18" t="e">
        <f>AND(#REF!,"AAAAAC+1/rI=")</f>
        <v>#REF!</v>
      </c>
      <c r="FX18" t="e">
        <f>AND(#REF!,"AAAAAC+1/rM=")</f>
        <v>#REF!</v>
      </c>
      <c r="FY18" t="e">
        <f>AND(#REF!,"AAAAAC+1/rQ=")</f>
        <v>#REF!</v>
      </c>
      <c r="FZ18" t="e">
        <f>AND(#REF!,"AAAAAC+1/rU=")</f>
        <v>#REF!</v>
      </c>
      <c r="GA18" t="e">
        <f>AND(#REF!,"AAAAAC+1/rY=")</f>
        <v>#REF!</v>
      </c>
      <c r="GB18" t="e">
        <f>AND(#REF!,"AAAAAC+1/rc=")</f>
        <v>#REF!</v>
      </c>
      <c r="GC18" t="e">
        <f>AND(#REF!,"AAAAAC+1/rg=")</f>
        <v>#REF!</v>
      </c>
      <c r="GD18" t="e">
        <f>AND(#REF!,"AAAAAC+1/rk=")</f>
        <v>#REF!</v>
      </c>
      <c r="GE18" t="e">
        <f>AND(#REF!,"AAAAAC+1/ro=")</f>
        <v>#REF!</v>
      </c>
      <c r="GF18" t="e">
        <f>AND(#REF!,"AAAAAC+1/rs=")</f>
        <v>#REF!</v>
      </c>
      <c r="GG18" t="e">
        <f>AND(#REF!,"AAAAAC+1/rw=")</f>
        <v>#REF!</v>
      </c>
      <c r="GH18" t="e">
        <f>AND(#REF!,"AAAAAC+1/r0=")</f>
        <v>#REF!</v>
      </c>
      <c r="GI18" t="e">
        <f>AND(#REF!,"AAAAAC+1/r4=")</f>
        <v>#REF!</v>
      </c>
      <c r="GJ18" t="e">
        <f>AND(#REF!,"AAAAAC+1/r8=")</f>
        <v>#REF!</v>
      </c>
      <c r="GK18" t="e">
        <f>AND(#REF!,"AAAAAC+1/sA=")</f>
        <v>#REF!</v>
      </c>
      <c r="GL18" t="e">
        <f>AND(#REF!,"AAAAAC+1/sE=")</f>
        <v>#REF!</v>
      </c>
      <c r="GM18" t="e">
        <f>AND(#REF!,"AAAAAC+1/sI=")</f>
        <v>#REF!</v>
      </c>
      <c r="GN18" t="e">
        <f>AND(#REF!,"AAAAAC+1/sM=")</f>
        <v>#REF!</v>
      </c>
      <c r="GO18" t="e">
        <f>AND(#REF!,"AAAAAC+1/sQ=")</f>
        <v>#REF!</v>
      </c>
      <c r="GP18" t="e">
        <f>AND(#REF!,"AAAAAC+1/sU=")</f>
        <v>#REF!</v>
      </c>
      <c r="GQ18" t="e">
        <f>AND(#REF!,"AAAAAC+1/sY=")</f>
        <v>#REF!</v>
      </c>
      <c r="GR18" t="e">
        <f>AND(#REF!,"AAAAAC+1/sc=")</f>
        <v>#REF!</v>
      </c>
      <c r="GS18" t="e">
        <f>AND(#REF!,"AAAAAC+1/sg=")</f>
        <v>#REF!</v>
      </c>
      <c r="GT18" t="e">
        <f>AND(#REF!,"AAAAAC+1/sk=")</f>
        <v>#REF!</v>
      </c>
      <c r="GU18" t="e">
        <f>AND(#REF!,"AAAAAC+1/so=")</f>
        <v>#REF!</v>
      </c>
      <c r="GV18" t="e">
        <f>IF(#REF!,"AAAAAC+1/ss=",0)</f>
        <v>#REF!</v>
      </c>
      <c r="GW18" t="e">
        <f>AND(#REF!,"AAAAAC+1/sw=")</f>
        <v>#REF!</v>
      </c>
      <c r="GX18" t="e">
        <f>AND(#REF!,"AAAAAC+1/s0=")</f>
        <v>#REF!</v>
      </c>
      <c r="GY18" t="e">
        <f>AND(#REF!,"AAAAAC+1/s4=")</f>
        <v>#REF!</v>
      </c>
      <c r="GZ18" t="e">
        <f>AND(#REF!,"AAAAAC+1/s8=")</f>
        <v>#REF!</v>
      </c>
      <c r="HA18" t="e">
        <f>AND(#REF!,"AAAAAC+1/tA=")</f>
        <v>#REF!</v>
      </c>
      <c r="HB18" t="e">
        <f>AND(#REF!,"AAAAAC+1/tE=")</f>
        <v>#REF!</v>
      </c>
      <c r="HC18" t="e">
        <f>AND(#REF!,"AAAAAC+1/tI=")</f>
        <v>#REF!</v>
      </c>
      <c r="HD18" t="e">
        <f>AND(#REF!,"AAAAAC+1/tM=")</f>
        <v>#REF!</v>
      </c>
      <c r="HE18" t="e">
        <f>AND(#REF!,"AAAAAC+1/tQ=")</f>
        <v>#REF!</v>
      </c>
      <c r="HF18" t="e">
        <f>AND(#REF!,"AAAAAC+1/tU=")</f>
        <v>#REF!</v>
      </c>
      <c r="HG18" t="e">
        <f>AND(#REF!,"AAAAAC+1/tY=")</f>
        <v>#REF!</v>
      </c>
      <c r="HH18" t="e">
        <f>AND(#REF!,"AAAAAC+1/tc=")</f>
        <v>#REF!</v>
      </c>
      <c r="HI18" t="e">
        <f>AND(#REF!,"AAAAAC+1/tg=")</f>
        <v>#REF!</v>
      </c>
      <c r="HJ18" t="e">
        <f>AND(#REF!,"AAAAAC+1/tk=")</f>
        <v>#REF!</v>
      </c>
      <c r="HK18" t="e">
        <f>AND(#REF!,"AAAAAC+1/to=")</f>
        <v>#REF!</v>
      </c>
      <c r="HL18" t="e">
        <f>AND(#REF!,"AAAAAC+1/ts=")</f>
        <v>#REF!</v>
      </c>
      <c r="HM18" t="e">
        <f>AND(#REF!,"AAAAAC+1/tw=")</f>
        <v>#REF!</v>
      </c>
      <c r="HN18" t="e">
        <f>AND(#REF!,"AAAAAC+1/t0=")</f>
        <v>#REF!</v>
      </c>
      <c r="HO18" t="e">
        <f>AND(#REF!,"AAAAAC+1/t4=")</f>
        <v>#REF!</v>
      </c>
      <c r="HP18" t="e">
        <f>AND(#REF!,"AAAAAC+1/t8=")</f>
        <v>#REF!</v>
      </c>
      <c r="HQ18" t="e">
        <f>AND(#REF!,"AAAAAC+1/uA=")</f>
        <v>#REF!</v>
      </c>
      <c r="HR18" t="e">
        <f>AND(#REF!,"AAAAAC+1/uE=")</f>
        <v>#REF!</v>
      </c>
      <c r="HS18" t="e">
        <f>AND(#REF!,"AAAAAC+1/uI=")</f>
        <v>#REF!</v>
      </c>
      <c r="HT18" t="e">
        <f>AND(#REF!,"AAAAAC+1/uM=")</f>
        <v>#REF!</v>
      </c>
      <c r="HU18" t="e">
        <f>AND(#REF!,"AAAAAC+1/uQ=")</f>
        <v>#REF!</v>
      </c>
      <c r="HV18" t="e">
        <f>AND(#REF!,"AAAAAC+1/uU=")</f>
        <v>#REF!</v>
      </c>
      <c r="HW18" t="e">
        <f>AND(#REF!,"AAAAAC+1/uY=")</f>
        <v>#REF!</v>
      </c>
      <c r="HX18" t="e">
        <f>AND(#REF!,"AAAAAC+1/uc=")</f>
        <v>#REF!</v>
      </c>
      <c r="HY18" t="e">
        <f>AND(#REF!,"AAAAAC+1/ug=")</f>
        <v>#REF!</v>
      </c>
      <c r="HZ18" t="e">
        <f>AND(#REF!,"AAAAAC+1/uk=")</f>
        <v>#REF!</v>
      </c>
      <c r="IA18" t="e">
        <f>AND(#REF!,"AAAAAC+1/uo=")</f>
        <v>#REF!</v>
      </c>
      <c r="IB18" t="e">
        <f>AND(#REF!,"AAAAAC+1/us=")</f>
        <v>#REF!</v>
      </c>
      <c r="IC18" t="e">
        <f>AND(#REF!,"AAAAAC+1/uw=")</f>
        <v>#REF!</v>
      </c>
      <c r="ID18" t="e">
        <f>AND(#REF!,"AAAAAC+1/u0=")</f>
        <v>#REF!</v>
      </c>
      <c r="IE18" t="e">
        <f>AND(#REF!,"AAAAAC+1/u4=")</f>
        <v>#REF!</v>
      </c>
      <c r="IF18" t="e">
        <f>IF(#REF!,"AAAAAC+1/u8=",0)</f>
        <v>#REF!</v>
      </c>
      <c r="IG18" t="e">
        <f>AND(#REF!,"AAAAAC+1/vA=")</f>
        <v>#REF!</v>
      </c>
      <c r="IH18" t="e">
        <f>AND(#REF!,"AAAAAC+1/vE=")</f>
        <v>#REF!</v>
      </c>
      <c r="II18" t="e">
        <f>AND(#REF!,"AAAAAC+1/vI=")</f>
        <v>#REF!</v>
      </c>
      <c r="IJ18" t="e">
        <f>AND(#REF!,"AAAAAC+1/vM=")</f>
        <v>#REF!</v>
      </c>
      <c r="IK18" t="e">
        <f>AND(#REF!,"AAAAAC+1/vQ=")</f>
        <v>#REF!</v>
      </c>
      <c r="IL18" t="e">
        <f>AND(#REF!,"AAAAAC+1/vU=")</f>
        <v>#REF!</v>
      </c>
      <c r="IM18" t="e">
        <f>AND(#REF!,"AAAAAC+1/vY=")</f>
        <v>#REF!</v>
      </c>
      <c r="IN18" t="e">
        <f>AND(#REF!,"AAAAAC+1/vc=")</f>
        <v>#REF!</v>
      </c>
      <c r="IO18" t="e">
        <f>AND(#REF!,"AAAAAC+1/vg=")</f>
        <v>#REF!</v>
      </c>
      <c r="IP18" t="e">
        <f>AND(#REF!,"AAAAAC+1/vk=")</f>
        <v>#REF!</v>
      </c>
      <c r="IQ18" t="e">
        <f>AND(#REF!,"AAAAAC+1/vo=")</f>
        <v>#REF!</v>
      </c>
      <c r="IR18" t="e">
        <f>AND(#REF!,"AAAAAC+1/vs=")</f>
        <v>#REF!</v>
      </c>
      <c r="IS18" t="e">
        <f>AND(#REF!,"AAAAAC+1/vw=")</f>
        <v>#REF!</v>
      </c>
      <c r="IT18" t="e">
        <f>AND(#REF!,"AAAAAC+1/v0=")</f>
        <v>#REF!</v>
      </c>
      <c r="IU18" t="e">
        <f>AND(#REF!,"AAAAAC+1/v4=")</f>
        <v>#REF!</v>
      </c>
      <c r="IV18" t="e">
        <f>AND(#REF!,"AAAAAC+1/v8=")</f>
        <v>#REF!</v>
      </c>
    </row>
    <row r="19" spans="1:256" x14ac:dyDescent="0.25">
      <c r="A19" t="e">
        <f>AND(#REF!,"AAAAADv57wA=")</f>
        <v>#REF!</v>
      </c>
      <c r="B19" t="e">
        <f>AND(#REF!,"AAAAADv57wE=")</f>
        <v>#REF!</v>
      </c>
      <c r="C19" t="e">
        <f>AND(#REF!,"AAAAADv57wI=")</f>
        <v>#REF!</v>
      </c>
      <c r="D19" t="e">
        <f>AND(#REF!,"AAAAADv57wM=")</f>
        <v>#REF!</v>
      </c>
      <c r="E19" t="e">
        <f>AND(#REF!,"AAAAADv57wQ=")</f>
        <v>#REF!</v>
      </c>
      <c r="F19" t="e">
        <f>AND(#REF!,"AAAAADv57wU=")</f>
        <v>#REF!</v>
      </c>
      <c r="G19" t="e">
        <f>AND(#REF!,"AAAAADv57wY=")</f>
        <v>#REF!</v>
      </c>
      <c r="H19" t="e">
        <f>AND(#REF!,"AAAAADv57wc=")</f>
        <v>#REF!</v>
      </c>
      <c r="I19" t="e">
        <f>AND(#REF!,"AAAAADv57wg=")</f>
        <v>#REF!</v>
      </c>
      <c r="J19" t="e">
        <f>AND(#REF!,"AAAAADv57wk=")</f>
        <v>#REF!</v>
      </c>
      <c r="K19" t="e">
        <f>AND(#REF!,"AAAAADv57wo=")</f>
        <v>#REF!</v>
      </c>
      <c r="L19" t="e">
        <f>AND(#REF!,"AAAAADv57ws=")</f>
        <v>#REF!</v>
      </c>
      <c r="M19" t="e">
        <f>AND(#REF!,"AAAAADv57ww=")</f>
        <v>#REF!</v>
      </c>
      <c r="N19" t="e">
        <f>AND(#REF!,"AAAAADv57w0=")</f>
        <v>#REF!</v>
      </c>
      <c r="O19" t="e">
        <f>AND(#REF!,"AAAAADv57w4=")</f>
        <v>#REF!</v>
      </c>
      <c r="P19" t="e">
        <f>AND(#REF!,"AAAAADv57w8=")</f>
        <v>#REF!</v>
      </c>
      <c r="Q19" t="e">
        <f>AND(#REF!,"AAAAADv57xA=")</f>
        <v>#REF!</v>
      </c>
      <c r="R19" t="e">
        <f>AND(#REF!,"AAAAADv57xE=")</f>
        <v>#REF!</v>
      </c>
      <c r="S19" t="e">
        <f>AND(#REF!,"AAAAADv57xI=")</f>
        <v>#REF!</v>
      </c>
      <c r="T19" t="e">
        <f>IF(#REF!,"AAAAADv57xM=",0)</f>
        <v>#REF!</v>
      </c>
      <c r="U19" t="e">
        <f>AND(#REF!,"AAAAADv57xQ=")</f>
        <v>#REF!</v>
      </c>
      <c r="V19" t="e">
        <f>AND(#REF!,"AAAAADv57xU=")</f>
        <v>#REF!</v>
      </c>
      <c r="W19" t="e">
        <f>AND(#REF!,"AAAAADv57xY=")</f>
        <v>#REF!</v>
      </c>
      <c r="X19" t="e">
        <f>AND(#REF!,"AAAAADv57xc=")</f>
        <v>#REF!</v>
      </c>
      <c r="Y19" t="e">
        <f>AND(#REF!,"AAAAADv57xg=")</f>
        <v>#REF!</v>
      </c>
      <c r="Z19" t="e">
        <f>AND(#REF!,"AAAAADv57xk=")</f>
        <v>#REF!</v>
      </c>
      <c r="AA19" t="e">
        <f>AND(#REF!,"AAAAADv57xo=")</f>
        <v>#REF!</v>
      </c>
      <c r="AB19" t="e">
        <f>AND(#REF!,"AAAAADv57xs=")</f>
        <v>#REF!</v>
      </c>
      <c r="AC19" t="e">
        <f>AND(#REF!,"AAAAADv57xw=")</f>
        <v>#REF!</v>
      </c>
      <c r="AD19" t="e">
        <f>AND(#REF!,"AAAAADv57x0=")</f>
        <v>#REF!</v>
      </c>
      <c r="AE19" t="e">
        <f>AND(#REF!,"AAAAADv57x4=")</f>
        <v>#REF!</v>
      </c>
      <c r="AF19" t="e">
        <f>AND(#REF!,"AAAAADv57x8=")</f>
        <v>#REF!</v>
      </c>
      <c r="AG19" t="e">
        <f>AND(#REF!,"AAAAADv57yA=")</f>
        <v>#REF!</v>
      </c>
      <c r="AH19" t="e">
        <f>AND(#REF!,"AAAAADv57yE=")</f>
        <v>#REF!</v>
      </c>
      <c r="AI19" t="e">
        <f>AND(#REF!,"AAAAADv57yI=")</f>
        <v>#REF!</v>
      </c>
      <c r="AJ19" t="e">
        <f>AND(#REF!,"AAAAADv57yM=")</f>
        <v>#REF!</v>
      </c>
      <c r="AK19" t="e">
        <f>AND(#REF!,"AAAAADv57yQ=")</f>
        <v>#REF!</v>
      </c>
      <c r="AL19" t="e">
        <f>AND(#REF!,"AAAAADv57yU=")</f>
        <v>#REF!</v>
      </c>
      <c r="AM19" t="e">
        <f>AND(#REF!,"AAAAADv57yY=")</f>
        <v>#REF!</v>
      </c>
      <c r="AN19" t="e">
        <f>AND(#REF!,"AAAAADv57yc=")</f>
        <v>#REF!</v>
      </c>
      <c r="AO19" t="e">
        <f>AND(#REF!,"AAAAADv57yg=")</f>
        <v>#REF!</v>
      </c>
      <c r="AP19" t="e">
        <f>AND(#REF!,"AAAAADv57yk=")</f>
        <v>#REF!</v>
      </c>
      <c r="AQ19" t="e">
        <f>AND(#REF!,"AAAAADv57yo=")</f>
        <v>#REF!</v>
      </c>
      <c r="AR19" t="e">
        <f>AND(#REF!,"AAAAADv57ys=")</f>
        <v>#REF!</v>
      </c>
      <c r="AS19" t="e">
        <f>AND(#REF!,"AAAAADv57yw=")</f>
        <v>#REF!</v>
      </c>
      <c r="AT19" t="e">
        <f>AND(#REF!,"AAAAADv57y0=")</f>
        <v>#REF!</v>
      </c>
      <c r="AU19" t="e">
        <f>AND(#REF!,"AAAAADv57y4=")</f>
        <v>#REF!</v>
      </c>
      <c r="AV19" t="e">
        <f>AND(#REF!,"AAAAADv57y8=")</f>
        <v>#REF!</v>
      </c>
      <c r="AW19" t="e">
        <f>AND(#REF!,"AAAAADv57zA=")</f>
        <v>#REF!</v>
      </c>
      <c r="AX19" t="e">
        <f>AND(#REF!,"AAAAADv57zE=")</f>
        <v>#REF!</v>
      </c>
      <c r="AY19" t="e">
        <f>AND(#REF!,"AAAAADv57zI=")</f>
        <v>#REF!</v>
      </c>
      <c r="AZ19" t="e">
        <f>AND(#REF!,"AAAAADv57zM=")</f>
        <v>#REF!</v>
      </c>
      <c r="BA19" t="e">
        <f>AND(#REF!,"AAAAADv57zQ=")</f>
        <v>#REF!</v>
      </c>
      <c r="BB19" t="e">
        <f>AND(#REF!,"AAAAADv57zU=")</f>
        <v>#REF!</v>
      </c>
      <c r="BC19" t="e">
        <f>AND(#REF!,"AAAAADv57zY=")</f>
        <v>#REF!</v>
      </c>
      <c r="BD19" t="e">
        <f>IF(#REF!,"AAAAADv57zc=",0)</f>
        <v>#REF!</v>
      </c>
      <c r="BE19" t="e">
        <f>AND(#REF!,"AAAAADv57zg=")</f>
        <v>#REF!</v>
      </c>
      <c r="BF19" t="e">
        <f>AND(#REF!,"AAAAADv57zk=")</f>
        <v>#REF!</v>
      </c>
      <c r="BG19" t="e">
        <f>AND(#REF!,"AAAAADv57zo=")</f>
        <v>#REF!</v>
      </c>
      <c r="BH19" t="e">
        <f>AND(#REF!,"AAAAADv57zs=")</f>
        <v>#REF!</v>
      </c>
      <c r="BI19" t="e">
        <f>AND(#REF!,"AAAAADv57zw=")</f>
        <v>#REF!</v>
      </c>
      <c r="BJ19" t="e">
        <f>AND(#REF!,"AAAAADv57z0=")</f>
        <v>#REF!</v>
      </c>
      <c r="BK19" t="e">
        <f>AND(#REF!,"AAAAADv57z4=")</f>
        <v>#REF!</v>
      </c>
      <c r="BL19" t="e">
        <f>AND(#REF!,"AAAAADv57z8=")</f>
        <v>#REF!</v>
      </c>
      <c r="BM19" t="e">
        <f>AND(#REF!,"AAAAADv570A=")</f>
        <v>#REF!</v>
      </c>
      <c r="BN19" t="e">
        <f>AND(#REF!,"AAAAADv570E=")</f>
        <v>#REF!</v>
      </c>
      <c r="BO19" t="e">
        <f>AND(#REF!,"AAAAADv570I=")</f>
        <v>#REF!</v>
      </c>
      <c r="BP19" t="e">
        <f>AND(#REF!,"AAAAADv570M=")</f>
        <v>#REF!</v>
      </c>
      <c r="BQ19" t="e">
        <f>AND(#REF!,"AAAAADv570Q=")</f>
        <v>#REF!</v>
      </c>
      <c r="BR19" t="e">
        <f>AND(#REF!,"AAAAADv570U=")</f>
        <v>#REF!</v>
      </c>
      <c r="BS19" t="e">
        <f>AND(#REF!,"AAAAADv570Y=")</f>
        <v>#REF!</v>
      </c>
      <c r="BT19" t="e">
        <f>AND(#REF!,"AAAAADv570c=")</f>
        <v>#REF!</v>
      </c>
      <c r="BU19" t="e">
        <f>AND(#REF!,"AAAAADv570g=")</f>
        <v>#REF!</v>
      </c>
      <c r="BV19" t="e">
        <f>AND(#REF!,"AAAAADv570k=")</f>
        <v>#REF!</v>
      </c>
      <c r="BW19" t="e">
        <f>AND(#REF!,"AAAAADv570o=")</f>
        <v>#REF!</v>
      </c>
      <c r="BX19" t="e">
        <f>AND(#REF!,"AAAAADv570s=")</f>
        <v>#REF!</v>
      </c>
      <c r="BY19" t="e">
        <f>AND(#REF!,"AAAAADv570w=")</f>
        <v>#REF!</v>
      </c>
      <c r="BZ19" t="e">
        <f>AND(#REF!,"AAAAADv5700=")</f>
        <v>#REF!</v>
      </c>
      <c r="CA19" t="e">
        <f>AND(#REF!,"AAAAADv5704=")</f>
        <v>#REF!</v>
      </c>
      <c r="CB19" t="e">
        <f>AND(#REF!,"AAAAADv5708=")</f>
        <v>#REF!</v>
      </c>
      <c r="CC19" t="e">
        <f>AND(#REF!,"AAAAADv571A=")</f>
        <v>#REF!</v>
      </c>
      <c r="CD19" t="e">
        <f>AND(#REF!,"AAAAADv571E=")</f>
        <v>#REF!</v>
      </c>
      <c r="CE19" t="e">
        <f>AND(#REF!,"AAAAADv571I=")</f>
        <v>#REF!</v>
      </c>
      <c r="CF19" t="e">
        <f>AND(#REF!,"AAAAADv571M=")</f>
        <v>#REF!</v>
      </c>
      <c r="CG19" t="e">
        <f>AND(#REF!,"AAAAADv571Q=")</f>
        <v>#REF!</v>
      </c>
      <c r="CH19" t="e">
        <f>AND(#REF!,"AAAAADv571U=")</f>
        <v>#REF!</v>
      </c>
      <c r="CI19" t="e">
        <f>AND(#REF!,"AAAAADv571Y=")</f>
        <v>#REF!</v>
      </c>
      <c r="CJ19" t="e">
        <f>AND(#REF!,"AAAAADv571c=")</f>
        <v>#REF!</v>
      </c>
      <c r="CK19" t="e">
        <f>AND(#REF!,"AAAAADv571g=")</f>
        <v>#REF!</v>
      </c>
      <c r="CL19" t="e">
        <f>AND(#REF!,"AAAAADv571k=")</f>
        <v>#REF!</v>
      </c>
      <c r="CM19" t="e">
        <f>AND(#REF!,"AAAAADv571o=")</f>
        <v>#REF!</v>
      </c>
      <c r="CN19" t="e">
        <f>IF(#REF!,"AAAAADv571s=",0)</f>
        <v>#REF!</v>
      </c>
      <c r="CO19" t="e">
        <f>AND(#REF!,"AAAAADv571w=")</f>
        <v>#REF!</v>
      </c>
      <c r="CP19" t="e">
        <f>AND(#REF!,"AAAAADv5710=")</f>
        <v>#REF!</v>
      </c>
      <c r="CQ19" t="e">
        <f>AND(#REF!,"AAAAADv5714=")</f>
        <v>#REF!</v>
      </c>
      <c r="CR19" t="e">
        <f>AND(#REF!,"AAAAADv5718=")</f>
        <v>#REF!</v>
      </c>
      <c r="CS19" t="e">
        <f>AND(#REF!,"AAAAADv572A=")</f>
        <v>#REF!</v>
      </c>
      <c r="CT19" t="e">
        <f>AND(#REF!,"AAAAADv572E=")</f>
        <v>#REF!</v>
      </c>
      <c r="CU19" t="e">
        <f>AND(#REF!,"AAAAADv572I=")</f>
        <v>#REF!</v>
      </c>
      <c r="CV19" t="e">
        <f>AND(#REF!,"AAAAADv572M=")</f>
        <v>#REF!</v>
      </c>
      <c r="CW19" t="e">
        <f>AND(#REF!,"AAAAADv572Q=")</f>
        <v>#REF!</v>
      </c>
      <c r="CX19" t="e">
        <f>AND(#REF!,"AAAAADv572U=")</f>
        <v>#REF!</v>
      </c>
      <c r="CY19" t="e">
        <f>AND(#REF!,"AAAAADv572Y=")</f>
        <v>#REF!</v>
      </c>
      <c r="CZ19" t="e">
        <f>AND(#REF!,"AAAAADv572c=")</f>
        <v>#REF!</v>
      </c>
      <c r="DA19" t="e">
        <f>AND(#REF!,"AAAAADv572g=")</f>
        <v>#REF!</v>
      </c>
      <c r="DB19" t="e">
        <f>AND(#REF!,"AAAAADv572k=")</f>
        <v>#REF!</v>
      </c>
      <c r="DC19" t="e">
        <f>AND(#REF!,"AAAAADv572o=")</f>
        <v>#REF!</v>
      </c>
      <c r="DD19" t="e">
        <f>AND(#REF!,"AAAAADv572s=")</f>
        <v>#REF!</v>
      </c>
      <c r="DE19" t="e">
        <f>AND(#REF!,"AAAAADv572w=")</f>
        <v>#REF!</v>
      </c>
      <c r="DF19" t="e">
        <f>AND(#REF!,"AAAAADv5720=")</f>
        <v>#REF!</v>
      </c>
      <c r="DG19" t="e">
        <f>AND(#REF!,"AAAAADv5724=")</f>
        <v>#REF!</v>
      </c>
      <c r="DH19" t="e">
        <f>AND(#REF!,"AAAAADv5728=")</f>
        <v>#REF!</v>
      </c>
      <c r="DI19" t="e">
        <f>AND(#REF!,"AAAAADv573A=")</f>
        <v>#REF!</v>
      </c>
      <c r="DJ19" t="e">
        <f>AND(#REF!,"AAAAADv573E=")</f>
        <v>#REF!</v>
      </c>
      <c r="DK19" t="e">
        <f>AND(#REF!,"AAAAADv573I=")</f>
        <v>#REF!</v>
      </c>
      <c r="DL19" t="e">
        <f>AND(#REF!,"AAAAADv573M=")</f>
        <v>#REF!</v>
      </c>
      <c r="DM19" t="e">
        <f>AND(#REF!,"AAAAADv573Q=")</f>
        <v>#REF!</v>
      </c>
      <c r="DN19" t="e">
        <f>AND(#REF!,"AAAAADv573U=")</f>
        <v>#REF!</v>
      </c>
      <c r="DO19" t="e">
        <f>AND(#REF!,"AAAAADv573Y=")</f>
        <v>#REF!</v>
      </c>
      <c r="DP19" t="e">
        <f>AND(#REF!,"AAAAADv573c=")</f>
        <v>#REF!</v>
      </c>
      <c r="DQ19" t="e">
        <f>AND(#REF!,"AAAAADv573g=")</f>
        <v>#REF!</v>
      </c>
      <c r="DR19" t="e">
        <f>AND(#REF!,"AAAAADv573k=")</f>
        <v>#REF!</v>
      </c>
      <c r="DS19" t="e">
        <f>AND(#REF!,"AAAAADv573o=")</f>
        <v>#REF!</v>
      </c>
      <c r="DT19" t="e">
        <f>AND(#REF!,"AAAAADv573s=")</f>
        <v>#REF!</v>
      </c>
      <c r="DU19" t="e">
        <f>AND(#REF!,"AAAAADv573w=")</f>
        <v>#REF!</v>
      </c>
      <c r="DV19" t="e">
        <f>AND(#REF!,"AAAAADv5730=")</f>
        <v>#REF!</v>
      </c>
      <c r="DW19" t="e">
        <f>AND(#REF!,"AAAAADv5734=")</f>
        <v>#REF!</v>
      </c>
      <c r="DX19" t="e">
        <f>IF(#REF!,"AAAAADv5738=",0)</f>
        <v>#REF!</v>
      </c>
      <c r="DY19" t="e">
        <f>AND(#REF!,"AAAAADv574A=")</f>
        <v>#REF!</v>
      </c>
      <c r="DZ19" t="e">
        <f>AND(#REF!,"AAAAADv574E=")</f>
        <v>#REF!</v>
      </c>
      <c r="EA19" t="e">
        <f>AND(#REF!,"AAAAADv574I=")</f>
        <v>#REF!</v>
      </c>
      <c r="EB19" t="e">
        <f>AND(#REF!,"AAAAADv574M=")</f>
        <v>#REF!</v>
      </c>
      <c r="EC19" t="e">
        <f>AND(#REF!,"AAAAADv574Q=")</f>
        <v>#REF!</v>
      </c>
      <c r="ED19" t="e">
        <f>AND(#REF!,"AAAAADv574U=")</f>
        <v>#REF!</v>
      </c>
      <c r="EE19" t="e">
        <f>AND(#REF!,"AAAAADv574Y=")</f>
        <v>#REF!</v>
      </c>
      <c r="EF19" t="e">
        <f>AND(#REF!,"AAAAADv574c=")</f>
        <v>#REF!</v>
      </c>
      <c r="EG19" t="e">
        <f>AND(#REF!,"AAAAADv574g=")</f>
        <v>#REF!</v>
      </c>
      <c r="EH19" t="e">
        <f>AND(#REF!,"AAAAADv574k=")</f>
        <v>#REF!</v>
      </c>
      <c r="EI19" t="e">
        <f>AND(#REF!,"AAAAADv574o=")</f>
        <v>#REF!</v>
      </c>
      <c r="EJ19" t="e">
        <f>AND(#REF!,"AAAAADv574s=")</f>
        <v>#REF!</v>
      </c>
      <c r="EK19" t="e">
        <f>AND(#REF!,"AAAAADv574w=")</f>
        <v>#REF!</v>
      </c>
      <c r="EL19" t="e">
        <f>AND(#REF!,"AAAAADv5740=")</f>
        <v>#REF!</v>
      </c>
      <c r="EM19" t="e">
        <f>AND(#REF!,"AAAAADv5744=")</f>
        <v>#REF!</v>
      </c>
      <c r="EN19" t="e">
        <f>AND(#REF!,"AAAAADv5748=")</f>
        <v>#REF!</v>
      </c>
      <c r="EO19" t="e">
        <f>AND(#REF!,"AAAAADv575A=")</f>
        <v>#REF!</v>
      </c>
      <c r="EP19" t="e">
        <f>AND(#REF!,"AAAAADv575E=")</f>
        <v>#REF!</v>
      </c>
      <c r="EQ19" t="e">
        <f>AND(#REF!,"AAAAADv575I=")</f>
        <v>#REF!</v>
      </c>
      <c r="ER19" t="e">
        <f>AND(#REF!,"AAAAADv575M=")</f>
        <v>#REF!</v>
      </c>
      <c r="ES19" t="e">
        <f>AND(#REF!,"AAAAADv575Q=")</f>
        <v>#REF!</v>
      </c>
      <c r="ET19" t="e">
        <f>AND(#REF!,"AAAAADv575U=")</f>
        <v>#REF!</v>
      </c>
      <c r="EU19" t="e">
        <f>AND(#REF!,"AAAAADv575Y=")</f>
        <v>#REF!</v>
      </c>
      <c r="EV19" t="e">
        <f>AND(#REF!,"AAAAADv575c=")</f>
        <v>#REF!</v>
      </c>
      <c r="EW19" t="e">
        <f>AND(#REF!,"AAAAADv575g=")</f>
        <v>#REF!</v>
      </c>
      <c r="EX19" t="e">
        <f>AND(#REF!,"AAAAADv575k=")</f>
        <v>#REF!</v>
      </c>
      <c r="EY19" t="e">
        <f>AND(#REF!,"AAAAADv575o=")</f>
        <v>#REF!</v>
      </c>
      <c r="EZ19" t="e">
        <f>AND(#REF!,"AAAAADv575s=")</f>
        <v>#REF!</v>
      </c>
      <c r="FA19" t="e">
        <f>AND(#REF!,"AAAAADv575w=")</f>
        <v>#REF!</v>
      </c>
      <c r="FB19" t="e">
        <f>AND(#REF!,"AAAAADv5750=")</f>
        <v>#REF!</v>
      </c>
      <c r="FC19" t="e">
        <f>AND(#REF!,"AAAAADv5754=")</f>
        <v>#REF!</v>
      </c>
      <c r="FD19" t="e">
        <f>AND(#REF!,"AAAAADv5758=")</f>
        <v>#REF!</v>
      </c>
      <c r="FE19" t="e">
        <f>AND(#REF!,"AAAAADv576A=")</f>
        <v>#REF!</v>
      </c>
      <c r="FF19" t="e">
        <f>AND(#REF!,"AAAAADv576E=")</f>
        <v>#REF!</v>
      </c>
      <c r="FG19" t="e">
        <f>AND(#REF!,"AAAAADv576I=")</f>
        <v>#REF!</v>
      </c>
      <c r="FH19" t="e">
        <f>IF(#REF!,"AAAAADv576M=",0)</f>
        <v>#REF!</v>
      </c>
      <c r="FI19" t="e">
        <f>AND(#REF!,"AAAAADv576Q=")</f>
        <v>#REF!</v>
      </c>
      <c r="FJ19" t="e">
        <f>AND(#REF!,"AAAAADv576U=")</f>
        <v>#REF!</v>
      </c>
      <c r="FK19" t="e">
        <f>AND(#REF!,"AAAAADv576Y=")</f>
        <v>#REF!</v>
      </c>
      <c r="FL19" t="e">
        <f>AND(#REF!,"AAAAADv576c=")</f>
        <v>#REF!</v>
      </c>
      <c r="FM19" t="e">
        <f>AND(#REF!,"AAAAADv576g=")</f>
        <v>#REF!</v>
      </c>
      <c r="FN19" t="e">
        <f>AND(#REF!,"AAAAADv576k=")</f>
        <v>#REF!</v>
      </c>
      <c r="FO19" t="e">
        <f>AND(#REF!,"AAAAADv576o=")</f>
        <v>#REF!</v>
      </c>
      <c r="FP19" t="e">
        <f>AND(#REF!,"AAAAADv576s=")</f>
        <v>#REF!</v>
      </c>
      <c r="FQ19" t="e">
        <f>AND(#REF!,"AAAAADv576w=")</f>
        <v>#REF!</v>
      </c>
      <c r="FR19" t="e">
        <f>AND(#REF!,"AAAAADv5760=")</f>
        <v>#REF!</v>
      </c>
      <c r="FS19" t="e">
        <f>AND(#REF!,"AAAAADv5764=")</f>
        <v>#REF!</v>
      </c>
      <c r="FT19" t="e">
        <f>AND(#REF!,"AAAAADv5768=")</f>
        <v>#REF!</v>
      </c>
      <c r="FU19" t="e">
        <f>AND(#REF!,"AAAAADv577A=")</f>
        <v>#REF!</v>
      </c>
      <c r="FV19" t="e">
        <f>AND(#REF!,"AAAAADv577E=")</f>
        <v>#REF!</v>
      </c>
      <c r="FW19" t="e">
        <f>AND(#REF!,"AAAAADv577I=")</f>
        <v>#REF!</v>
      </c>
      <c r="FX19" t="e">
        <f>AND(#REF!,"AAAAADv577M=")</f>
        <v>#REF!</v>
      </c>
      <c r="FY19" t="e">
        <f>AND(#REF!,"AAAAADv577Q=")</f>
        <v>#REF!</v>
      </c>
      <c r="FZ19" t="e">
        <f>AND(#REF!,"AAAAADv577U=")</f>
        <v>#REF!</v>
      </c>
      <c r="GA19" t="e">
        <f>AND(#REF!,"AAAAADv577Y=")</f>
        <v>#REF!</v>
      </c>
      <c r="GB19" t="e">
        <f>AND(#REF!,"AAAAADv577c=")</f>
        <v>#REF!</v>
      </c>
      <c r="GC19" t="e">
        <f>AND(#REF!,"AAAAADv577g=")</f>
        <v>#REF!</v>
      </c>
      <c r="GD19" t="e">
        <f>AND(#REF!,"AAAAADv577k=")</f>
        <v>#REF!</v>
      </c>
      <c r="GE19" t="e">
        <f>AND(#REF!,"AAAAADv577o=")</f>
        <v>#REF!</v>
      </c>
      <c r="GF19" t="e">
        <f>AND(#REF!,"AAAAADv577s=")</f>
        <v>#REF!</v>
      </c>
      <c r="GG19" t="e">
        <f>AND(#REF!,"AAAAADv577w=")</f>
        <v>#REF!</v>
      </c>
      <c r="GH19" t="e">
        <f>AND(#REF!,"AAAAADv5770=")</f>
        <v>#REF!</v>
      </c>
      <c r="GI19" t="e">
        <f>AND(#REF!,"AAAAADv5774=")</f>
        <v>#REF!</v>
      </c>
      <c r="GJ19" t="e">
        <f>AND(#REF!,"AAAAADv5778=")</f>
        <v>#REF!</v>
      </c>
      <c r="GK19" t="e">
        <f>AND(#REF!,"AAAAADv578A=")</f>
        <v>#REF!</v>
      </c>
      <c r="GL19" t="e">
        <f>AND(#REF!,"AAAAADv578E=")</f>
        <v>#REF!</v>
      </c>
      <c r="GM19" t="e">
        <f>AND(#REF!,"AAAAADv578I=")</f>
        <v>#REF!</v>
      </c>
      <c r="GN19" t="e">
        <f>AND(#REF!,"AAAAADv578M=")</f>
        <v>#REF!</v>
      </c>
      <c r="GO19" t="e">
        <f>AND(#REF!,"AAAAADv578Q=")</f>
        <v>#REF!</v>
      </c>
      <c r="GP19" t="e">
        <f>AND(#REF!,"AAAAADv578U=")</f>
        <v>#REF!</v>
      </c>
      <c r="GQ19" t="e">
        <f>AND(#REF!,"AAAAADv578Y=")</f>
        <v>#REF!</v>
      </c>
      <c r="GR19" t="e">
        <f>IF(#REF!,"AAAAADv578c=",0)</f>
        <v>#REF!</v>
      </c>
      <c r="GS19" t="e">
        <f>AND(#REF!,"AAAAADv578g=")</f>
        <v>#REF!</v>
      </c>
      <c r="GT19" t="e">
        <f>AND(#REF!,"AAAAADv578k=")</f>
        <v>#REF!</v>
      </c>
      <c r="GU19" t="e">
        <f>AND(#REF!,"AAAAADv578o=")</f>
        <v>#REF!</v>
      </c>
      <c r="GV19" t="e">
        <f>AND(#REF!,"AAAAADv578s=")</f>
        <v>#REF!</v>
      </c>
      <c r="GW19" t="e">
        <f>AND(#REF!,"AAAAADv578w=")</f>
        <v>#REF!</v>
      </c>
      <c r="GX19" t="e">
        <f>AND(#REF!,"AAAAADv5780=")</f>
        <v>#REF!</v>
      </c>
      <c r="GY19" t="e">
        <f>AND(#REF!,"AAAAADv5784=")</f>
        <v>#REF!</v>
      </c>
      <c r="GZ19" t="e">
        <f>AND(#REF!,"AAAAADv5788=")</f>
        <v>#REF!</v>
      </c>
      <c r="HA19" t="e">
        <f>AND(#REF!,"AAAAADv579A=")</f>
        <v>#REF!</v>
      </c>
      <c r="HB19" t="e">
        <f>AND(#REF!,"AAAAADv579E=")</f>
        <v>#REF!</v>
      </c>
      <c r="HC19" t="e">
        <f>AND(#REF!,"AAAAADv579I=")</f>
        <v>#REF!</v>
      </c>
      <c r="HD19" t="e">
        <f>AND(#REF!,"AAAAADv579M=")</f>
        <v>#REF!</v>
      </c>
      <c r="HE19" t="e">
        <f>AND(#REF!,"AAAAADv579Q=")</f>
        <v>#REF!</v>
      </c>
      <c r="HF19" t="e">
        <f>AND(#REF!,"AAAAADv579U=")</f>
        <v>#REF!</v>
      </c>
      <c r="HG19" t="e">
        <f>AND(#REF!,"AAAAADv579Y=")</f>
        <v>#REF!</v>
      </c>
      <c r="HH19" t="e">
        <f>AND(#REF!,"AAAAADv579c=")</f>
        <v>#REF!</v>
      </c>
      <c r="HI19" t="e">
        <f>AND(#REF!,"AAAAADv579g=")</f>
        <v>#REF!</v>
      </c>
      <c r="HJ19" t="e">
        <f>AND(#REF!,"AAAAADv579k=")</f>
        <v>#REF!</v>
      </c>
      <c r="HK19" t="e">
        <f>AND(#REF!,"AAAAADv579o=")</f>
        <v>#REF!</v>
      </c>
      <c r="HL19" t="e">
        <f>AND(#REF!,"AAAAADv579s=")</f>
        <v>#REF!</v>
      </c>
      <c r="HM19" t="e">
        <f>AND(#REF!,"AAAAADv579w=")</f>
        <v>#REF!</v>
      </c>
      <c r="HN19" t="e">
        <f>AND(#REF!,"AAAAADv5790=")</f>
        <v>#REF!</v>
      </c>
      <c r="HO19" t="e">
        <f>AND(#REF!,"AAAAADv5794=")</f>
        <v>#REF!</v>
      </c>
      <c r="HP19" t="e">
        <f>AND(#REF!,"AAAAADv5798=")</f>
        <v>#REF!</v>
      </c>
      <c r="HQ19" t="e">
        <f>AND(#REF!,"AAAAADv57+A=")</f>
        <v>#REF!</v>
      </c>
      <c r="HR19" t="e">
        <f>AND(#REF!,"AAAAADv57+E=")</f>
        <v>#REF!</v>
      </c>
      <c r="HS19" t="e">
        <f>AND(#REF!,"AAAAADv57+I=")</f>
        <v>#REF!</v>
      </c>
      <c r="HT19" t="e">
        <f>AND(#REF!,"AAAAADv57+M=")</f>
        <v>#REF!</v>
      </c>
      <c r="HU19" t="e">
        <f>AND(#REF!,"AAAAADv57+Q=")</f>
        <v>#REF!</v>
      </c>
      <c r="HV19" t="e">
        <f>AND(#REF!,"AAAAADv57+U=")</f>
        <v>#REF!</v>
      </c>
      <c r="HW19" t="e">
        <f>AND(#REF!,"AAAAADv57+Y=")</f>
        <v>#REF!</v>
      </c>
      <c r="HX19" t="e">
        <f>AND(#REF!,"AAAAADv57+c=")</f>
        <v>#REF!</v>
      </c>
      <c r="HY19" t="e">
        <f>AND(#REF!,"AAAAADv57+g=")</f>
        <v>#REF!</v>
      </c>
      <c r="HZ19" t="e">
        <f>AND(#REF!,"AAAAADv57+k=")</f>
        <v>#REF!</v>
      </c>
      <c r="IA19" t="e">
        <f>AND(#REF!,"AAAAADv57+o=")</f>
        <v>#REF!</v>
      </c>
      <c r="IB19" t="e">
        <f>IF(#REF!,"AAAAADv57+s=",0)</f>
        <v>#REF!</v>
      </c>
      <c r="IC19" t="e">
        <f>AND(#REF!,"AAAAADv57+w=")</f>
        <v>#REF!</v>
      </c>
      <c r="ID19" t="e">
        <f>AND(#REF!,"AAAAADv57+0=")</f>
        <v>#REF!</v>
      </c>
      <c r="IE19" t="e">
        <f>AND(#REF!,"AAAAADv57+4=")</f>
        <v>#REF!</v>
      </c>
      <c r="IF19" t="e">
        <f>AND(#REF!,"AAAAADv57+8=")</f>
        <v>#REF!</v>
      </c>
      <c r="IG19" t="e">
        <f>AND(#REF!,"AAAAADv57/A=")</f>
        <v>#REF!</v>
      </c>
      <c r="IH19" t="e">
        <f>AND(#REF!,"AAAAADv57/E=")</f>
        <v>#REF!</v>
      </c>
      <c r="II19" t="e">
        <f>AND(#REF!,"AAAAADv57/I=")</f>
        <v>#REF!</v>
      </c>
      <c r="IJ19" t="e">
        <f>AND(#REF!,"AAAAADv57/M=")</f>
        <v>#REF!</v>
      </c>
      <c r="IK19" t="e">
        <f>AND(#REF!,"AAAAADv57/Q=")</f>
        <v>#REF!</v>
      </c>
      <c r="IL19" t="e">
        <f>AND(#REF!,"AAAAADv57/U=")</f>
        <v>#REF!</v>
      </c>
      <c r="IM19" t="e">
        <f>AND(#REF!,"AAAAADv57/Y=")</f>
        <v>#REF!</v>
      </c>
      <c r="IN19" t="e">
        <f>AND(#REF!,"AAAAADv57/c=")</f>
        <v>#REF!</v>
      </c>
      <c r="IO19" t="e">
        <f>AND(#REF!,"AAAAADv57/g=")</f>
        <v>#REF!</v>
      </c>
      <c r="IP19" t="e">
        <f>AND(#REF!,"AAAAADv57/k=")</f>
        <v>#REF!</v>
      </c>
      <c r="IQ19" t="e">
        <f>AND(#REF!,"AAAAADv57/o=")</f>
        <v>#REF!</v>
      </c>
      <c r="IR19" t="e">
        <f>AND(#REF!,"AAAAADv57/s=")</f>
        <v>#REF!</v>
      </c>
      <c r="IS19" t="e">
        <f>AND(#REF!,"AAAAADv57/w=")</f>
        <v>#REF!</v>
      </c>
      <c r="IT19" t="e">
        <f>AND(#REF!,"AAAAADv57/0=")</f>
        <v>#REF!</v>
      </c>
      <c r="IU19" t="e">
        <f>AND(#REF!,"AAAAADv57/4=")</f>
        <v>#REF!</v>
      </c>
      <c r="IV19" t="e">
        <f>AND(#REF!,"AAAAADv57/8=")</f>
        <v>#REF!</v>
      </c>
    </row>
    <row r="20" spans="1:256" x14ac:dyDescent="0.25">
      <c r="A20" t="e">
        <f>AND(#REF!,"AAAAAEP19wA=")</f>
        <v>#REF!</v>
      </c>
      <c r="B20" t="e">
        <f>AND(#REF!,"AAAAAEP19wE=")</f>
        <v>#REF!</v>
      </c>
      <c r="C20" t="e">
        <f>AND(#REF!,"AAAAAEP19wI=")</f>
        <v>#REF!</v>
      </c>
      <c r="D20" t="e">
        <f>AND(#REF!,"AAAAAEP19wM=")</f>
        <v>#REF!</v>
      </c>
      <c r="E20" t="e">
        <f>AND(#REF!,"AAAAAEP19wQ=")</f>
        <v>#REF!</v>
      </c>
      <c r="F20" t="e">
        <f>AND(#REF!,"AAAAAEP19wU=")</f>
        <v>#REF!</v>
      </c>
      <c r="G20" t="e">
        <f>AND(#REF!,"AAAAAEP19wY=")</f>
        <v>#REF!</v>
      </c>
      <c r="H20" t="e">
        <f>AND(#REF!,"AAAAAEP19wc=")</f>
        <v>#REF!</v>
      </c>
      <c r="I20" t="e">
        <f>AND(#REF!,"AAAAAEP19wg=")</f>
        <v>#REF!</v>
      </c>
      <c r="J20" t="e">
        <f>AND(#REF!,"AAAAAEP19wk=")</f>
        <v>#REF!</v>
      </c>
      <c r="K20" t="e">
        <f>AND(#REF!,"AAAAAEP19wo=")</f>
        <v>#REF!</v>
      </c>
      <c r="L20" t="e">
        <f>AND(#REF!,"AAAAAEP19ws=")</f>
        <v>#REF!</v>
      </c>
      <c r="M20" t="e">
        <f>AND(#REF!,"AAAAAEP19ww=")</f>
        <v>#REF!</v>
      </c>
      <c r="N20" t="e">
        <f>AND(#REF!,"AAAAAEP19w0=")</f>
        <v>#REF!</v>
      </c>
      <c r="O20" t="e">
        <f>AND(#REF!,"AAAAAEP19w4=")</f>
        <v>#REF!</v>
      </c>
      <c r="P20" t="e">
        <f>IF(#REF!,"AAAAAEP19w8=",0)</f>
        <v>#REF!</v>
      </c>
      <c r="Q20" t="e">
        <f>AND(#REF!,"AAAAAEP19xA=")</f>
        <v>#REF!</v>
      </c>
      <c r="R20" t="e">
        <f>AND(#REF!,"AAAAAEP19xE=")</f>
        <v>#REF!</v>
      </c>
      <c r="S20" t="e">
        <f>AND(#REF!,"AAAAAEP19xI=")</f>
        <v>#REF!</v>
      </c>
      <c r="T20" t="e">
        <f>AND(#REF!,"AAAAAEP19xM=")</f>
        <v>#REF!</v>
      </c>
      <c r="U20" t="e">
        <f>AND(#REF!,"AAAAAEP19xQ=")</f>
        <v>#REF!</v>
      </c>
      <c r="V20" t="e">
        <f>AND(#REF!,"AAAAAEP19xU=")</f>
        <v>#REF!</v>
      </c>
      <c r="W20" t="e">
        <f>AND(#REF!,"AAAAAEP19xY=")</f>
        <v>#REF!</v>
      </c>
      <c r="X20" t="e">
        <f>AND(#REF!,"AAAAAEP19xc=")</f>
        <v>#REF!</v>
      </c>
      <c r="Y20" t="e">
        <f>AND(#REF!,"AAAAAEP19xg=")</f>
        <v>#REF!</v>
      </c>
      <c r="Z20" t="e">
        <f>AND(#REF!,"AAAAAEP19xk=")</f>
        <v>#REF!</v>
      </c>
      <c r="AA20" t="e">
        <f>AND(#REF!,"AAAAAEP19xo=")</f>
        <v>#REF!</v>
      </c>
      <c r="AB20" t="e">
        <f>AND(#REF!,"AAAAAEP19xs=")</f>
        <v>#REF!</v>
      </c>
      <c r="AC20" t="e">
        <f>AND(#REF!,"AAAAAEP19xw=")</f>
        <v>#REF!</v>
      </c>
      <c r="AD20" t="e">
        <f>AND(#REF!,"AAAAAEP19x0=")</f>
        <v>#REF!</v>
      </c>
      <c r="AE20" t="e">
        <f>AND(#REF!,"AAAAAEP19x4=")</f>
        <v>#REF!</v>
      </c>
      <c r="AF20" t="e">
        <f>AND(#REF!,"AAAAAEP19x8=")</f>
        <v>#REF!</v>
      </c>
      <c r="AG20" t="e">
        <f>AND(#REF!,"AAAAAEP19yA=")</f>
        <v>#REF!</v>
      </c>
      <c r="AH20" t="e">
        <f>AND(#REF!,"AAAAAEP19yE=")</f>
        <v>#REF!</v>
      </c>
      <c r="AI20" t="e">
        <f>AND(#REF!,"AAAAAEP19yI=")</f>
        <v>#REF!</v>
      </c>
      <c r="AJ20" t="e">
        <f>AND(#REF!,"AAAAAEP19yM=")</f>
        <v>#REF!</v>
      </c>
      <c r="AK20" t="e">
        <f>AND(#REF!,"AAAAAEP19yQ=")</f>
        <v>#REF!</v>
      </c>
      <c r="AL20" t="e">
        <f>AND(#REF!,"AAAAAEP19yU=")</f>
        <v>#REF!</v>
      </c>
      <c r="AM20" t="e">
        <f>AND(#REF!,"AAAAAEP19yY=")</f>
        <v>#REF!</v>
      </c>
      <c r="AN20" t="e">
        <f>AND(#REF!,"AAAAAEP19yc=")</f>
        <v>#REF!</v>
      </c>
      <c r="AO20" t="e">
        <f>AND(#REF!,"AAAAAEP19yg=")</f>
        <v>#REF!</v>
      </c>
      <c r="AP20" t="e">
        <f>AND(#REF!,"AAAAAEP19yk=")</f>
        <v>#REF!</v>
      </c>
      <c r="AQ20" t="e">
        <f>AND(#REF!,"AAAAAEP19yo=")</f>
        <v>#REF!</v>
      </c>
      <c r="AR20" t="e">
        <f>AND(#REF!,"AAAAAEP19ys=")</f>
        <v>#REF!</v>
      </c>
      <c r="AS20" t="e">
        <f>AND(#REF!,"AAAAAEP19yw=")</f>
        <v>#REF!</v>
      </c>
      <c r="AT20" t="e">
        <f>AND(#REF!,"AAAAAEP19y0=")</f>
        <v>#REF!</v>
      </c>
      <c r="AU20" t="e">
        <f>AND(#REF!,"AAAAAEP19y4=")</f>
        <v>#REF!</v>
      </c>
      <c r="AV20" t="e">
        <f>AND(#REF!,"AAAAAEP19y8=")</f>
        <v>#REF!</v>
      </c>
      <c r="AW20" t="e">
        <f>AND(#REF!,"AAAAAEP19zA=")</f>
        <v>#REF!</v>
      </c>
      <c r="AX20" t="e">
        <f>AND(#REF!,"AAAAAEP19zE=")</f>
        <v>#REF!</v>
      </c>
      <c r="AY20" t="e">
        <f>AND(#REF!,"AAAAAEP19zI=")</f>
        <v>#REF!</v>
      </c>
      <c r="AZ20" t="e">
        <f>IF(#REF!,"AAAAAEP19zM=",0)</f>
        <v>#REF!</v>
      </c>
      <c r="BA20" t="e">
        <f>AND(#REF!,"AAAAAEP19zQ=")</f>
        <v>#REF!</v>
      </c>
      <c r="BB20" t="e">
        <f>AND(#REF!,"AAAAAEP19zU=")</f>
        <v>#REF!</v>
      </c>
      <c r="BC20" t="e">
        <f>AND(#REF!,"AAAAAEP19zY=")</f>
        <v>#REF!</v>
      </c>
      <c r="BD20" t="e">
        <f>AND(#REF!,"AAAAAEP19zc=")</f>
        <v>#REF!</v>
      </c>
      <c r="BE20" t="e">
        <f>AND(#REF!,"AAAAAEP19zg=")</f>
        <v>#REF!</v>
      </c>
      <c r="BF20" t="e">
        <f>AND(#REF!,"AAAAAEP19zk=")</f>
        <v>#REF!</v>
      </c>
      <c r="BG20" t="e">
        <f>AND(#REF!,"AAAAAEP19zo=")</f>
        <v>#REF!</v>
      </c>
      <c r="BH20" t="e">
        <f>AND(#REF!,"AAAAAEP19zs=")</f>
        <v>#REF!</v>
      </c>
      <c r="BI20" t="e">
        <f>AND(#REF!,"AAAAAEP19zw=")</f>
        <v>#REF!</v>
      </c>
      <c r="BJ20" t="e">
        <f>AND(#REF!,"AAAAAEP19z0=")</f>
        <v>#REF!</v>
      </c>
      <c r="BK20" t="e">
        <f>AND(#REF!,"AAAAAEP19z4=")</f>
        <v>#REF!</v>
      </c>
      <c r="BL20" t="e">
        <f>AND(#REF!,"AAAAAEP19z8=")</f>
        <v>#REF!</v>
      </c>
      <c r="BM20" t="e">
        <f>AND(#REF!,"AAAAAEP190A=")</f>
        <v>#REF!</v>
      </c>
      <c r="BN20" t="e">
        <f>AND(#REF!,"AAAAAEP190E=")</f>
        <v>#REF!</v>
      </c>
      <c r="BO20" t="e">
        <f>AND(#REF!,"AAAAAEP190I=")</f>
        <v>#REF!</v>
      </c>
      <c r="BP20" t="e">
        <f>AND(#REF!,"AAAAAEP190M=")</f>
        <v>#REF!</v>
      </c>
      <c r="BQ20" t="e">
        <f>AND(#REF!,"AAAAAEP190Q=")</f>
        <v>#REF!</v>
      </c>
      <c r="BR20" t="e">
        <f>AND(#REF!,"AAAAAEP190U=")</f>
        <v>#REF!</v>
      </c>
      <c r="BS20" t="e">
        <f>AND(#REF!,"AAAAAEP190Y=")</f>
        <v>#REF!</v>
      </c>
      <c r="BT20" t="e">
        <f>AND(#REF!,"AAAAAEP190c=")</f>
        <v>#REF!</v>
      </c>
      <c r="BU20" t="e">
        <f>AND(#REF!,"AAAAAEP190g=")</f>
        <v>#REF!</v>
      </c>
      <c r="BV20" t="e">
        <f>AND(#REF!,"AAAAAEP190k=")</f>
        <v>#REF!</v>
      </c>
      <c r="BW20" t="e">
        <f>AND(#REF!,"AAAAAEP190o=")</f>
        <v>#REF!</v>
      </c>
      <c r="BX20" t="e">
        <f>AND(#REF!,"AAAAAEP190s=")</f>
        <v>#REF!</v>
      </c>
      <c r="BY20" t="e">
        <f>AND(#REF!,"AAAAAEP190w=")</f>
        <v>#REF!</v>
      </c>
      <c r="BZ20" t="e">
        <f>AND(#REF!,"AAAAAEP1900=")</f>
        <v>#REF!</v>
      </c>
      <c r="CA20" t="e">
        <f>AND(#REF!,"AAAAAEP1904=")</f>
        <v>#REF!</v>
      </c>
      <c r="CB20" t="e">
        <f>AND(#REF!,"AAAAAEP1908=")</f>
        <v>#REF!</v>
      </c>
      <c r="CC20" t="e">
        <f>AND(#REF!,"AAAAAEP191A=")</f>
        <v>#REF!</v>
      </c>
      <c r="CD20" t="e">
        <f>AND(#REF!,"AAAAAEP191E=")</f>
        <v>#REF!</v>
      </c>
      <c r="CE20" t="e">
        <f>AND(#REF!,"AAAAAEP191I=")</f>
        <v>#REF!</v>
      </c>
      <c r="CF20" t="e">
        <f>AND(#REF!,"AAAAAEP191M=")</f>
        <v>#REF!</v>
      </c>
      <c r="CG20" t="e">
        <f>AND(#REF!,"AAAAAEP191Q=")</f>
        <v>#REF!</v>
      </c>
      <c r="CH20" t="e">
        <f>AND(#REF!,"AAAAAEP191U=")</f>
        <v>#REF!</v>
      </c>
      <c r="CI20" t="e">
        <f>AND(#REF!,"AAAAAEP191Y=")</f>
        <v>#REF!</v>
      </c>
      <c r="CJ20" t="e">
        <f>IF(#REF!,"AAAAAEP191c=",0)</f>
        <v>#REF!</v>
      </c>
      <c r="CK20" t="e">
        <f>AND(#REF!,"AAAAAEP191g=")</f>
        <v>#REF!</v>
      </c>
      <c r="CL20" t="e">
        <f>AND(#REF!,"AAAAAEP191k=")</f>
        <v>#REF!</v>
      </c>
      <c r="CM20" t="e">
        <f>AND(#REF!,"AAAAAEP191o=")</f>
        <v>#REF!</v>
      </c>
      <c r="CN20" t="e">
        <f>AND(#REF!,"AAAAAEP191s=")</f>
        <v>#REF!</v>
      </c>
      <c r="CO20" t="e">
        <f>AND(#REF!,"AAAAAEP191w=")</f>
        <v>#REF!</v>
      </c>
      <c r="CP20" t="e">
        <f>AND(#REF!,"AAAAAEP1910=")</f>
        <v>#REF!</v>
      </c>
      <c r="CQ20" t="e">
        <f>AND(#REF!,"AAAAAEP1914=")</f>
        <v>#REF!</v>
      </c>
      <c r="CR20" t="e">
        <f>AND(#REF!,"AAAAAEP1918=")</f>
        <v>#REF!</v>
      </c>
      <c r="CS20" t="e">
        <f>AND(#REF!,"AAAAAEP192A=")</f>
        <v>#REF!</v>
      </c>
      <c r="CT20" t="e">
        <f>AND(#REF!,"AAAAAEP192E=")</f>
        <v>#REF!</v>
      </c>
      <c r="CU20" t="e">
        <f>AND(#REF!,"AAAAAEP192I=")</f>
        <v>#REF!</v>
      </c>
      <c r="CV20" t="e">
        <f>AND(#REF!,"AAAAAEP192M=")</f>
        <v>#REF!</v>
      </c>
      <c r="CW20" t="e">
        <f>AND(#REF!,"AAAAAEP192Q=")</f>
        <v>#REF!</v>
      </c>
      <c r="CX20" t="e">
        <f>AND(#REF!,"AAAAAEP192U=")</f>
        <v>#REF!</v>
      </c>
      <c r="CY20" t="e">
        <f>AND(#REF!,"AAAAAEP192Y=")</f>
        <v>#REF!</v>
      </c>
      <c r="CZ20" t="e">
        <f>AND(#REF!,"AAAAAEP192c=")</f>
        <v>#REF!</v>
      </c>
      <c r="DA20" t="e">
        <f>AND(#REF!,"AAAAAEP192g=")</f>
        <v>#REF!</v>
      </c>
      <c r="DB20" t="e">
        <f>AND(#REF!,"AAAAAEP192k=")</f>
        <v>#REF!</v>
      </c>
      <c r="DC20" t="e">
        <f>AND(#REF!,"AAAAAEP192o=")</f>
        <v>#REF!</v>
      </c>
      <c r="DD20" t="e">
        <f>AND(#REF!,"AAAAAEP192s=")</f>
        <v>#REF!</v>
      </c>
      <c r="DE20" t="e">
        <f>AND(#REF!,"AAAAAEP192w=")</f>
        <v>#REF!</v>
      </c>
      <c r="DF20" t="e">
        <f>AND(#REF!,"AAAAAEP1920=")</f>
        <v>#REF!</v>
      </c>
      <c r="DG20" t="e">
        <f>AND(#REF!,"AAAAAEP1924=")</f>
        <v>#REF!</v>
      </c>
      <c r="DH20" t="e">
        <f>AND(#REF!,"AAAAAEP1928=")</f>
        <v>#REF!</v>
      </c>
      <c r="DI20" t="e">
        <f>AND(#REF!,"AAAAAEP193A=")</f>
        <v>#REF!</v>
      </c>
      <c r="DJ20" t="e">
        <f>AND(#REF!,"AAAAAEP193E=")</f>
        <v>#REF!</v>
      </c>
      <c r="DK20" t="e">
        <f>AND(#REF!,"AAAAAEP193I=")</f>
        <v>#REF!</v>
      </c>
      <c r="DL20" t="e">
        <f>AND(#REF!,"AAAAAEP193M=")</f>
        <v>#REF!</v>
      </c>
      <c r="DM20" t="e">
        <f>AND(#REF!,"AAAAAEP193Q=")</f>
        <v>#REF!</v>
      </c>
      <c r="DN20" t="e">
        <f>AND(#REF!,"AAAAAEP193U=")</f>
        <v>#REF!</v>
      </c>
      <c r="DO20" t="e">
        <f>AND(#REF!,"AAAAAEP193Y=")</f>
        <v>#REF!</v>
      </c>
      <c r="DP20" t="e">
        <f>AND(#REF!,"AAAAAEP193c=")</f>
        <v>#REF!</v>
      </c>
      <c r="DQ20" t="e">
        <f>AND(#REF!,"AAAAAEP193g=")</f>
        <v>#REF!</v>
      </c>
      <c r="DR20" t="e">
        <f>AND(#REF!,"AAAAAEP193k=")</f>
        <v>#REF!</v>
      </c>
      <c r="DS20" t="e">
        <f>AND(#REF!,"AAAAAEP193o=")</f>
        <v>#REF!</v>
      </c>
      <c r="DT20" t="e">
        <f>IF(#REF!,"AAAAAEP193s=",0)</f>
        <v>#REF!</v>
      </c>
      <c r="DU20" t="e">
        <f>AND(#REF!,"AAAAAEP193w=")</f>
        <v>#REF!</v>
      </c>
      <c r="DV20" t="e">
        <f>AND(#REF!,"AAAAAEP1930=")</f>
        <v>#REF!</v>
      </c>
      <c r="DW20" t="e">
        <f>AND(#REF!,"AAAAAEP1934=")</f>
        <v>#REF!</v>
      </c>
      <c r="DX20" t="e">
        <f>AND(#REF!,"AAAAAEP1938=")</f>
        <v>#REF!</v>
      </c>
      <c r="DY20" t="e">
        <f>AND(#REF!,"AAAAAEP194A=")</f>
        <v>#REF!</v>
      </c>
      <c r="DZ20" t="e">
        <f>AND(#REF!,"AAAAAEP194E=")</f>
        <v>#REF!</v>
      </c>
      <c r="EA20" t="e">
        <f>AND(#REF!,"AAAAAEP194I=")</f>
        <v>#REF!</v>
      </c>
      <c r="EB20" t="e">
        <f>AND(#REF!,"AAAAAEP194M=")</f>
        <v>#REF!</v>
      </c>
      <c r="EC20" t="e">
        <f>AND(#REF!,"AAAAAEP194Q=")</f>
        <v>#REF!</v>
      </c>
      <c r="ED20" t="e">
        <f>AND(#REF!,"AAAAAEP194U=")</f>
        <v>#REF!</v>
      </c>
      <c r="EE20" t="e">
        <f>AND(#REF!,"AAAAAEP194Y=")</f>
        <v>#REF!</v>
      </c>
      <c r="EF20" t="e">
        <f>AND(#REF!,"AAAAAEP194c=")</f>
        <v>#REF!</v>
      </c>
      <c r="EG20" t="e">
        <f>AND(#REF!,"AAAAAEP194g=")</f>
        <v>#REF!</v>
      </c>
      <c r="EH20" t="e">
        <f>AND(#REF!,"AAAAAEP194k=")</f>
        <v>#REF!</v>
      </c>
      <c r="EI20" t="e">
        <f>AND(#REF!,"AAAAAEP194o=")</f>
        <v>#REF!</v>
      </c>
      <c r="EJ20" t="e">
        <f>AND(#REF!,"AAAAAEP194s=")</f>
        <v>#REF!</v>
      </c>
      <c r="EK20" t="e">
        <f>AND(#REF!,"AAAAAEP194w=")</f>
        <v>#REF!</v>
      </c>
      <c r="EL20" t="e">
        <f>AND(#REF!,"AAAAAEP1940=")</f>
        <v>#REF!</v>
      </c>
      <c r="EM20" t="e">
        <f>AND(#REF!,"AAAAAEP1944=")</f>
        <v>#REF!</v>
      </c>
      <c r="EN20" t="e">
        <f>AND(#REF!,"AAAAAEP1948=")</f>
        <v>#REF!</v>
      </c>
      <c r="EO20" t="e">
        <f>AND(#REF!,"AAAAAEP195A=")</f>
        <v>#REF!</v>
      </c>
      <c r="EP20" t="e">
        <f>AND(#REF!,"AAAAAEP195E=")</f>
        <v>#REF!</v>
      </c>
      <c r="EQ20" t="e">
        <f>AND(#REF!,"AAAAAEP195I=")</f>
        <v>#REF!</v>
      </c>
      <c r="ER20" t="e">
        <f>AND(#REF!,"AAAAAEP195M=")</f>
        <v>#REF!</v>
      </c>
      <c r="ES20" t="e">
        <f>AND(#REF!,"AAAAAEP195Q=")</f>
        <v>#REF!</v>
      </c>
      <c r="ET20" t="e">
        <f>AND(#REF!,"AAAAAEP195U=")</f>
        <v>#REF!</v>
      </c>
      <c r="EU20" t="e">
        <f>AND(#REF!,"AAAAAEP195Y=")</f>
        <v>#REF!</v>
      </c>
      <c r="EV20" t="e">
        <f>AND(#REF!,"AAAAAEP195c=")</f>
        <v>#REF!</v>
      </c>
      <c r="EW20" t="e">
        <f>AND(#REF!,"AAAAAEP195g=")</f>
        <v>#REF!</v>
      </c>
      <c r="EX20" t="e">
        <f>AND(#REF!,"AAAAAEP195k=")</f>
        <v>#REF!</v>
      </c>
      <c r="EY20" t="e">
        <f>AND(#REF!,"AAAAAEP195o=")</f>
        <v>#REF!</v>
      </c>
      <c r="EZ20" t="e">
        <f>AND(#REF!,"AAAAAEP195s=")</f>
        <v>#REF!</v>
      </c>
      <c r="FA20" t="e">
        <f>AND(#REF!,"AAAAAEP195w=")</f>
        <v>#REF!</v>
      </c>
      <c r="FB20" t="e">
        <f>AND(#REF!,"AAAAAEP1950=")</f>
        <v>#REF!</v>
      </c>
      <c r="FC20" t="e">
        <f>AND(#REF!,"AAAAAEP1954=")</f>
        <v>#REF!</v>
      </c>
      <c r="FD20" t="e">
        <f>IF(#REF!,"AAAAAEP1958=",0)</f>
        <v>#REF!</v>
      </c>
      <c r="FE20" t="e">
        <f>AND(#REF!,"AAAAAEP196A=")</f>
        <v>#REF!</v>
      </c>
      <c r="FF20" t="e">
        <f>AND(#REF!,"AAAAAEP196E=")</f>
        <v>#REF!</v>
      </c>
      <c r="FG20" t="e">
        <f>AND(#REF!,"AAAAAEP196I=")</f>
        <v>#REF!</v>
      </c>
      <c r="FH20" t="e">
        <f>AND(#REF!,"AAAAAEP196M=")</f>
        <v>#REF!</v>
      </c>
      <c r="FI20" t="e">
        <f>AND(#REF!,"AAAAAEP196Q=")</f>
        <v>#REF!</v>
      </c>
      <c r="FJ20" t="e">
        <f>AND(#REF!,"AAAAAEP196U=")</f>
        <v>#REF!</v>
      </c>
      <c r="FK20" t="e">
        <f>AND(#REF!,"AAAAAEP196Y=")</f>
        <v>#REF!</v>
      </c>
      <c r="FL20" t="e">
        <f>AND(#REF!,"AAAAAEP196c=")</f>
        <v>#REF!</v>
      </c>
      <c r="FM20" t="e">
        <f>AND(#REF!,"AAAAAEP196g=")</f>
        <v>#REF!</v>
      </c>
      <c r="FN20" t="e">
        <f>AND(#REF!,"AAAAAEP196k=")</f>
        <v>#REF!</v>
      </c>
      <c r="FO20" t="e">
        <f>AND(#REF!,"AAAAAEP196o=")</f>
        <v>#REF!</v>
      </c>
      <c r="FP20" t="e">
        <f>AND(#REF!,"AAAAAEP196s=")</f>
        <v>#REF!</v>
      </c>
      <c r="FQ20" t="e">
        <f>AND(#REF!,"AAAAAEP196w=")</f>
        <v>#REF!</v>
      </c>
      <c r="FR20" t="e">
        <f>AND(#REF!,"AAAAAEP1960=")</f>
        <v>#REF!</v>
      </c>
      <c r="FS20" t="e">
        <f>AND(#REF!,"AAAAAEP1964=")</f>
        <v>#REF!</v>
      </c>
      <c r="FT20" t="e">
        <f>AND(#REF!,"AAAAAEP1968=")</f>
        <v>#REF!</v>
      </c>
      <c r="FU20" t="e">
        <f>AND(#REF!,"AAAAAEP197A=")</f>
        <v>#REF!</v>
      </c>
      <c r="FV20" t="e">
        <f>AND(#REF!,"AAAAAEP197E=")</f>
        <v>#REF!</v>
      </c>
      <c r="FW20" t="e">
        <f>AND(#REF!,"AAAAAEP197I=")</f>
        <v>#REF!</v>
      </c>
      <c r="FX20" t="e">
        <f>AND(#REF!,"AAAAAEP197M=")</f>
        <v>#REF!</v>
      </c>
      <c r="FY20" t="e">
        <f>AND(#REF!,"AAAAAEP197Q=")</f>
        <v>#REF!</v>
      </c>
      <c r="FZ20" t="e">
        <f>AND(#REF!,"AAAAAEP197U=")</f>
        <v>#REF!</v>
      </c>
      <c r="GA20" t="e">
        <f>AND(#REF!,"AAAAAEP197Y=")</f>
        <v>#REF!</v>
      </c>
      <c r="GB20" t="e">
        <f>AND(#REF!,"AAAAAEP197c=")</f>
        <v>#REF!</v>
      </c>
      <c r="GC20" t="e">
        <f>AND(#REF!,"AAAAAEP197g=")</f>
        <v>#REF!</v>
      </c>
      <c r="GD20" t="e">
        <f>AND(#REF!,"AAAAAEP197k=")</f>
        <v>#REF!</v>
      </c>
      <c r="GE20" t="e">
        <f>AND(#REF!,"AAAAAEP197o=")</f>
        <v>#REF!</v>
      </c>
      <c r="GF20" t="e">
        <f>AND(#REF!,"AAAAAEP197s=")</f>
        <v>#REF!</v>
      </c>
      <c r="GG20" t="e">
        <f>AND(#REF!,"AAAAAEP197w=")</f>
        <v>#REF!</v>
      </c>
      <c r="GH20" t="e">
        <f>AND(#REF!,"AAAAAEP1970=")</f>
        <v>#REF!</v>
      </c>
      <c r="GI20" t="e">
        <f>AND(#REF!,"AAAAAEP1974=")</f>
        <v>#REF!</v>
      </c>
      <c r="GJ20" t="e">
        <f>AND(#REF!,"AAAAAEP1978=")</f>
        <v>#REF!</v>
      </c>
      <c r="GK20" t="e">
        <f>AND(#REF!,"AAAAAEP198A=")</f>
        <v>#REF!</v>
      </c>
      <c r="GL20" t="e">
        <f>AND(#REF!,"AAAAAEP198E=")</f>
        <v>#REF!</v>
      </c>
      <c r="GM20" t="e">
        <f>AND(#REF!,"AAAAAEP198I=")</f>
        <v>#REF!</v>
      </c>
      <c r="GN20" t="e">
        <f>IF(#REF!,"AAAAAEP198M=",0)</f>
        <v>#REF!</v>
      </c>
      <c r="GO20" t="e">
        <f>AND(#REF!,"AAAAAEP198Q=")</f>
        <v>#REF!</v>
      </c>
      <c r="GP20" t="e">
        <f>AND(#REF!,"AAAAAEP198U=")</f>
        <v>#REF!</v>
      </c>
      <c r="GQ20" t="e">
        <f>AND(#REF!,"AAAAAEP198Y=")</f>
        <v>#REF!</v>
      </c>
      <c r="GR20" t="e">
        <f>AND(#REF!,"AAAAAEP198c=")</f>
        <v>#REF!</v>
      </c>
      <c r="GS20" t="e">
        <f>AND(#REF!,"AAAAAEP198g=")</f>
        <v>#REF!</v>
      </c>
      <c r="GT20" t="e">
        <f>AND(#REF!,"AAAAAEP198k=")</f>
        <v>#REF!</v>
      </c>
      <c r="GU20" t="e">
        <f>AND(#REF!,"AAAAAEP198o=")</f>
        <v>#REF!</v>
      </c>
      <c r="GV20" t="e">
        <f>AND(#REF!,"AAAAAEP198s=")</f>
        <v>#REF!</v>
      </c>
      <c r="GW20" t="e">
        <f>AND(#REF!,"AAAAAEP198w=")</f>
        <v>#REF!</v>
      </c>
      <c r="GX20" t="e">
        <f>AND(#REF!,"AAAAAEP1980=")</f>
        <v>#REF!</v>
      </c>
      <c r="GY20" t="e">
        <f>AND(#REF!,"AAAAAEP1984=")</f>
        <v>#REF!</v>
      </c>
      <c r="GZ20" t="e">
        <f>AND(#REF!,"AAAAAEP1988=")</f>
        <v>#REF!</v>
      </c>
      <c r="HA20" t="e">
        <f>AND(#REF!,"AAAAAEP199A=")</f>
        <v>#REF!</v>
      </c>
      <c r="HB20" t="e">
        <f>AND(#REF!,"AAAAAEP199E=")</f>
        <v>#REF!</v>
      </c>
      <c r="HC20" t="e">
        <f>AND(#REF!,"AAAAAEP199I=")</f>
        <v>#REF!</v>
      </c>
      <c r="HD20" t="e">
        <f>AND(#REF!,"AAAAAEP199M=")</f>
        <v>#REF!</v>
      </c>
      <c r="HE20" t="e">
        <f>AND(#REF!,"AAAAAEP199Q=")</f>
        <v>#REF!</v>
      </c>
      <c r="HF20" t="e">
        <f>AND(#REF!,"AAAAAEP199U=")</f>
        <v>#REF!</v>
      </c>
      <c r="HG20" t="e">
        <f>AND(#REF!,"AAAAAEP199Y=")</f>
        <v>#REF!</v>
      </c>
      <c r="HH20" t="e">
        <f>AND(#REF!,"AAAAAEP199c=")</f>
        <v>#REF!</v>
      </c>
      <c r="HI20" t="e">
        <f>AND(#REF!,"AAAAAEP199g=")</f>
        <v>#REF!</v>
      </c>
      <c r="HJ20" t="e">
        <f>AND(#REF!,"AAAAAEP199k=")</f>
        <v>#REF!</v>
      </c>
      <c r="HK20" t="e">
        <f>AND(#REF!,"AAAAAEP199o=")</f>
        <v>#REF!</v>
      </c>
      <c r="HL20" t="e">
        <f>AND(#REF!,"AAAAAEP199s=")</f>
        <v>#REF!</v>
      </c>
      <c r="HM20" t="e">
        <f>AND(#REF!,"AAAAAEP199w=")</f>
        <v>#REF!</v>
      </c>
      <c r="HN20" t="e">
        <f>AND(#REF!,"AAAAAEP1990=")</f>
        <v>#REF!</v>
      </c>
      <c r="HO20" t="e">
        <f>AND(#REF!,"AAAAAEP1994=")</f>
        <v>#REF!</v>
      </c>
      <c r="HP20" t="e">
        <f>AND(#REF!,"AAAAAEP1998=")</f>
        <v>#REF!</v>
      </c>
      <c r="HQ20" t="e">
        <f>AND(#REF!,"AAAAAEP19+A=")</f>
        <v>#REF!</v>
      </c>
      <c r="HR20" t="e">
        <f>AND(#REF!,"AAAAAEP19+E=")</f>
        <v>#REF!</v>
      </c>
      <c r="HS20" t="e">
        <f>AND(#REF!,"AAAAAEP19+I=")</f>
        <v>#REF!</v>
      </c>
      <c r="HT20" t="e">
        <f>AND(#REF!,"AAAAAEP19+M=")</f>
        <v>#REF!</v>
      </c>
      <c r="HU20" t="e">
        <f>AND(#REF!,"AAAAAEP19+Q=")</f>
        <v>#REF!</v>
      </c>
      <c r="HV20" t="e">
        <f>AND(#REF!,"AAAAAEP19+U=")</f>
        <v>#REF!</v>
      </c>
      <c r="HW20" t="e">
        <f>AND(#REF!,"AAAAAEP19+Y=")</f>
        <v>#REF!</v>
      </c>
      <c r="HX20" t="e">
        <f>IF(#REF!,"AAAAAEP19+c=",0)</f>
        <v>#REF!</v>
      </c>
      <c r="HY20" t="e">
        <f>AND(#REF!,"AAAAAEP19+g=")</f>
        <v>#REF!</v>
      </c>
      <c r="HZ20" t="e">
        <f>AND(#REF!,"AAAAAEP19+k=")</f>
        <v>#REF!</v>
      </c>
      <c r="IA20" t="e">
        <f>AND(#REF!,"AAAAAEP19+o=")</f>
        <v>#REF!</v>
      </c>
      <c r="IB20" t="e">
        <f>AND(#REF!,"AAAAAEP19+s=")</f>
        <v>#REF!</v>
      </c>
      <c r="IC20" t="e">
        <f>AND(#REF!,"AAAAAEP19+w=")</f>
        <v>#REF!</v>
      </c>
      <c r="ID20" t="e">
        <f>AND(#REF!,"AAAAAEP19+0=")</f>
        <v>#REF!</v>
      </c>
      <c r="IE20" t="e">
        <f>AND(#REF!,"AAAAAEP19+4=")</f>
        <v>#REF!</v>
      </c>
      <c r="IF20" t="e">
        <f>AND(#REF!,"AAAAAEP19+8=")</f>
        <v>#REF!</v>
      </c>
      <c r="IG20" t="e">
        <f>AND(#REF!,"AAAAAEP19/A=")</f>
        <v>#REF!</v>
      </c>
      <c r="IH20" t="e">
        <f>AND(#REF!,"AAAAAEP19/E=")</f>
        <v>#REF!</v>
      </c>
      <c r="II20" t="e">
        <f>AND(#REF!,"AAAAAEP19/I=")</f>
        <v>#REF!</v>
      </c>
      <c r="IJ20" t="e">
        <f>AND(#REF!,"AAAAAEP19/M=")</f>
        <v>#REF!</v>
      </c>
      <c r="IK20" t="e">
        <f>AND(#REF!,"AAAAAEP19/Q=")</f>
        <v>#REF!</v>
      </c>
      <c r="IL20" t="e">
        <f>AND(#REF!,"AAAAAEP19/U=")</f>
        <v>#REF!</v>
      </c>
      <c r="IM20" t="e">
        <f>AND(#REF!,"AAAAAEP19/Y=")</f>
        <v>#REF!</v>
      </c>
      <c r="IN20" t="e">
        <f>AND(#REF!,"AAAAAEP19/c=")</f>
        <v>#REF!</v>
      </c>
      <c r="IO20" t="e">
        <f>AND(#REF!,"AAAAAEP19/g=")</f>
        <v>#REF!</v>
      </c>
      <c r="IP20" t="e">
        <f>AND(#REF!,"AAAAAEP19/k=")</f>
        <v>#REF!</v>
      </c>
      <c r="IQ20" t="e">
        <f>AND(#REF!,"AAAAAEP19/o=")</f>
        <v>#REF!</v>
      </c>
      <c r="IR20" t="e">
        <f>AND(#REF!,"AAAAAEP19/s=")</f>
        <v>#REF!</v>
      </c>
      <c r="IS20" t="e">
        <f>AND(#REF!,"AAAAAEP19/w=")</f>
        <v>#REF!</v>
      </c>
      <c r="IT20" t="e">
        <f>AND(#REF!,"AAAAAEP19/0=")</f>
        <v>#REF!</v>
      </c>
      <c r="IU20" t="e">
        <f>AND(#REF!,"AAAAAEP19/4=")</f>
        <v>#REF!</v>
      </c>
      <c r="IV20" t="e">
        <f>AND(#REF!,"AAAAAEP19/8=")</f>
        <v>#REF!</v>
      </c>
    </row>
    <row r="21" spans="1:256" x14ac:dyDescent="0.25">
      <c r="A21" t="e">
        <f>AND(#REF!,"AAAAAE/+/QA=")</f>
        <v>#REF!</v>
      </c>
      <c r="B21" t="e">
        <f>AND(#REF!,"AAAAAE/+/QE=")</f>
        <v>#REF!</v>
      </c>
      <c r="C21" t="e">
        <f>AND(#REF!,"AAAAAE/+/QI=")</f>
        <v>#REF!</v>
      </c>
      <c r="D21" t="e">
        <f>AND(#REF!,"AAAAAE/+/QM=")</f>
        <v>#REF!</v>
      </c>
      <c r="E21" t="e">
        <f>AND(#REF!,"AAAAAE/+/QQ=")</f>
        <v>#REF!</v>
      </c>
      <c r="F21" t="e">
        <f>AND(#REF!,"AAAAAE/+/QU=")</f>
        <v>#REF!</v>
      </c>
      <c r="G21" t="e">
        <f>AND(#REF!,"AAAAAE/+/QY=")</f>
        <v>#REF!</v>
      </c>
      <c r="H21" t="e">
        <f>AND(#REF!,"AAAAAE/+/Qc=")</f>
        <v>#REF!</v>
      </c>
      <c r="I21" t="e">
        <f>AND(#REF!,"AAAAAE/+/Qg=")</f>
        <v>#REF!</v>
      </c>
      <c r="J21" t="e">
        <f>AND(#REF!,"AAAAAE/+/Qk=")</f>
        <v>#REF!</v>
      </c>
      <c r="K21" t="e">
        <f>AND(#REF!,"AAAAAE/+/Qo=")</f>
        <v>#REF!</v>
      </c>
      <c r="L21" t="e">
        <f>IF(#REF!,"AAAAAE/+/Qs=",0)</f>
        <v>#REF!</v>
      </c>
      <c r="M21" t="e">
        <f>AND(#REF!,"AAAAAE/+/Qw=")</f>
        <v>#REF!</v>
      </c>
      <c r="N21" t="e">
        <f>AND(#REF!,"AAAAAE/+/Q0=")</f>
        <v>#REF!</v>
      </c>
      <c r="O21" t="e">
        <f>AND(#REF!,"AAAAAE/+/Q4=")</f>
        <v>#REF!</v>
      </c>
      <c r="P21" t="e">
        <f>AND(#REF!,"AAAAAE/+/Q8=")</f>
        <v>#REF!</v>
      </c>
      <c r="Q21" t="e">
        <f>AND(#REF!,"AAAAAE/+/RA=")</f>
        <v>#REF!</v>
      </c>
      <c r="R21" t="e">
        <f>AND(#REF!,"AAAAAE/+/RE=")</f>
        <v>#REF!</v>
      </c>
      <c r="S21" t="e">
        <f>AND(#REF!,"AAAAAE/+/RI=")</f>
        <v>#REF!</v>
      </c>
      <c r="T21" t="e">
        <f>AND(#REF!,"AAAAAE/+/RM=")</f>
        <v>#REF!</v>
      </c>
      <c r="U21" t="e">
        <f>AND(#REF!,"AAAAAE/+/RQ=")</f>
        <v>#REF!</v>
      </c>
      <c r="V21" t="e">
        <f>AND(#REF!,"AAAAAE/+/RU=")</f>
        <v>#REF!</v>
      </c>
      <c r="W21" t="e">
        <f>AND(#REF!,"AAAAAE/+/RY=")</f>
        <v>#REF!</v>
      </c>
      <c r="X21" t="e">
        <f>AND(#REF!,"AAAAAE/+/Rc=")</f>
        <v>#REF!</v>
      </c>
      <c r="Y21" t="e">
        <f>AND(#REF!,"AAAAAE/+/Rg=")</f>
        <v>#REF!</v>
      </c>
      <c r="Z21" t="e">
        <f>AND(#REF!,"AAAAAE/+/Rk=")</f>
        <v>#REF!</v>
      </c>
      <c r="AA21" t="e">
        <f>AND(#REF!,"AAAAAE/+/Ro=")</f>
        <v>#REF!</v>
      </c>
      <c r="AB21" t="e">
        <f>AND(#REF!,"AAAAAE/+/Rs=")</f>
        <v>#REF!</v>
      </c>
      <c r="AC21" t="e">
        <f>AND(#REF!,"AAAAAE/+/Rw=")</f>
        <v>#REF!</v>
      </c>
      <c r="AD21" t="e">
        <f>AND(#REF!,"AAAAAE/+/R0=")</f>
        <v>#REF!</v>
      </c>
      <c r="AE21" t="e">
        <f>AND(#REF!,"AAAAAE/+/R4=")</f>
        <v>#REF!</v>
      </c>
      <c r="AF21" t="e">
        <f>AND(#REF!,"AAAAAE/+/R8=")</f>
        <v>#REF!</v>
      </c>
      <c r="AG21" t="e">
        <f>AND(#REF!,"AAAAAE/+/SA=")</f>
        <v>#REF!</v>
      </c>
      <c r="AH21" t="e">
        <f>AND(#REF!,"AAAAAE/+/SE=")</f>
        <v>#REF!</v>
      </c>
      <c r="AI21" t="e">
        <f>AND(#REF!,"AAAAAE/+/SI=")</f>
        <v>#REF!</v>
      </c>
      <c r="AJ21" t="e">
        <f>AND(#REF!,"AAAAAE/+/SM=")</f>
        <v>#REF!</v>
      </c>
      <c r="AK21" t="e">
        <f>AND(#REF!,"AAAAAE/+/SQ=")</f>
        <v>#REF!</v>
      </c>
      <c r="AL21" t="e">
        <f>AND(#REF!,"AAAAAE/+/SU=")</f>
        <v>#REF!</v>
      </c>
      <c r="AM21" t="e">
        <f>AND(#REF!,"AAAAAE/+/SY=")</f>
        <v>#REF!</v>
      </c>
      <c r="AN21" t="e">
        <f>AND(#REF!,"AAAAAE/+/Sc=")</f>
        <v>#REF!</v>
      </c>
      <c r="AO21" t="e">
        <f>AND(#REF!,"AAAAAE/+/Sg=")</f>
        <v>#REF!</v>
      </c>
      <c r="AP21" t="e">
        <f>AND(#REF!,"AAAAAE/+/Sk=")</f>
        <v>#REF!</v>
      </c>
      <c r="AQ21" t="e">
        <f>AND(#REF!,"AAAAAE/+/So=")</f>
        <v>#REF!</v>
      </c>
      <c r="AR21" t="e">
        <f>AND(#REF!,"AAAAAE/+/Ss=")</f>
        <v>#REF!</v>
      </c>
      <c r="AS21" t="e">
        <f>AND(#REF!,"AAAAAE/+/Sw=")</f>
        <v>#REF!</v>
      </c>
      <c r="AT21" t="e">
        <f>AND(#REF!,"AAAAAE/+/S0=")</f>
        <v>#REF!</v>
      </c>
      <c r="AU21" t="e">
        <f>AND(#REF!,"AAAAAE/+/S4=")</f>
        <v>#REF!</v>
      </c>
      <c r="AV21" t="e">
        <f>IF(#REF!,"AAAAAE/+/S8=",0)</f>
        <v>#REF!</v>
      </c>
      <c r="AW21" t="e">
        <f>AND(#REF!,"AAAAAE/+/TA=")</f>
        <v>#REF!</v>
      </c>
      <c r="AX21" t="e">
        <f>AND(#REF!,"AAAAAE/+/TE=")</f>
        <v>#REF!</v>
      </c>
      <c r="AY21" t="e">
        <f>AND(#REF!,"AAAAAE/+/TI=")</f>
        <v>#REF!</v>
      </c>
      <c r="AZ21" t="e">
        <f>AND(#REF!,"AAAAAE/+/TM=")</f>
        <v>#REF!</v>
      </c>
      <c r="BA21" t="e">
        <f>AND(#REF!,"AAAAAE/+/TQ=")</f>
        <v>#REF!</v>
      </c>
      <c r="BB21" t="e">
        <f>AND(#REF!,"AAAAAE/+/TU=")</f>
        <v>#REF!</v>
      </c>
      <c r="BC21" t="e">
        <f>AND(#REF!,"AAAAAE/+/TY=")</f>
        <v>#REF!</v>
      </c>
      <c r="BD21" t="e">
        <f>AND(#REF!,"AAAAAE/+/Tc=")</f>
        <v>#REF!</v>
      </c>
      <c r="BE21" t="e">
        <f>AND(#REF!,"AAAAAE/+/Tg=")</f>
        <v>#REF!</v>
      </c>
      <c r="BF21" t="e">
        <f>AND(#REF!,"AAAAAE/+/Tk=")</f>
        <v>#REF!</v>
      </c>
      <c r="BG21" t="e">
        <f>AND(#REF!,"AAAAAE/+/To=")</f>
        <v>#REF!</v>
      </c>
      <c r="BH21" t="e">
        <f>AND(#REF!,"AAAAAE/+/Ts=")</f>
        <v>#REF!</v>
      </c>
      <c r="BI21" t="e">
        <f>AND(#REF!,"AAAAAE/+/Tw=")</f>
        <v>#REF!</v>
      </c>
      <c r="BJ21" t="e">
        <f>AND(#REF!,"AAAAAE/+/T0=")</f>
        <v>#REF!</v>
      </c>
      <c r="BK21" t="e">
        <f>AND(#REF!,"AAAAAE/+/T4=")</f>
        <v>#REF!</v>
      </c>
      <c r="BL21" t="e">
        <f>AND(#REF!,"AAAAAE/+/T8=")</f>
        <v>#REF!</v>
      </c>
      <c r="BM21" t="e">
        <f>AND(#REF!,"AAAAAE/+/UA=")</f>
        <v>#REF!</v>
      </c>
      <c r="BN21" t="e">
        <f>AND(#REF!,"AAAAAE/+/UE=")</f>
        <v>#REF!</v>
      </c>
      <c r="BO21" t="e">
        <f>AND(#REF!,"AAAAAE/+/UI=")</f>
        <v>#REF!</v>
      </c>
      <c r="BP21" t="e">
        <f>AND(#REF!,"AAAAAE/+/UM=")</f>
        <v>#REF!</v>
      </c>
      <c r="BQ21" t="e">
        <f>AND(#REF!,"AAAAAE/+/UQ=")</f>
        <v>#REF!</v>
      </c>
      <c r="BR21" t="e">
        <f>AND(#REF!,"AAAAAE/+/UU=")</f>
        <v>#REF!</v>
      </c>
      <c r="BS21" t="e">
        <f>AND(#REF!,"AAAAAE/+/UY=")</f>
        <v>#REF!</v>
      </c>
      <c r="BT21" t="e">
        <f>AND(#REF!,"AAAAAE/+/Uc=")</f>
        <v>#REF!</v>
      </c>
      <c r="BU21" t="e">
        <f>AND(#REF!,"AAAAAE/+/Ug=")</f>
        <v>#REF!</v>
      </c>
      <c r="BV21" t="e">
        <f>AND(#REF!,"AAAAAE/+/Uk=")</f>
        <v>#REF!</v>
      </c>
      <c r="BW21" t="e">
        <f>AND(#REF!,"AAAAAE/+/Uo=")</f>
        <v>#REF!</v>
      </c>
      <c r="BX21" t="e">
        <f>AND(#REF!,"AAAAAE/+/Us=")</f>
        <v>#REF!</v>
      </c>
      <c r="BY21" t="e">
        <f>AND(#REF!,"AAAAAE/+/Uw=")</f>
        <v>#REF!</v>
      </c>
      <c r="BZ21" t="e">
        <f>AND(#REF!,"AAAAAE/+/U0=")</f>
        <v>#REF!</v>
      </c>
      <c r="CA21" t="e">
        <f>AND(#REF!,"AAAAAE/+/U4=")</f>
        <v>#REF!</v>
      </c>
      <c r="CB21" t="e">
        <f>AND(#REF!,"AAAAAE/+/U8=")</f>
        <v>#REF!</v>
      </c>
      <c r="CC21" t="e">
        <f>AND(#REF!,"AAAAAE/+/VA=")</f>
        <v>#REF!</v>
      </c>
      <c r="CD21" t="e">
        <f>AND(#REF!,"AAAAAE/+/VE=")</f>
        <v>#REF!</v>
      </c>
      <c r="CE21" t="e">
        <f>AND(#REF!,"AAAAAE/+/VI=")</f>
        <v>#REF!</v>
      </c>
      <c r="CF21" t="e">
        <f>IF(#REF!,"AAAAAE/+/VM=",0)</f>
        <v>#REF!</v>
      </c>
      <c r="CG21" t="e">
        <f>AND(#REF!,"AAAAAE/+/VQ=")</f>
        <v>#REF!</v>
      </c>
      <c r="CH21" t="e">
        <f>AND(#REF!,"AAAAAE/+/VU=")</f>
        <v>#REF!</v>
      </c>
      <c r="CI21" t="e">
        <f>AND(#REF!,"AAAAAE/+/VY=")</f>
        <v>#REF!</v>
      </c>
      <c r="CJ21" t="e">
        <f>AND(#REF!,"AAAAAE/+/Vc=")</f>
        <v>#REF!</v>
      </c>
      <c r="CK21" t="e">
        <f>AND(#REF!,"AAAAAE/+/Vg=")</f>
        <v>#REF!</v>
      </c>
      <c r="CL21" t="e">
        <f>AND(#REF!,"AAAAAE/+/Vk=")</f>
        <v>#REF!</v>
      </c>
      <c r="CM21" t="e">
        <f>AND(#REF!,"AAAAAE/+/Vo=")</f>
        <v>#REF!</v>
      </c>
      <c r="CN21" t="e">
        <f>AND(#REF!,"AAAAAE/+/Vs=")</f>
        <v>#REF!</v>
      </c>
      <c r="CO21" t="e">
        <f>AND(#REF!,"AAAAAE/+/Vw=")</f>
        <v>#REF!</v>
      </c>
      <c r="CP21" t="e">
        <f>AND(#REF!,"AAAAAE/+/V0=")</f>
        <v>#REF!</v>
      </c>
      <c r="CQ21" t="e">
        <f>AND(#REF!,"AAAAAE/+/V4=")</f>
        <v>#REF!</v>
      </c>
      <c r="CR21" t="e">
        <f>AND(#REF!,"AAAAAE/+/V8=")</f>
        <v>#REF!</v>
      </c>
      <c r="CS21" t="e">
        <f>AND(#REF!,"AAAAAE/+/WA=")</f>
        <v>#REF!</v>
      </c>
      <c r="CT21" t="e">
        <f>AND(#REF!,"AAAAAE/+/WE=")</f>
        <v>#REF!</v>
      </c>
      <c r="CU21" t="e">
        <f>AND(#REF!,"AAAAAE/+/WI=")</f>
        <v>#REF!</v>
      </c>
      <c r="CV21" t="e">
        <f>AND(#REF!,"AAAAAE/+/WM=")</f>
        <v>#REF!</v>
      </c>
      <c r="CW21" t="e">
        <f>AND(#REF!,"AAAAAE/+/WQ=")</f>
        <v>#REF!</v>
      </c>
      <c r="CX21" t="e">
        <f>AND(#REF!,"AAAAAE/+/WU=")</f>
        <v>#REF!</v>
      </c>
      <c r="CY21" t="e">
        <f>AND(#REF!,"AAAAAE/+/WY=")</f>
        <v>#REF!</v>
      </c>
      <c r="CZ21" t="e">
        <f>AND(#REF!,"AAAAAE/+/Wc=")</f>
        <v>#REF!</v>
      </c>
      <c r="DA21" t="e">
        <f>AND(#REF!,"AAAAAE/+/Wg=")</f>
        <v>#REF!</v>
      </c>
      <c r="DB21" t="e">
        <f>AND(#REF!,"AAAAAE/+/Wk=")</f>
        <v>#REF!</v>
      </c>
      <c r="DC21" t="e">
        <f>AND(#REF!,"AAAAAE/+/Wo=")</f>
        <v>#REF!</v>
      </c>
      <c r="DD21" t="e">
        <f>AND(#REF!,"AAAAAE/+/Ws=")</f>
        <v>#REF!</v>
      </c>
      <c r="DE21" t="e">
        <f>AND(#REF!,"AAAAAE/+/Ww=")</f>
        <v>#REF!</v>
      </c>
      <c r="DF21" t="e">
        <f>AND(#REF!,"AAAAAE/+/W0=")</f>
        <v>#REF!</v>
      </c>
      <c r="DG21" t="e">
        <f>AND(#REF!,"AAAAAE/+/W4=")</f>
        <v>#REF!</v>
      </c>
      <c r="DH21" t="e">
        <f>AND(#REF!,"AAAAAE/+/W8=")</f>
        <v>#REF!</v>
      </c>
      <c r="DI21" t="e">
        <f>AND(#REF!,"AAAAAE/+/XA=")</f>
        <v>#REF!</v>
      </c>
      <c r="DJ21" t="e">
        <f>AND(#REF!,"AAAAAE/+/XE=")</f>
        <v>#REF!</v>
      </c>
      <c r="DK21" t="e">
        <f>AND(#REF!,"AAAAAE/+/XI=")</f>
        <v>#REF!</v>
      </c>
      <c r="DL21" t="e">
        <f>AND(#REF!,"AAAAAE/+/XM=")</f>
        <v>#REF!</v>
      </c>
      <c r="DM21" t="e">
        <f>AND(#REF!,"AAAAAE/+/XQ=")</f>
        <v>#REF!</v>
      </c>
      <c r="DN21" t="e">
        <f>AND(#REF!,"AAAAAE/+/XU=")</f>
        <v>#REF!</v>
      </c>
      <c r="DO21" t="e">
        <f>AND(#REF!,"AAAAAE/+/XY=")</f>
        <v>#REF!</v>
      </c>
      <c r="DP21" t="e">
        <f>IF(#REF!,"AAAAAE/+/Xc=",0)</f>
        <v>#REF!</v>
      </c>
      <c r="DQ21" t="e">
        <f>AND(#REF!,"AAAAAE/+/Xg=")</f>
        <v>#REF!</v>
      </c>
      <c r="DR21" t="e">
        <f>AND(#REF!,"AAAAAE/+/Xk=")</f>
        <v>#REF!</v>
      </c>
      <c r="DS21" t="e">
        <f>AND(#REF!,"AAAAAE/+/Xo=")</f>
        <v>#REF!</v>
      </c>
      <c r="DT21" t="e">
        <f>AND(#REF!,"AAAAAE/+/Xs=")</f>
        <v>#REF!</v>
      </c>
      <c r="DU21" t="e">
        <f>AND(#REF!,"AAAAAE/+/Xw=")</f>
        <v>#REF!</v>
      </c>
      <c r="DV21" t="e">
        <f>AND(#REF!,"AAAAAE/+/X0=")</f>
        <v>#REF!</v>
      </c>
      <c r="DW21" t="e">
        <f>AND(#REF!,"AAAAAE/+/X4=")</f>
        <v>#REF!</v>
      </c>
      <c r="DX21" t="e">
        <f>AND(#REF!,"AAAAAE/+/X8=")</f>
        <v>#REF!</v>
      </c>
      <c r="DY21" t="e">
        <f>AND(#REF!,"AAAAAE/+/YA=")</f>
        <v>#REF!</v>
      </c>
      <c r="DZ21" t="e">
        <f>AND(#REF!,"AAAAAE/+/YE=")</f>
        <v>#REF!</v>
      </c>
      <c r="EA21" t="e">
        <f>AND(#REF!,"AAAAAE/+/YI=")</f>
        <v>#REF!</v>
      </c>
      <c r="EB21" t="e">
        <f>AND(#REF!,"AAAAAE/+/YM=")</f>
        <v>#REF!</v>
      </c>
      <c r="EC21" t="e">
        <f>AND(#REF!,"AAAAAE/+/YQ=")</f>
        <v>#REF!</v>
      </c>
      <c r="ED21" t="e">
        <f>AND(#REF!,"AAAAAE/+/YU=")</f>
        <v>#REF!</v>
      </c>
      <c r="EE21" t="e">
        <f>AND(#REF!,"AAAAAE/+/YY=")</f>
        <v>#REF!</v>
      </c>
      <c r="EF21" t="e">
        <f>AND(#REF!,"AAAAAE/+/Yc=")</f>
        <v>#REF!</v>
      </c>
      <c r="EG21" t="e">
        <f>AND(#REF!,"AAAAAE/+/Yg=")</f>
        <v>#REF!</v>
      </c>
      <c r="EH21" t="e">
        <f>AND(#REF!,"AAAAAE/+/Yk=")</f>
        <v>#REF!</v>
      </c>
      <c r="EI21" t="e">
        <f>AND(#REF!,"AAAAAE/+/Yo=")</f>
        <v>#REF!</v>
      </c>
      <c r="EJ21" t="e">
        <f>AND(#REF!,"AAAAAE/+/Ys=")</f>
        <v>#REF!</v>
      </c>
      <c r="EK21" t="e">
        <f>AND(#REF!,"AAAAAE/+/Yw=")</f>
        <v>#REF!</v>
      </c>
      <c r="EL21" t="e">
        <f>AND(#REF!,"AAAAAE/+/Y0=")</f>
        <v>#REF!</v>
      </c>
      <c r="EM21" t="e">
        <f>AND(#REF!,"AAAAAE/+/Y4=")</f>
        <v>#REF!</v>
      </c>
      <c r="EN21" t="e">
        <f>AND(#REF!,"AAAAAE/+/Y8=")</f>
        <v>#REF!</v>
      </c>
      <c r="EO21" t="e">
        <f>AND(#REF!,"AAAAAE/+/ZA=")</f>
        <v>#REF!</v>
      </c>
      <c r="EP21" t="e">
        <f>AND(#REF!,"AAAAAE/+/ZE=")</f>
        <v>#REF!</v>
      </c>
      <c r="EQ21" t="e">
        <f>AND(#REF!,"AAAAAE/+/ZI=")</f>
        <v>#REF!</v>
      </c>
      <c r="ER21" t="e">
        <f>AND(#REF!,"AAAAAE/+/ZM=")</f>
        <v>#REF!</v>
      </c>
      <c r="ES21" t="e">
        <f>AND(#REF!,"AAAAAE/+/ZQ=")</f>
        <v>#REF!</v>
      </c>
      <c r="ET21" t="e">
        <f>AND(#REF!,"AAAAAE/+/ZU=")</f>
        <v>#REF!</v>
      </c>
      <c r="EU21" t="e">
        <f>AND(#REF!,"AAAAAE/+/ZY=")</f>
        <v>#REF!</v>
      </c>
      <c r="EV21" t="e">
        <f>AND(#REF!,"AAAAAE/+/Zc=")</f>
        <v>#REF!</v>
      </c>
      <c r="EW21" t="e">
        <f>AND(#REF!,"AAAAAE/+/Zg=")</f>
        <v>#REF!</v>
      </c>
      <c r="EX21" t="e">
        <f>AND(#REF!,"AAAAAE/+/Zk=")</f>
        <v>#REF!</v>
      </c>
      <c r="EY21" t="e">
        <f>AND(#REF!,"AAAAAE/+/Zo=")</f>
        <v>#REF!</v>
      </c>
      <c r="EZ21" t="e">
        <f>IF(#REF!,"AAAAAE/+/Zs=",0)</f>
        <v>#REF!</v>
      </c>
      <c r="FA21" t="e">
        <f>AND(#REF!,"AAAAAE/+/Zw=")</f>
        <v>#REF!</v>
      </c>
      <c r="FB21" t="e">
        <f>AND(#REF!,"AAAAAE/+/Z0=")</f>
        <v>#REF!</v>
      </c>
      <c r="FC21" t="e">
        <f>AND(#REF!,"AAAAAE/+/Z4=")</f>
        <v>#REF!</v>
      </c>
      <c r="FD21" t="e">
        <f>AND(#REF!,"AAAAAE/+/Z8=")</f>
        <v>#REF!</v>
      </c>
      <c r="FE21" t="e">
        <f>AND(#REF!,"AAAAAE/+/aA=")</f>
        <v>#REF!</v>
      </c>
      <c r="FF21" t="e">
        <f>AND(#REF!,"AAAAAE/+/aE=")</f>
        <v>#REF!</v>
      </c>
      <c r="FG21" t="e">
        <f>AND(#REF!,"AAAAAE/+/aI=")</f>
        <v>#REF!</v>
      </c>
      <c r="FH21" t="e">
        <f>AND(#REF!,"AAAAAE/+/aM=")</f>
        <v>#REF!</v>
      </c>
      <c r="FI21" t="e">
        <f>AND(#REF!,"AAAAAE/+/aQ=")</f>
        <v>#REF!</v>
      </c>
      <c r="FJ21" t="e">
        <f>AND(#REF!,"AAAAAE/+/aU=")</f>
        <v>#REF!</v>
      </c>
      <c r="FK21" t="e">
        <f>AND(#REF!,"AAAAAE/+/aY=")</f>
        <v>#REF!</v>
      </c>
      <c r="FL21" t="e">
        <f>AND(#REF!,"AAAAAE/+/ac=")</f>
        <v>#REF!</v>
      </c>
      <c r="FM21" t="e">
        <f>AND(#REF!,"AAAAAE/+/ag=")</f>
        <v>#REF!</v>
      </c>
      <c r="FN21" t="e">
        <f>AND(#REF!,"AAAAAE/+/ak=")</f>
        <v>#REF!</v>
      </c>
      <c r="FO21" t="e">
        <f>AND(#REF!,"AAAAAE/+/ao=")</f>
        <v>#REF!</v>
      </c>
      <c r="FP21" t="e">
        <f>AND(#REF!,"AAAAAE/+/as=")</f>
        <v>#REF!</v>
      </c>
      <c r="FQ21" t="e">
        <f>AND(#REF!,"AAAAAE/+/aw=")</f>
        <v>#REF!</v>
      </c>
      <c r="FR21" t="e">
        <f>AND(#REF!,"AAAAAE/+/a0=")</f>
        <v>#REF!</v>
      </c>
      <c r="FS21" t="e">
        <f>AND(#REF!,"AAAAAE/+/a4=")</f>
        <v>#REF!</v>
      </c>
      <c r="FT21" t="e">
        <f>AND(#REF!,"AAAAAE/+/a8=")</f>
        <v>#REF!</v>
      </c>
      <c r="FU21" t="e">
        <f>AND(#REF!,"AAAAAE/+/bA=")</f>
        <v>#REF!</v>
      </c>
      <c r="FV21" t="e">
        <f>AND(#REF!,"AAAAAE/+/bE=")</f>
        <v>#REF!</v>
      </c>
      <c r="FW21" t="e">
        <f>AND(#REF!,"AAAAAE/+/bI=")</f>
        <v>#REF!</v>
      </c>
      <c r="FX21" t="e">
        <f>AND(#REF!,"AAAAAE/+/bM=")</f>
        <v>#REF!</v>
      </c>
      <c r="FY21" t="e">
        <f>AND(#REF!,"AAAAAE/+/bQ=")</f>
        <v>#REF!</v>
      </c>
      <c r="FZ21" t="e">
        <f>AND(#REF!,"AAAAAE/+/bU=")</f>
        <v>#REF!</v>
      </c>
      <c r="GA21" t="e">
        <f>AND(#REF!,"AAAAAE/+/bY=")</f>
        <v>#REF!</v>
      </c>
      <c r="GB21" t="e">
        <f>AND(#REF!,"AAAAAE/+/bc=")</f>
        <v>#REF!</v>
      </c>
      <c r="GC21" t="e">
        <f>AND(#REF!,"AAAAAE/+/bg=")</f>
        <v>#REF!</v>
      </c>
      <c r="GD21" t="e">
        <f>AND(#REF!,"AAAAAE/+/bk=")</f>
        <v>#REF!</v>
      </c>
      <c r="GE21" t="e">
        <f>AND(#REF!,"AAAAAE/+/bo=")</f>
        <v>#REF!</v>
      </c>
      <c r="GF21" t="e">
        <f>AND(#REF!,"AAAAAE/+/bs=")</f>
        <v>#REF!</v>
      </c>
      <c r="GG21" t="e">
        <f>AND(#REF!,"AAAAAE/+/bw=")</f>
        <v>#REF!</v>
      </c>
      <c r="GH21" t="e">
        <f>AND(#REF!,"AAAAAE/+/b0=")</f>
        <v>#REF!</v>
      </c>
      <c r="GI21" t="e">
        <f>AND(#REF!,"AAAAAE/+/b4=")</f>
        <v>#REF!</v>
      </c>
      <c r="GJ21" t="e">
        <f>IF(#REF!,"AAAAAE/+/b8=",0)</f>
        <v>#REF!</v>
      </c>
      <c r="GK21" t="e">
        <f>IF(#REF!,"AAAAAE/+/cA=",0)</f>
        <v>#REF!</v>
      </c>
      <c r="GL21" t="e">
        <f>IF(#REF!,"AAAAAE/+/cE=",0)</f>
        <v>#REF!</v>
      </c>
      <c r="GM21" t="e">
        <f>IF(#REF!,"AAAAAE/+/cI=",0)</f>
        <v>#REF!</v>
      </c>
      <c r="GN21" t="e">
        <f>IF(#REF!,"AAAAAE/+/cM=",0)</f>
        <v>#REF!</v>
      </c>
      <c r="GO21" t="e">
        <f>IF(#REF!,"AAAAAE/+/cQ=",0)</f>
        <v>#REF!</v>
      </c>
      <c r="GP21" t="e">
        <f>IF(#REF!,"AAAAAE/+/cU=",0)</f>
        <v>#REF!</v>
      </c>
      <c r="GQ21" t="e">
        <f>IF(#REF!,"AAAAAE/+/cY=",0)</f>
        <v>#REF!</v>
      </c>
      <c r="GR21" t="e">
        <f>IF(#REF!,"AAAAAE/+/cc=",0)</f>
        <v>#REF!</v>
      </c>
      <c r="GS21" t="e">
        <f>IF(#REF!,"AAAAAE/+/cg=",0)</f>
        <v>#REF!</v>
      </c>
      <c r="GT21" t="e">
        <f>IF(#REF!,"AAAAAE/+/ck=",0)</f>
        <v>#REF!</v>
      </c>
      <c r="GU21" t="e">
        <f>IF(#REF!,"AAAAAE/+/co=",0)</f>
        <v>#REF!</v>
      </c>
      <c r="GV21" t="e">
        <f>IF(#REF!,"AAAAAE/+/cs=",0)</f>
        <v>#REF!</v>
      </c>
      <c r="GW21" t="e">
        <f>IF(#REF!,"AAAAAE/+/cw=",0)</f>
        <v>#REF!</v>
      </c>
      <c r="GX21" t="e">
        <f>IF(#REF!,"AAAAAE/+/c0=",0)</f>
        <v>#REF!</v>
      </c>
      <c r="GY21" t="e">
        <f>IF(#REF!,"AAAAAE/+/c4=",0)</f>
        <v>#REF!</v>
      </c>
      <c r="GZ21" t="e">
        <f>IF(#REF!,"AAAAAE/+/c8=",0)</f>
        <v>#REF!</v>
      </c>
      <c r="HA21" t="e">
        <f>IF(#REF!,"AAAAAE/+/dA=",0)</f>
        <v>#REF!</v>
      </c>
      <c r="HB21" t="e">
        <f>IF(#REF!,"AAAAAE/+/dE=",0)</f>
        <v>#REF!</v>
      </c>
      <c r="HC21" t="e">
        <f>IF(#REF!,"AAAAAE/+/dI=",0)</f>
        <v>#REF!</v>
      </c>
      <c r="HD21" t="e">
        <f>IF(#REF!,"AAAAAE/+/dM=",0)</f>
        <v>#REF!</v>
      </c>
      <c r="HE21" t="e">
        <f>IF(#REF!,"AAAAAE/+/dQ=",0)</f>
        <v>#REF!</v>
      </c>
      <c r="HF21" t="e">
        <f>IF(#REF!,"AAAAAE/+/dU=",0)</f>
        <v>#REF!</v>
      </c>
      <c r="HG21" t="e">
        <f>IF(#REF!,"AAAAAE/+/dY=",0)</f>
        <v>#REF!</v>
      </c>
      <c r="HH21" t="e">
        <f>IF(#REF!,"AAAAAE/+/dc=",0)</f>
        <v>#REF!</v>
      </c>
      <c r="HI21" t="e">
        <f>IF(#REF!,"AAAAAE/+/dg=",0)</f>
        <v>#REF!</v>
      </c>
      <c r="HJ21" t="e">
        <f>IF(#REF!,"AAAAAE/+/dk=",0)</f>
        <v>#REF!</v>
      </c>
      <c r="HK21" t="e">
        <f>IF(#REF!,"AAAAAE/+/do=",0)</f>
        <v>#REF!</v>
      </c>
      <c r="HL21" t="e">
        <f>IF(#REF!,"AAAAAE/+/ds=",0)</f>
        <v>#REF!</v>
      </c>
      <c r="HM21" t="e">
        <f>IF(#REF!,"AAAAAE/+/dw=",0)</f>
        <v>#REF!</v>
      </c>
      <c r="HN21" t="e">
        <f>IF(#REF!,"AAAAAE/+/d0=",0)</f>
        <v>#REF!</v>
      </c>
      <c r="HO21" t="e">
        <f>IF(#REF!,"AAAAAE/+/d4=",0)</f>
        <v>#REF!</v>
      </c>
      <c r="HP21" t="e">
        <f>IF(#REF!,"AAAAAE/+/d8=",0)</f>
        <v>#REF!</v>
      </c>
      <c r="HQ21" t="e">
        <f>IF(#REF!,"AAAAAE/+/eA=",0)</f>
        <v>#REF!</v>
      </c>
      <c r="HR21" t="e">
        <f>IF(#REF!,"AAAAAE/+/eE=",0)</f>
        <v>#REF!</v>
      </c>
      <c r="HS21" t="e">
        <f>IF(#REF!,"AAAAAE/+/eI=",0)</f>
        <v>#REF!</v>
      </c>
      <c r="HT21" t="e">
        <f>IF(#REF!,"AAAAAE/+/eM=",0)</f>
        <v>#REF!</v>
      </c>
      <c r="HU21" t="e">
        <f>IF(#REF!,"AAAAAE/+/eQ=",0)</f>
        <v>#REF!</v>
      </c>
      <c r="HV21" t="e">
        <f>IF(#REF!,"AAAAAE/+/eU=",0)</f>
        <v>#REF!</v>
      </c>
      <c r="HW21" t="e">
        <f>IF(#REF!,"AAAAAE/+/eY=",0)</f>
        <v>#REF!</v>
      </c>
      <c r="HX21" t="e">
        <f>IF(#REF!,"AAAAAE/+/ec=",0)</f>
        <v>#REF!</v>
      </c>
      <c r="HY21" t="e">
        <f>IF(#REF!,"AAAAAE/+/eg=",0)</f>
        <v>#REF!</v>
      </c>
      <c r="HZ21" t="e">
        <f>IF(#REF!,"AAAAAE/+/ek=",0)</f>
        <v>#REF!</v>
      </c>
      <c r="IA21" t="e">
        <f>IF(#REF!,"AAAAAE/+/eo=",0)</f>
        <v>#REF!</v>
      </c>
      <c r="IB21" t="e">
        <f>IF(#REF!,"AAAAAE/+/es=",0)</f>
        <v>#REF!</v>
      </c>
      <c r="IC21" t="e">
        <f>IF(#REF!,"AAAAAE/+/ew=",0)</f>
        <v>#REF!</v>
      </c>
      <c r="ID21" t="e">
        <f>IF(#REF!,"AAAAAE/+/e0=",0)</f>
        <v>#REF!</v>
      </c>
      <c r="IE21" t="e">
        <f>IF(#REF!,"AAAAAE/+/e4=",0)</f>
        <v>#REF!</v>
      </c>
      <c r="IF21" t="e">
        <f>IF(#REF!,"AAAAAE/+/e8=",0)</f>
        <v>#REF!</v>
      </c>
      <c r="IG21" t="e">
        <f>IF(#REF!,"AAAAAE/+/fA=",0)</f>
        <v>#REF!</v>
      </c>
      <c r="IH21" t="e">
        <f>IF(#REF!,"AAAAAE/+/fE=",0)</f>
        <v>#REF!</v>
      </c>
      <c r="II21" t="e">
        <f>IF(#REF!,"AAAAAE/+/fI=",0)</f>
        <v>#REF!</v>
      </c>
      <c r="IJ21" t="e">
        <f>IF(#REF!,"AAAAAE/+/fM=",0)</f>
        <v>#REF!</v>
      </c>
      <c r="IK21" t="e">
        <f>IF(#REF!,"AAAAAE/+/fQ=",0)</f>
        <v>#REF!</v>
      </c>
      <c r="IL21" t="e">
        <f>IF(#REF!,"AAAAAE/+/fU=",0)</f>
        <v>#REF!</v>
      </c>
      <c r="IM21" t="e">
        <f>IF(#REF!,"AAAAAE/+/fY=",0)</f>
        <v>#REF!</v>
      </c>
      <c r="IN21" t="e">
        <f>IF(#REF!,"AAAAAE/+/fc=",0)</f>
        <v>#REF!</v>
      </c>
      <c r="IO21" t="e">
        <f>IF(#REF!,"AAAAAE/+/fg=",0)</f>
        <v>#REF!</v>
      </c>
      <c r="IP21" t="e">
        <f>IF(#REF!,"AAAAAE/+/fk=",0)</f>
        <v>#REF!</v>
      </c>
      <c r="IQ21" t="e">
        <f>IF(#REF!,"AAAAAE/+/fo=",0)</f>
        <v>#REF!</v>
      </c>
      <c r="IR21" t="e">
        <f>IF(#REF!,"AAAAAE/+/fs=",0)</f>
        <v>#REF!</v>
      </c>
      <c r="IS21" t="e">
        <f>IF(#REF!,"AAAAAE/+/fw=",0)</f>
        <v>#REF!</v>
      </c>
      <c r="IT21" t="e">
        <f>IF(#REF!,"AAAAAE/+/f0=",0)</f>
        <v>#REF!</v>
      </c>
      <c r="IU21" t="e">
        <f>IF(#REF!,"AAAAAE/+/f4=",0)</f>
        <v>#REF!</v>
      </c>
      <c r="IV21" t="e">
        <f>IF(#REF!,"AAAAAE/+/f8=",0)</f>
        <v>#REF!</v>
      </c>
    </row>
    <row r="22" spans="1:256" x14ac:dyDescent="0.25">
      <c r="A22" t="e">
        <f>IF(#REF!,"AAAAAH/ltwA=",0)</f>
        <v>#REF!</v>
      </c>
      <c r="B22" t="e">
        <f>IF(#REF!,"AAAAAH/ltwE=",0)</f>
        <v>#REF!</v>
      </c>
      <c r="C22" t="e">
        <f>IF(#REF!,"AAAAAH/ltwI=",0)</f>
        <v>#REF!</v>
      </c>
      <c r="D22" t="e">
        <f>IF(#REF!,"AAAAAH/ltwM=",0)</f>
        <v>#REF!</v>
      </c>
      <c r="E22" t="e">
        <f>IF(#REF!,"AAAAAH/ltwQ=",0)</f>
        <v>#REF!</v>
      </c>
      <c r="F22" t="e">
        <f>IF(#REF!,"AAAAAH/ltwU=",0)</f>
        <v>#REF!</v>
      </c>
      <c r="G22" t="e">
        <f>IF(#REF!,"AAAAAH/ltwY=",0)</f>
        <v>#REF!</v>
      </c>
      <c r="H22" t="e">
        <f>IF(#REF!,"AAAAAH/ltwc=",0)</f>
        <v>#REF!</v>
      </c>
      <c r="I22" t="e">
        <f>IF(#REF!,"AAAAAH/ltwg=",0)</f>
        <v>#REF!</v>
      </c>
      <c r="J22" t="e">
        <f>IF(#REF!,"AAAAAH/ltwk=",0)</f>
        <v>#REF!</v>
      </c>
      <c r="K22" t="e">
        <f>IF(#REF!,"AAAAAH/ltwo=",0)</f>
        <v>#REF!</v>
      </c>
      <c r="L22" t="e">
        <f>IF(#REF!,"AAAAAH/ltws=",0)</f>
        <v>#REF!</v>
      </c>
      <c r="M22" t="e">
        <f>IF(#REF!,"AAAAAH/ltww=",0)</f>
        <v>#REF!</v>
      </c>
      <c r="N22" t="e">
        <f>IF(#REF!,"AAAAAH/ltw0=",0)</f>
        <v>#REF!</v>
      </c>
      <c r="O22" t="e">
        <f>IF(#REF!,"AAAAAH/ltw4=",0)</f>
        <v>#REF!</v>
      </c>
      <c r="P22" t="e">
        <f>IF(#REF!,"AAAAAH/ltw8=",0)</f>
        <v>#REF!</v>
      </c>
      <c r="Q22" t="e">
        <f>IF(#REF!,"AAAAAH/ltxA=",0)</f>
        <v>#REF!</v>
      </c>
      <c r="R22" t="e">
        <f>IF(#REF!,"AAAAAH/ltxE=",0)</f>
        <v>#REF!</v>
      </c>
      <c r="S22" t="e">
        <f>IF(#REF!,"AAAAAH/ltxI=",0)</f>
        <v>#REF!</v>
      </c>
      <c r="T22" t="e">
        <f>IF(#REF!,"AAAAAH/ltxM=",0)</f>
        <v>#REF!</v>
      </c>
      <c r="U22" t="e">
        <f>IF(#REF!,"AAAAAH/ltxQ=",0)</f>
        <v>#REF!</v>
      </c>
      <c r="V22" t="e">
        <f>IF(#REF!,"AAAAAH/ltxU=",0)</f>
        <v>#REF!</v>
      </c>
      <c r="W22" t="e">
        <f>IF(#REF!,"AAAAAH/ltxY=",0)</f>
        <v>#REF!</v>
      </c>
      <c r="X22" t="e">
        <f>IF(#REF!,"AAAAAH/ltxc=",0)</f>
        <v>#REF!</v>
      </c>
      <c r="Y22" t="e">
        <f>IF(#REF!,"AAAAAH/ltxg=",0)</f>
        <v>#REF!</v>
      </c>
      <c r="Z22" t="e">
        <f>IF(#REF!,"AAAAAH/ltxk=",0)</f>
        <v>#REF!</v>
      </c>
      <c r="AA22" t="e">
        <f>IF(#REF!,"AAAAAH/ltxo=",0)</f>
        <v>#REF!</v>
      </c>
      <c r="AB22" t="e">
        <f>IF(#REF!,"AAAAAH/ltxs=",0)</f>
        <v>#REF!</v>
      </c>
      <c r="AC22" t="e">
        <f>IF(#REF!,"AAAAAH/ltxw=",0)</f>
        <v>#REF!</v>
      </c>
      <c r="AD22" t="e">
        <f>IF(#REF!,"AAAAAH/ltx0=",0)</f>
        <v>#REF!</v>
      </c>
      <c r="AE22" t="e">
        <f>IF(#REF!,"AAAAAH/ltx4=",0)</f>
        <v>#REF!</v>
      </c>
      <c r="AF22" t="e">
        <f>IF(#REF!,"AAAAAH/ltx8=",0)</f>
        <v>#REF!</v>
      </c>
      <c r="AG22" t="e">
        <f>IF(#REF!,"AAAAAH/ltyA=",0)</f>
        <v>#REF!</v>
      </c>
      <c r="AH22" t="e">
        <f>IF(#REF!,"AAAAAH/ltyE=",0)</f>
        <v>#REF!</v>
      </c>
      <c r="AI22" t="e">
        <f>IF(#REF!,"AAAAAH/ltyI=",0)</f>
        <v>#REF!</v>
      </c>
      <c r="AJ22" t="e">
        <f>IF(#REF!,"AAAAAH/ltyM=",0)</f>
        <v>#REF!</v>
      </c>
      <c r="AK22" t="e">
        <f>IF(#REF!,"AAAAAH/ltyQ=",0)</f>
        <v>#REF!</v>
      </c>
      <c r="AL22" t="e">
        <f>IF(#REF!,"AAAAAH/ltyU=",0)</f>
        <v>#REF!</v>
      </c>
      <c r="AM22" t="e">
        <f>IF(#REF!,"AAAAAH/ltyY=",0)</f>
        <v>#REF!</v>
      </c>
      <c r="AN22" t="e">
        <f>AND(#REF!,"AAAAAH/ltyc=")</f>
        <v>#REF!</v>
      </c>
      <c r="AO22" t="e">
        <f>AND(#REF!,"AAAAAH/ltyg=")</f>
        <v>#REF!</v>
      </c>
      <c r="AP22" t="e">
        <f>AND(#REF!,"AAAAAH/ltyk=")</f>
        <v>#REF!</v>
      </c>
      <c r="AQ22" t="e">
        <f>AND(#REF!,"AAAAAH/ltyo=")</f>
        <v>#REF!</v>
      </c>
      <c r="AR22" t="e">
        <f>AND(#REF!,"AAAAAH/ltys=")</f>
        <v>#REF!</v>
      </c>
      <c r="AS22" t="e">
        <f>AND(#REF!,"AAAAAH/ltyw=")</f>
        <v>#REF!</v>
      </c>
      <c r="AT22" t="e">
        <f>AND(#REF!,"AAAAAH/lty0=")</f>
        <v>#REF!</v>
      </c>
      <c r="AU22" t="e">
        <f>AND(#REF!,"AAAAAH/lty4=")</f>
        <v>#REF!</v>
      </c>
      <c r="AV22" t="e">
        <f>AND(#REF!,"AAAAAH/lty8=")</f>
        <v>#REF!</v>
      </c>
      <c r="AW22" t="e">
        <f>AND(#REF!,"AAAAAH/ltzA=")</f>
        <v>#REF!</v>
      </c>
      <c r="AX22" t="e">
        <f>AND(#REF!,"AAAAAH/ltzE=")</f>
        <v>#REF!</v>
      </c>
      <c r="AY22" t="e">
        <f>AND(#REF!,"AAAAAH/ltzI=")</f>
        <v>#REF!</v>
      </c>
      <c r="AZ22" t="e">
        <f>AND(#REF!,"AAAAAH/ltzM=")</f>
        <v>#REF!</v>
      </c>
      <c r="BA22" t="e">
        <f>AND(#REF!,"AAAAAH/ltzQ=")</f>
        <v>#REF!</v>
      </c>
      <c r="BB22" t="e">
        <f>AND(#REF!,"AAAAAH/ltzU=")</f>
        <v>#REF!</v>
      </c>
      <c r="BC22" t="e">
        <f>AND(#REF!,"AAAAAH/ltzY=")</f>
        <v>#REF!</v>
      </c>
      <c r="BD22" t="e">
        <f>AND(#REF!,"AAAAAH/ltzc=")</f>
        <v>#REF!</v>
      </c>
      <c r="BE22" t="e">
        <f>AND(#REF!,"AAAAAH/ltzg=")</f>
        <v>#REF!</v>
      </c>
      <c r="BF22" t="e">
        <f>AND(#REF!,"AAAAAH/ltzk=")</f>
        <v>#REF!</v>
      </c>
      <c r="BG22" t="e">
        <f>AND(#REF!,"AAAAAH/ltzo=")</f>
        <v>#REF!</v>
      </c>
      <c r="BH22" t="e">
        <f>AND(#REF!,"AAAAAH/ltzs=")</f>
        <v>#REF!</v>
      </c>
      <c r="BI22" t="e">
        <f>AND(#REF!,"AAAAAH/ltzw=")</f>
        <v>#REF!</v>
      </c>
      <c r="BJ22" t="e">
        <f>AND(#REF!,"AAAAAH/ltz0=")</f>
        <v>#REF!</v>
      </c>
      <c r="BK22" t="e">
        <f>AND(#REF!,"AAAAAH/ltz4=")</f>
        <v>#REF!</v>
      </c>
      <c r="BL22" t="e">
        <f>AND(#REF!,"AAAAAH/ltz8=")</f>
        <v>#REF!</v>
      </c>
      <c r="BM22" t="e">
        <f>AND(#REF!,"AAAAAH/lt0A=")</f>
        <v>#REF!</v>
      </c>
      <c r="BN22" t="e">
        <f>AND(#REF!,"AAAAAH/lt0E=")</f>
        <v>#REF!</v>
      </c>
      <c r="BO22" t="e">
        <f>AND(#REF!,"AAAAAH/lt0I=")</f>
        <v>#REF!</v>
      </c>
      <c r="BP22" t="e">
        <f>AND(#REF!,"AAAAAH/lt0M=")</f>
        <v>#REF!</v>
      </c>
      <c r="BQ22" t="e">
        <f>AND(#REF!,"AAAAAH/lt0Q=")</f>
        <v>#REF!</v>
      </c>
      <c r="BR22" t="e">
        <f>AND(#REF!,"AAAAAH/lt0U=")</f>
        <v>#REF!</v>
      </c>
      <c r="BS22" t="e">
        <f>AND(#REF!,"AAAAAH/lt0Y=")</f>
        <v>#REF!</v>
      </c>
      <c r="BT22" t="e">
        <f>AND(#REF!,"AAAAAH/lt0c=")</f>
        <v>#REF!</v>
      </c>
      <c r="BU22" t="e">
        <f>AND(#REF!,"AAAAAH/lt0g=")</f>
        <v>#REF!</v>
      </c>
      <c r="BV22" t="e">
        <f>AND(#REF!,"AAAAAH/lt0k=")</f>
        <v>#REF!</v>
      </c>
      <c r="BW22" t="e">
        <f>AND(#REF!,"AAAAAH/lt0o=")</f>
        <v>#REF!</v>
      </c>
      <c r="BX22" t="e">
        <f>AND(#REF!,"AAAAAH/lt0s=")</f>
        <v>#REF!</v>
      </c>
      <c r="BY22" t="e">
        <f>AND(#REF!,"AAAAAH/lt0w=")</f>
        <v>#REF!</v>
      </c>
      <c r="BZ22" t="e">
        <f>AND(#REF!,"AAAAAH/lt00=")</f>
        <v>#REF!</v>
      </c>
      <c r="CA22" t="e">
        <f>AND(#REF!,"AAAAAH/lt04=")</f>
        <v>#REF!</v>
      </c>
      <c r="CB22" t="e">
        <f>AND(#REF!,"AAAAAH/lt08=")</f>
        <v>#REF!</v>
      </c>
      <c r="CC22" t="e">
        <f>AND(#REF!,"AAAAAH/lt1A=")</f>
        <v>#REF!</v>
      </c>
      <c r="CD22" t="e">
        <f>AND(#REF!,"AAAAAH/lt1E=")</f>
        <v>#REF!</v>
      </c>
      <c r="CE22" t="e">
        <f>AND(#REF!,"AAAAAH/lt1I=")</f>
        <v>#REF!</v>
      </c>
      <c r="CF22" t="e">
        <f>AND(#REF!,"AAAAAH/lt1M=")</f>
        <v>#REF!</v>
      </c>
      <c r="CG22" t="e">
        <f>AND(#REF!,"AAAAAH/lt1Q=")</f>
        <v>#REF!</v>
      </c>
      <c r="CH22" t="e">
        <f>AND(#REF!,"AAAAAH/lt1U=")</f>
        <v>#REF!</v>
      </c>
      <c r="CI22" t="e">
        <f>AND(#REF!,"AAAAAH/lt1Y=")</f>
        <v>#REF!</v>
      </c>
      <c r="CJ22" t="e">
        <f>AND(#REF!,"AAAAAH/lt1c=")</f>
        <v>#REF!</v>
      </c>
      <c r="CK22" t="e">
        <f>AND(#REF!,"AAAAAH/lt1g=")</f>
        <v>#REF!</v>
      </c>
      <c r="CL22" t="e">
        <f>AND(#REF!,"AAAAAH/lt1k=")</f>
        <v>#REF!</v>
      </c>
      <c r="CM22" t="e">
        <f>AND(#REF!,"AAAAAH/lt1o=")</f>
        <v>#REF!</v>
      </c>
      <c r="CN22" t="e">
        <f>AND(#REF!,"AAAAAH/lt1s=")</f>
        <v>#REF!</v>
      </c>
      <c r="CO22" t="e">
        <f>AND(#REF!,"AAAAAH/lt1w=")</f>
        <v>#REF!</v>
      </c>
      <c r="CP22" t="e">
        <f>AND(#REF!,"AAAAAH/lt10=")</f>
        <v>#REF!</v>
      </c>
      <c r="CQ22" t="e">
        <f>AND(#REF!,"AAAAAH/lt14=")</f>
        <v>#REF!</v>
      </c>
      <c r="CR22" t="e">
        <f>AND(#REF!,"AAAAAH/lt18=")</f>
        <v>#REF!</v>
      </c>
      <c r="CS22" t="e">
        <f>AND(#REF!,"AAAAAH/lt2A=")</f>
        <v>#REF!</v>
      </c>
      <c r="CT22" t="e">
        <f>AND(#REF!,"AAAAAH/lt2E=")</f>
        <v>#REF!</v>
      </c>
      <c r="CU22" t="e">
        <f>AND(#REF!,"AAAAAH/lt2I=")</f>
        <v>#REF!</v>
      </c>
      <c r="CV22" t="e">
        <f>AND(#REF!,"AAAAAH/lt2M=")</f>
        <v>#REF!</v>
      </c>
      <c r="CW22" t="e">
        <f>AND(#REF!,"AAAAAH/lt2Q=")</f>
        <v>#REF!</v>
      </c>
      <c r="CX22" t="e">
        <f>AND(#REF!,"AAAAAH/lt2U=")</f>
        <v>#REF!</v>
      </c>
      <c r="CY22" t="e">
        <f>AND(#REF!,"AAAAAH/lt2Y=")</f>
        <v>#REF!</v>
      </c>
      <c r="CZ22" t="e">
        <f>AND(#REF!,"AAAAAH/lt2c=")</f>
        <v>#REF!</v>
      </c>
      <c r="DA22" t="e">
        <f>AND(#REF!,"AAAAAH/lt2g=")</f>
        <v>#REF!</v>
      </c>
      <c r="DB22" t="e">
        <f>AND(#REF!,"AAAAAH/lt2k=")</f>
        <v>#REF!</v>
      </c>
      <c r="DC22" t="e">
        <f>AND(#REF!,"AAAAAH/lt2o=")</f>
        <v>#REF!</v>
      </c>
      <c r="DD22" t="e">
        <f>AND(#REF!,"AAAAAH/lt2s=")</f>
        <v>#REF!</v>
      </c>
      <c r="DE22" t="e">
        <f>AND(#REF!,"AAAAAH/lt2w=")</f>
        <v>#REF!</v>
      </c>
      <c r="DF22" t="e">
        <f>AND(#REF!,"AAAAAH/lt20=")</f>
        <v>#REF!</v>
      </c>
      <c r="DG22" t="e">
        <f>AND(#REF!,"AAAAAH/lt24=")</f>
        <v>#REF!</v>
      </c>
      <c r="DH22" t="e">
        <f>AND(#REF!,"AAAAAH/lt28=")</f>
        <v>#REF!</v>
      </c>
      <c r="DI22" t="e">
        <f>AND(#REF!,"AAAAAH/lt3A=")</f>
        <v>#REF!</v>
      </c>
      <c r="DJ22" t="e">
        <f>AND(#REF!,"AAAAAH/lt3E=")</f>
        <v>#REF!</v>
      </c>
      <c r="DK22" t="e">
        <f>AND(#REF!,"AAAAAH/lt3I=")</f>
        <v>#REF!</v>
      </c>
      <c r="DL22" t="e">
        <f>AND(#REF!,"AAAAAH/lt3M=")</f>
        <v>#REF!</v>
      </c>
      <c r="DM22" t="e">
        <f>AND(#REF!,"AAAAAH/lt3Q=")</f>
        <v>#REF!</v>
      </c>
      <c r="DN22" t="e">
        <f>AND(#REF!,"AAAAAH/lt3U=")</f>
        <v>#REF!</v>
      </c>
      <c r="DO22" t="e">
        <f>AND(#REF!,"AAAAAH/lt3Y=")</f>
        <v>#REF!</v>
      </c>
      <c r="DP22" t="e">
        <f>AND(#REF!,"AAAAAH/lt3c=")</f>
        <v>#REF!</v>
      </c>
      <c r="DQ22" t="e">
        <f>AND(#REF!,"AAAAAH/lt3g=")</f>
        <v>#REF!</v>
      </c>
      <c r="DR22" t="e">
        <f>AND(#REF!,"AAAAAH/lt3k=")</f>
        <v>#REF!</v>
      </c>
      <c r="DS22" t="e">
        <f>AND(#REF!,"AAAAAH/lt3o=")</f>
        <v>#REF!</v>
      </c>
      <c r="DT22" t="e">
        <f>AND(#REF!,"AAAAAH/lt3s=")</f>
        <v>#REF!</v>
      </c>
      <c r="DU22" t="e">
        <f>AND(#REF!,"AAAAAH/lt3w=")</f>
        <v>#REF!</v>
      </c>
      <c r="DV22" t="e">
        <f>AND(#REF!,"AAAAAH/lt30=")</f>
        <v>#REF!</v>
      </c>
      <c r="DW22" t="e">
        <f>AND(#REF!,"AAAAAH/lt34=")</f>
        <v>#REF!</v>
      </c>
      <c r="DX22" t="e">
        <f>AND(#REF!,"AAAAAH/lt38=")</f>
        <v>#REF!</v>
      </c>
      <c r="DY22" t="e">
        <f>AND(#REF!,"AAAAAH/lt4A=")</f>
        <v>#REF!</v>
      </c>
      <c r="DZ22" t="e">
        <f>AND(#REF!,"AAAAAH/lt4E=")</f>
        <v>#REF!</v>
      </c>
      <c r="EA22" t="e">
        <f>AND(#REF!,"AAAAAH/lt4I=")</f>
        <v>#REF!</v>
      </c>
      <c r="EB22" t="e">
        <f>AND(#REF!,"AAAAAH/lt4M=")</f>
        <v>#REF!</v>
      </c>
      <c r="EC22" t="e">
        <f>AND(#REF!,"AAAAAH/lt4Q=")</f>
        <v>#REF!</v>
      </c>
      <c r="ED22" t="e">
        <f>AND(#REF!,"AAAAAH/lt4U=")</f>
        <v>#REF!</v>
      </c>
      <c r="EE22" t="e">
        <f>AND(#REF!,"AAAAAH/lt4Y=")</f>
        <v>#REF!</v>
      </c>
      <c r="EF22" t="e">
        <f>AND(#REF!,"AAAAAH/lt4c=")</f>
        <v>#REF!</v>
      </c>
      <c r="EG22" t="e">
        <f>AND(#REF!,"AAAAAH/lt4g=")</f>
        <v>#REF!</v>
      </c>
      <c r="EH22" t="e">
        <f>AND(#REF!,"AAAAAH/lt4k=")</f>
        <v>#REF!</v>
      </c>
      <c r="EI22" t="e">
        <f>AND(#REF!,"AAAAAH/lt4o=")</f>
        <v>#REF!</v>
      </c>
      <c r="EJ22" t="e">
        <f>AND(#REF!,"AAAAAH/lt4s=")</f>
        <v>#REF!</v>
      </c>
      <c r="EK22" t="e">
        <f>AND(#REF!,"AAAAAH/lt4w=")</f>
        <v>#REF!</v>
      </c>
      <c r="EL22" t="e">
        <f>AND(#REF!,"AAAAAH/lt40=")</f>
        <v>#REF!</v>
      </c>
      <c r="EM22" t="e">
        <f>AND(#REF!,"AAAAAH/lt44=")</f>
        <v>#REF!</v>
      </c>
      <c r="EN22" t="e">
        <f>AND(#REF!,"AAAAAH/lt48=")</f>
        <v>#REF!</v>
      </c>
      <c r="EO22" t="e">
        <f>AND(#REF!,"AAAAAH/lt5A=")</f>
        <v>#REF!</v>
      </c>
      <c r="EP22" t="e">
        <f>AND(#REF!,"AAAAAH/lt5E=")</f>
        <v>#REF!</v>
      </c>
      <c r="EQ22" t="e">
        <f>AND(#REF!,"AAAAAH/lt5I=")</f>
        <v>#REF!</v>
      </c>
      <c r="ER22" t="e">
        <f>AND(#REF!,"AAAAAH/lt5M=")</f>
        <v>#REF!</v>
      </c>
      <c r="ES22" t="e">
        <f>AND(#REF!,"AAAAAH/lt5Q=")</f>
        <v>#REF!</v>
      </c>
      <c r="ET22" t="e">
        <f>AND(#REF!,"AAAAAH/lt5U=")</f>
        <v>#REF!</v>
      </c>
      <c r="EU22" t="e">
        <f>AND(#REF!,"AAAAAH/lt5Y=")</f>
        <v>#REF!</v>
      </c>
      <c r="EV22" t="e">
        <f>AND(#REF!,"AAAAAH/lt5c=")</f>
        <v>#REF!</v>
      </c>
      <c r="EW22" t="e">
        <f>AND(#REF!,"AAAAAH/lt5g=")</f>
        <v>#REF!</v>
      </c>
      <c r="EX22" t="e">
        <f>AND(#REF!,"AAAAAH/lt5k=")</f>
        <v>#REF!</v>
      </c>
      <c r="EY22" t="e">
        <f>AND(#REF!,"AAAAAH/lt5o=")</f>
        <v>#REF!</v>
      </c>
      <c r="EZ22" t="e">
        <f>AND(#REF!,"AAAAAH/lt5s=")</f>
        <v>#REF!</v>
      </c>
      <c r="FA22" t="e">
        <f>AND(#REF!,"AAAAAH/lt5w=")</f>
        <v>#REF!</v>
      </c>
      <c r="FB22" t="e">
        <f>AND(#REF!,"AAAAAH/lt50=")</f>
        <v>#REF!</v>
      </c>
      <c r="FC22" t="e">
        <f>AND(#REF!,"AAAAAH/lt54=")</f>
        <v>#REF!</v>
      </c>
      <c r="FD22" t="e">
        <f>AND(#REF!,"AAAAAH/lt58=")</f>
        <v>#REF!</v>
      </c>
      <c r="FE22" t="e">
        <f>AND(#REF!,"AAAAAH/lt6A=")</f>
        <v>#REF!</v>
      </c>
      <c r="FF22" t="e">
        <f>AND(#REF!,"AAAAAH/lt6E=")</f>
        <v>#REF!</v>
      </c>
      <c r="FG22" t="e">
        <f>AND(#REF!,"AAAAAH/lt6I=")</f>
        <v>#REF!</v>
      </c>
      <c r="FH22" t="e">
        <f>AND(#REF!,"AAAAAH/lt6M=")</f>
        <v>#REF!</v>
      </c>
      <c r="FI22" t="e">
        <f>AND(#REF!,"AAAAAH/lt6Q=")</f>
        <v>#REF!</v>
      </c>
      <c r="FJ22" t="e">
        <f>AND(#REF!,"AAAAAH/lt6U=")</f>
        <v>#REF!</v>
      </c>
      <c r="FK22" t="e">
        <f>AND(#REF!,"AAAAAH/lt6Y=")</f>
        <v>#REF!</v>
      </c>
      <c r="FL22" t="e">
        <f>AND(#REF!,"AAAAAH/lt6c=")</f>
        <v>#REF!</v>
      </c>
      <c r="FM22" t="e">
        <f>AND(#REF!,"AAAAAH/lt6g=")</f>
        <v>#REF!</v>
      </c>
      <c r="FN22" t="e">
        <f>AND(#REF!,"AAAAAH/lt6k=")</f>
        <v>#REF!</v>
      </c>
      <c r="FO22" t="e">
        <f>AND(#REF!,"AAAAAH/lt6o=")</f>
        <v>#REF!</v>
      </c>
      <c r="FP22" t="e">
        <f>AND(#REF!,"AAAAAH/lt6s=")</f>
        <v>#REF!</v>
      </c>
      <c r="FQ22" t="e">
        <f>AND(#REF!,"AAAAAH/lt6w=")</f>
        <v>#REF!</v>
      </c>
      <c r="FR22" t="e">
        <f>AND(#REF!,"AAAAAH/lt60=")</f>
        <v>#REF!</v>
      </c>
      <c r="FS22" t="e">
        <f>AND(#REF!,"AAAAAH/lt64=")</f>
        <v>#REF!</v>
      </c>
      <c r="FT22" t="e">
        <f>AND(#REF!,"AAAAAH/lt68=")</f>
        <v>#REF!</v>
      </c>
      <c r="FU22" t="e">
        <f>AND(#REF!,"AAAAAH/lt7A=")</f>
        <v>#REF!</v>
      </c>
      <c r="FV22" t="e">
        <f>AND(#REF!,"AAAAAH/lt7E=")</f>
        <v>#REF!</v>
      </c>
      <c r="FW22" t="e">
        <f>AND(#REF!,"AAAAAH/lt7I=")</f>
        <v>#REF!</v>
      </c>
      <c r="FX22" t="e">
        <f>AND(#REF!,"AAAAAH/lt7M=")</f>
        <v>#REF!</v>
      </c>
      <c r="FY22" t="e">
        <f>AND(#REF!,"AAAAAH/lt7Q=")</f>
        <v>#REF!</v>
      </c>
      <c r="FZ22" t="e">
        <f>AND(#REF!,"AAAAAH/lt7U=")</f>
        <v>#REF!</v>
      </c>
      <c r="GA22" t="e">
        <f>AND(#REF!,"AAAAAH/lt7Y=")</f>
        <v>#REF!</v>
      </c>
      <c r="GB22" t="e">
        <f>AND(#REF!,"AAAAAH/lt7c=")</f>
        <v>#REF!</v>
      </c>
      <c r="GC22" t="e">
        <f>AND(#REF!,"AAAAAH/lt7g=")</f>
        <v>#REF!</v>
      </c>
      <c r="GD22" t="e">
        <f>AND(#REF!,"AAAAAH/lt7k=")</f>
        <v>#REF!</v>
      </c>
      <c r="GE22" t="e">
        <f>AND(#REF!,"AAAAAH/lt7o=")</f>
        <v>#REF!</v>
      </c>
      <c r="GF22" t="e">
        <f>AND(#REF!,"AAAAAH/lt7s=")</f>
        <v>#REF!</v>
      </c>
      <c r="GG22" t="e">
        <f>AND(#REF!,"AAAAAH/lt7w=")</f>
        <v>#REF!</v>
      </c>
      <c r="GH22" t="e">
        <f>AND(#REF!,"AAAAAH/lt70=")</f>
        <v>#REF!</v>
      </c>
      <c r="GI22" t="e">
        <f>AND(#REF!,"AAAAAH/lt74=")</f>
        <v>#REF!</v>
      </c>
      <c r="GJ22" t="e">
        <f>AND(#REF!,"AAAAAH/lt78=")</f>
        <v>#REF!</v>
      </c>
      <c r="GK22" t="e">
        <f>AND(#REF!,"AAAAAH/lt8A=")</f>
        <v>#REF!</v>
      </c>
      <c r="GL22" t="e">
        <f>AND(#REF!,"AAAAAH/lt8E=")</f>
        <v>#REF!</v>
      </c>
      <c r="GM22" t="e">
        <f>AND(#REF!,"AAAAAH/lt8I=")</f>
        <v>#REF!</v>
      </c>
      <c r="GN22" t="e">
        <f>AND(#REF!,"AAAAAH/lt8M=")</f>
        <v>#REF!</v>
      </c>
      <c r="GO22" t="e">
        <f>AND(#REF!,"AAAAAH/lt8Q=")</f>
        <v>#REF!</v>
      </c>
      <c r="GP22" t="e">
        <f>AND(#REF!,"AAAAAH/lt8U=")</f>
        <v>#REF!</v>
      </c>
      <c r="GQ22" t="e">
        <f>AND(#REF!,"AAAAAH/lt8Y=")</f>
        <v>#REF!</v>
      </c>
      <c r="GR22" t="e">
        <f>AND(#REF!,"AAAAAH/lt8c=")</f>
        <v>#REF!</v>
      </c>
      <c r="GS22" t="e">
        <f>AND(#REF!,"AAAAAH/lt8g=")</f>
        <v>#REF!</v>
      </c>
      <c r="GT22" t="e">
        <f>AND(#REF!,"AAAAAH/lt8k=")</f>
        <v>#REF!</v>
      </c>
      <c r="GU22" t="e">
        <f>AND(#REF!,"AAAAAH/lt8o=")</f>
        <v>#REF!</v>
      </c>
      <c r="GV22" t="e">
        <f>AND(#REF!,"AAAAAH/lt8s=")</f>
        <v>#REF!</v>
      </c>
      <c r="GW22" t="e">
        <f>AND(#REF!,"AAAAAH/lt8w=")</f>
        <v>#REF!</v>
      </c>
      <c r="GX22" t="e">
        <f>AND(#REF!,"AAAAAH/lt80=")</f>
        <v>#REF!</v>
      </c>
      <c r="GY22" t="e">
        <f>AND(#REF!,"AAAAAH/lt84=")</f>
        <v>#REF!</v>
      </c>
      <c r="GZ22" t="e">
        <f>AND(#REF!,"AAAAAH/lt88=")</f>
        <v>#REF!</v>
      </c>
      <c r="HA22" t="e">
        <f>AND(#REF!,"AAAAAH/lt9A=")</f>
        <v>#REF!</v>
      </c>
      <c r="HB22" t="e">
        <f>AND(#REF!,"AAAAAH/lt9E=")</f>
        <v>#REF!</v>
      </c>
      <c r="HC22" t="e">
        <f>AND(#REF!,"AAAAAH/lt9I=")</f>
        <v>#REF!</v>
      </c>
      <c r="HD22" t="e">
        <f>AND(#REF!,"AAAAAH/lt9M=")</f>
        <v>#REF!</v>
      </c>
      <c r="HE22" t="e">
        <f>AND(#REF!,"AAAAAH/lt9Q=")</f>
        <v>#REF!</v>
      </c>
      <c r="HF22" t="e">
        <f>AND(#REF!,"AAAAAH/lt9U=")</f>
        <v>#REF!</v>
      </c>
      <c r="HG22" t="e">
        <f>AND(#REF!,"AAAAAH/lt9Y=")</f>
        <v>#REF!</v>
      </c>
      <c r="HH22" t="e">
        <f>IF(#REF!,"AAAAAH/lt9c=",0)</f>
        <v>#REF!</v>
      </c>
      <c r="HI22" t="e">
        <f>AND(#REF!,"AAAAAH/lt9g=")</f>
        <v>#REF!</v>
      </c>
      <c r="HJ22" t="e">
        <f>AND(#REF!,"AAAAAH/lt9k=")</f>
        <v>#REF!</v>
      </c>
      <c r="HK22" t="e">
        <f>AND(#REF!,"AAAAAH/lt9o=")</f>
        <v>#REF!</v>
      </c>
      <c r="HL22" t="e">
        <f>AND(#REF!,"AAAAAH/lt9s=")</f>
        <v>#REF!</v>
      </c>
      <c r="HM22" t="e">
        <f>AND(#REF!,"AAAAAH/lt9w=")</f>
        <v>#REF!</v>
      </c>
      <c r="HN22" t="e">
        <f>AND(#REF!,"AAAAAH/lt90=")</f>
        <v>#REF!</v>
      </c>
      <c r="HO22" t="e">
        <f>AND(#REF!,"AAAAAH/lt94=")</f>
        <v>#REF!</v>
      </c>
      <c r="HP22" t="e">
        <f>AND(#REF!,"AAAAAH/lt98=")</f>
        <v>#REF!</v>
      </c>
      <c r="HQ22" t="e">
        <f>AND(#REF!,"AAAAAH/lt+A=")</f>
        <v>#REF!</v>
      </c>
      <c r="HR22" t="e">
        <f>AND(#REF!,"AAAAAH/lt+E=")</f>
        <v>#REF!</v>
      </c>
      <c r="HS22" t="e">
        <f>AND(#REF!,"AAAAAH/lt+I=")</f>
        <v>#REF!</v>
      </c>
      <c r="HT22" t="e">
        <f>AND(#REF!,"AAAAAH/lt+M=")</f>
        <v>#REF!</v>
      </c>
      <c r="HU22" t="e">
        <f>AND(#REF!,"AAAAAH/lt+Q=")</f>
        <v>#REF!</v>
      </c>
      <c r="HV22" t="e">
        <f>AND(#REF!,"AAAAAH/lt+U=")</f>
        <v>#REF!</v>
      </c>
      <c r="HW22" t="e">
        <f>AND(#REF!,"AAAAAH/lt+Y=")</f>
        <v>#REF!</v>
      </c>
      <c r="HX22" t="e">
        <f>AND(#REF!,"AAAAAH/lt+c=")</f>
        <v>#REF!</v>
      </c>
      <c r="HY22" t="e">
        <f>AND(#REF!,"AAAAAH/lt+g=")</f>
        <v>#REF!</v>
      </c>
      <c r="HZ22" t="e">
        <f>AND(#REF!,"AAAAAH/lt+k=")</f>
        <v>#REF!</v>
      </c>
      <c r="IA22" t="e">
        <f>AND(#REF!,"AAAAAH/lt+o=")</f>
        <v>#REF!</v>
      </c>
      <c r="IB22" t="e">
        <f>AND(#REF!,"AAAAAH/lt+s=")</f>
        <v>#REF!</v>
      </c>
      <c r="IC22" t="e">
        <f>AND(#REF!,"AAAAAH/lt+w=")</f>
        <v>#REF!</v>
      </c>
      <c r="ID22" t="e">
        <f>AND(#REF!,"AAAAAH/lt+0=")</f>
        <v>#REF!</v>
      </c>
      <c r="IE22" t="e">
        <f>AND(#REF!,"AAAAAH/lt+4=")</f>
        <v>#REF!</v>
      </c>
      <c r="IF22" t="e">
        <f>AND(#REF!,"AAAAAH/lt+8=")</f>
        <v>#REF!</v>
      </c>
      <c r="IG22" t="e">
        <f>AND(#REF!,"AAAAAH/lt/A=")</f>
        <v>#REF!</v>
      </c>
      <c r="IH22" t="e">
        <f>AND(#REF!,"AAAAAH/lt/E=")</f>
        <v>#REF!</v>
      </c>
      <c r="II22" t="e">
        <f>AND(#REF!,"AAAAAH/lt/I=")</f>
        <v>#REF!</v>
      </c>
      <c r="IJ22" t="e">
        <f>AND(#REF!,"AAAAAH/lt/M=")</f>
        <v>#REF!</v>
      </c>
      <c r="IK22" t="e">
        <f>AND(#REF!,"AAAAAH/lt/Q=")</f>
        <v>#REF!</v>
      </c>
      <c r="IL22" t="e">
        <f>AND(#REF!,"AAAAAH/lt/U=")</f>
        <v>#REF!</v>
      </c>
      <c r="IM22" t="e">
        <f>AND(#REF!,"AAAAAH/lt/Y=")</f>
        <v>#REF!</v>
      </c>
      <c r="IN22" t="e">
        <f>AND(#REF!,"AAAAAH/lt/c=")</f>
        <v>#REF!</v>
      </c>
      <c r="IO22" t="e">
        <f>AND(#REF!,"AAAAAH/lt/g=")</f>
        <v>#REF!</v>
      </c>
      <c r="IP22" t="e">
        <f>AND(#REF!,"AAAAAH/lt/k=")</f>
        <v>#REF!</v>
      </c>
      <c r="IQ22" t="e">
        <f>AND(#REF!,"AAAAAH/lt/o=")</f>
        <v>#REF!</v>
      </c>
      <c r="IR22" t="e">
        <f>AND(#REF!,"AAAAAH/lt/s=")</f>
        <v>#REF!</v>
      </c>
      <c r="IS22" t="e">
        <f>AND(#REF!,"AAAAAH/lt/w=")</f>
        <v>#REF!</v>
      </c>
      <c r="IT22" t="e">
        <f>AND(#REF!,"AAAAAH/lt/0=")</f>
        <v>#REF!</v>
      </c>
      <c r="IU22" t="e">
        <f>AND(#REF!,"AAAAAH/lt/4=")</f>
        <v>#REF!</v>
      </c>
      <c r="IV22" t="e">
        <f>AND(#REF!,"AAAAAH/lt/8=")</f>
        <v>#REF!</v>
      </c>
    </row>
    <row r="23" spans="1:256" x14ac:dyDescent="0.25">
      <c r="A23" t="e">
        <f>AND(#REF!,"AAAAACtdcwA=")</f>
        <v>#REF!</v>
      </c>
      <c r="B23" t="e">
        <f>AND(#REF!,"AAAAACtdcwE=")</f>
        <v>#REF!</v>
      </c>
      <c r="C23" t="e">
        <f>AND(#REF!,"AAAAACtdcwI=")</f>
        <v>#REF!</v>
      </c>
      <c r="D23" t="e">
        <f>AND(#REF!,"AAAAACtdcwM=")</f>
        <v>#REF!</v>
      </c>
      <c r="E23" t="e">
        <f>AND(#REF!,"AAAAACtdcwQ=")</f>
        <v>#REF!</v>
      </c>
      <c r="F23" t="e">
        <f>AND(#REF!,"AAAAACtdcwU=")</f>
        <v>#REF!</v>
      </c>
      <c r="G23" t="e">
        <f>AND(#REF!,"AAAAACtdcwY=")</f>
        <v>#REF!</v>
      </c>
      <c r="H23" t="e">
        <f>AND(#REF!,"AAAAACtdcwc=")</f>
        <v>#REF!</v>
      </c>
      <c r="I23" t="e">
        <f>AND(#REF!,"AAAAACtdcwg=")</f>
        <v>#REF!</v>
      </c>
      <c r="J23" t="e">
        <f>AND(#REF!,"AAAAACtdcwk=")</f>
        <v>#REF!</v>
      </c>
      <c r="K23" t="e">
        <f>AND(#REF!,"AAAAACtdcwo=")</f>
        <v>#REF!</v>
      </c>
      <c r="L23" t="e">
        <f>AND(#REF!,"AAAAACtdcws=")</f>
        <v>#REF!</v>
      </c>
      <c r="M23" t="e">
        <f>AND(#REF!,"AAAAACtdcww=")</f>
        <v>#REF!</v>
      </c>
      <c r="N23" t="e">
        <f>AND(#REF!,"AAAAACtdcw0=")</f>
        <v>#REF!</v>
      </c>
      <c r="O23" t="e">
        <f>AND(#REF!,"AAAAACtdcw4=")</f>
        <v>#REF!</v>
      </c>
      <c r="P23" t="e">
        <f>AND(#REF!,"AAAAACtdcw8=")</f>
        <v>#REF!</v>
      </c>
      <c r="Q23" t="e">
        <f>AND(#REF!,"AAAAACtdcxA=")</f>
        <v>#REF!</v>
      </c>
      <c r="R23" t="e">
        <f>AND(#REF!,"AAAAACtdcxE=")</f>
        <v>#REF!</v>
      </c>
      <c r="S23" t="e">
        <f>AND(#REF!,"AAAAACtdcxI=")</f>
        <v>#REF!</v>
      </c>
      <c r="T23" t="e">
        <f>AND(#REF!,"AAAAACtdcxM=")</f>
        <v>#REF!</v>
      </c>
      <c r="U23" t="e">
        <f>AND(#REF!,"AAAAACtdcxQ=")</f>
        <v>#REF!</v>
      </c>
      <c r="V23" t="e">
        <f>AND(#REF!,"AAAAACtdcxU=")</f>
        <v>#REF!</v>
      </c>
      <c r="W23" t="e">
        <f>AND(#REF!,"AAAAACtdcxY=")</f>
        <v>#REF!</v>
      </c>
      <c r="X23" t="e">
        <f>AND(#REF!,"AAAAACtdcxc=")</f>
        <v>#REF!</v>
      </c>
      <c r="Y23" t="e">
        <f>AND(#REF!,"AAAAACtdcxg=")</f>
        <v>#REF!</v>
      </c>
      <c r="Z23" t="e">
        <f>AND(#REF!,"AAAAACtdcxk=")</f>
        <v>#REF!</v>
      </c>
      <c r="AA23" t="e">
        <f>AND(#REF!,"AAAAACtdcxo=")</f>
        <v>#REF!</v>
      </c>
      <c r="AB23" t="e">
        <f>AND(#REF!,"AAAAACtdcxs=")</f>
        <v>#REF!</v>
      </c>
      <c r="AC23" t="e">
        <f>AND(#REF!,"AAAAACtdcxw=")</f>
        <v>#REF!</v>
      </c>
      <c r="AD23" t="e">
        <f>AND(#REF!,"AAAAACtdcx0=")</f>
        <v>#REF!</v>
      </c>
      <c r="AE23" t="e">
        <f>AND(#REF!,"AAAAACtdcx4=")</f>
        <v>#REF!</v>
      </c>
      <c r="AF23" t="e">
        <f>AND(#REF!,"AAAAACtdcx8=")</f>
        <v>#REF!</v>
      </c>
      <c r="AG23" t="e">
        <f>AND(#REF!,"AAAAACtdcyA=")</f>
        <v>#REF!</v>
      </c>
      <c r="AH23" t="e">
        <f>AND(#REF!,"AAAAACtdcyE=")</f>
        <v>#REF!</v>
      </c>
      <c r="AI23" t="e">
        <f>AND(#REF!,"AAAAACtdcyI=")</f>
        <v>#REF!</v>
      </c>
      <c r="AJ23" t="e">
        <f>AND(#REF!,"AAAAACtdcyM=")</f>
        <v>#REF!</v>
      </c>
      <c r="AK23" t="e">
        <f>AND(#REF!,"AAAAACtdcyQ=")</f>
        <v>#REF!</v>
      </c>
      <c r="AL23" t="e">
        <f>AND(#REF!,"AAAAACtdcyU=")</f>
        <v>#REF!</v>
      </c>
      <c r="AM23" t="e">
        <f>AND(#REF!,"AAAAACtdcyY=")</f>
        <v>#REF!</v>
      </c>
      <c r="AN23" t="e">
        <f>AND(#REF!,"AAAAACtdcyc=")</f>
        <v>#REF!</v>
      </c>
      <c r="AO23" t="e">
        <f>AND(#REF!,"AAAAACtdcyg=")</f>
        <v>#REF!</v>
      </c>
      <c r="AP23" t="e">
        <f>AND(#REF!,"AAAAACtdcyk=")</f>
        <v>#REF!</v>
      </c>
      <c r="AQ23" t="e">
        <f>AND(#REF!,"AAAAACtdcyo=")</f>
        <v>#REF!</v>
      </c>
      <c r="AR23" t="e">
        <f>AND(#REF!,"AAAAACtdcys=")</f>
        <v>#REF!</v>
      </c>
      <c r="AS23" t="e">
        <f>AND(#REF!,"AAAAACtdcyw=")</f>
        <v>#REF!</v>
      </c>
      <c r="AT23" t="e">
        <f>AND(#REF!,"AAAAACtdcy0=")</f>
        <v>#REF!</v>
      </c>
      <c r="AU23" t="e">
        <f>AND(#REF!,"AAAAACtdcy4=")</f>
        <v>#REF!</v>
      </c>
      <c r="AV23" t="e">
        <f>AND(#REF!,"AAAAACtdcy8=")</f>
        <v>#REF!</v>
      </c>
      <c r="AW23" t="e">
        <f>AND(#REF!,"AAAAACtdczA=")</f>
        <v>#REF!</v>
      </c>
      <c r="AX23" t="e">
        <f>AND(#REF!,"AAAAACtdczE=")</f>
        <v>#REF!</v>
      </c>
      <c r="AY23" t="e">
        <f>AND(#REF!,"AAAAACtdczI=")</f>
        <v>#REF!</v>
      </c>
      <c r="AZ23" t="e">
        <f>AND(#REF!,"AAAAACtdczM=")</f>
        <v>#REF!</v>
      </c>
      <c r="BA23" t="e">
        <f>AND(#REF!,"AAAAACtdczQ=")</f>
        <v>#REF!</v>
      </c>
      <c r="BB23" t="e">
        <f>AND(#REF!,"AAAAACtdczU=")</f>
        <v>#REF!</v>
      </c>
      <c r="BC23" t="e">
        <f>AND(#REF!,"AAAAACtdczY=")</f>
        <v>#REF!</v>
      </c>
      <c r="BD23" t="e">
        <f>AND(#REF!,"AAAAACtdczc=")</f>
        <v>#REF!</v>
      </c>
      <c r="BE23" t="e">
        <f>AND(#REF!,"AAAAACtdczg=")</f>
        <v>#REF!</v>
      </c>
      <c r="BF23" t="e">
        <f>AND(#REF!,"AAAAACtdczk=")</f>
        <v>#REF!</v>
      </c>
      <c r="BG23" t="e">
        <f>AND(#REF!,"AAAAACtdczo=")</f>
        <v>#REF!</v>
      </c>
      <c r="BH23" t="e">
        <f>AND(#REF!,"AAAAACtdczs=")</f>
        <v>#REF!</v>
      </c>
      <c r="BI23" t="e">
        <f>AND(#REF!,"AAAAACtdczw=")</f>
        <v>#REF!</v>
      </c>
      <c r="BJ23" t="e">
        <f>AND(#REF!,"AAAAACtdcz0=")</f>
        <v>#REF!</v>
      </c>
      <c r="BK23" t="e">
        <f>AND(#REF!,"AAAAACtdcz4=")</f>
        <v>#REF!</v>
      </c>
      <c r="BL23" t="e">
        <f>AND(#REF!,"AAAAACtdcz8=")</f>
        <v>#REF!</v>
      </c>
      <c r="BM23" t="e">
        <f>AND(#REF!,"AAAAACtdc0A=")</f>
        <v>#REF!</v>
      </c>
      <c r="BN23" t="e">
        <f>AND(#REF!,"AAAAACtdc0E=")</f>
        <v>#REF!</v>
      </c>
      <c r="BO23" t="e">
        <f>AND(#REF!,"AAAAACtdc0I=")</f>
        <v>#REF!</v>
      </c>
      <c r="BP23" t="e">
        <f>AND(#REF!,"AAAAACtdc0M=")</f>
        <v>#REF!</v>
      </c>
      <c r="BQ23" t="e">
        <f>AND(#REF!,"AAAAACtdc0Q=")</f>
        <v>#REF!</v>
      </c>
      <c r="BR23" t="e">
        <f>AND(#REF!,"AAAAACtdc0U=")</f>
        <v>#REF!</v>
      </c>
      <c r="BS23" t="e">
        <f>AND(#REF!,"AAAAACtdc0Y=")</f>
        <v>#REF!</v>
      </c>
      <c r="BT23" t="e">
        <f>AND(#REF!,"AAAAACtdc0c=")</f>
        <v>#REF!</v>
      </c>
      <c r="BU23" t="e">
        <f>AND(#REF!,"AAAAACtdc0g=")</f>
        <v>#REF!</v>
      </c>
      <c r="BV23" t="e">
        <f>AND(#REF!,"AAAAACtdc0k=")</f>
        <v>#REF!</v>
      </c>
      <c r="BW23" t="e">
        <f>AND(#REF!,"AAAAACtdc0o=")</f>
        <v>#REF!</v>
      </c>
      <c r="BX23" t="e">
        <f>AND(#REF!,"AAAAACtdc0s=")</f>
        <v>#REF!</v>
      </c>
      <c r="BY23" t="e">
        <f>AND(#REF!,"AAAAACtdc0w=")</f>
        <v>#REF!</v>
      </c>
      <c r="BZ23" t="e">
        <f>AND(#REF!,"AAAAACtdc00=")</f>
        <v>#REF!</v>
      </c>
      <c r="CA23" t="e">
        <f>AND(#REF!,"AAAAACtdc04=")</f>
        <v>#REF!</v>
      </c>
      <c r="CB23" t="e">
        <f>AND(#REF!,"AAAAACtdc08=")</f>
        <v>#REF!</v>
      </c>
      <c r="CC23" t="e">
        <f>AND(#REF!,"AAAAACtdc1A=")</f>
        <v>#REF!</v>
      </c>
      <c r="CD23" t="e">
        <f>AND(#REF!,"AAAAACtdc1E=")</f>
        <v>#REF!</v>
      </c>
      <c r="CE23" t="e">
        <f>AND(#REF!,"AAAAACtdc1I=")</f>
        <v>#REF!</v>
      </c>
      <c r="CF23" t="e">
        <f>AND(#REF!,"AAAAACtdc1M=")</f>
        <v>#REF!</v>
      </c>
      <c r="CG23" t="e">
        <f>AND(#REF!,"AAAAACtdc1Q=")</f>
        <v>#REF!</v>
      </c>
      <c r="CH23" t="e">
        <f>AND(#REF!,"AAAAACtdc1U=")</f>
        <v>#REF!</v>
      </c>
      <c r="CI23" t="e">
        <f>AND(#REF!,"AAAAACtdc1Y=")</f>
        <v>#REF!</v>
      </c>
      <c r="CJ23" t="e">
        <f>AND(#REF!,"AAAAACtdc1c=")</f>
        <v>#REF!</v>
      </c>
      <c r="CK23" t="e">
        <f>AND(#REF!,"AAAAACtdc1g=")</f>
        <v>#REF!</v>
      </c>
      <c r="CL23" t="e">
        <f>AND(#REF!,"AAAAACtdc1k=")</f>
        <v>#REF!</v>
      </c>
      <c r="CM23" t="e">
        <f>AND(#REF!,"AAAAACtdc1o=")</f>
        <v>#REF!</v>
      </c>
      <c r="CN23" t="e">
        <f>AND(#REF!,"AAAAACtdc1s=")</f>
        <v>#REF!</v>
      </c>
      <c r="CO23" t="e">
        <f>AND(#REF!,"AAAAACtdc1w=")</f>
        <v>#REF!</v>
      </c>
      <c r="CP23" t="e">
        <f>AND(#REF!,"AAAAACtdc10=")</f>
        <v>#REF!</v>
      </c>
      <c r="CQ23" t="e">
        <f>AND(#REF!,"AAAAACtdc14=")</f>
        <v>#REF!</v>
      </c>
      <c r="CR23" t="e">
        <f>AND(#REF!,"AAAAACtdc18=")</f>
        <v>#REF!</v>
      </c>
      <c r="CS23" t="e">
        <f>AND(#REF!,"AAAAACtdc2A=")</f>
        <v>#REF!</v>
      </c>
      <c r="CT23" t="e">
        <f>AND(#REF!,"AAAAACtdc2E=")</f>
        <v>#REF!</v>
      </c>
      <c r="CU23" t="e">
        <f>AND(#REF!,"AAAAACtdc2I=")</f>
        <v>#REF!</v>
      </c>
      <c r="CV23" t="e">
        <f>AND(#REF!,"AAAAACtdc2M=")</f>
        <v>#REF!</v>
      </c>
      <c r="CW23" t="e">
        <f>AND(#REF!,"AAAAACtdc2Q=")</f>
        <v>#REF!</v>
      </c>
      <c r="CX23" t="e">
        <f>AND(#REF!,"AAAAACtdc2U=")</f>
        <v>#REF!</v>
      </c>
      <c r="CY23" t="e">
        <f>AND(#REF!,"AAAAACtdc2Y=")</f>
        <v>#REF!</v>
      </c>
      <c r="CZ23" t="e">
        <f>AND(#REF!,"AAAAACtdc2c=")</f>
        <v>#REF!</v>
      </c>
      <c r="DA23" t="e">
        <f>AND(#REF!,"AAAAACtdc2g=")</f>
        <v>#REF!</v>
      </c>
      <c r="DB23" t="e">
        <f>AND(#REF!,"AAAAACtdc2k=")</f>
        <v>#REF!</v>
      </c>
      <c r="DC23" t="e">
        <f>AND(#REF!,"AAAAACtdc2o=")</f>
        <v>#REF!</v>
      </c>
      <c r="DD23" t="e">
        <f>AND(#REF!,"AAAAACtdc2s=")</f>
        <v>#REF!</v>
      </c>
      <c r="DE23" t="e">
        <f>AND(#REF!,"AAAAACtdc2w=")</f>
        <v>#REF!</v>
      </c>
      <c r="DF23" t="e">
        <f>AND(#REF!,"AAAAACtdc20=")</f>
        <v>#REF!</v>
      </c>
      <c r="DG23" t="e">
        <f>AND(#REF!,"AAAAACtdc24=")</f>
        <v>#REF!</v>
      </c>
      <c r="DH23" t="e">
        <f>AND(#REF!,"AAAAACtdc28=")</f>
        <v>#REF!</v>
      </c>
      <c r="DI23" t="e">
        <f>AND(#REF!,"AAAAACtdc3A=")</f>
        <v>#REF!</v>
      </c>
      <c r="DJ23" t="e">
        <f>AND(#REF!,"AAAAACtdc3E=")</f>
        <v>#REF!</v>
      </c>
      <c r="DK23" t="e">
        <f>AND(#REF!,"AAAAACtdc3I=")</f>
        <v>#REF!</v>
      </c>
      <c r="DL23" t="e">
        <f>AND(#REF!,"AAAAACtdc3M=")</f>
        <v>#REF!</v>
      </c>
      <c r="DM23" t="e">
        <f>AND(#REF!,"AAAAACtdc3Q=")</f>
        <v>#REF!</v>
      </c>
      <c r="DN23" t="e">
        <f>AND(#REF!,"AAAAACtdc3U=")</f>
        <v>#REF!</v>
      </c>
      <c r="DO23" t="e">
        <f>AND(#REF!,"AAAAACtdc3Y=")</f>
        <v>#REF!</v>
      </c>
      <c r="DP23" t="e">
        <f>AND(#REF!,"AAAAACtdc3c=")</f>
        <v>#REF!</v>
      </c>
      <c r="DQ23" t="e">
        <f>AND(#REF!,"AAAAACtdc3g=")</f>
        <v>#REF!</v>
      </c>
      <c r="DR23" t="e">
        <f>AND(#REF!,"AAAAACtdc3k=")</f>
        <v>#REF!</v>
      </c>
      <c r="DS23" t="e">
        <f>AND(#REF!,"AAAAACtdc3o=")</f>
        <v>#REF!</v>
      </c>
      <c r="DT23" t="e">
        <f>AND(#REF!,"AAAAACtdc3s=")</f>
        <v>#REF!</v>
      </c>
      <c r="DU23" t="e">
        <f>AND(#REF!,"AAAAACtdc3w=")</f>
        <v>#REF!</v>
      </c>
      <c r="DV23" t="e">
        <f>AND(#REF!,"AAAAACtdc30=")</f>
        <v>#REF!</v>
      </c>
      <c r="DW23" t="e">
        <f>AND(#REF!,"AAAAACtdc34=")</f>
        <v>#REF!</v>
      </c>
      <c r="DX23" t="e">
        <f>AND(#REF!,"AAAAACtdc38=")</f>
        <v>#REF!</v>
      </c>
      <c r="DY23" t="e">
        <f>AND(#REF!,"AAAAACtdc4A=")</f>
        <v>#REF!</v>
      </c>
      <c r="DZ23" t="e">
        <f>AND(#REF!,"AAAAACtdc4E=")</f>
        <v>#REF!</v>
      </c>
      <c r="EA23" t="e">
        <f>AND(#REF!,"AAAAACtdc4I=")</f>
        <v>#REF!</v>
      </c>
      <c r="EB23" t="e">
        <f>AND(#REF!,"AAAAACtdc4M=")</f>
        <v>#REF!</v>
      </c>
      <c r="EC23" t="e">
        <f>AND(#REF!,"AAAAACtdc4Q=")</f>
        <v>#REF!</v>
      </c>
      <c r="ED23" t="e">
        <f>AND(#REF!,"AAAAACtdc4U=")</f>
        <v>#REF!</v>
      </c>
      <c r="EE23" t="e">
        <f>AND(#REF!,"AAAAACtdc4Y=")</f>
        <v>#REF!</v>
      </c>
      <c r="EF23" t="e">
        <f>AND(#REF!,"AAAAACtdc4c=")</f>
        <v>#REF!</v>
      </c>
      <c r="EG23" t="e">
        <f>IF(#REF!,"AAAAACtdc4g=",0)</f>
        <v>#REF!</v>
      </c>
      <c r="EH23" t="e">
        <f>AND(#REF!,"AAAAACtdc4k=")</f>
        <v>#REF!</v>
      </c>
      <c r="EI23" t="e">
        <f>AND(#REF!,"AAAAACtdc4o=")</f>
        <v>#REF!</v>
      </c>
      <c r="EJ23" t="e">
        <f>AND(#REF!,"AAAAACtdc4s=")</f>
        <v>#REF!</v>
      </c>
      <c r="EK23" t="e">
        <f>AND(#REF!,"AAAAACtdc4w=")</f>
        <v>#REF!</v>
      </c>
      <c r="EL23" t="e">
        <f>AND(#REF!,"AAAAACtdc40=")</f>
        <v>#REF!</v>
      </c>
      <c r="EM23" t="e">
        <f>AND(#REF!,"AAAAACtdc44=")</f>
        <v>#REF!</v>
      </c>
      <c r="EN23" t="e">
        <f>AND(#REF!,"AAAAACtdc48=")</f>
        <v>#REF!</v>
      </c>
      <c r="EO23" t="e">
        <f>AND(#REF!,"AAAAACtdc5A=")</f>
        <v>#REF!</v>
      </c>
      <c r="EP23" t="e">
        <f>AND(#REF!,"AAAAACtdc5E=")</f>
        <v>#REF!</v>
      </c>
      <c r="EQ23" t="e">
        <f>AND(#REF!,"AAAAACtdc5I=")</f>
        <v>#REF!</v>
      </c>
      <c r="ER23" t="e">
        <f>AND(#REF!,"AAAAACtdc5M=")</f>
        <v>#REF!</v>
      </c>
      <c r="ES23" t="e">
        <f>AND(#REF!,"AAAAACtdc5Q=")</f>
        <v>#REF!</v>
      </c>
      <c r="ET23" t="e">
        <f>AND(#REF!,"AAAAACtdc5U=")</f>
        <v>#REF!</v>
      </c>
      <c r="EU23" t="e">
        <f>AND(#REF!,"AAAAACtdc5Y=")</f>
        <v>#REF!</v>
      </c>
      <c r="EV23" t="e">
        <f>AND(#REF!,"AAAAACtdc5c=")</f>
        <v>#REF!</v>
      </c>
      <c r="EW23" t="e">
        <f>AND(#REF!,"AAAAACtdc5g=")</f>
        <v>#REF!</v>
      </c>
      <c r="EX23" t="e">
        <f>AND(#REF!,"AAAAACtdc5k=")</f>
        <v>#REF!</v>
      </c>
      <c r="EY23" t="e">
        <f>AND(#REF!,"AAAAACtdc5o=")</f>
        <v>#REF!</v>
      </c>
      <c r="EZ23" t="e">
        <f>AND(#REF!,"AAAAACtdc5s=")</f>
        <v>#REF!</v>
      </c>
      <c r="FA23" t="e">
        <f>AND(#REF!,"AAAAACtdc5w=")</f>
        <v>#REF!</v>
      </c>
      <c r="FB23" t="e">
        <f>AND(#REF!,"AAAAACtdc50=")</f>
        <v>#REF!</v>
      </c>
      <c r="FC23" t="e">
        <f>AND(#REF!,"AAAAACtdc54=")</f>
        <v>#REF!</v>
      </c>
      <c r="FD23" t="e">
        <f>AND(#REF!,"AAAAACtdc58=")</f>
        <v>#REF!</v>
      </c>
      <c r="FE23" t="e">
        <f>AND(#REF!,"AAAAACtdc6A=")</f>
        <v>#REF!</v>
      </c>
      <c r="FF23" t="e">
        <f>AND(#REF!,"AAAAACtdc6E=")</f>
        <v>#REF!</v>
      </c>
      <c r="FG23" t="e">
        <f>AND(#REF!,"AAAAACtdc6I=")</f>
        <v>#REF!</v>
      </c>
      <c r="FH23" t="e">
        <f>AND(#REF!,"AAAAACtdc6M=")</f>
        <v>#REF!</v>
      </c>
      <c r="FI23" t="e">
        <f>AND(#REF!,"AAAAACtdc6Q=")</f>
        <v>#REF!</v>
      </c>
      <c r="FJ23" t="e">
        <f>AND(#REF!,"AAAAACtdc6U=")</f>
        <v>#REF!</v>
      </c>
      <c r="FK23" t="e">
        <f>AND(#REF!,"AAAAACtdc6Y=")</f>
        <v>#REF!</v>
      </c>
      <c r="FL23" t="e">
        <f>AND(#REF!,"AAAAACtdc6c=")</f>
        <v>#REF!</v>
      </c>
      <c r="FM23" t="e">
        <f>AND(#REF!,"AAAAACtdc6g=")</f>
        <v>#REF!</v>
      </c>
      <c r="FN23" t="e">
        <f>AND(#REF!,"AAAAACtdc6k=")</f>
        <v>#REF!</v>
      </c>
      <c r="FO23" t="e">
        <f>AND(#REF!,"AAAAACtdc6o=")</f>
        <v>#REF!</v>
      </c>
      <c r="FP23" t="e">
        <f>AND(#REF!,"AAAAACtdc6s=")</f>
        <v>#REF!</v>
      </c>
      <c r="FQ23" t="e">
        <f>AND(#REF!,"AAAAACtdc6w=")</f>
        <v>#REF!</v>
      </c>
      <c r="FR23" t="e">
        <f>AND(#REF!,"AAAAACtdc60=")</f>
        <v>#REF!</v>
      </c>
      <c r="FS23" t="e">
        <f>AND(#REF!,"AAAAACtdc64=")</f>
        <v>#REF!</v>
      </c>
      <c r="FT23" t="e">
        <f>AND(#REF!,"AAAAACtdc68=")</f>
        <v>#REF!</v>
      </c>
      <c r="FU23" t="e">
        <f>AND(#REF!,"AAAAACtdc7A=")</f>
        <v>#REF!</v>
      </c>
      <c r="FV23" t="e">
        <f>AND(#REF!,"AAAAACtdc7E=")</f>
        <v>#REF!</v>
      </c>
      <c r="FW23" t="e">
        <f>AND(#REF!,"AAAAACtdc7I=")</f>
        <v>#REF!</v>
      </c>
      <c r="FX23" t="e">
        <f>AND(#REF!,"AAAAACtdc7M=")</f>
        <v>#REF!</v>
      </c>
      <c r="FY23" t="e">
        <f>AND(#REF!,"AAAAACtdc7Q=")</f>
        <v>#REF!</v>
      </c>
      <c r="FZ23" t="e">
        <f>AND(#REF!,"AAAAACtdc7U=")</f>
        <v>#REF!</v>
      </c>
      <c r="GA23" t="e">
        <f>AND(#REF!,"AAAAACtdc7Y=")</f>
        <v>#REF!</v>
      </c>
      <c r="GB23" t="e">
        <f>AND(#REF!,"AAAAACtdc7c=")</f>
        <v>#REF!</v>
      </c>
      <c r="GC23" t="e">
        <f>AND(#REF!,"AAAAACtdc7g=")</f>
        <v>#REF!</v>
      </c>
      <c r="GD23" t="e">
        <f>AND(#REF!,"AAAAACtdc7k=")</f>
        <v>#REF!</v>
      </c>
      <c r="GE23" t="e">
        <f>AND(#REF!,"AAAAACtdc7o=")</f>
        <v>#REF!</v>
      </c>
      <c r="GF23" t="e">
        <f>AND(#REF!,"AAAAACtdc7s=")</f>
        <v>#REF!</v>
      </c>
      <c r="GG23" t="e">
        <f>AND(#REF!,"AAAAACtdc7w=")</f>
        <v>#REF!</v>
      </c>
      <c r="GH23" t="e">
        <f>AND(#REF!,"AAAAACtdc70=")</f>
        <v>#REF!</v>
      </c>
      <c r="GI23" t="e">
        <f>AND(#REF!,"AAAAACtdc74=")</f>
        <v>#REF!</v>
      </c>
      <c r="GJ23" t="e">
        <f>AND(#REF!,"AAAAACtdc78=")</f>
        <v>#REF!</v>
      </c>
      <c r="GK23" t="e">
        <f>AND(#REF!,"AAAAACtdc8A=")</f>
        <v>#REF!</v>
      </c>
      <c r="GL23" t="e">
        <f>AND(#REF!,"AAAAACtdc8E=")</f>
        <v>#REF!</v>
      </c>
      <c r="GM23" t="e">
        <f>AND(#REF!,"AAAAACtdc8I=")</f>
        <v>#REF!</v>
      </c>
      <c r="GN23" t="e">
        <f>AND(#REF!,"AAAAACtdc8M=")</f>
        <v>#REF!</v>
      </c>
      <c r="GO23" t="e">
        <f>AND(#REF!,"AAAAACtdc8Q=")</f>
        <v>#REF!</v>
      </c>
      <c r="GP23" t="e">
        <f>AND(#REF!,"AAAAACtdc8U=")</f>
        <v>#REF!</v>
      </c>
      <c r="GQ23" t="e">
        <f>AND(#REF!,"AAAAACtdc8Y=")</f>
        <v>#REF!</v>
      </c>
      <c r="GR23" t="e">
        <f>AND(#REF!,"AAAAACtdc8c=")</f>
        <v>#REF!</v>
      </c>
      <c r="GS23" t="e">
        <f>AND(#REF!,"AAAAACtdc8g=")</f>
        <v>#REF!</v>
      </c>
      <c r="GT23" t="e">
        <f>AND(#REF!,"AAAAACtdc8k=")</f>
        <v>#REF!</v>
      </c>
      <c r="GU23" t="e">
        <f>AND(#REF!,"AAAAACtdc8o=")</f>
        <v>#REF!</v>
      </c>
      <c r="GV23" t="e">
        <f>AND(#REF!,"AAAAACtdc8s=")</f>
        <v>#REF!</v>
      </c>
      <c r="GW23" t="e">
        <f>AND(#REF!,"AAAAACtdc8w=")</f>
        <v>#REF!</v>
      </c>
      <c r="GX23" t="e">
        <f>AND(#REF!,"AAAAACtdc80=")</f>
        <v>#REF!</v>
      </c>
      <c r="GY23" t="e">
        <f>AND(#REF!,"AAAAACtdc84=")</f>
        <v>#REF!</v>
      </c>
      <c r="GZ23" t="e">
        <f>AND(#REF!,"AAAAACtdc88=")</f>
        <v>#REF!</v>
      </c>
      <c r="HA23" t="e">
        <f>AND(#REF!,"AAAAACtdc9A=")</f>
        <v>#REF!</v>
      </c>
      <c r="HB23" t="e">
        <f>AND(#REF!,"AAAAACtdc9E=")</f>
        <v>#REF!</v>
      </c>
      <c r="HC23" t="e">
        <f>AND(#REF!,"AAAAACtdc9I=")</f>
        <v>#REF!</v>
      </c>
      <c r="HD23" t="e">
        <f>AND(#REF!,"AAAAACtdc9M=")</f>
        <v>#REF!</v>
      </c>
      <c r="HE23" t="e">
        <f>AND(#REF!,"AAAAACtdc9Q=")</f>
        <v>#REF!</v>
      </c>
      <c r="HF23" t="e">
        <f>AND(#REF!,"AAAAACtdc9U=")</f>
        <v>#REF!</v>
      </c>
      <c r="HG23" t="e">
        <f>AND(#REF!,"AAAAACtdc9Y=")</f>
        <v>#REF!</v>
      </c>
      <c r="HH23" t="e">
        <f>AND(#REF!,"AAAAACtdc9c=")</f>
        <v>#REF!</v>
      </c>
      <c r="HI23" t="e">
        <f>AND(#REF!,"AAAAACtdc9g=")</f>
        <v>#REF!</v>
      </c>
      <c r="HJ23" t="e">
        <f>AND(#REF!,"AAAAACtdc9k=")</f>
        <v>#REF!</v>
      </c>
      <c r="HK23" t="e">
        <f>AND(#REF!,"AAAAACtdc9o=")</f>
        <v>#REF!</v>
      </c>
      <c r="HL23" t="e">
        <f>AND(#REF!,"AAAAACtdc9s=")</f>
        <v>#REF!</v>
      </c>
      <c r="HM23" t="e">
        <f>AND(#REF!,"AAAAACtdc9w=")</f>
        <v>#REF!</v>
      </c>
      <c r="HN23" t="e">
        <f>AND(#REF!,"AAAAACtdc90=")</f>
        <v>#REF!</v>
      </c>
      <c r="HO23" t="e">
        <f>AND(#REF!,"AAAAACtdc94=")</f>
        <v>#REF!</v>
      </c>
      <c r="HP23" t="e">
        <f>AND(#REF!,"AAAAACtdc98=")</f>
        <v>#REF!</v>
      </c>
      <c r="HQ23" t="e">
        <f>AND(#REF!,"AAAAACtdc+A=")</f>
        <v>#REF!</v>
      </c>
      <c r="HR23" t="e">
        <f>AND(#REF!,"AAAAACtdc+E=")</f>
        <v>#REF!</v>
      </c>
      <c r="HS23" t="e">
        <f>AND(#REF!,"AAAAACtdc+I=")</f>
        <v>#REF!</v>
      </c>
      <c r="HT23" t="e">
        <f>AND(#REF!,"AAAAACtdc+M=")</f>
        <v>#REF!</v>
      </c>
      <c r="HU23" t="e">
        <f>AND(#REF!,"AAAAACtdc+Q=")</f>
        <v>#REF!</v>
      </c>
      <c r="HV23" t="e">
        <f>AND(#REF!,"AAAAACtdc+U=")</f>
        <v>#REF!</v>
      </c>
      <c r="HW23" t="e">
        <f>AND(#REF!,"AAAAACtdc+Y=")</f>
        <v>#REF!</v>
      </c>
      <c r="HX23" t="e">
        <f>AND(#REF!,"AAAAACtdc+c=")</f>
        <v>#REF!</v>
      </c>
      <c r="HY23" t="e">
        <f>AND(#REF!,"AAAAACtdc+g=")</f>
        <v>#REF!</v>
      </c>
      <c r="HZ23" t="e">
        <f>AND(#REF!,"AAAAACtdc+k=")</f>
        <v>#REF!</v>
      </c>
      <c r="IA23" t="e">
        <f>AND(#REF!,"AAAAACtdc+o=")</f>
        <v>#REF!</v>
      </c>
      <c r="IB23" t="e">
        <f>AND(#REF!,"AAAAACtdc+s=")</f>
        <v>#REF!</v>
      </c>
      <c r="IC23" t="e">
        <f>AND(#REF!,"AAAAACtdc+w=")</f>
        <v>#REF!</v>
      </c>
      <c r="ID23" t="e">
        <f>AND(#REF!,"AAAAACtdc+0=")</f>
        <v>#REF!</v>
      </c>
      <c r="IE23" t="e">
        <f>AND(#REF!,"AAAAACtdc+4=")</f>
        <v>#REF!</v>
      </c>
      <c r="IF23" t="e">
        <f>AND(#REF!,"AAAAACtdc+8=")</f>
        <v>#REF!</v>
      </c>
      <c r="IG23" t="e">
        <f>AND(#REF!,"AAAAACtdc/A=")</f>
        <v>#REF!</v>
      </c>
      <c r="IH23" t="e">
        <f>AND(#REF!,"AAAAACtdc/E=")</f>
        <v>#REF!</v>
      </c>
      <c r="II23" t="e">
        <f>AND(#REF!,"AAAAACtdc/I=")</f>
        <v>#REF!</v>
      </c>
      <c r="IJ23" t="e">
        <f>AND(#REF!,"AAAAACtdc/M=")</f>
        <v>#REF!</v>
      </c>
      <c r="IK23" t="e">
        <f>AND(#REF!,"AAAAACtdc/Q=")</f>
        <v>#REF!</v>
      </c>
      <c r="IL23" t="e">
        <f>AND(#REF!,"AAAAACtdc/U=")</f>
        <v>#REF!</v>
      </c>
      <c r="IM23" t="e">
        <f>AND(#REF!,"AAAAACtdc/Y=")</f>
        <v>#REF!</v>
      </c>
      <c r="IN23" t="e">
        <f>AND(#REF!,"AAAAACtdc/c=")</f>
        <v>#REF!</v>
      </c>
      <c r="IO23" t="e">
        <f>AND(#REF!,"AAAAACtdc/g=")</f>
        <v>#REF!</v>
      </c>
      <c r="IP23" t="e">
        <f>AND(#REF!,"AAAAACtdc/k=")</f>
        <v>#REF!</v>
      </c>
      <c r="IQ23" t="e">
        <f>AND(#REF!,"AAAAACtdc/o=")</f>
        <v>#REF!</v>
      </c>
      <c r="IR23" t="e">
        <f>AND(#REF!,"AAAAACtdc/s=")</f>
        <v>#REF!</v>
      </c>
      <c r="IS23" t="e">
        <f>AND(#REF!,"AAAAACtdc/w=")</f>
        <v>#REF!</v>
      </c>
      <c r="IT23" t="e">
        <f>AND(#REF!,"AAAAACtdc/0=")</f>
        <v>#REF!</v>
      </c>
      <c r="IU23" t="e">
        <f>AND(#REF!,"AAAAACtdc/4=")</f>
        <v>#REF!</v>
      </c>
      <c r="IV23" t="e">
        <f>AND(#REF!,"AAAAACtdc/8=")</f>
        <v>#REF!</v>
      </c>
    </row>
    <row r="24" spans="1:256" x14ac:dyDescent="0.25">
      <c r="A24" t="e">
        <f>AND(#REF!,"AAAAAF3G9wA=")</f>
        <v>#REF!</v>
      </c>
      <c r="B24" t="e">
        <f>AND(#REF!,"AAAAAF3G9wE=")</f>
        <v>#REF!</v>
      </c>
      <c r="C24" t="e">
        <f>AND(#REF!,"AAAAAF3G9wI=")</f>
        <v>#REF!</v>
      </c>
      <c r="D24" t="e">
        <f>AND(#REF!,"AAAAAF3G9wM=")</f>
        <v>#REF!</v>
      </c>
      <c r="E24" t="e">
        <f>AND(#REF!,"AAAAAF3G9wQ=")</f>
        <v>#REF!</v>
      </c>
      <c r="F24" t="e">
        <f>AND(#REF!,"AAAAAF3G9wU=")</f>
        <v>#REF!</v>
      </c>
      <c r="G24" t="e">
        <f>AND(#REF!,"AAAAAF3G9wY=")</f>
        <v>#REF!</v>
      </c>
      <c r="H24" t="e">
        <f>AND(#REF!,"AAAAAF3G9wc=")</f>
        <v>#REF!</v>
      </c>
      <c r="I24" t="e">
        <f>AND(#REF!,"AAAAAF3G9wg=")</f>
        <v>#REF!</v>
      </c>
      <c r="J24" t="e">
        <f>AND(#REF!,"AAAAAF3G9wk=")</f>
        <v>#REF!</v>
      </c>
      <c r="K24" t="e">
        <f>AND(#REF!,"AAAAAF3G9wo=")</f>
        <v>#REF!</v>
      </c>
      <c r="L24" t="e">
        <f>AND(#REF!,"AAAAAF3G9ws=")</f>
        <v>#REF!</v>
      </c>
      <c r="M24" t="e">
        <f>AND(#REF!,"AAAAAF3G9ww=")</f>
        <v>#REF!</v>
      </c>
      <c r="N24" t="e">
        <f>AND(#REF!,"AAAAAF3G9w0=")</f>
        <v>#REF!</v>
      </c>
      <c r="O24" t="e">
        <f>AND(#REF!,"AAAAAF3G9w4=")</f>
        <v>#REF!</v>
      </c>
      <c r="P24" t="e">
        <f>AND(#REF!,"AAAAAF3G9w8=")</f>
        <v>#REF!</v>
      </c>
      <c r="Q24" t="e">
        <f>AND(#REF!,"AAAAAF3G9xA=")</f>
        <v>#REF!</v>
      </c>
      <c r="R24" t="e">
        <f>AND(#REF!,"AAAAAF3G9xE=")</f>
        <v>#REF!</v>
      </c>
      <c r="S24" t="e">
        <f>AND(#REF!,"AAAAAF3G9xI=")</f>
        <v>#REF!</v>
      </c>
      <c r="T24" t="e">
        <f>AND(#REF!,"AAAAAF3G9xM=")</f>
        <v>#REF!</v>
      </c>
      <c r="U24" t="e">
        <f>AND(#REF!,"AAAAAF3G9xQ=")</f>
        <v>#REF!</v>
      </c>
      <c r="V24" t="e">
        <f>AND(#REF!,"AAAAAF3G9xU=")</f>
        <v>#REF!</v>
      </c>
      <c r="W24" t="e">
        <f>AND(#REF!,"AAAAAF3G9xY=")</f>
        <v>#REF!</v>
      </c>
      <c r="X24" t="e">
        <f>AND(#REF!,"AAAAAF3G9xc=")</f>
        <v>#REF!</v>
      </c>
      <c r="Y24" t="e">
        <f>AND(#REF!,"AAAAAF3G9xg=")</f>
        <v>#REF!</v>
      </c>
      <c r="Z24" t="e">
        <f>AND(#REF!,"AAAAAF3G9xk=")</f>
        <v>#REF!</v>
      </c>
      <c r="AA24" t="e">
        <f>AND(#REF!,"AAAAAF3G9xo=")</f>
        <v>#REF!</v>
      </c>
      <c r="AB24" t="e">
        <f>AND(#REF!,"AAAAAF3G9xs=")</f>
        <v>#REF!</v>
      </c>
      <c r="AC24" t="e">
        <f>AND(#REF!,"AAAAAF3G9xw=")</f>
        <v>#REF!</v>
      </c>
      <c r="AD24" t="e">
        <f>AND(#REF!,"AAAAAF3G9x0=")</f>
        <v>#REF!</v>
      </c>
      <c r="AE24" t="e">
        <f>AND(#REF!,"AAAAAF3G9x4=")</f>
        <v>#REF!</v>
      </c>
      <c r="AF24" t="e">
        <f>AND(#REF!,"AAAAAF3G9x8=")</f>
        <v>#REF!</v>
      </c>
      <c r="AG24" t="e">
        <f>AND(#REF!,"AAAAAF3G9yA=")</f>
        <v>#REF!</v>
      </c>
      <c r="AH24" t="e">
        <f>AND(#REF!,"AAAAAF3G9yE=")</f>
        <v>#REF!</v>
      </c>
      <c r="AI24" t="e">
        <f>AND(#REF!,"AAAAAF3G9yI=")</f>
        <v>#REF!</v>
      </c>
      <c r="AJ24" t="e">
        <f>AND(#REF!,"AAAAAF3G9yM=")</f>
        <v>#REF!</v>
      </c>
      <c r="AK24" t="e">
        <f>AND(#REF!,"AAAAAF3G9yQ=")</f>
        <v>#REF!</v>
      </c>
      <c r="AL24" t="e">
        <f>AND(#REF!,"AAAAAF3G9yU=")</f>
        <v>#REF!</v>
      </c>
      <c r="AM24" t="e">
        <f>AND(#REF!,"AAAAAF3G9yY=")</f>
        <v>#REF!</v>
      </c>
      <c r="AN24" t="e">
        <f>AND(#REF!,"AAAAAF3G9yc=")</f>
        <v>#REF!</v>
      </c>
      <c r="AO24" t="e">
        <f>AND(#REF!,"AAAAAF3G9yg=")</f>
        <v>#REF!</v>
      </c>
      <c r="AP24" t="e">
        <f>AND(#REF!,"AAAAAF3G9yk=")</f>
        <v>#REF!</v>
      </c>
      <c r="AQ24" t="e">
        <f>AND(#REF!,"AAAAAF3G9yo=")</f>
        <v>#REF!</v>
      </c>
      <c r="AR24" t="e">
        <f>AND(#REF!,"AAAAAF3G9ys=")</f>
        <v>#REF!</v>
      </c>
      <c r="AS24" t="e">
        <f>AND(#REF!,"AAAAAF3G9yw=")</f>
        <v>#REF!</v>
      </c>
      <c r="AT24" t="e">
        <f>AND(#REF!,"AAAAAF3G9y0=")</f>
        <v>#REF!</v>
      </c>
      <c r="AU24" t="e">
        <f>AND(#REF!,"AAAAAF3G9y4=")</f>
        <v>#REF!</v>
      </c>
      <c r="AV24" t="e">
        <f>AND(#REF!,"AAAAAF3G9y8=")</f>
        <v>#REF!</v>
      </c>
      <c r="AW24" t="e">
        <f>AND(#REF!,"AAAAAF3G9zA=")</f>
        <v>#REF!</v>
      </c>
      <c r="AX24" t="e">
        <f>AND(#REF!,"AAAAAF3G9zE=")</f>
        <v>#REF!</v>
      </c>
      <c r="AY24" t="e">
        <f>AND(#REF!,"AAAAAF3G9zI=")</f>
        <v>#REF!</v>
      </c>
      <c r="AZ24" t="e">
        <f>AND(#REF!,"AAAAAF3G9zM=")</f>
        <v>#REF!</v>
      </c>
      <c r="BA24" t="e">
        <f>AND(#REF!,"AAAAAF3G9zQ=")</f>
        <v>#REF!</v>
      </c>
      <c r="BB24" t="e">
        <f>AND(#REF!,"AAAAAF3G9zU=")</f>
        <v>#REF!</v>
      </c>
      <c r="BC24" t="e">
        <f>AND(#REF!,"AAAAAF3G9zY=")</f>
        <v>#REF!</v>
      </c>
      <c r="BD24" t="e">
        <f>AND(#REF!,"AAAAAF3G9zc=")</f>
        <v>#REF!</v>
      </c>
      <c r="BE24" t="e">
        <f>AND(#REF!,"AAAAAF3G9zg=")</f>
        <v>#REF!</v>
      </c>
      <c r="BF24" t="e">
        <f>IF(#REF!,"AAAAAF3G9zk=",0)</f>
        <v>#REF!</v>
      </c>
      <c r="BG24" t="e">
        <f>AND(#REF!,"AAAAAF3G9zo=")</f>
        <v>#REF!</v>
      </c>
      <c r="BH24" t="e">
        <f>AND(#REF!,"AAAAAF3G9zs=")</f>
        <v>#REF!</v>
      </c>
      <c r="BI24" t="e">
        <f>AND(#REF!,"AAAAAF3G9zw=")</f>
        <v>#REF!</v>
      </c>
      <c r="BJ24" t="e">
        <f>AND(#REF!,"AAAAAF3G9z0=")</f>
        <v>#REF!</v>
      </c>
      <c r="BK24" t="e">
        <f>AND(#REF!,"AAAAAF3G9z4=")</f>
        <v>#REF!</v>
      </c>
      <c r="BL24" t="e">
        <f>AND(#REF!,"AAAAAF3G9z8=")</f>
        <v>#REF!</v>
      </c>
      <c r="BM24" t="e">
        <f>AND(#REF!,"AAAAAF3G90A=")</f>
        <v>#REF!</v>
      </c>
      <c r="BN24" t="e">
        <f>AND(#REF!,"AAAAAF3G90E=")</f>
        <v>#REF!</v>
      </c>
      <c r="BO24" t="e">
        <f>AND(#REF!,"AAAAAF3G90I=")</f>
        <v>#REF!</v>
      </c>
      <c r="BP24" t="e">
        <f>AND(#REF!,"AAAAAF3G90M=")</f>
        <v>#REF!</v>
      </c>
      <c r="BQ24" t="e">
        <f>AND(#REF!,"AAAAAF3G90Q=")</f>
        <v>#REF!</v>
      </c>
      <c r="BR24" t="e">
        <f>AND(#REF!,"AAAAAF3G90U=")</f>
        <v>#REF!</v>
      </c>
      <c r="BS24" t="e">
        <f>AND(#REF!,"AAAAAF3G90Y=")</f>
        <v>#REF!</v>
      </c>
      <c r="BT24" t="e">
        <f>AND(#REF!,"AAAAAF3G90c=")</f>
        <v>#REF!</v>
      </c>
      <c r="BU24" t="e">
        <f>AND(#REF!,"AAAAAF3G90g=")</f>
        <v>#REF!</v>
      </c>
      <c r="BV24" t="e">
        <f>AND(#REF!,"AAAAAF3G90k=")</f>
        <v>#REF!</v>
      </c>
      <c r="BW24" t="e">
        <f>AND(#REF!,"AAAAAF3G90o=")</f>
        <v>#REF!</v>
      </c>
      <c r="BX24" t="e">
        <f>AND(#REF!,"AAAAAF3G90s=")</f>
        <v>#REF!</v>
      </c>
      <c r="BY24" t="e">
        <f>AND(#REF!,"AAAAAF3G90w=")</f>
        <v>#REF!</v>
      </c>
      <c r="BZ24" t="e">
        <f>AND(#REF!,"AAAAAF3G900=")</f>
        <v>#REF!</v>
      </c>
      <c r="CA24" t="e">
        <f>AND(#REF!,"AAAAAF3G904=")</f>
        <v>#REF!</v>
      </c>
      <c r="CB24" t="e">
        <f>AND(#REF!,"AAAAAF3G908=")</f>
        <v>#REF!</v>
      </c>
      <c r="CC24" t="e">
        <f>AND(#REF!,"AAAAAF3G91A=")</f>
        <v>#REF!</v>
      </c>
      <c r="CD24" t="e">
        <f>AND(#REF!,"AAAAAF3G91E=")</f>
        <v>#REF!</v>
      </c>
      <c r="CE24" t="e">
        <f>AND(#REF!,"AAAAAF3G91I=")</f>
        <v>#REF!</v>
      </c>
      <c r="CF24" t="e">
        <f>AND(#REF!,"AAAAAF3G91M=")</f>
        <v>#REF!</v>
      </c>
      <c r="CG24" t="e">
        <f>AND(#REF!,"AAAAAF3G91Q=")</f>
        <v>#REF!</v>
      </c>
      <c r="CH24" t="e">
        <f>AND(#REF!,"AAAAAF3G91U=")</f>
        <v>#REF!</v>
      </c>
      <c r="CI24" t="e">
        <f>AND(#REF!,"AAAAAF3G91Y=")</f>
        <v>#REF!</v>
      </c>
      <c r="CJ24" t="e">
        <f>AND(#REF!,"AAAAAF3G91c=")</f>
        <v>#REF!</v>
      </c>
      <c r="CK24" t="e">
        <f>AND(#REF!,"AAAAAF3G91g=")</f>
        <v>#REF!</v>
      </c>
      <c r="CL24" t="e">
        <f>AND(#REF!,"AAAAAF3G91k=")</f>
        <v>#REF!</v>
      </c>
      <c r="CM24" t="e">
        <f>AND(#REF!,"AAAAAF3G91o=")</f>
        <v>#REF!</v>
      </c>
      <c r="CN24" t="e">
        <f>AND(#REF!,"AAAAAF3G91s=")</f>
        <v>#REF!</v>
      </c>
      <c r="CO24" t="e">
        <f>AND(#REF!,"AAAAAF3G91w=")</f>
        <v>#REF!</v>
      </c>
      <c r="CP24" t="e">
        <f>AND(#REF!,"AAAAAF3G910=")</f>
        <v>#REF!</v>
      </c>
      <c r="CQ24" t="e">
        <f>AND(#REF!,"AAAAAF3G914=")</f>
        <v>#REF!</v>
      </c>
      <c r="CR24" t="e">
        <f>AND(#REF!,"AAAAAF3G918=")</f>
        <v>#REF!</v>
      </c>
      <c r="CS24" t="e">
        <f>AND(#REF!,"AAAAAF3G92A=")</f>
        <v>#REF!</v>
      </c>
      <c r="CT24" t="e">
        <f>AND(#REF!,"AAAAAF3G92E=")</f>
        <v>#REF!</v>
      </c>
      <c r="CU24" t="e">
        <f>AND(#REF!,"AAAAAF3G92I=")</f>
        <v>#REF!</v>
      </c>
      <c r="CV24" t="e">
        <f>AND(#REF!,"AAAAAF3G92M=")</f>
        <v>#REF!</v>
      </c>
      <c r="CW24" t="e">
        <f>AND(#REF!,"AAAAAF3G92Q=")</f>
        <v>#REF!</v>
      </c>
      <c r="CX24" t="e">
        <f>AND(#REF!,"AAAAAF3G92U=")</f>
        <v>#REF!</v>
      </c>
      <c r="CY24" t="e">
        <f>AND(#REF!,"AAAAAF3G92Y=")</f>
        <v>#REF!</v>
      </c>
      <c r="CZ24" t="e">
        <f>AND(#REF!,"AAAAAF3G92c=")</f>
        <v>#REF!</v>
      </c>
      <c r="DA24" t="e">
        <f>AND(#REF!,"AAAAAF3G92g=")</f>
        <v>#REF!</v>
      </c>
      <c r="DB24" t="e">
        <f>AND(#REF!,"AAAAAF3G92k=")</f>
        <v>#REF!</v>
      </c>
      <c r="DC24" t="e">
        <f>AND(#REF!,"AAAAAF3G92o=")</f>
        <v>#REF!</v>
      </c>
      <c r="DD24" t="e">
        <f>AND(#REF!,"AAAAAF3G92s=")</f>
        <v>#REF!</v>
      </c>
      <c r="DE24" t="e">
        <f>AND(#REF!,"AAAAAF3G92w=")</f>
        <v>#REF!</v>
      </c>
      <c r="DF24" t="e">
        <f>AND(#REF!,"AAAAAF3G920=")</f>
        <v>#REF!</v>
      </c>
      <c r="DG24" t="e">
        <f>AND(#REF!,"AAAAAF3G924=")</f>
        <v>#REF!</v>
      </c>
      <c r="DH24" t="e">
        <f>AND(#REF!,"AAAAAF3G928=")</f>
        <v>#REF!</v>
      </c>
      <c r="DI24" t="e">
        <f>AND(#REF!,"AAAAAF3G93A=")</f>
        <v>#REF!</v>
      </c>
      <c r="DJ24" t="e">
        <f>AND(#REF!,"AAAAAF3G93E=")</f>
        <v>#REF!</v>
      </c>
      <c r="DK24" t="e">
        <f>AND(#REF!,"AAAAAF3G93I=")</f>
        <v>#REF!</v>
      </c>
      <c r="DL24" t="e">
        <f>AND(#REF!,"AAAAAF3G93M=")</f>
        <v>#REF!</v>
      </c>
      <c r="DM24" t="e">
        <f>AND(#REF!,"AAAAAF3G93Q=")</f>
        <v>#REF!</v>
      </c>
      <c r="DN24" t="e">
        <f>AND(#REF!,"AAAAAF3G93U=")</f>
        <v>#REF!</v>
      </c>
      <c r="DO24" t="e">
        <f>AND(#REF!,"AAAAAF3G93Y=")</f>
        <v>#REF!</v>
      </c>
      <c r="DP24" t="e">
        <f>AND(#REF!,"AAAAAF3G93c=")</f>
        <v>#REF!</v>
      </c>
      <c r="DQ24" t="e">
        <f>AND(#REF!,"AAAAAF3G93g=")</f>
        <v>#REF!</v>
      </c>
      <c r="DR24" t="e">
        <f>AND(#REF!,"AAAAAF3G93k=")</f>
        <v>#REF!</v>
      </c>
      <c r="DS24" t="e">
        <f>AND(#REF!,"AAAAAF3G93o=")</f>
        <v>#REF!</v>
      </c>
      <c r="DT24" t="e">
        <f>AND(#REF!,"AAAAAF3G93s=")</f>
        <v>#REF!</v>
      </c>
      <c r="DU24" t="e">
        <f>AND(#REF!,"AAAAAF3G93w=")</f>
        <v>#REF!</v>
      </c>
      <c r="DV24" t="e">
        <f>AND(#REF!,"AAAAAF3G930=")</f>
        <v>#REF!</v>
      </c>
      <c r="DW24" t="e">
        <f>AND(#REF!,"AAAAAF3G934=")</f>
        <v>#REF!</v>
      </c>
      <c r="DX24" t="e">
        <f>AND(#REF!,"AAAAAF3G938=")</f>
        <v>#REF!</v>
      </c>
      <c r="DY24" t="e">
        <f>AND(#REF!,"AAAAAF3G94A=")</f>
        <v>#REF!</v>
      </c>
      <c r="DZ24" t="e">
        <f>AND(#REF!,"AAAAAF3G94E=")</f>
        <v>#REF!</v>
      </c>
      <c r="EA24" t="e">
        <f>AND(#REF!,"AAAAAF3G94I=")</f>
        <v>#REF!</v>
      </c>
      <c r="EB24" t="e">
        <f>AND(#REF!,"AAAAAF3G94M=")</f>
        <v>#REF!</v>
      </c>
      <c r="EC24" t="e">
        <f>AND(#REF!,"AAAAAF3G94Q=")</f>
        <v>#REF!</v>
      </c>
      <c r="ED24" t="e">
        <f>AND(#REF!,"AAAAAF3G94U=")</f>
        <v>#REF!</v>
      </c>
      <c r="EE24" t="e">
        <f>AND(#REF!,"AAAAAF3G94Y=")</f>
        <v>#REF!</v>
      </c>
      <c r="EF24" t="e">
        <f>AND(#REF!,"AAAAAF3G94c=")</f>
        <v>#REF!</v>
      </c>
      <c r="EG24" t="e">
        <f>AND(#REF!,"AAAAAF3G94g=")</f>
        <v>#REF!</v>
      </c>
      <c r="EH24" t="e">
        <f>AND(#REF!,"AAAAAF3G94k=")</f>
        <v>#REF!</v>
      </c>
      <c r="EI24" t="e">
        <f>AND(#REF!,"AAAAAF3G94o=")</f>
        <v>#REF!</v>
      </c>
      <c r="EJ24" t="e">
        <f>AND(#REF!,"AAAAAF3G94s=")</f>
        <v>#REF!</v>
      </c>
      <c r="EK24" t="e">
        <f>AND(#REF!,"AAAAAF3G94w=")</f>
        <v>#REF!</v>
      </c>
      <c r="EL24" t="e">
        <f>AND(#REF!,"AAAAAF3G940=")</f>
        <v>#REF!</v>
      </c>
      <c r="EM24" t="e">
        <f>AND(#REF!,"AAAAAF3G944=")</f>
        <v>#REF!</v>
      </c>
      <c r="EN24" t="e">
        <f>AND(#REF!,"AAAAAF3G948=")</f>
        <v>#REF!</v>
      </c>
      <c r="EO24" t="e">
        <f>AND(#REF!,"AAAAAF3G95A=")</f>
        <v>#REF!</v>
      </c>
      <c r="EP24" t="e">
        <f>AND(#REF!,"AAAAAF3G95E=")</f>
        <v>#REF!</v>
      </c>
      <c r="EQ24" t="e">
        <f>AND(#REF!,"AAAAAF3G95I=")</f>
        <v>#REF!</v>
      </c>
      <c r="ER24" t="e">
        <f>AND(#REF!,"AAAAAF3G95M=")</f>
        <v>#REF!</v>
      </c>
      <c r="ES24" t="e">
        <f>AND(#REF!,"AAAAAF3G95Q=")</f>
        <v>#REF!</v>
      </c>
      <c r="ET24" t="e">
        <f>AND(#REF!,"AAAAAF3G95U=")</f>
        <v>#REF!</v>
      </c>
      <c r="EU24" t="e">
        <f>AND(#REF!,"AAAAAF3G95Y=")</f>
        <v>#REF!</v>
      </c>
      <c r="EV24" t="e">
        <f>AND(#REF!,"AAAAAF3G95c=")</f>
        <v>#REF!</v>
      </c>
      <c r="EW24" t="e">
        <f>AND(#REF!,"AAAAAF3G95g=")</f>
        <v>#REF!</v>
      </c>
      <c r="EX24" t="e">
        <f>AND(#REF!,"AAAAAF3G95k=")</f>
        <v>#REF!</v>
      </c>
      <c r="EY24" t="e">
        <f>AND(#REF!,"AAAAAF3G95o=")</f>
        <v>#REF!</v>
      </c>
      <c r="EZ24" t="e">
        <f>AND(#REF!,"AAAAAF3G95s=")</f>
        <v>#REF!</v>
      </c>
      <c r="FA24" t="e">
        <f>AND(#REF!,"AAAAAF3G95w=")</f>
        <v>#REF!</v>
      </c>
      <c r="FB24" t="e">
        <f>AND(#REF!,"AAAAAF3G950=")</f>
        <v>#REF!</v>
      </c>
      <c r="FC24" t="e">
        <f>AND(#REF!,"AAAAAF3G954=")</f>
        <v>#REF!</v>
      </c>
      <c r="FD24" t="e">
        <f>AND(#REF!,"AAAAAF3G958=")</f>
        <v>#REF!</v>
      </c>
      <c r="FE24" t="e">
        <f>AND(#REF!,"AAAAAF3G96A=")</f>
        <v>#REF!</v>
      </c>
      <c r="FF24" t="e">
        <f>AND(#REF!,"AAAAAF3G96E=")</f>
        <v>#REF!</v>
      </c>
      <c r="FG24" t="e">
        <f>AND(#REF!,"AAAAAF3G96I=")</f>
        <v>#REF!</v>
      </c>
      <c r="FH24" t="e">
        <f>AND(#REF!,"AAAAAF3G96M=")</f>
        <v>#REF!</v>
      </c>
      <c r="FI24" t="e">
        <f>AND(#REF!,"AAAAAF3G96Q=")</f>
        <v>#REF!</v>
      </c>
      <c r="FJ24" t="e">
        <f>AND(#REF!,"AAAAAF3G96U=")</f>
        <v>#REF!</v>
      </c>
      <c r="FK24" t="e">
        <f>AND(#REF!,"AAAAAF3G96Y=")</f>
        <v>#REF!</v>
      </c>
      <c r="FL24" t="e">
        <f>AND(#REF!,"AAAAAF3G96c=")</f>
        <v>#REF!</v>
      </c>
      <c r="FM24" t="e">
        <f>AND(#REF!,"AAAAAF3G96g=")</f>
        <v>#REF!</v>
      </c>
      <c r="FN24" t="e">
        <f>AND(#REF!,"AAAAAF3G96k=")</f>
        <v>#REF!</v>
      </c>
      <c r="FO24" t="e">
        <f>AND(#REF!,"AAAAAF3G96o=")</f>
        <v>#REF!</v>
      </c>
      <c r="FP24" t="e">
        <f>AND(#REF!,"AAAAAF3G96s=")</f>
        <v>#REF!</v>
      </c>
      <c r="FQ24" t="e">
        <f>AND(#REF!,"AAAAAF3G96w=")</f>
        <v>#REF!</v>
      </c>
      <c r="FR24" t="e">
        <f>AND(#REF!,"AAAAAF3G960=")</f>
        <v>#REF!</v>
      </c>
      <c r="FS24" t="e">
        <f>AND(#REF!,"AAAAAF3G964=")</f>
        <v>#REF!</v>
      </c>
      <c r="FT24" t="e">
        <f>AND(#REF!,"AAAAAF3G968=")</f>
        <v>#REF!</v>
      </c>
      <c r="FU24" t="e">
        <f>AND(#REF!,"AAAAAF3G97A=")</f>
        <v>#REF!</v>
      </c>
      <c r="FV24" t="e">
        <f>AND(#REF!,"AAAAAF3G97E=")</f>
        <v>#REF!</v>
      </c>
      <c r="FW24" t="e">
        <f>AND(#REF!,"AAAAAF3G97I=")</f>
        <v>#REF!</v>
      </c>
      <c r="FX24" t="e">
        <f>AND(#REF!,"AAAAAF3G97M=")</f>
        <v>#REF!</v>
      </c>
      <c r="FY24" t="e">
        <f>AND(#REF!,"AAAAAF3G97Q=")</f>
        <v>#REF!</v>
      </c>
      <c r="FZ24" t="e">
        <f>AND(#REF!,"AAAAAF3G97U=")</f>
        <v>#REF!</v>
      </c>
      <c r="GA24" t="e">
        <f>AND(#REF!,"AAAAAF3G97Y=")</f>
        <v>#REF!</v>
      </c>
      <c r="GB24" t="e">
        <f>AND(#REF!,"AAAAAF3G97c=")</f>
        <v>#REF!</v>
      </c>
      <c r="GC24" t="e">
        <f>AND(#REF!,"AAAAAF3G97g=")</f>
        <v>#REF!</v>
      </c>
      <c r="GD24" t="e">
        <f>AND(#REF!,"AAAAAF3G97k=")</f>
        <v>#REF!</v>
      </c>
      <c r="GE24" t="e">
        <f>AND(#REF!,"AAAAAF3G97o=")</f>
        <v>#REF!</v>
      </c>
      <c r="GF24" t="e">
        <f>AND(#REF!,"AAAAAF3G97s=")</f>
        <v>#REF!</v>
      </c>
      <c r="GG24" t="e">
        <f>AND(#REF!,"AAAAAF3G97w=")</f>
        <v>#REF!</v>
      </c>
      <c r="GH24" t="e">
        <f>AND(#REF!,"AAAAAF3G970=")</f>
        <v>#REF!</v>
      </c>
      <c r="GI24" t="e">
        <f>AND(#REF!,"AAAAAF3G974=")</f>
        <v>#REF!</v>
      </c>
      <c r="GJ24" t="e">
        <f>AND(#REF!,"AAAAAF3G978=")</f>
        <v>#REF!</v>
      </c>
      <c r="GK24" t="e">
        <f>AND(#REF!,"AAAAAF3G98A=")</f>
        <v>#REF!</v>
      </c>
      <c r="GL24" t="e">
        <f>AND(#REF!,"AAAAAF3G98E=")</f>
        <v>#REF!</v>
      </c>
      <c r="GM24" t="e">
        <f>AND(#REF!,"AAAAAF3G98I=")</f>
        <v>#REF!</v>
      </c>
      <c r="GN24" t="e">
        <f>AND(#REF!,"AAAAAF3G98M=")</f>
        <v>#REF!</v>
      </c>
      <c r="GO24" t="e">
        <f>AND(#REF!,"AAAAAF3G98Q=")</f>
        <v>#REF!</v>
      </c>
      <c r="GP24" t="e">
        <f>AND(#REF!,"AAAAAF3G98U=")</f>
        <v>#REF!</v>
      </c>
      <c r="GQ24" t="e">
        <f>AND(#REF!,"AAAAAF3G98Y=")</f>
        <v>#REF!</v>
      </c>
      <c r="GR24" t="e">
        <f>AND(#REF!,"AAAAAF3G98c=")</f>
        <v>#REF!</v>
      </c>
      <c r="GS24" t="e">
        <f>AND(#REF!,"AAAAAF3G98g=")</f>
        <v>#REF!</v>
      </c>
      <c r="GT24" t="e">
        <f>AND(#REF!,"AAAAAF3G98k=")</f>
        <v>#REF!</v>
      </c>
      <c r="GU24" t="e">
        <f>AND(#REF!,"AAAAAF3G98o=")</f>
        <v>#REF!</v>
      </c>
      <c r="GV24" t="e">
        <f>AND(#REF!,"AAAAAF3G98s=")</f>
        <v>#REF!</v>
      </c>
      <c r="GW24" t="e">
        <f>AND(#REF!,"AAAAAF3G98w=")</f>
        <v>#REF!</v>
      </c>
      <c r="GX24" t="e">
        <f>AND(#REF!,"AAAAAF3G980=")</f>
        <v>#REF!</v>
      </c>
      <c r="GY24" t="e">
        <f>AND(#REF!,"AAAAAF3G984=")</f>
        <v>#REF!</v>
      </c>
      <c r="GZ24" t="e">
        <f>AND(#REF!,"AAAAAF3G988=")</f>
        <v>#REF!</v>
      </c>
      <c r="HA24" t="e">
        <f>AND(#REF!,"AAAAAF3G99A=")</f>
        <v>#REF!</v>
      </c>
      <c r="HB24" t="e">
        <f>AND(#REF!,"AAAAAF3G99E=")</f>
        <v>#REF!</v>
      </c>
      <c r="HC24" t="e">
        <f>AND(#REF!,"AAAAAF3G99I=")</f>
        <v>#REF!</v>
      </c>
      <c r="HD24" t="e">
        <f>AND(#REF!,"AAAAAF3G99M=")</f>
        <v>#REF!</v>
      </c>
      <c r="HE24" t="e">
        <f>AND(#REF!,"AAAAAF3G99Q=")</f>
        <v>#REF!</v>
      </c>
      <c r="HF24" t="e">
        <f>AND(#REF!,"AAAAAF3G99U=")</f>
        <v>#REF!</v>
      </c>
      <c r="HG24" t="e">
        <f>AND(#REF!,"AAAAAF3G99Y=")</f>
        <v>#REF!</v>
      </c>
      <c r="HH24" t="e">
        <f>AND(#REF!,"AAAAAF3G99c=")</f>
        <v>#REF!</v>
      </c>
      <c r="HI24" t="e">
        <f>AND(#REF!,"AAAAAF3G99g=")</f>
        <v>#REF!</v>
      </c>
      <c r="HJ24" t="e">
        <f>AND(#REF!,"AAAAAF3G99k=")</f>
        <v>#REF!</v>
      </c>
      <c r="HK24" t="e">
        <f>AND(#REF!,"AAAAAF3G99o=")</f>
        <v>#REF!</v>
      </c>
      <c r="HL24" t="e">
        <f>AND(#REF!,"AAAAAF3G99s=")</f>
        <v>#REF!</v>
      </c>
      <c r="HM24" t="e">
        <f>AND(#REF!,"AAAAAF3G99w=")</f>
        <v>#REF!</v>
      </c>
      <c r="HN24" t="e">
        <f>AND(#REF!,"AAAAAF3G990=")</f>
        <v>#REF!</v>
      </c>
      <c r="HO24" t="e">
        <f>AND(#REF!,"AAAAAF3G994=")</f>
        <v>#REF!</v>
      </c>
      <c r="HP24" t="e">
        <f>AND(#REF!,"AAAAAF3G998=")</f>
        <v>#REF!</v>
      </c>
      <c r="HQ24" t="e">
        <f>AND(#REF!,"AAAAAF3G9+A=")</f>
        <v>#REF!</v>
      </c>
      <c r="HR24" t="e">
        <f>AND(#REF!,"AAAAAF3G9+E=")</f>
        <v>#REF!</v>
      </c>
      <c r="HS24" t="e">
        <f>AND(#REF!,"AAAAAF3G9+I=")</f>
        <v>#REF!</v>
      </c>
      <c r="HT24" t="e">
        <f>AND(#REF!,"AAAAAF3G9+M=")</f>
        <v>#REF!</v>
      </c>
      <c r="HU24" t="e">
        <f>AND(#REF!,"AAAAAF3G9+Q=")</f>
        <v>#REF!</v>
      </c>
      <c r="HV24" t="e">
        <f>AND(#REF!,"AAAAAF3G9+U=")</f>
        <v>#REF!</v>
      </c>
      <c r="HW24" t="e">
        <f>AND(#REF!,"AAAAAF3G9+Y=")</f>
        <v>#REF!</v>
      </c>
      <c r="HX24" t="e">
        <f>AND(#REF!,"AAAAAF3G9+c=")</f>
        <v>#REF!</v>
      </c>
      <c r="HY24" t="e">
        <f>AND(#REF!,"AAAAAF3G9+g=")</f>
        <v>#REF!</v>
      </c>
      <c r="HZ24" t="e">
        <f>AND(#REF!,"AAAAAF3G9+k=")</f>
        <v>#REF!</v>
      </c>
      <c r="IA24" t="e">
        <f>IF(#REF!,"AAAAAF3G9+o=",0)</f>
        <v>#REF!</v>
      </c>
      <c r="IB24" t="e">
        <f>AND(#REF!,"AAAAAF3G9+s=")</f>
        <v>#REF!</v>
      </c>
      <c r="IC24" t="e">
        <f>AND(#REF!,"AAAAAF3G9+w=")</f>
        <v>#REF!</v>
      </c>
      <c r="ID24" t="e">
        <f>AND(#REF!,"AAAAAF3G9+0=")</f>
        <v>#REF!</v>
      </c>
      <c r="IE24" t="e">
        <f>AND(#REF!,"AAAAAF3G9+4=")</f>
        <v>#REF!</v>
      </c>
      <c r="IF24" t="e">
        <f>AND(#REF!,"AAAAAF3G9+8=")</f>
        <v>#REF!</v>
      </c>
      <c r="IG24" t="e">
        <f>AND(#REF!,"AAAAAF3G9/A=")</f>
        <v>#REF!</v>
      </c>
      <c r="IH24" t="e">
        <f>AND(#REF!,"AAAAAF3G9/E=")</f>
        <v>#REF!</v>
      </c>
      <c r="II24" t="e">
        <f>AND(#REF!,"AAAAAF3G9/I=")</f>
        <v>#REF!</v>
      </c>
      <c r="IJ24" t="e">
        <f>AND(#REF!,"AAAAAF3G9/M=")</f>
        <v>#REF!</v>
      </c>
      <c r="IK24" t="e">
        <f>AND(#REF!,"AAAAAF3G9/Q=")</f>
        <v>#REF!</v>
      </c>
      <c r="IL24" t="e">
        <f>AND(#REF!,"AAAAAF3G9/U=")</f>
        <v>#REF!</v>
      </c>
      <c r="IM24" t="e">
        <f>AND(#REF!,"AAAAAF3G9/Y=")</f>
        <v>#REF!</v>
      </c>
      <c r="IN24" t="e">
        <f>AND(#REF!,"AAAAAF3G9/c=")</f>
        <v>#REF!</v>
      </c>
      <c r="IO24" t="e">
        <f>AND(#REF!,"AAAAAF3G9/g=")</f>
        <v>#REF!</v>
      </c>
      <c r="IP24" t="e">
        <f>AND(#REF!,"AAAAAF3G9/k=")</f>
        <v>#REF!</v>
      </c>
      <c r="IQ24" t="e">
        <f>AND(#REF!,"AAAAAF3G9/o=")</f>
        <v>#REF!</v>
      </c>
      <c r="IR24" t="e">
        <f>AND(#REF!,"AAAAAF3G9/s=")</f>
        <v>#REF!</v>
      </c>
      <c r="IS24" t="e">
        <f>AND(#REF!,"AAAAAF3G9/w=")</f>
        <v>#REF!</v>
      </c>
      <c r="IT24" t="e">
        <f>AND(#REF!,"AAAAAF3G9/0=")</f>
        <v>#REF!</v>
      </c>
      <c r="IU24" t="e">
        <f>AND(#REF!,"AAAAAF3G9/4=")</f>
        <v>#REF!</v>
      </c>
      <c r="IV24" t="e">
        <f>AND(#REF!,"AAAAAF3G9/8=")</f>
        <v>#REF!</v>
      </c>
    </row>
    <row r="25" spans="1:256" x14ac:dyDescent="0.25">
      <c r="A25" t="e">
        <f>AND(#REF!,"AAAAAH/f/QA=")</f>
        <v>#REF!</v>
      </c>
      <c r="B25" t="e">
        <f>AND(#REF!,"AAAAAH/f/QE=")</f>
        <v>#REF!</v>
      </c>
      <c r="C25" t="e">
        <f>AND(#REF!,"AAAAAH/f/QI=")</f>
        <v>#REF!</v>
      </c>
      <c r="D25" t="e">
        <f>AND(#REF!,"AAAAAH/f/QM=")</f>
        <v>#REF!</v>
      </c>
      <c r="E25" t="e">
        <f>AND(#REF!,"AAAAAH/f/QQ=")</f>
        <v>#REF!</v>
      </c>
      <c r="F25" t="e">
        <f>AND(#REF!,"AAAAAH/f/QU=")</f>
        <v>#REF!</v>
      </c>
      <c r="G25" t="e">
        <f>AND(#REF!,"AAAAAH/f/QY=")</f>
        <v>#REF!</v>
      </c>
      <c r="H25" t="e">
        <f>AND(#REF!,"AAAAAH/f/Qc=")</f>
        <v>#REF!</v>
      </c>
      <c r="I25" t="e">
        <f>AND(#REF!,"AAAAAH/f/Qg=")</f>
        <v>#REF!</v>
      </c>
      <c r="J25" t="e">
        <f>AND(#REF!,"AAAAAH/f/Qk=")</f>
        <v>#REF!</v>
      </c>
      <c r="K25" t="e">
        <f>AND(#REF!,"AAAAAH/f/Qo=")</f>
        <v>#REF!</v>
      </c>
      <c r="L25" t="e">
        <f>AND(#REF!,"AAAAAH/f/Qs=")</f>
        <v>#REF!</v>
      </c>
      <c r="M25" t="e">
        <f>AND(#REF!,"AAAAAH/f/Qw=")</f>
        <v>#REF!</v>
      </c>
      <c r="N25" t="e">
        <f>AND(#REF!,"AAAAAH/f/Q0=")</f>
        <v>#REF!</v>
      </c>
      <c r="O25" t="e">
        <f>AND(#REF!,"AAAAAH/f/Q4=")</f>
        <v>#REF!</v>
      </c>
      <c r="P25" t="e">
        <f>AND(#REF!,"AAAAAH/f/Q8=")</f>
        <v>#REF!</v>
      </c>
      <c r="Q25" t="e">
        <f>AND(#REF!,"AAAAAH/f/RA=")</f>
        <v>#REF!</v>
      </c>
      <c r="R25" t="e">
        <f>AND(#REF!,"AAAAAH/f/RE=")</f>
        <v>#REF!</v>
      </c>
      <c r="S25" t="e">
        <f>AND(#REF!,"AAAAAH/f/RI=")</f>
        <v>#REF!</v>
      </c>
      <c r="T25" t="e">
        <f>AND(#REF!,"AAAAAH/f/RM=")</f>
        <v>#REF!</v>
      </c>
      <c r="U25" t="e">
        <f>AND(#REF!,"AAAAAH/f/RQ=")</f>
        <v>#REF!</v>
      </c>
      <c r="V25" t="e">
        <f>AND(#REF!,"AAAAAH/f/RU=")</f>
        <v>#REF!</v>
      </c>
      <c r="W25" t="e">
        <f>AND(#REF!,"AAAAAH/f/RY=")</f>
        <v>#REF!</v>
      </c>
      <c r="X25" t="e">
        <f>AND(#REF!,"AAAAAH/f/Rc=")</f>
        <v>#REF!</v>
      </c>
      <c r="Y25" t="e">
        <f>AND(#REF!,"AAAAAH/f/Rg=")</f>
        <v>#REF!</v>
      </c>
      <c r="Z25" t="e">
        <f>AND(#REF!,"AAAAAH/f/Rk=")</f>
        <v>#REF!</v>
      </c>
      <c r="AA25" t="e">
        <f>AND(#REF!,"AAAAAH/f/Ro=")</f>
        <v>#REF!</v>
      </c>
      <c r="AB25" t="e">
        <f>AND(#REF!,"AAAAAH/f/Rs=")</f>
        <v>#REF!</v>
      </c>
      <c r="AC25" t="e">
        <f>AND(#REF!,"AAAAAH/f/Rw=")</f>
        <v>#REF!</v>
      </c>
      <c r="AD25" t="e">
        <f>AND(#REF!,"AAAAAH/f/R0=")</f>
        <v>#REF!</v>
      </c>
      <c r="AE25" t="e">
        <f>AND(#REF!,"AAAAAH/f/R4=")</f>
        <v>#REF!</v>
      </c>
      <c r="AF25" t="e">
        <f>AND(#REF!,"AAAAAH/f/R8=")</f>
        <v>#REF!</v>
      </c>
      <c r="AG25" t="e">
        <f>AND(#REF!,"AAAAAH/f/SA=")</f>
        <v>#REF!</v>
      </c>
      <c r="AH25" t="e">
        <f>AND(#REF!,"AAAAAH/f/SE=")</f>
        <v>#REF!</v>
      </c>
      <c r="AI25" t="e">
        <f>AND(#REF!,"AAAAAH/f/SI=")</f>
        <v>#REF!</v>
      </c>
      <c r="AJ25" t="e">
        <f>AND(#REF!,"AAAAAH/f/SM=")</f>
        <v>#REF!</v>
      </c>
      <c r="AK25" t="e">
        <f>AND(#REF!,"AAAAAH/f/SQ=")</f>
        <v>#REF!</v>
      </c>
      <c r="AL25" t="e">
        <f>AND(#REF!,"AAAAAH/f/SU=")</f>
        <v>#REF!</v>
      </c>
      <c r="AM25" t="e">
        <f>AND(#REF!,"AAAAAH/f/SY=")</f>
        <v>#REF!</v>
      </c>
      <c r="AN25" t="e">
        <f>AND(#REF!,"AAAAAH/f/Sc=")</f>
        <v>#REF!</v>
      </c>
      <c r="AO25" t="e">
        <f>AND(#REF!,"AAAAAH/f/Sg=")</f>
        <v>#REF!</v>
      </c>
      <c r="AP25" t="e">
        <f>AND(#REF!,"AAAAAH/f/Sk=")</f>
        <v>#REF!</v>
      </c>
      <c r="AQ25" t="e">
        <f>AND(#REF!,"AAAAAH/f/So=")</f>
        <v>#REF!</v>
      </c>
      <c r="AR25" t="e">
        <f>AND(#REF!,"AAAAAH/f/Ss=")</f>
        <v>#REF!</v>
      </c>
      <c r="AS25" t="e">
        <f>AND(#REF!,"AAAAAH/f/Sw=")</f>
        <v>#REF!</v>
      </c>
      <c r="AT25" t="e">
        <f>AND(#REF!,"AAAAAH/f/S0=")</f>
        <v>#REF!</v>
      </c>
      <c r="AU25" t="e">
        <f>AND(#REF!,"AAAAAH/f/S4=")</f>
        <v>#REF!</v>
      </c>
      <c r="AV25" t="e">
        <f>AND(#REF!,"AAAAAH/f/S8=")</f>
        <v>#REF!</v>
      </c>
      <c r="AW25" t="e">
        <f>AND(#REF!,"AAAAAH/f/TA=")</f>
        <v>#REF!</v>
      </c>
      <c r="AX25" t="e">
        <f>AND(#REF!,"AAAAAH/f/TE=")</f>
        <v>#REF!</v>
      </c>
      <c r="AY25" t="e">
        <f>AND(#REF!,"AAAAAH/f/TI=")</f>
        <v>#REF!</v>
      </c>
      <c r="AZ25" t="e">
        <f>AND(#REF!,"AAAAAH/f/TM=")</f>
        <v>#REF!</v>
      </c>
      <c r="BA25" t="e">
        <f>AND(#REF!,"AAAAAH/f/TQ=")</f>
        <v>#REF!</v>
      </c>
      <c r="BB25" t="e">
        <f>AND(#REF!,"AAAAAH/f/TU=")</f>
        <v>#REF!</v>
      </c>
      <c r="BC25" t="e">
        <f>AND(#REF!,"AAAAAH/f/TY=")</f>
        <v>#REF!</v>
      </c>
      <c r="BD25" t="e">
        <f>AND(#REF!,"AAAAAH/f/Tc=")</f>
        <v>#REF!</v>
      </c>
      <c r="BE25" t="e">
        <f>AND(#REF!,"AAAAAH/f/Tg=")</f>
        <v>#REF!</v>
      </c>
      <c r="BF25" t="e">
        <f>AND(#REF!,"AAAAAH/f/Tk=")</f>
        <v>#REF!</v>
      </c>
      <c r="BG25" t="e">
        <f>AND(#REF!,"AAAAAH/f/To=")</f>
        <v>#REF!</v>
      </c>
      <c r="BH25" t="e">
        <f>AND(#REF!,"AAAAAH/f/Ts=")</f>
        <v>#REF!</v>
      </c>
      <c r="BI25" t="e">
        <f>AND(#REF!,"AAAAAH/f/Tw=")</f>
        <v>#REF!</v>
      </c>
      <c r="BJ25" t="e">
        <f>AND(#REF!,"AAAAAH/f/T0=")</f>
        <v>#REF!</v>
      </c>
      <c r="BK25" t="e">
        <f>AND(#REF!,"AAAAAH/f/T4=")</f>
        <v>#REF!</v>
      </c>
      <c r="BL25" t="e">
        <f>AND(#REF!,"AAAAAH/f/T8=")</f>
        <v>#REF!</v>
      </c>
      <c r="BM25" t="e">
        <f>AND(#REF!,"AAAAAH/f/UA=")</f>
        <v>#REF!</v>
      </c>
      <c r="BN25" t="e">
        <f>AND(#REF!,"AAAAAH/f/UE=")</f>
        <v>#REF!</v>
      </c>
      <c r="BO25" t="e">
        <f>AND(#REF!,"AAAAAH/f/UI=")</f>
        <v>#REF!</v>
      </c>
      <c r="BP25" t="e">
        <f>AND(#REF!,"AAAAAH/f/UM=")</f>
        <v>#REF!</v>
      </c>
      <c r="BQ25" t="e">
        <f>AND(#REF!,"AAAAAH/f/UQ=")</f>
        <v>#REF!</v>
      </c>
      <c r="BR25" t="e">
        <f>AND(#REF!,"AAAAAH/f/UU=")</f>
        <v>#REF!</v>
      </c>
      <c r="BS25" t="e">
        <f>AND(#REF!,"AAAAAH/f/UY=")</f>
        <v>#REF!</v>
      </c>
      <c r="BT25" t="e">
        <f>AND(#REF!,"AAAAAH/f/Uc=")</f>
        <v>#REF!</v>
      </c>
      <c r="BU25" t="e">
        <f>AND(#REF!,"AAAAAH/f/Ug=")</f>
        <v>#REF!</v>
      </c>
      <c r="BV25" t="e">
        <f>AND(#REF!,"AAAAAH/f/Uk=")</f>
        <v>#REF!</v>
      </c>
      <c r="BW25" t="e">
        <f>AND(#REF!,"AAAAAH/f/Uo=")</f>
        <v>#REF!</v>
      </c>
      <c r="BX25" t="e">
        <f>AND(#REF!,"AAAAAH/f/Us=")</f>
        <v>#REF!</v>
      </c>
      <c r="BY25" t="e">
        <f>AND(#REF!,"AAAAAH/f/Uw=")</f>
        <v>#REF!</v>
      </c>
      <c r="BZ25" t="e">
        <f>AND(#REF!,"AAAAAH/f/U0=")</f>
        <v>#REF!</v>
      </c>
      <c r="CA25" t="e">
        <f>AND(#REF!,"AAAAAH/f/U4=")</f>
        <v>#REF!</v>
      </c>
      <c r="CB25" t="e">
        <f>AND(#REF!,"AAAAAH/f/U8=")</f>
        <v>#REF!</v>
      </c>
      <c r="CC25" t="e">
        <f>AND(#REF!,"AAAAAH/f/VA=")</f>
        <v>#REF!</v>
      </c>
      <c r="CD25" t="e">
        <f>AND(#REF!,"AAAAAH/f/VE=")</f>
        <v>#REF!</v>
      </c>
      <c r="CE25" t="e">
        <f>AND(#REF!,"AAAAAH/f/VI=")</f>
        <v>#REF!</v>
      </c>
      <c r="CF25" t="e">
        <f>AND(#REF!,"AAAAAH/f/VM=")</f>
        <v>#REF!</v>
      </c>
      <c r="CG25" t="e">
        <f>AND(#REF!,"AAAAAH/f/VQ=")</f>
        <v>#REF!</v>
      </c>
      <c r="CH25" t="e">
        <f>AND(#REF!,"AAAAAH/f/VU=")</f>
        <v>#REF!</v>
      </c>
      <c r="CI25" t="e">
        <f>AND(#REF!,"AAAAAH/f/VY=")</f>
        <v>#REF!</v>
      </c>
      <c r="CJ25" t="e">
        <f>AND(#REF!,"AAAAAH/f/Vc=")</f>
        <v>#REF!</v>
      </c>
      <c r="CK25" t="e">
        <f>AND(#REF!,"AAAAAH/f/Vg=")</f>
        <v>#REF!</v>
      </c>
      <c r="CL25" t="e">
        <f>AND(#REF!,"AAAAAH/f/Vk=")</f>
        <v>#REF!</v>
      </c>
      <c r="CM25" t="e">
        <f>AND(#REF!,"AAAAAH/f/Vo=")</f>
        <v>#REF!</v>
      </c>
      <c r="CN25" t="e">
        <f>AND(#REF!,"AAAAAH/f/Vs=")</f>
        <v>#REF!</v>
      </c>
      <c r="CO25" t="e">
        <f>AND(#REF!,"AAAAAH/f/Vw=")</f>
        <v>#REF!</v>
      </c>
      <c r="CP25" t="e">
        <f>AND(#REF!,"AAAAAH/f/V0=")</f>
        <v>#REF!</v>
      </c>
      <c r="CQ25" t="e">
        <f>AND(#REF!,"AAAAAH/f/V4=")</f>
        <v>#REF!</v>
      </c>
      <c r="CR25" t="e">
        <f>AND(#REF!,"AAAAAH/f/V8=")</f>
        <v>#REF!</v>
      </c>
      <c r="CS25" t="e">
        <f>AND(#REF!,"AAAAAH/f/WA=")</f>
        <v>#REF!</v>
      </c>
      <c r="CT25" t="e">
        <f>AND(#REF!,"AAAAAH/f/WE=")</f>
        <v>#REF!</v>
      </c>
      <c r="CU25" t="e">
        <f>AND(#REF!,"AAAAAH/f/WI=")</f>
        <v>#REF!</v>
      </c>
      <c r="CV25" t="e">
        <f>AND(#REF!,"AAAAAH/f/WM=")</f>
        <v>#REF!</v>
      </c>
      <c r="CW25" t="e">
        <f>AND(#REF!,"AAAAAH/f/WQ=")</f>
        <v>#REF!</v>
      </c>
      <c r="CX25" t="e">
        <f>AND(#REF!,"AAAAAH/f/WU=")</f>
        <v>#REF!</v>
      </c>
      <c r="CY25" t="e">
        <f>AND(#REF!,"AAAAAH/f/WY=")</f>
        <v>#REF!</v>
      </c>
      <c r="CZ25" t="e">
        <f>AND(#REF!,"AAAAAH/f/Wc=")</f>
        <v>#REF!</v>
      </c>
      <c r="DA25" t="e">
        <f>AND(#REF!,"AAAAAH/f/Wg=")</f>
        <v>#REF!</v>
      </c>
      <c r="DB25" t="e">
        <f>AND(#REF!,"AAAAAH/f/Wk=")</f>
        <v>#REF!</v>
      </c>
      <c r="DC25" t="e">
        <f>AND(#REF!,"AAAAAH/f/Wo=")</f>
        <v>#REF!</v>
      </c>
      <c r="DD25" t="e">
        <f>AND(#REF!,"AAAAAH/f/Ws=")</f>
        <v>#REF!</v>
      </c>
      <c r="DE25" t="e">
        <f>AND(#REF!,"AAAAAH/f/Ww=")</f>
        <v>#REF!</v>
      </c>
      <c r="DF25" t="e">
        <f>AND(#REF!,"AAAAAH/f/W0=")</f>
        <v>#REF!</v>
      </c>
      <c r="DG25" t="e">
        <f>AND(#REF!,"AAAAAH/f/W4=")</f>
        <v>#REF!</v>
      </c>
      <c r="DH25" t="e">
        <f>AND(#REF!,"AAAAAH/f/W8=")</f>
        <v>#REF!</v>
      </c>
      <c r="DI25" t="e">
        <f>AND(#REF!,"AAAAAH/f/XA=")</f>
        <v>#REF!</v>
      </c>
      <c r="DJ25" t="e">
        <f>AND(#REF!,"AAAAAH/f/XE=")</f>
        <v>#REF!</v>
      </c>
      <c r="DK25" t="e">
        <f>AND(#REF!,"AAAAAH/f/XI=")</f>
        <v>#REF!</v>
      </c>
      <c r="DL25" t="e">
        <f>AND(#REF!,"AAAAAH/f/XM=")</f>
        <v>#REF!</v>
      </c>
      <c r="DM25" t="e">
        <f>AND(#REF!,"AAAAAH/f/XQ=")</f>
        <v>#REF!</v>
      </c>
      <c r="DN25" t="e">
        <f>AND(#REF!,"AAAAAH/f/XU=")</f>
        <v>#REF!</v>
      </c>
      <c r="DO25" t="e">
        <f>AND(#REF!,"AAAAAH/f/XY=")</f>
        <v>#REF!</v>
      </c>
      <c r="DP25" t="e">
        <f>AND(#REF!,"AAAAAH/f/Xc=")</f>
        <v>#REF!</v>
      </c>
      <c r="DQ25" t="e">
        <f>AND(#REF!,"AAAAAH/f/Xg=")</f>
        <v>#REF!</v>
      </c>
      <c r="DR25" t="e">
        <f>AND(#REF!,"AAAAAH/f/Xk=")</f>
        <v>#REF!</v>
      </c>
      <c r="DS25" t="e">
        <f>AND(#REF!,"AAAAAH/f/Xo=")</f>
        <v>#REF!</v>
      </c>
      <c r="DT25" t="e">
        <f>AND(#REF!,"AAAAAH/f/Xs=")</f>
        <v>#REF!</v>
      </c>
      <c r="DU25" t="e">
        <f>AND(#REF!,"AAAAAH/f/Xw=")</f>
        <v>#REF!</v>
      </c>
      <c r="DV25" t="e">
        <f>AND(#REF!,"AAAAAH/f/X0=")</f>
        <v>#REF!</v>
      </c>
      <c r="DW25" t="e">
        <f>AND(#REF!,"AAAAAH/f/X4=")</f>
        <v>#REF!</v>
      </c>
      <c r="DX25" t="e">
        <f>AND(#REF!,"AAAAAH/f/X8=")</f>
        <v>#REF!</v>
      </c>
      <c r="DY25" t="e">
        <f>AND(#REF!,"AAAAAH/f/YA=")</f>
        <v>#REF!</v>
      </c>
      <c r="DZ25" t="e">
        <f>AND(#REF!,"AAAAAH/f/YE=")</f>
        <v>#REF!</v>
      </c>
      <c r="EA25" t="e">
        <f>AND(#REF!,"AAAAAH/f/YI=")</f>
        <v>#REF!</v>
      </c>
      <c r="EB25" t="e">
        <f>AND(#REF!,"AAAAAH/f/YM=")</f>
        <v>#REF!</v>
      </c>
      <c r="EC25" t="e">
        <f>AND(#REF!,"AAAAAH/f/YQ=")</f>
        <v>#REF!</v>
      </c>
      <c r="ED25" t="e">
        <f>AND(#REF!,"AAAAAH/f/YU=")</f>
        <v>#REF!</v>
      </c>
      <c r="EE25" t="e">
        <f>AND(#REF!,"AAAAAH/f/YY=")</f>
        <v>#REF!</v>
      </c>
      <c r="EF25" t="e">
        <f>AND(#REF!,"AAAAAH/f/Yc=")</f>
        <v>#REF!</v>
      </c>
      <c r="EG25" t="e">
        <f>AND(#REF!,"AAAAAH/f/Yg=")</f>
        <v>#REF!</v>
      </c>
      <c r="EH25" t="e">
        <f>AND(#REF!,"AAAAAH/f/Yk=")</f>
        <v>#REF!</v>
      </c>
      <c r="EI25" t="e">
        <f>AND(#REF!,"AAAAAH/f/Yo=")</f>
        <v>#REF!</v>
      </c>
      <c r="EJ25" t="e">
        <f>AND(#REF!,"AAAAAH/f/Ys=")</f>
        <v>#REF!</v>
      </c>
      <c r="EK25" t="e">
        <f>AND(#REF!,"AAAAAH/f/Yw=")</f>
        <v>#REF!</v>
      </c>
      <c r="EL25" t="e">
        <f>AND(#REF!,"AAAAAH/f/Y0=")</f>
        <v>#REF!</v>
      </c>
      <c r="EM25" t="e">
        <f>AND(#REF!,"AAAAAH/f/Y4=")</f>
        <v>#REF!</v>
      </c>
      <c r="EN25" t="e">
        <f>AND(#REF!,"AAAAAH/f/Y8=")</f>
        <v>#REF!</v>
      </c>
      <c r="EO25" t="e">
        <f>AND(#REF!,"AAAAAH/f/ZA=")</f>
        <v>#REF!</v>
      </c>
      <c r="EP25" t="e">
        <f>AND(#REF!,"AAAAAH/f/ZE=")</f>
        <v>#REF!</v>
      </c>
      <c r="EQ25" t="e">
        <f>AND(#REF!,"AAAAAH/f/ZI=")</f>
        <v>#REF!</v>
      </c>
      <c r="ER25" t="e">
        <f>AND(#REF!,"AAAAAH/f/ZM=")</f>
        <v>#REF!</v>
      </c>
      <c r="ES25" t="e">
        <f>AND(#REF!,"AAAAAH/f/ZQ=")</f>
        <v>#REF!</v>
      </c>
      <c r="ET25" t="e">
        <f>AND(#REF!,"AAAAAH/f/ZU=")</f>
        <v>#REF!</v>
      </c>
      <c r="EU25" t="e">
        <f>AND(#REF!,"AAAAAH/f/ZY=")</f>
        <v>#REF!</v>
      </c>
      <c r="EV25" t="e">
        <f>AND(#REF!,"AAAAAH/f/Zc=")</f>
        <v>#REF!</v>
      </c>
      <c r="EW25" t="e">
        <f>AND(#REF!,"AAAAAH/f/Zg=")</f>
        <v>#REF!</v>
      </c>
      <c r="EX25" t="e">
        <f>AND(#REF!,"AAAAAH/f/Zk=")</f>
        <v>#REF!</v>
      </c>
      <c r="EY25" t="e">
        <f>AND(#REF!,"AAAAAH/f/Zo=")</f>
        <v>#REF!</v>
      </c>
      <c r="EZ25" t="e">
        <f>IF(#REF!,"AAAAAH/f/Zs=",0)</f>
        <v>#REF!</v>
      </c>
      <c r="FA25" t="e">
        <f>AND(#REF!,"AAAAAH/f/Zw=")</f>
        <v>#REF!</v>
      </c>
      <c r="FB25" t="e">
        <f>AND(#REF!,"AAAAAH/f/Z0=")</f>
        <v>#REF!</v>
      </c>
      <c r="FC25" t="e">
        <f>AND(#REF!,"AAAAAH/f/Z4=")</f>
        <v>#REF!</v>
      </c>
      <c r="FD25" t="e">
        <f>AND(#REF!,"AAAAAH/f/Z8=")</f>
        <v>#REF!</v>
      </c>
      <c r="FE25" t="e">
        <f>AND(#REF!,"AAAAAH/f/aA=")</f>
        <v>#REF!</v>
      </c>
      <c r="FF25" t="e">
        <f>AND(#REF!,"AAAAAH/f/aE=")</f>
        <v>#REF!</v>
      </c>
      <c r="FG25" t="e">
        <f>AND(#REF!,"AAAAAH/f/aI=")</f>
        <v>#REF!</v>
      </c>
      <c r="FH25" t="e">
        <f>AND(#REF!,"AAAAAH/f/aM=")</f>
        <v>#REF!</v>
      </c>
      <c r="FI25" t="e">
        <f>AND(#REF!,"AAAAAH/f/aQ=")</f>
        <v>#REF!</v>
      </c>
      <c r="FJ25" t="e">
        <f>AND(#REF!,"AAAAAH/f/aU=")</f>
        <v>#REF!</v>
      </c>
      <c r="FK25" t="e">
        <f>AND(#REF!,"AAAAAH/f/aY=")</f>
        <v>#REF!</v>
      </c>
      <c r="FL25" t="e">
        <f>AND(#REF!,"AAAAAH/f/ac=")</f>
        <v>#REF!</v>
      </c>
      <c r="FM25" t="e">
        <f>AND(#REF!,"AAAAAH/f/ag=")</f>
        <v>#REF!</v>
      </c>
      <c r="FN25" t="e">
        <f>AND(#REF!,"AAAAAH/f/ak=")</f>
        <v>#REF!</v>
      </c>
      <c r="FO25" t="e">
        <f>AND(#REF!,"AAAAAH/f/ao=")</f>
        <v>#REF!</v>
      </c>
      <c r="FP25" t="e">
        <f>AND(#REF!,"AAAAAH/f/as=")</f>
        <v>#REF!</v>
      </c>
      <c r="FQ25" t="e">
        <f>AND(#REF!,"AAAAAH/f/aw=")</f>
        <v>#REF!</v>
      </c>
      <c r="FR25" t="e">
        <f>AND(#REF!,"AAAAAH/f/a0=")</f>
        <v>#REF!</v>
      </c>
      <c r="FS25" t="e">
        <f>AND(#REF!,"AAAAAH/f/a4=")</f>
        <v>#REF!</v>
      </c>
      <c r="FT25" t="e">
        <f>AND(#REF!,"AAAAAH/f/a8=")</f>
        <v>#REF!</v>
      </c>
      <c r="FU25" t="e">
        <f>AND(#REF!,"AAAAAH/f/bA=")</f>
        <v>#REF!</v>
      </c>
      <c r="FV25" t="e">
        <f>AND(#REF!,"AAAAAH/f/bE=")</f>
        <v>#REF!</v>
      </c>
      <c r="FW25" t="e">
        <f>AND(#REF!,"AAAAAH/f/bI=")</f>
        <v>#REF!</v>
      </c>
      <c r="FX25" t="e">
        <f>AND(#REF!,"AAAAAH/f/bM=")</f>
        <v>#REF!</v>
      </c>
      <c r="FY25" t="e">
        <f>AND(#REF!,"AAAAAH/f/bQ=")</f>
        <v>#REF!</v>
      </c>
      <c r="FZ25" t="e">
        <f>AND(#REF!,"AAAAAH/f/bU=")</f>
        <v>#REF!</v>
      </c>
      <c r="GA25" t="e">
        <f>AND(#REF!,"AAAAAH/f/bY=")</f>
        <v>#REF!</v>
      </c>
      <c r="GB25" t="e">
        <f>AND(#REF!,"AAAAAH/f/bc=")</f>
        <v>#REF!</v>
      </c>
      <c r="GC25" t="e">
        <f>AND(#REF!,"AAAAAH/f/bg=")</f>
        <v>#REF!</v>
      </c>
      <c r="GD25" t="e">
        <f>AND(#REF!,"AAAAAH/f/bk=")</f>
        <v>#REF!</v>
      </c>
      <c r="GE25" t="e">
        <f>AND(#REF!,"AAAAAH/f/bo=")</f>
        <v>#REF!</v>
      </c>
      <c r="GF25" t="e">
        <f>AND(#REF!,"AAAAAH/f/bs=")</f>
        <v>#REF!</v>
      </c>
      <c r="GG25" t="e">
        <f>AND(#REF!,"AAAAAH/f/bw=")</f>
        <v>#REF!</v>
      </c>
      <c r="GH25" t="e">
        <f>AND(#REF!,"AAAAAH/f/b0=")</f>
        <v>#REF!</v>
      </c>
      <c r="GI25" t="e">
        <f>AND(#REF!,"AAAAAH/f/b4=")</f>
        <v>#REF!</v>
      </c>
      <c r="GJ25" t="e">
        <f>AND(#REF!,"AAAAAH/f/b8=")</f>
        <v>#REF!</v>
      </c>
      <c r="GK25" t="e">
        <f>AND(#REF!,"AAAAAH/f/cA=")</f>
        <v>#REF!</v>
      </c>
      <c r="GL25" t="e">
        <f>AND(#REF!,"AAAAAH/f/cE=")</f>
        <v>#REF!</v>
      </c>
      <c r="GM25" t="e">
        <f>AND(#REF!,"AAAAAH/f/cI=")</f>
        <v>#REF!</v>
      </c>
      <c r="GN25" t="e">
        <f>AND(#REF!,"AAAAAH/f/cM=")</f>
        <v>#REF!</v>
      </c>
      <c r="GO25" t="e">
        <f>AND(#REF!,"AAAAAH/f/cQ=")</f>
        <v>#REF!</v>
      </c>
      <c r="GP25" t="e">
        <f>AND(#REF!,"AAAAAH/f/cU=")</f>
        <v>#REF!</v>
      </c>
      <c r="GQ25" t="e">
        <f>AND(#REF!,"AAAAAH/f/cY=")</f>
        <v>#REF!</v>
      </c>
      <c r="GR25" t="e">
        <f>AND(#REF!,"AAAAAH/f/cc=")</f>
        <v>#REF!</v>
      </c>
      <c r="GS25" t="e">
        <f>AND(#REF!,"AAAAAH/f/cg=")</f>
        <v>#REF!</v>
      </c>
      <c r="GT25" t="e">
        <f>AND(#REF!,"AAAAAH/f/ck=")</f>
        <v>#REF!</v>
      </c>
      <c r="GU25" t="e">
        <f>AND(#REF!,"AAAAAH/f/co=")</f>
        <v>#REF!</v>
      </c>
      <c r="GV25" t="e">
        <f>AND(#REF!,"AAAAAH/f/cs=")</f>
        <v>#REF!</v>
      </c>
      <c r="GW25" t="e">
        <f>AND(#REF!,"AAAAAH/f/cw=")</f>
        <v>#REF!</v>
      </c>
      <c r="GX25" t="e">
        <f>AND(#REF!,"AAAAAH/f/c0=")</f>
        <v>#REF!</v>
      </c>
      <c r="GY25" t="e">
        <f>AND(#REF!,"AAAAAH/f/c4=")</f>
        <v>#REF!</v>
      </c>
      <c r="GZ25" t="e">
        <f>AND(#REF!,"AAAAAH/f/c8=")</f>
        <v>#REF!</v>
      </c>
      <c r="HA25" t="e">
        <f>AND(#REF!,"AAAAAH/f/dA=")</f>
        <v>#REF!</v>
      </c>
      <c r="HB25" t="e">
        <f>AND(#REF!,"AAAAAH/f/dE=")</f>
        <v>#REF!</v>
      </c>
      <c r="HC25" t="e">
        <f>AND(#REF!,"AAAAAH/f/dI=")</f>
        <v>#REF!</v>
      </c>
      <c r="HD25" t="e">
        <f>AND(#REF!,"AAAAAH/f/dM=")</f>
        <v>#REF!</v>
      </c>
      <c r="HE25" t="e">
        <f>AND(#REF!,"AAAAAH/f/dQ=")</f>
        <v>#REF!</v>
      </c>
      <c r="HF25" t="e">
        <f>AND(#REF!,"AAAAAH/f/dU=")</f>
        <v>#REF!</v>
      </c>
      <c r="HG25" t="e">
        <f>AND(#REF!,"AAAAAH/f/dY=")</f>
        <v>#REF!</v>
      </c>
      <c r="HH25" t="e">
        <f>AND(#REF!,"AAAAAH/f/dc=")</f>
        <v>#REF!</v>
      </c>
      <c r="HI25" t="e">
        <f>AND(#REF!,"AAAAAH/f/dg=")</f>
        <v>#REF!</v>
      </c>
      <c r="HJ25" t="e">
        <f>AND(#REF!,"AAAAAH/f/dk=")</f>
        <v>#REF!</v>
      </c>
      <c r="HK25" t="e">
        <f>AND(#REF!,"AAAAAH/f/do=")</f>
        <v>#REF!</v>
      </c>
      <c r="HL25" t="e">
        <f>AND(#REF!,"AAAAAH/f/ds=")</f>
        <v>#REF!</v>
      </c>
      <c r="HM25" t="e">
        <f>AND(#REF!,"AAAAAH/f/dw=")</f>
        <v>#REF!</v>
      </c>
      <c r="HN25" t="e">
        <f>AND(#REF!,"AAAAAH/f/d0=")</f>
        <v>#REF!</v>
      </c>
      <c r="HO25" t="e">
        <f>AND(#REF!,"AAAAAH/f/d4=")</f>
        <v>#REF!</v>
      </c>
      <c r="HP25" t="e">
        <f>AND(#REF!,"AAAAAH/f/d8=")</f>
        <v>#REF!</v>
      </c>
      <c r="HQ25" t="e">
        <f>AND(#REF!,"AAAAAH/f/eA=")</f>
        <v>#REF!</v>
      </c>
      <c r="HR25" t="e">
        <f>AND(#REF!,"AAAAAH/f/eE=")</f>
        <v>#REF!</v>
      </c>
      <c r="HS25" t="e">
        <f>AND(#REF!,"AAAAAH/f/eI=")</f>
        <v>#REF!</v>
      </c>
      <c r="HT25" t="e">
        <f>AND(#REF!,"AAAAAH/f/eM=")</f>
        <v>#REF!</v>
      </c>
      <c r="HU25" t="e">
        <f>AND(#REF!,"AAAAAH/f/eQ=")</f>
        <v>#REF!</v>
      </c>
      <c r="HV25" t="e">
        <f>AND(#REF!,"AAAAAH/f/eU=")</f>
        <v>#REF!</v>
      </c>
      <c r="HW25" t="e">
        <f>AND(#REF!,"AAAAAH/f/eY=")</f>
        <v>#REF!</v>
      </c>
      <c r="HX25" t="e">
        <f>AND(#REF!,"AAAAAH/f/ec=")</f>
        <v>#REF!</v>
      </c>
      <c r="HY25" t="e">
        <f>AND(#REF!,"AAAAAH/f/eg=")</f>
        <v>#REF!</v>
      </c>
      <c r="HZ25" t="e">
        <f>AND(#REF!,"AAAAAH/f/ek=")</f>
        <v>#REF!</v>
      </c>
      <c r="IA25" t="e">
        <f>AND(#REF!,"AAAAAH/f/eo=")</f>
        <v>#REF!</v>
      </c>
      <c r="IB25" t="e">
        <f>AND(#REF!,"AAAAAH/f/es=")</f>
        <v>#REF!</v>
      </c>
      <c r="IC25" t="e">
        <f>AND(#REF!,"AAAAAH/f/ew=")</f>
        <v>#REF!</v>
      </c>
      <c r="ID25" t="e">
        <f>AND(#REF!,"AAAAAH/f/e0=")</f>
        <v>#REF!</v>
      </c>
      <c r="IE25" t="e">
        <f>AND(#REF!,"AAAAAH/f/e4=")</f>
        <v>#REF!</v>
      </c>
      <c r="IF25" t="e">
        <f>AND(#REF!,"AAAAAH/f/e8=")</f>
        <v>#REF!</v>
      </c>
      <c r="IG25" t="e">
        <f>AND(#REF!,"AAAAAH/f/fA=")</f>
        <v>#REF!</v>
      </c>
      <c r="IH25" t="e">
        <f>AND(#REF!,"AAAAAH/f/fE=")</f>
        <v>#REF!</v>
      </c>
      <c r="II25" t="e">
        <f>AND(#REF!,"AAAAAH/f/fI=")</f>
        <v>#REF!</v>
      </c>
      <c r="IJ25" t="e">
        <f>AND(#REF!,"AAAAAH/f/fM=")</f>
        <v>#REF!</v>
      </c>
      <c r="IK25" t="e">
        <f>AND(#REF!,"AAAAAH/f/fQ=")</f>
        <v>#REF!</v>
      </c>
      <c r="IL25" t="e">
        <f>AND(#REF!,"AAAAAH/f/fU=")</f>
        <v>#REF!</v>
      </c>
      <c r="IM25" t="e">
        <f>AND(#REF!,"AAAAAH/f/fY=")</f>
        <v>#REF!</v>
      </c>
      <c r="IN25" t="e">
        <f>AND(#REF!,"AAAAAH/f/fc=")</f>
        <v>#REF!</v>
      </c>
      <c r="IO25" t="e">
        <f>AND(#REF!,"AAAAAH/f/fg=")</f>
        <v>#REF!</v>
      </c>
      <c r="IP25" t="e">
        <f>AND(#REF!,"AAAAAH/f/fk=")</f>
        <v>#REF!</v>
      </c>
      <c r="IQ25" t="e">
        <f>AND(#REF!,"AAAAAH/f/fo=")</f>
        <v>#REF!</v>
      </c>
      <c r="IR25" t="e">
        <f>AND(#REF!,"AAAAAH/f/fs=")</f>
        <v>#REF!</v>
      </c>
      <c r="IS25" t="e">
        <f>AND(#REF!,"AAAAAH/f/fw=")</f>
        <v>#REF!</v>
      </c>
      <c r="IT25" t="e">
        <f>AND(#REF!,"AAAAAH/f/f0=")</f>
        <v>#REF!</v>
      </c>
      <c r="IU25" t="e">
        <f>AND(#REF!,"AAAAAH/f/f4=")</f>
        <v>#REF!</v>
      </c>
      <c r="IV25" t="e">
        <f>AND(#REF!,"AAAAAH/f/f8=")</f>
        <v>#REF!</v>
      </c>
    </row>
    <row r="26" spans="1:256" x14ac:dyDescent="0.25">
      <c r="A26" t="e">
        <f>AND(#REF!,"AAAAAEv/fgA=")</f>
        <v>#REF!</v>
      </c>
      <c r="B26" t="e">
        <f>AND(#REF!,"AAAAAEv/fgE=")</f>
        <v>#REF!</v>
      </c>
      <c r="C26" t="e">
        <f>AND(#REF!,"AAAAAEv/fgI=")</f>
        <v>#REF!</v>
      </c>
      <c r="D26" t="e">
        <f>AND(#REF!,"AAAAAEv/fgM=")</f>
        <v>#REF!</v>
      </c>
      <c r="E26" t="e">
        <f>AND(#REF!,"AAAAAEv/fgQ=")</f>
        <v>#REF!</v>
      </c>
      <c r="F26" t="e">
        <f>AND(#REF!,"AAAAAEv/fgU=")</f>
        <v>#REF!</v>
      </c>
      <c r="G26" t="e">
        <f>AND(#REF!,"AAAAAEv/fgY=")</f>
        <v>#REF!</v>
      </c>
      <c r="H26" t="e">
        <f>AND(#REF!,"AAAAAEv/fgc=")</f>
        <v>#REF!</v>
      </c>
      <c r="I26" t="e">
        <f>AND(#REF!,"AAAAAEv/fgg=")</f>
        <v>#REF!</v>
      </c>
      <c r="J26" t="e">
        <f>AND(#REF!,"AAAAAEv/fgk=")</f>
        <v>#REF!</v>
      </c>
      <c r="K26" t="e">
        <f>AND(#REF!,"AAAAAEv/fgo=")</f>
        <v>#REF!</v>
      </c>
      <c r="L26" t="e">
        <f>AND(#REF!,"AAAAAEv/fgs=")</f>
        <v>#REF!</v>
      </c>
      <c r="M26" t="e">
        <f>AND(#REF!,"AAAAAEv/fgw=")</f>
        <v>#REF!</v>
      </c>
      <c r="N26" t="e">
        <f>AND(#REF!,"AAAAAEv/fg0=")</f>
        <v>#REF!</v>
      </c>
      <c r="O26" t="e">
        <f>AND(#REF!,"AAAAAEv/fg4=")</f>
        <v>#REF!</v>
      </c>
      <c r="P26" t="e">
        <f>AND(#REF!,"AAAAAEv/fg8=")</f>
        <v>#REF!</v>
      </c>
      <c r="Q26" t="e">
        <f>AND(#REF!,"AAAAAEv/fhA=")</f>
        <v>#REF!</v>
      </c>
      <c r="R26" t="e">
        <f>AND(#REF!,"AAAAAEv/fhE=")</f>
        <v>#REF!</v>
      </c>
      <c r="S26" t="e">
        <f>AND(#REF!,"AAAAAEv/fhI=")</f>
        <v>#REF!</v>
      </c>
      <c r="T26" t="e">
        <f>AND(#REF!,"AAAAAEv/fhM=")</f>
        <v>#REF!</v>
      </c>
      <c r="U26" t="e">
        <f>AND(#REF!,"AAAAAEv/fhQ=")</f>
        <v>#REF!</v>
      </c>
      <c r="V26" t="e">
        <f>AND(#REF!,"AAAAAEv/fhU=")</f>
        <v>#REF!</v>
      </c>
      <c r="W26" t="e">
        <f>AND(#REF!,"AAAAAEv/fhY=")</f>
        <v>#REF!</v>
      </c>
      <c r="X26" t="e">
        <f>AND(#REF!,"AAAAAEv/fhc=")</f>
        <v>#REF!</v>
      </c>
      <c r="Y26" t="e">
        <f>AND(#REF!,"AAAAAEv/fhg=")</f>
        <v>#REF!</v>
      </c>
      <c r="Z26" t="e">
        <f>AND(#REF!,"AAAAAEv/fhk=")</f>
        <v>#REF!</v>
      </c>
      <c r="AA26" t="e">
        <f>AND(#REF!,"AAAAAEv/fho=")</f>
        <v>#REF!</v>
      </c>
      <c r="AB26" t="e">
        <f>AND(#REF!,"AAAAAEv/fhs=")</f>
        <v>#REF!</v>
      </c>
      <c r="AC26" t="e">
        <f>AND(#REF!,"AAAAAEv/fhw=")</f>
        <v>#REF!</v>
      </c>
      <c r="AD26" t="e">
        <f>AND(#REF!,"AAAAAEv/fh0=")</f>
        <v>#REF!</v>
      </c>
      <c r="AE26" t="e">
        <f>AND(#REF!,"AAAAAEv/fh4=")</f>
        <v>#REF!</v>
      </c>
      <c r="AF26" t="e">
        <f>AND(#REF!,"AAAAAEv/fh8=")</f>
        <v>#REF!</v>
      </c>
      <c r="AG26" t="e">
        <f>AND(#REF!,"AAAAAEv/fiA=")</f>
        <v>#REF!</v>
      </c>
      <c r="AH26" t="e">
        <f>AND(#REF!,"AAAAAEv/fiE=")</f>
        <v>#REF!</v>
      </c>
      <c r="AI26" t="e">
        <f>AND(#REF!,"AAAAAEv/fiI=")</f>
        <v>#REF!</v>
      </c>
      <c r="AJ26" t="e">
        <f>AND(#REF!,"AAAAAEv/fiM=")</f>
        <v>#REF!</v>
      </c>
      <c r="AK26" t="e">
        <f>AND(#REF!,"AAAAAEv/fiQ=")</f>
        <v>#REF!</v>
      </c>
      <c r="AL26" t="e">
        <f>AND(#REF!,"AAAAAEv/fiU=")</f>
        <v>#REF!</v>
      </c>
      <c r="AM26" t="e">
        <f>AND(#REF!,"AAAAAEv/fiY=")</f>
        <v>#REF!</v>
      </c>
      <c r="AN26" t="e">
        <f>AND(#REF!,"AAAAAEv/fic=")</f>
        <v>#REF!</v>
      </c>
      <c r="AO26" t="e">
        <f>AND(#REF!,"AAAAAEv/fig=")</f>
        <v>#REF!</v>
      </c>
      <c r="AP26" t="e">
        <f>AND(#REF!,"AAAAAEv/fik=")</f>
        <v>#REF!</v>
      </c>
      <c r="AQ26" t="e">
        <f>AND(#REF!,"AAAAAEv/fio=")</f>
        <v>#REF!</v>
      </c>
      <c r="AR26" t="e">
        <f>AND(#REF!,"AAAAAEv/fis=")</f>
        <v>#REF!</v>
      </c>
      <c r="AS26" t="e">
        <f>AND(#REF!,"AAAAAEv/fiw=")</f>
        <v>#REF!</v>
      </c>
      <c r="AT26" t="e">
        <f>AND(#REF!,"AAAAAEv/fi0=")</f>
        <v>#REF!</v>
      </c>
      <c r="AU26" t="e">
        <f>AND(#REF!,"AAAAAEv/fi4=")</f>
        <v>#REF!</v>
      </c>
      <c r="AV26" t="e">
        <f>AND(#REF!,"AAAAAEv/fi8=")</f>
        <v>#REF!</v>
      </c>
      <c r="AW26" t="e">
        <f>AND(#REF!,"AAAAAEv/fjA=")</f>
        <v>#REF!</v>
      </c>
      <c r="AX26" t="e">
        <f>AND(#REF!,"AAAAAEv/fjE=")</f>
        <v>#REF!</v>
      </c>
      <c r="AY26" t="e">
        <f>AND(#REF!,"AAAAAEv/fjI=")</f>
        <v>#REF!</v>
      </c>
      <c r="AZ26" t="e">
        <f>AND(#REF!,"AAAAAEv/fjM=")</f>
        <v>#REF!</v>
      </c>
      <c r="BA26" t="e">
        <f>AND(#REF!,"AAAAAEv/fjQ=")</f>
        <v>#REF!</v>
      </c>
      <c r="BB26" t="e">
        <f>AND(#REF!,"AAAAAEv/fjU=")</f>
        <v>#REF!</v>
      </c>
      <c r="BC26" t="e">
        <f>AND(#REF!,"AAAAAEv/fjY=")</f>
        <v>#REF!</v>
      </c>
      <c r="BD26" t="e">
        <f>AND(#REF!,"AAAAAEv/fjc=")</f>
        <v>#REF!</v>
      </c>
      <c r="BE26" t="e">
        <f>AND(#REF!,"AAAAAEv/fjg=")</f>
        <v>#REF!</v>
      </c>
      <c r="BF26" t="e">
        <f>AND(#REF!,"AAAAAEv/fjk=")</f>
        <v>#REF!</v>
      </c>
      <c r="BG26" t="e">
        <f>AND(#REF!,"AAAAAEv/fjo=")</f>
        <v>#REF!</v>
      </c>
      <c r="BH26" t="e">
        <f>AND(#REF!,"AAAAAEv/fjs=")</f>
        <v>#REF!</v>
      </c>
      <c r="BI26" t="e">
        <f>AND(#REF!,"AAAAAEv/fjw=")</f>
        <v>#REF!</v>
      </c>
      <c r="BJ26" t="e">
        <f>AND(#REF!,"AAAAAEv/fj0=")</f>
        <v>#REF!</v>
      </c>
      <c r="BK26" t="e">
        <f>AND(#REF!,"AAAAAEv/fj4=")</f>
        <v>#REF!</v>
      </c>
      <c r="BL26" t="e">
        <f>AND(#REF!,"AAAAAEv/fj8=")</f>
        <v>#REF!</v>
      </c>
      <c r="BM26" t="e">
        <f>AND(#REF!,"AAAAAEv/fkA=")</f>
        <v>#REF!</v>
      </c>
      <c r="BN26" t="e">
        <f>AND(#REF!,"AAAAAEv/fkE=")</f>
        <v>#REF!</v>
      </c>
      <c r="BO26" t="e">
        <f>AND(#REF!,"AAAAAEv/fkI=")</f>
        <v>#REF!</v>
      </c>
      <c r="BP26" t="e">
        <f>AND(#REF!,"AAAAAEv/fkM=")</f>
        <v>#REF!</v>
      </c>
      <c r="BQ26" t="e">
        <f>AND(#REF!,"AAAAAEv/fkQ=")</f>
        <v>#REF!</v>
      </c>
      <c r="BR26" t="e">
        <f>AND(#REF!,"AAAAAEv/fkU=")</f>
        <v>#REF!</v>
      </c>
      <c r="BS26" t="e">
        <f>AND(#REF!,"AAAAAEv/fkY=")</f>
        <v>#REF!</v>
      </c>
      <c r="BT26" t="e">
        <f>AND(#REF!,"AAAAAEv/fkc=")</f>
        <v>#REF!</v>
      </c>
      <c r="BU26" t="e">
        <f>AND(#REF!,"AAAAAEv/fkg=")</f>
        <v>#REF!</v>
      </c>
      <c r="BV26" t="e">
        <f>AND(#REF!,"AAAAAEv/fkk=")</f>
        <v>#REF!</v>
      </c>
      <c r="BW26" t="e">
        <f>AND(#REF!,"AAAAAEv/fko=")</f>
        <v>#REF!</v>
      </c>
      <c r="BX26" t="e">
        <f>AND(#REF!,"AAAAAEv/fks=")</f>
        <v>#REF!</v>
      </c>
      <c r="BY26" t="e">
        <f>IF(#REF!,"AAAAAEv/fkw=",0)</f>
        <v>#REF!</v>
      </c>
      <c r="BZ26" t="e">
        <f>AND(#REF!,"AAAAAEv/fk0=")</f>
        <v>#REF!</v>
      </c>
      <c r="CA26" t="e">
        <f>AND(#REF!,"AAAAAEv/fk4=")</f>
        <v>#REF!</v>
      </c>
      <c r="CB26" t="e">
        <f>AND(#REF!,"AAAAAEv/fk8=")</f>
        <v>#REF!</v>
      </c>
      <c r="CC26" t="e">
        <f>AND(#REF!,"AAAAAEv/flA=")</f>
        <v>#REF!</v>
      </c>
      <c r="CD26" t="e">
        <f>AND(#REF!,"AAAAAEv/flE=")</f>
        <v>#REF!</v>
      </c>
      <c r="CE26" t="e">
        <f>AND(#REF!,"AAAAAEv/flI=")</f>
        <v>#REF!</v>
      </c>
      <c r="CF26" t="e">
        <f>AND(#REF!,"AAAAAEv/flM=")</f>
        <v>#REF!</v>
      </c>
      <c r="CG26" t="e">
        <f>AND(#REF!,"AAAAAEv/flQ=")</f>
        <v>#REF!</v>
      </c>
      <c r="CH26" t="e">
        <f>AND(#REF!,"AAAAAEv/flU=")</f>
        <v>#REF!</v>
      </c>
      <c r="CI26" t="e">
        <f>AND(#REF!,"AAAAAEv/flY=")</f>
        <v>#REF!</v>
      </c>
      <c r="CJ26" t="e">
        <f>AND(#REF!,"AAAAAEv/flc=")</f>
        <v>#REF!</v>
      </c>
      <c r="CK26" t="e">
        <f>AND(#REF!,"AAAAAEv/flg=")</f>
        <v>#REF!</v>
      </c>
      <c r="CL26" t="e">
        <f>AND(#REF!,"AAAAAEv/flk=")</f>
        <v>#REF!</v>
      </c>
      <c r="CM26" t="e">
        <f>AND(#REF!,"AAAAAEv/flo=")</f>
        <v>#REF!</v>
      </c>
      <c r="CN26" t="e">
        <f>AND(#REF!,"AAAAAEv/fls=")</f>
        <v>#REF!</v>
      </c>
      <c r="CO26" t="e">
        <f>AND(#REF!,"AAAAAEv/flw=")</f>
        <v>#REF!</v>
      </c>
      <c r="CP26" t="e">
        <f>AND(#REF!,"AAAAAEv/fl0=")</f>
        <v>#REF!</v>
      </c>
      <c r="CQ26" t="e">
        <f>AND(#REF!,"AAAAAEv/fl4=")</f>
        <v>#REF!</v>
      </c>
      <c r="CR26" t="e">
        <f>AND(#REF!,"AAAAAEv/fl8=")</f>
        <v>#REF!</v>
      </c>
      <c r="CS26" t="e">
        <f>AND(#REF!,"AAAAAEv/fmA=")</f>
        <v>#REF!</v>
      </c>
      <c r="CT26" t="e">
        <f>AND(#REF!,"AAAAAEv/fmE=")</f>
        <v>#REF!</v>
      </c>
      <c r="CU26" t="e">
        <f>AND(#REF!,"AAAAAEv/fmI=")</f>
        <v>#REF!</v>
      </c>
      <c r="CV26" t="e">
        <f>AND(#REF!,"AAAAAEv/fmM=")</f>
        <v>#REF!</v>
      </c>
      <c r="CW26" t="e">
        <f>AND(#REF!,"AAAAAEv/fmQ=")</f>
        <v>#REF!</v>
      </c>
      <c r="CX26" t="e">
        <f>AND(#REF!,"AAAAAEv/fmU=")</f>
        <v>#REF!</v>
      </c>
      <c r="CY26" t="e">
        <f>AND(#REF!,"AAAAAEv/fmY=")</f>
        <v>#REF!</v>
      </c>
      <c r="CZ26" t="e">
        <f>AND(#REF!,"AAAAAEv/fmc=")</f>
        <v>#REF!</v>
      </c>
      <c r="DA26" t="e">
        <f>AND(#REF!,"AAAAAEv/fmg=")</f>
        <v>#REF!</v>
      </c>
      <c r="DB26" t="e">
        <f>AND(#REF!,"AAAAAEv/fmk=")</f>
        <v>#REF!</v>
      </c>
      <c r="DC26" t="e">
        <f>AND(#REF!,"AAAAAEv/fmo=")</f>
        <v>#REF!</v>
      </c>
      <c r="DD26" t="e">
        <f>AND(#REF!,"AAAAAEv/fms=")</f>
        <v>#REF!</v>
      </c>
      <c r="DE26" t="e">
        <f>AND(#REF!,"AAAAAEv/fmw=")</f>
        <v>#REF!</v>
      </c>
      <c r="DF26" t="e">
        <f>AND(#REF!,"AAAAAEv/fm0=")</f>
        <v>#REF!</v>
      </c>
      <c r="DG26" t="e">
        <f>AND(#REF!,"AAAAAEv/fm4=")</f>
        <v>#REF!</v>
      </c>
      <c r="DH26" t="e">
        <f>AND(#REF!,"AAAAAEv/fm8=")</f>
        <v>#REF!</v>
      </c>
      <c r="DI26" t="e">
        <f>AND(#REF!,"AAAAAEv/fnA=")</f>
        <v>#REF!</v>
      </c>
      <c r="DJ26" t="e">
        <f>AND(#REF!,"AAAAAEv/fnE=")</f>
        <v>#REF!</v>
      </c>
      <c r="DK26" t="e">
        <f>AND(#REF!,"AAAAAEv/fnI=")</f>
        <v>#REF!</v>
      </c>
      <c r="DL26" t="e">
        <f>AND(#REF!,"AAAAAEv/fnM=")</f>
        <v>#REF!</v>
      </c>
      <c r="DM26" t="e">
        <f>AND(#REF!,"AAAAAEv/fnQ=")</f>
        <v>#REF!</v>
      </c>
      <c r="DN26" t="e">
        <f>AND(#REF!,"AAAAAEv/fnU=")</f>
        <v>#REF!</v>
      </c>
      <c r="DO26" t="e">
        <f>AND(#REF!,"AAAAAEv/fnY=")</f>
        <v>#REF!</v>
      </c>
      <c r="DP26" t="e">
        <f>AND(#REF!,"AAAAAEv/fnc=")</f>
        <v>#REF!</v>
      </c>
      <c r="DQ26" t="e">
        <f>AND(#REF!,"AAAAAEv/fng=")</f>
        <v>#REF!</v>
      </c>
      <c r="DR26" t="e">
        <f>AND(#REF!,"AAAAAEv/fnk=")</f>
        <v>#REF!</v>
      </c>
      <c r="DS26" t="e">
        <f>AND(#REF!,"AAAAAEv/fno=")</f>
        <v>#REF!</v>
      </c>
      <c r="DT26" t="e">
        <f>AND(#REF!,"AAAAAEv/fns=")</f>
        <v>#REF!</v>
      </c>
      <c r="DU26" t="e">
        <f>AND(#REF!,"AAAAAEv/fnw=")</f>
        <v>#REF!</v>
      </c>
      <c r="DV26" t="e">
        <f>AND(#REF!,"AAAAAEv/fn0=")</f>
        <v>#REF!</v>
      </c>
      <c r="DW26" t="e">
        <f>AND(#REF!,"AAAAAEv/fn4=")</f>
        <v>#REF!</v>
      </c>
      <c r="DX26" t="e">
        <f>AND(#REF!,"AAAAAEv/fn8=")</f>
        <v>#REF!</v>
      </c>
      <c r="DY26" t="e">
        <f>AND(#REF!,"AAAAAEv/foA=")</f>
        <v>#REF!</v>
      </c>
      <c r="DZ26" t="e">
        <f>AND(#REF!,"AAAAAEv/foE=")</f>
        <v>#REF!</v>
      </c>
      <c r="EA26" t="e">
        <f>AND(#REF!,"AAAAAEv/foI=")</f>
        <v>#REF!</v>
      </c>
      <c r="EB26" t="e">
        <f>AND(#REF!,"AAAAAEv/foM=")</f>
        <v>#REF!</v>
      </c>
      <c r="EC26" t="e">
        <f>AND(#REF!,"AAAAAEv/foQ=")</f>
        <v>#REF!</v>
      </c>
      <c r="ED26" t="e">
        <f>AND(#REF!,"AAAAAEv/foU=")</f>
        <v>#REF!</v>
      </c>
      <c r="EE26" t="e">
        <f>AND(#REF!,"AAAAAEv/foY=")</f>
        <v>#REF!</v>
      </c>
      <c r="EF26" t="e">
        <f>AND(#REF!,"AAAAAEv/foc=")</f>
        <v>#REF!</v>
      </c>
      <c r="EG26" t="e">
        <f>AND(#REF!,"AAAAAEv/fog=")</f>
        <v>#REF!</v>
      </c>
      <c r="EH26" t="e">
        <f>AND(#REF!,"AAAAAEv/fok=")</f>
        <v>#REF!</v>
      </c>
      <c r="EI26" t="e">
        <f>AND(#REF!,"AAAAAEv/foo=")</f>
        <v>#REF!</v>
      </c>
      <c r="EJ26" t="e">
        <f>AND(#REF!,"AAAAAEv/fos=")</f>
        <v>#REF!</v>
      </c>
      <c r="EK26" t="e">
        <f>AND(#REF!,"AAAAAEv/fow=")</f>
        <v>#REF!</v>
      </c>
      <c r="EL26" t="e">
        <f>AND(#REF!,"AAAAAEv/fo0=")</f>
        <v>#REF!</v>
      </c>
      <c r="EM26" t="e">
        <f>AND(#REF!,"AAAAAEv/fo4=")</f>
        <v>#REF!</v>
      </c>
      <c r="EN26" t="e">
        <f>AND(#REF!,"AAAAAEv/fo8=")</f>
        <v>#REF!</v>
      </c>
      <c r="EO26" t="e">
        <f>AND(#REF!,"AAAAAEv/fpA=")</f>
        <v>#REF!</v>
      </c>
      <c r="EP26" t="e">
        <f>AND(#REF!,"AAAAAEv/fpE=")</f>
        <v>#REF!</v>
      </c>
      <c r="EQ26" t="e">
        <f>AND(#REF!,"AAAAAEv/fpI=")</f>
        <v>#REF!</v>
      </c>
      <c r="ER26" t="e">
        <f>AND(#REF!,"AAAAAEv/fpM=")</f>
        <v>#REF!</v>
      </c>
      <c r="ES26" t="e">
        <f>AND(#REF!,"AAAAAEv/fpQ=")</f>
        <v>#REF!</v>
      </c>
      <c r="ET26" t="e">
        <f>AND(#REF!,"AAAAAEv/fpU=")</f>
        <v>#REF!</v>
      </c>
      <c r="EU26" t="e">
        <f>AND(#REF!,"AAAAAEv/fpY=")</f>
        <v>#REF!</v>
      </c>
      <c r="EV26" t="e">
        <f>AND(#REF!,"AAAAAEv/fpc=")</f>
        <v>#REF!</v>
      </c>
      <c r="EW26" t="e">
        <f>AND(#REF!,"AAAAAEv/fpg=")</f>
        <v>#REF!</v>
      </c>
      <c r="EX26" t="e">
        <f>AND(#REF!,"AAAAAEv/fpk=")</f>
        <v>#REF!</v>
      </c>
      <c r="EY26" t="e">
        <f>AND(#REF!,"AAAAAEv/fpo=")</f>
        <v>#REF!</v>
      </c>
      <c r="EZ26" t="e">
        <f>AND(#REF!,"AAAAAEv/fps=")</f>
        <v>#REF!</v>
      </c>
      <c r="FA26" t="e">
        <f>AND(#REF!,"AAAAAEv/fpw=")</f>
        <v>#REF!</v>
      </c>
      <c r="FB26" t="e">
        <f>AND(#REF!,"AAAAAEv/fp0=")</f>
        <v>#REF!</v>
      </c>
      <c r="FC26" t="e">
        <f>AND(#REF!,"AAAAAEv/fp4=")</f>
        <v>#REF!</v>
      </c>
      <c r="FD26" t="e">
        <f>AND(#REF!,"AAAAAEv/fp8=")</f>
        <v>#REF!</v>
      </c>
      <c r="FE26" t="e">
        <f>AND(#REF!,"AAAAAEv/fqA=")</f>
        <v>#REF!</v>
      </c>
      <c r="FF26" t="e">
        <f>AND(#REF!,"AAAAAEv/fqE=")</f>
        <v>#REF!</v>
      </c>
      <c r="FG26" t="e">
        <f>AND(#REF!,"AAAAAEv/fqI=")</f>
        <v>#REF!</v>
      </c>
      <c r="FH26" t="e">
        <f>AND(#REF!,"AAAAAEv/fqM=")</f>
        <v>#REF!</v>
      </c>
      <c r="FI26" t="e">
        <f>AND(#REF!,"AAAAAEv/fqQ=")</f>
        <v>#REF!</v>
      </c>
      <c r="FJ26" t="e">
        <f>AND(#REF!,"AAAAAEv/fqU=")</f>
        <v>#REF!</v>
      </c>
      <c r="FK26" t="e">
        <f>AND(#REF!,"AAAAAEv/fqY=")</f>
        <v>#REF!</v>
      </c>
      <c r="FL26" t="e">
        <f>AND(#REF!,"AAAAAEv/fqc=")</f>
        <v>#REF!</v>
      </c>
      <c r="FM26" t="e">
        <f>AND(#REF!,"AAAAAEv/fqg=")</f>
        <v>#REF!</v>
      </c>
      <c r="FN26" t="e">
        <f>AND(#REF!,"AAAAAEv/fqk=")</f>
        <v>#REF!</v>
      </c>
      <c r="FO26" t="e">
        <f>AND(#REF!,"AAAAAEv/fqo=")</f>
        <v>#REF!</v>
      </c>
      <c r="FP26" t="e">
        <f>AND(#REF!,"AAAAAEv/fqs=")</f>
        <v>#REF!</v>
      </c>
      <c r="FQ26" t="e">
        <f>AND(#REF!,"AAAAAEv/fqw=")</f>
        <v>#REF!</v>
      </c>
      <c r="FR26" t="e">
        <f>AND(#REF!,"AAAAAEv/fq0=")</f>
        <v>#REF!</v>
      </c>
      <c r="FS26" t="e">
        <f>AND(#REF!,"AAAAAEv/fq4=")</f>
        <v>#REF!</v>
      </c>
      <c r="FT26" t="e">
        <f>AND(#REF!,"AAAAAEv/fq8=")</f>
        <v>#REF!</v>
      </c>
      <c r="FU26" t="e">
        <f>AND(#REF!,"AAAAAEv/frA=")</f>
        <v>#REF!</v>
      </c>
      <c r="FV26" t="e">
        <f>AND(#REF!,"AAAAAEv/frE=")</f>
        <v>#REF!</v>
      </c>
      <c r="FW26" t="e">
        <f>AND(#REF!,"AAAAAEv/frI=")</f>
        <v>#REF!</v>
      </c>
      <c r="FX26" t="e">
        <f>AND(#REF!,"AAAAAEv/frM=")</f>
        <v>#REF!</v>
      </c>
      <c r="FY26" t="e">
        <f>AND(#REF!,"AAAAAEv/frQ=")</f>
        <v>#REF!</v>
      </c>
      <c r="FZ26" t="e">
        <f>AND(#REF!,"AAAAAEv/frU=")</f>
        <v>#REF!</v>
      </c>
      <c r="GA26" t="e">
        <f>AND(#REF!,"AAAAAEv/frY=")</f>
        <v>#REF!</v>
      </c>
      <c r="GB26" t="e">
        <f>AND(#REF!,"AAAAAEv/frc=")</f>
        <v>#REF!</v>
      </c>
      <c r="GC26" t="e">
        <f>AND(#REF!,"AAAAAEv/frg=")</f>
        <v>#REF!</v>
      </c>
      <c r="GD26" t="e">
        <f>AND(#REF!,"AAAAAEv/frk=")</f>
        <v>#REF!</v>
      </c>
      <c r="GE26" t="e">
        <f>AND(#REF!,"AAAAAEv/fro=")</f>
        <v>#REF!</v>
      </c>
      <c r="GF26" t="e">
        <f>AND(#REF!,"AAAAAEv/frs=")</f>
        <v>#REF!</v>
      </c>
      <c r="GG26" t="e">
        <f>AND(#REF!,"AAAAAEv/frw=")</f>
        <v>#REF!</v>
      </c>
      <c r="GH26" t="e">
        <f>AND(#REF!,"AAAAAEv/fr0=")</f>
        <v>#REF!</v>
      </c>
      <c r="GI26" t="e">
        <f>AND(#REF!,"AAAAAEv/fr4=")</f>
        <v>#REF!</v>
      </c>
      <c r="GJ26" t="e">
        <f>AND(#REF!,"AAAAAEv/fr8=")</f>
        <v>#REF!</v>
      </c>
      <c r="GK26" t="e">
        <f>AND(#REF!,"AAAAAEv/fsA=")</f>
        <v>#REF!</v>
      </c>
      <c r="GL26" t="e">
        <f>AND(#REF!,"AAAAAEv/fsE=")</f>
        <v>#REF!</v>
      </c>
      <c r="GM26" t="e">
        <f>AND(#REF!,"AAAAAEv/fsI=")</f>
        <v>#REF!</v>
      </c>
      <c r="GN26" t="e">
        <f>AND(#REF!,"AAAAAEv/fsM=")</f>
        <v>#REF!</v>
      </c>
      <c r="GO26" t="e">
        <f>AND(#REF!,"AAAAAEv/fsQ=")</f>
        <v>#REF!</v>
      </c>
      <c r="GP26" t="e">
        <f>AND(#REF!,"AAAAAEv/fsU=")</f>
        <v>#REF!</v>
      </c>
      <c r="GQ26" t="e">
        <f>AND(#REF!,"AAAAAEv/fsY=")</f>
        <v>#REF!</v>
      </c>
      <c r="GR26" t="e">
        <f>AND(#REF!,"AAAAAEv/fsc=")</f>
        <v>#REF!</v>
      </c>
      <c r="GS26" t="e">
        <f>AND(#REF!,"AAAAAEv/fsg=")</f>
        <v>#REF!</v>
      </c>
      <c r="GT26" t="e">
        <f>AND(#REF!,"AAAAAEv/fsk=")</f>
        <v>#REF!</v>
      </c>
      <c r="GU26" t="e">
        <f>AND(#REF!,"AAAAAEv/fso=")</f>
        <v>#REF!</v>
      </c>
      <c r="GV26" t="e">
        <f>AND(#REF!,"AAAAAEv/fss=")</f>
        <v>#REF!</v>
      </c>
      <c r="GW26" t="e">
        <f>AND(#REF!,"AAAAAEv/fsw=")</f>
        <v>#REF!</v>
      </c>
      <c r="GX26" t="e">
        <f>AND(#REF!,"AAAAAEv/fs0=")</f>
        <v>#REF!</v>
      </c>
      <c r="GY26" t="e">
        <f>AND(#REF!,"AAAAAEv/fs4=")</f>
        <v>#REF!</v>
      </c>
      <c r="GZ26" t="e">
        <f>AND(#REF!,"AAAAAEv/fs8=")</f>
        <v>#REF!</v>
      </c>
      <c r="HA26" t="e">
        <f>AND(#REF!,"AAAAAEv/ftA=")</f>
        <v>#REF!</v>
      </c>
      <c r="HB26" t="e">
        <f>AND(#REF!,"AAAAAEv/ftE=")</f>
        <v>#REF!</v>
      </c>
      <c r="HC26" t="e">
        <f>AND(#REF!,"AAAAAEv/ftI=")</f>
        <v>#REF!</v>
      </c>
      <c r="HD26" t="e">
        <f>AND(#REF!,"AAAAAEv/ftM=")</f>
        <v>#REF!</v>
      </c>
      <c r="HE26" t="e">
        <f>AND(#REF!,"AAAAAEv/ftQ=")</f>
        <v>#REF!</v>
      </c>
      <c r="HF26" t="e">
        <f>AND(#REF!,"AAAAAEv/ftU=")</f>
        <v>#REF!</v>
      </c>
      <c r="HG26" t="e">
        <f>AND(#REF!,"AAAAAEv/ftY=")</f>
        <v>#REF!</v>
      </c>
      <c r="HH26" t="e">
        <f>AND(#REF!,"AAAAAEv/ftc=")</f>
        <v>#REF!</v>
      </c>
      <c r="HI26" t="e">
        <f>AND(#REF!,"AAAAAEv/ftg=")</f>
        <v>#REF!</v>
      </c>
      <c r="HJ26" t="e">
        <f>AND(#REF!,"AAAAAEv/ftk=")</f>
        <v>#REF!</v>
      </c>
      <c r="HK26" t="e">
        <f>AND(#REF!,"AAAAAEv/fto=")</f>
        <v>#REF!</v>
      </c>
      <c r="HL26" t="e">
        <f>AND(#REF!,"AAAAAEv/fts=")</f>
        <v>#REF!</v>
      </c>
      <c r="HM26" t="e">
        <f>AND(#REF!,"AAAAAEv/ftw=")</f>
        <v>#REF!</v>
      </c>
      <c r="HN26" t="e">
        <f>AND(#REF!,"AAAAAEv/ft0=")</f>
        <v>#REF!</v>
      </c>
      <c r="HO26" t="e">
        <f>AND(#REF!,"AAAAAEv/ft4=")</f>
        <v>#REF!</v>
      </c>
      <c r="HP26" t="e">
        <f>AND(#REF!,"AAAAAEv/ft8=")</f>
        <v>#REF!</v>
      </c>
      <c r="HQ26" t="e">
        <f>AND(#REF!,"AAAAAEv/fuA=")</f>
        <v>#REF!</v>
      </c>
      <c r="HR26" t="e">
        <f>AND(#REF!,"AAAAAEv/fuE=")</f>
        <v>#REF!</v>
      </c>
      <c r="HS26" t="e">
        <f>AND(#REF!,"AAAAAEv/fuI=")</f>
        <v>#REF!</v>
      </c>
      <c r="HT26" t="e">
        <f>AND(#REF!,"AAAAAEv/fuM=")</f>
        <v>#REF!</v>
      </c>
      <c r="HU26" t="e">
        <f>AND(#REF!,"AAAAAEv/fuQ=")</f>
        <v>#REF!</v>
      </c>
      <c r="HV26" t="e">
        <f>AND(#REF!,"AAAAAEv/fuU=")</f>
        <v>#REF!</v>
      </c>
      <c r="HW26" t="e">
        <f>AND(#REF!,"AAAAAEv/fuY=")</f>
        <v>#REF!</v>
      </c>
      <c r="HX26" t="e">
        <f>AND(#REF!,"AAAAAEv/fuc=")</f>
        <v>#REF!</v>
      </c>
      <c r="HY26" t="e">
        <f>AND(#REF!,"AAAAAEv/fug=")</f>
        <v>#REF!</v>
      </c>
      <c r="HZ26" t="e">
        <f>AND(#REF!,"AAAAAEv/fuk=")</f>
        <v>#REF!</v>
      </c>
      <c r="IA26" t="e">
        <f>AND(#REF!,"AAAAAEv/fuo=")</f>
        <v>#REF!</v>
      </c>
      <c r="IB26" t="e">
        <f>AND(#REF!,"AAAAAEv/fus=")</f>
        <v>#REF!</v>
      </c>
      <c r="IC26" t="e">
        <f>AND(#REF!,"AAAAAEv/fuw=")</f>
        <v>#REF!</v>
      </c>
      <c r="ID26" t="e">
        <f>AND(#REF!,"AAAAAEv/fu0=")</f>
        <v>#REF!</v>
      </c>
      <c r="IE26" t="e">
        <f>AND(#REF!,"AAAAAEv/fu4=")</f>
        <v>#REF!</v>
      </c>
      <c r="IF26" t="e">
        <f>AND(#REF!,"AAAAAEv/fu8=")</f>
        <v>#REF!</v>
      </c>
      <c r="IG26" t="e">
        <f>AND(#REF!,"AAAAAEv/fvA=")</f>
        <v>#REF!</v>
      </c>
      <c r="IH26" t="e">
        <f>AND(#REF!,"AAAAAEv/fvE=")</f>
        <v>#REF!</v>
      </c>
      <c r="II26" t="e">
        <f>AND(#REF!,"AAAAAEv/fvI=")</f>
        <v>#REF!</v>
      </c>
      <c r="IJ26" t="e">
        <f>AND(#REF!,"AAAAAEv/fvM=")</f>
        <v>#REF!</v>
      </c>
      <c r="IK26" t="e">
        <f>AND(#REF!,"AAAAAEv/fvQ=")</f>
        <v>#REF!</v>
      </c>
      <c r="IL26" t="e">
        <f>AND(#REF!,"AAAAAEv/fvU=")</f>
        <v>#REF!</v>
      </c>
      <c r="IM26" t="e">
        <f>AND(#REF!,"AAAAAEv/fvY=")</f>
        <v>#REF!</v>
      </c>
      <c r="IN26" t="e">
        <f>AND(#REF!,"AAAAAEv/fvc=")</f>
        <v>#REF!</v>
      </c>
      <c r="IO26" t="e">
        <f>AND(#REF!,"AAAAAEv/fvg=")</f>
        <v>#REF!</v>
      </c>
      <c r="IP26" t="e">
        <f>AND(#REF!,"AAAAAEv/fvk=")</f>
        <v>#REF!</v>
      </c>
      <c r="IQ26" t="e">
        <f>AND(#REF!,"AAAAAEv/fvo=")</f>
        <v>#REF!</v>
      </c>
      <c r="IR26" t="e">
        <f>AND(#REF!,"AAAAAEv/fvs=")</f>
        <v>#REF!</v>
      </c>
      <c r="IS26" t="e">
        <f>AND(#REF!,"AAAAAEv/fvw=")</f>
        <v>#REF!</v>
      </c>
      <c r="IT26" t="e">
        <f>IF(#REF!,"AAAAAEv/fv0=",0)</f>
        <v>#REF!</v>
      </c>
      <c r="IU26" t="e">
        <f>AND(#REF!,"AAAAAEv/fv4=")</f>
        <v>#REF!</v>
      </c>
      <c r="IV26" t="e">
        <f>AND(#REF!,"AAAAAEv/fv8=")</f>
        <v>#REF!</v>
      </c>
    </row>
    <row r="27" spans="1:256" x14ac:dyDescent="0.25">
      <c r="A27" t="e">
        <f>AND(#REF!,"AAAAAHL/fwA=")</f>
        <v>#REF!</v>
      </c>
      <c r="B27" t="e">
        <f>AND(#REF!,"AAAAAHL/fwE=")</f>
        <v>#REF!</v>
      </c>
      <c r="C27" t="e">
        <f>AND(#REF!,"AAAAAHL/fwI=")</f>
        <v>#REF!</v>
      </c>
      <c r="D27" t="e">
        <f>AND(#REF!,"AAAAAHL/fwM=")</f>
        <v>#REF!</v>
      </c>
      <c r="E27" t="e">
        <f>AND(#REF!,"AAAAAHL/fwQ=")</f>
        <v>#REF!</v>
      </c>
      <c r="F27" t="e">
        <f>AND(#REF!,"AAAAAHL/fwU=")</f>
        <v>#REF!</v>
      </c>
      <c r="G27" t="e">
        <f>AND(#REF!,"AAAAAHL/fwY=")</f>
        <v>#REF!</v>
      </c>
      <c r="H27" t="e">
        <f>AND(#REF!,"AAAAAHL/fwc=")</f>
        <v>#REF!</v>
      </c>
      <c r="I27" t="e">
        <f>AND(#REF!,"AAAAAHL/fwg=")</f>
        <v>#REF!</v>
      </c>
      <c r="J27" t="e">
        <f>AND(#REF!,"AAAAAHL/fwk=")</f>
        <v>#REF!</v>
      </c>
      <c r="K27" t="e">
        <f>AND(#REF!,"AAAAAHL/fwo=")</f>
        <v>#REF!</v>
      </c>
      <c r="L27" t="e">
        <f>AND(#REF!,"AAAAAHL/fws=")</f>
        <v>#REF!</v>
      </c>
      <c r="M27" t="e">
        <f>AND(#REF!,"AAAAAHL/fww=")</f>
        <v>#REF!</v>
      </c>
      <c r="N27" t="e">
        <f>AND(#REF!,"AAAAAHL/fw0=")</f>
        <v>#REF!</v>
      </c>
      <c r="O27" t="e">
        <f>AND(#REF!,"AAAAAHL/fw4=")</f>
        <v>#REF!</v>
      </c>
      <c r="P27" t="e">
        <f>AND(#REF!,"AAAAAHL/fw8=")</f>
        <v>#REF!</v>
      </c>
      <c r="Q27" t="e">
        <f>AND(#REF!,"AAAAAHL/fxA=")</f>
        <v>#REF!</v>
      </c>
      <c r="R27" t="e">
        <f>AND(#REF!,"AAAAAHL/fxE=")</f>
        <v>#REF!</v>
      </c>
      <c r="S27" t="e">
        <f>AND(#REF!,"AAAAAHL/fxI=")</f>
        <v>#REF!</v>
      </c>
      <c r="T27" t="e">
        <f>AND(#REF!,"AAAAAHL/fxM=")</f>
        <v>#REF!</v>
      </c>
      <c r="U27" t="e">
        <f>AND(#REF!,"AAAAAHL/fxQ=")</f>
        <v>#REF!</v>
      </c>
      <c r="V27" t="e">
        <f>AND(#REF!,"AAAAAHL/fxU=")</f>
        <v>#REF!</v>
      </c>
      <c r="W27" t="e">
        <f>AND(#REF!,"AAAAAHL/fxY=")</f>
        <v>#REF!</v>
      </c>
      <c r="X27" t="e">
        <f>AND(#REF!,"AAAAAHL/fxc=")</f>
        <v>#REF!</v>
      </c>
      <c r="Y27" t="e">
        <f>AND(#REF!,"AAAAAHL/fxg=")</f>
        <v>#REF!</v>
      </c>
      <c r="Z27" t="e">
        <f>AND(#REF!,"AAAAAHL/fxk=")</f>
        <v>#REF!</v>
      </c>
      <c r="AA27" t="e">
        <f>AND(#REF!,"AAAAAHL/fxo=")</f>
        <v>#REF!</v>
      </c>
      <c r="AB27" t="e">
        <f>AND(#REF!,"AAAAAHL/fxs=")</f>
        <v>#REF!</v>
      </c>
      <c r="AC27" t="e">
        <f>AND(#REF!,"AAAAAHL/fxw=")</f>
        <v>#REF!</v>
      </c>
      <c r="AD27" t="e">
        <f>AND(#REF!,"AAAAAHL/fx0=")</f>
        <v>#REF!</v>
      </c>
      <c r="AE27" t="e">
        <f>AND(#REF!,"AAAAAHL/fx4=")</f>
        <v>#REF!</v>
      </c>
      <c r="AF27" t="e">
        <f>AND(#REF!,"AAAAAHL/fx8=")</f>
        <v>#REF!</v>
      </c>
      <c r="AG27" t="e">
        <f>AND(#REF!,"AAAAAHL/fyA=")</f>
        <v>#REF!</v>
      </c>
      <c r="AH27" t="e">
        <f>AND(#REF!,"AAAAAHL/fyE=")</f>
        <v>#REF!</v>
      </c>
      <c r="AI27" t="e">
        <f>AND(#REF!,"AAAAAHL/fyI=")</f>
        <v>#REF!</v>
      </c>
      <c r="AJ27" t="e">
        <f>AND(#REF!,"AAAAAHL/fyM=")</f>
        <v>#REF!</v>
      </c>
      <c r="AK27" t="e">
        <f>AND(#REF!,"AAAAAHL/fyQ=")</f>
        <v>#REF!</v>
      </c>
      <c r="AL27" t="e">
        <f>AND(#REF!,"AAAAAHL/fyU=")</f>
        <v>#REF!</v>
      </c>
      <c r="AM27" t="e">
        <f>AND(#REF!,"AAAAAHL/fyY=")</f>
        <v>#REF!</v>
      </c>
      <c r="AN27" t="e">
        <f>AND(#REF!,"AAAAAHL/fyc=")</f>
        <v>#REF!</v>
      </c>
      <c r="AO27" t="e">
        <f>AND(#REF!,"AAAAAHL/fyg=")</f>
        <v>#REF!</v>
      </c>
      <c r="AP27" t="e">
        <f>AND(#REF!,"AAAAAHL/fyk=")</f>
        <v>#REF!</v>
      </c>
      <c r="AQ27" t="e">
        <f>AND(#REF!,"AAAAAHL/fyo=")</f>
        <v>#REF!</v>
      </c>
      <c r="AR27" t="e">
        <f>AND(#REF!,"AAAAAHL/fys=")</f>
        <v>#REF!</v>
      </c>
      <c r="AS27" t="e">
        <f>AND(#REF!,"AAAAAHL/fyw=")</f>
        <v>#REF!</v>
      </c>
      <c r="AT27" t="e">
        <f>AND(#REF!,"AAAAAHL/fy0=")</f>
        <v>#REF!</v>
      </c>
      <c r="AU27" t="e">
        <f>AND(#REF!,"AAAAAHL/fy4=")</f>
        <v>#REF!</v>
      </c>
      <c r="AV27" t="e">
        <f>AND(#REF!,"AAAAAHL/fy8=")</f>
        <v>#REF!</v>
      </c>
      <c r="AW27" t="e">
        <f>AND(#REF!,"AAAAAHL/fzA=")</f>
        <v>#REF!</v>
      </c>
      <c r="AX27" t="e">
        <f>AND(#REF!,"AAAAAHL/fzE=")</f>
        <v>#REF!</v>
      </c>
      <c r="AY27" t="e">
        <f>AND(#REF!,"AAAAAHL/fzI=")</f>
        <v>#REF!</v>
      </c>
      <c r="AZ27" t="e">
        <f>AND(#REF!,"AAAAAHL/fzM=")</f>
        <v>#REF!</v>
      </c>
      <c r="BA27" t="e">
        <f>AND(#REF!,"AAAAAHL/fzQ=")</f>
        <v>#REF!</v>
      </c>
      <c r="BB27" t="e">
        <f>AND(#REF!,"AAAAAHL/fzU=")</f>
        <v>#REF!</v>
      </c>
      <c r="BC27" t="e">
        <f>AND(#REF!,"AAAAAHL/fzY=")</f>
        <v>#REF!</v>
      </c>
      <c r="BD27" t="e">
        <f>AND(#REF!,"AAAAAHL/fzc=")</f>
        <v>#REF!</v>
      </c>
      <c r="BE27" t="e">
        <f>AND(#REF!,"AAAAAHL/fzg=")</f>
        <v>#REF!</v>
      </c>
      <c r="BF27" t="e">
        <f>AND(#REF!,"AAAAAHL/fzk=")</f>
        <v>#REF!</v>
      </c>
      <c r="BG27" t="e">
        <f>AND(#REF!,"AAAAAHL/fzo=")</f>
        <v>#REF!</v>
      </c>
      <c r="BH27" t="e">
        <f>AND(#REF!,"AAAAAHL/fzs=")</f>
        <v>#REF!</v>
      </c>
      <c r="BI27" t="e">
        <f>AND(#REF!,"AAAAAHL/fzw=")</f>
        <v>#REF!</v>
      </c>
      <c r="BJ27" t="e">
        <f>AND(#REF!,"AAAAAHL/fz0=")</f>
        <v>#REF!</v>
      </c>
      <c r="BK27" t="e">
        <f>AND(#REF!,"AAAAAHL/fz4=")</f>
        <v>#REF!</v>
      </c>
      <c r="BL27" t="e">
        <f>AND(#REF!,"AAAAAHL/fz8=")</f>
        <v>#REF!</v>
      </c>
      <c r="BM27" t="e">
        <f>AND(#REF!,"AAAAAHL/f0A=")</f>
        <v>#REF!</v>
      </c>
      <c r="BN27" t="e">
        <f>AND(#REF!,"AAAAAHL/f0E=")</f>
        <v>#REF!</v>
      </c>
      <c r="BO27" t="e">
        <f>AND(#REF!,"AAAAAHL/f0I=")</f>
        <v>#REF!</v>
      </c>
      <c r="BP27" t="e">
        <f>AND(#REF!,"AAAAAHL/f0M=")</f>
        <v>#REF!</v>
      </c>
      <c r="BQ27" t="e">
        <f>AND(#REF!,"AAAAAHL/f0Q=")</f>
        <v>#REF!</v>
      </c>
      <c r="BR27" t="e">
        <f>AND(#REF!,"AAAAAHL/f0U=")</f>
        <v>#REF!</v>
      </c>
      <c r="BS27" t="e">
        <f>AND(#REF!,"AAAAAHL/f0Y=")</f>
        <v>#REF!</v>
      </c>
      <c r="BT27" t="e">
        <f>AND(#REF!,"AAAAAHL/f0c=")</f>
        <v>#REF!</v>
      </c>
      <c r="BU27" t="e">
        <f>AND(#REF!,"AAAAAHL/f0g=")</f>
        <v>#REF!</v>
      </c>
      <c r="BV27" t="e">
        <f>AND(#REF!,"AAAAAHL/f0k=")</f>
        <v>#REF!</v>
      </c>
      <c r="BW27" t="e">
        <f>AND(#REF!,"AAAAAHL/f0o=")</f>
        <v>#REF!</v>
      </c>
      <c r="BX27" t="e">
        <f>AND(#REF!,"AAAAAHL/f0s=")</f>
        <v>#REF!</v>
      </c>
      <c r="BY27" t="e">
        <f>AND(#REF!,"AAAAAHL/f0w=")</f>
        <v>#REF!</v>
      </c>
      <c r="BZ27" t="e">
        <f>AND(#REF!,"AAAAAHL/f00=")</f>
        <v>#REF!</v>
      </c>
      <c r="CA27" t="e">
        <f>AND(#REF!,"AAAAAHL/f04=")</f>
        <v>#REF!</v>
      </c>
      <c r="CB27" t="e">
        <f>AND(#REF!,"AAAAAHL/f08=")</f>
        <v>#REF!</v>
      </c>
      <c r="CC27" t="e">
        <f>AND(#REF!,"AAAAAHL/f1A=")</f>
        <v>#REF!</v>
      </c>
      <c r="CD27" t="e">
        <f>AND(#REF!,"AAAAAHL/f1E=")</f>
        <v>#REF!</v>
      </c>
      <c r="CE27" t="e">
        <f>AND(#REF!,"AAAAAHL/f1I=")</f>
        <v>#REF!</v>
      </c>
      <c r="CF27" t="e">
        <f>AND(#REF!,"AAAAAHL/f1M=")</f>
        <v>#REF!</v>
      </c>
      <c r="CG27" t="e">
        <f>AND(#REF!,"AAAAAHL/f1Q=")</f>
        <v>#REF!</v>
      </c>
      <c r="CH27" t="e">
        <f>AND(#REF!,"AAAAAHL/f1U=")</f>
        <v>#REF!</v>
      </c>
      <c r="CI27" t="e">
        <f>AND(#REF!,"AAAAAHL/f1Y=")</f>
        <v>#REF!</v>
      </c>
      <c r="CJ27" t="e">
        <f>AND(#REF!,"AAAAAHL/f1c=")</f>
        <v>#REF!</v>
      </c>
      <c r="CK27" t="e">
        <f>AND(#REF!,"AAAAAHL/f1g=")</f>
        <v>#REF!</v>
      </c>
      <c r="CL27" t="e">
        <f>AND(#REF!,"AAAAAHL/f1k=")</f>
        <v>#REF!</v>
      </c>
      <c r="CM27" t="e">
        <f>AND(#REF!,"AAAAAHL/f1o=")</f>
        <v>#REF!</v>
      </c>
      <c r="CN27" t="e">
        <f>AND(#REF!,"AAAAAHL/f1s=")</f>
        <v>#REF!</v>
      </c>
      <c r="CO27" t="e">
        <f>AND(#REF!,"AAAAAHL/f1w=")</f>
        <v>#REF!</v>
      </c>
      <c r="CP27" t="e">
        <f>AND(#REF!,"AAAAAHL/f10=")</f>
        <v>#REF!</v>
      </c>
      <c r="CQ27" t="e">
        <f>AND(#REF!,"AAAAAHL/f14=")</f>
        <v>#REF!</v>
      </c>
      <c r="CR27" t="e">
        <f>AND(#REF!,"AAAAAHL/f18=")</f>
        <v>#REF!</v>
      </c>
      <c r="CS27" t="e">
        <f>AND(#REF!,"AAAAAHL/f2A=")</f>
        <v>#REF!</v>
      </c>
      <c r="CT27" t="e">
        <f>AND(#REF!,"AAAAAHL/f2E=")</f>
        <v>#REF!</v>
      </c>
      <c r="CU27" t="e">
        <f>AND(#REF!,"AAAAAHL/f2I=")</f>
        <v>#REF!</v>
      </c>
      <c r="CV27" t="e">
        <f>AND(#REF!,"AAAAAHL/f2M=")</f>
        <v>#REF!</v>
      </c>
      <c r="CW27" t="e">
        <f>AND(#REF!,"AAAAAHL/f2Q=")</f>
        <v>#REF!</v>
      </c>
      <c r="CX27" t="e">
        <f>AND(#REF!,"AAAAAHL/f2U=")</f>
        <v>#REF!</v>
      </c>
      <c r="CY27" t="e">
        <f>AND(#REF!,"AAAAAHL/f2Y=")</f>
        <v>#REF!</v>
      </c>
      <c r="CZ27" t="e">
        <f>AND(#REF!,"AAAAAHL/f2c=")</f>
        <v>#REF!</v>
      </c>
      <c r="DA27" t="e">
        <f>AND(#REF!,"AAAAAHL/f2g=")</f>
        <v>#REF!</v>
      </c>
      <c r="DB27" t="e">
        <f>AND(#REF!,"AAAAAHL/f2k=")</f>
        <v>#REF!</v>
      </c>
      <c r="DC27" t="e">
        <f>AND(#REF!,"AAAAAHL/f2o=")</f>
        <v>#REF!</v>
      </c>
      <c r="DD27" t="e">
        <f>AND(#REF!,"AAAAAHL/f2s=")</f>
        <v>#REF!</v>
      </c>
      <c r="DE27" t="e">
        <f>AND(#REF!,"AAAAAHL/f2w=")</f>
        <v>#REF!</v>
      </c>
      <c r="DF27" t="e">
        <f>AND(#REF!,"AAAAAHL/f20=")</f>
        <v>#REF!</v>
      </c>
      <c r="DG27" t="e">
        <f>AND(#REF!,"AAAAAHL/f24=")</f>
        <v>#REF!</v>
      </c>
      <c r="DH27" t="e">
        <f>AND(#REF!,"AAAAAHL/f28=")</f>
        <v>#REF!</v>
      </c>
      <c r="DI27" t="e">
        <f>AND(#REF!,"AAAAAHL/f3A=")</f>
        <v>#REF!</v>
      </c>
      <c r="DJ27" t="e">
        <f>AND(#REF!,"AAAAAHL/f3E=")</f>
        <v>#REF!</v>
      </c>
      <c r="DK27" t="e">
        <f>AND(#REF!,"AAAAAHL/f3I=")</f>
        <v>#REF!</v>
      </c>
      <c r="DL27" t="e">
        <f>AND(#REF!,"AAAAAHL/f3M=")</f>
        <v>#REF!</v>
      </c>
      <c r="DM27" t="e">
        <f>AND(#REF!,"AAAAAHL/f3Q=")</f>
        <v>#REF!</v>
      </c>
      <c r="DN27" t="e">
        <f>AND(#REF!,"AAAAAHL/f3U=")</f>
        <v>#REF!</v>
      </c>
      <c r="DO27" t="e">
        <f>AND(#REF!,"AAAAAHL/f3Y=")</f>
        <v>#REF!</v>
      </c>
      <c r="DP27" t="e">
        <f>AND(#REF!,"AAAAAHL/f3c=")</f>
        <v>#REF!</v>
      </c>
      <c r="DQ27" t="e">
        <f>AND(#REF!,"AAAAAHL/f3g=")</f>
        <v>#REF!</v>
      </c>
      <c r="DR27" t="e">
        <f>AND(#REF!,"AAAAAHL/f3k=")</f>
        <v>#REF!</v>
      </c>
      <c r="DS27" t="e">
        <f>AND(#REF!,"AAAAAHL/f3o=")</f>
        <v>#REF!</v>
      </c>
      <c r="DT27" t="e">
        <f>AND(#REF!,"AAAAAHL/f3s=")</f>
        <v>#REF!</v>
      </c>
      <c r="DU27" t="e">
        <f>AND(#REF!,"AAAAAHL/f3w=")</f>
        <v>#REF!</v>
      </c>
      <c r="DV27" t="e">
        <f>AND(#REF!,"AAAAAHL/f30=")</f>
        <v>#REF!</v>
      </c>
      <c r="DW27" t="e">
        <f>AND(#REF!,"AAAAAHL/f34=")</f>
        <v>#REF!</v>
      </c>
      <c r="DX27" t="e">
        <f>AND(#REF!,"AAAAAHL/f38=")</f>
        <v>#REF!</v>
      </c>
      <c r="DY27" t="e">
        <f>AND(#REF!,"AAAAAHL/f4A=")</f>
        <v>#REF!</v>
      </c>
      <c r="DZ27" t="e">
        <f>AND(#REF!,"AAAAAHL/f4E=")</f>
        <v>#REF!</v>
      </c>
      <c r="EA27" t="e">
        <f>AND(#REF!,"AAAAAHL/f4I=")</f>
        <v>#REF!</v>
      </c>
      <c r="EB27" t="e">
        <f>AND(#REF!,"AAAAAHL/f4M=")</f>
        <v>#REF!</v>
      </c>
      <c r="EC27" t="e">
        <f>AND(#REF!,"AAAAAHL/f4Q=")</f>
        <v>#REF!</v>
      </c>
      <c r="ED27" t="e">
        <f>AND(#REF!,"AAAAAHL/f4U=")</f>
        <v>#REF!</v>
      </c>
      <c r="EE27" t="e">
        <f>AND(#REF!,"AAAAAHL/f4Y=")</f>
        <v>#REF!</v>
      </c>
      <c r="EF27" t="e">
        <f>AND(#REF!,"AAAAAHL/f4c=")</f>
        <v>#REF!</v>
      </c>
      <c r="EG27" t="e">
        <f>AND(#REF!,"AAAAAHL/f4g=")</f>
        <v>#REF!</v>
      </c>
      <c r="EH27" t="e">
        <f>AND(#REF!,"AAAAAHL/f4k=")</f>
        <v>#REF!</v>
      </c>
      <c r="EI27" t="e">
        <f>AND(#REF!,"AAAAAHL/f4o=")</f>
        <v>#REF!</v>
      </c>
      <c r="EJ27" t="e">
        <f>AND(#REF!,"AAAAAHL/f4s=")</f>
        <v>#REF!</v>
      </c>
      <c r="EK27" t="e">
        <f>AND(#REF!,"AAAAAHL/f4w=")</f>
        <v>#REF!</v>
      </c>
      <c r="EL27" t="e">
        <f>AND(#REF!,"AAAAAHL/f40=")</f>
        <v>#REF!</v>
      </c>
      <c r="EM27" t="e">
        <f>AND(#REF!,"AAAAAHL/f44=")</f>
        <v>#REF!</v>
      </c>
      <c r="EN27" t="e">
        <f>AND(#REF!,"AAAAAHL/f48=")</f>
        <v>#REF!</v>
      </c>
      <c r="EO27" t="e">
        <f>AND(#REF!,"AAAAAHL/f5A=")</f>
        <v>#REF!</v>
      </c>
      <c r="EP27" t="e">
        <f>AND(#REF!,"AAAAAHL/f5E=")</f>
        <v>#REF!</v>
      </c>
      <c r="EQ27" t="e">
        <f>AND(#REF!,"AAAAAHL/f5I=")</f>
        <v>#REF!</v>
      </c>
      <c r="ER27" t="e">
        <f>AND(#REF!,"AAAAAHL/f5M=")</f>
        <v>#REF!</v>
      </c>
      <c r="ES27" t="e">
        <f>AND(#REF!,"AAAAAHL/f5Q=")</f>
        <v>#REF!</v>
      </c>
      <c r="ET27" t="e">
        <f>AND(#REF!,"AAAAAHL/f5U=")</f>
        <v>#REF!</v>
      </c>
      <c r="EU27" t="e">
        <f>AND(#REF!,"AAAAAHL/f5Y=")</f>
        <v>#REF!</v>
      </c>
      <c r="EV27" t="e">
        <f>AND(#REF!,"AAAAAHL/f5c=")</f>
        <v>#REF!</v>
      </c>
      <c r="EW27" t="e">
        <f>AND(#REF!,"AAAAAHL/f5g=")</f>
        <v>#REF!</v>
      </c>
      <c r="EX27" t="e">
        <f>AND(#REF!,"AAAAAHL/f5k=")</f>
        <v>#REF!</v>
      </c>
      <c r="EY27" t="e">
        <f>AND(#REF!,"AAAAAHL/f5o=")</f>
        <v>#REF!</v>
      </c>
      <c r="EZ27" t="e">
        <f>AND(#REF!,"AAAAAHL/f5s=")</f>
        <v>#REF!</v>
      </c>
      <c r="FA27" t="e">
        <f>AND(#REF!,"AAAAAHL/f5w=")</f>
        <v>#REF!</v>
      </c>
      <c r="FB27" t="e">
        <f>AND(#REF!,"AAAAAHL/f50=")</f>
        <v>#REF!</v>
      </c>
      <c r="FC27" t="e">
        <f>AND(#REF!,"AAAAAHL/f54=")</f>
        <v>#REF!</v>
      </c>
      <c r="FD27" t="e">
        <f>AND(#REF!,"AAAAAHL/f58=")</f>
        <v>#REF!</v>
      </c>
      <c r="FE27" t="e">
        <f>AND(#REF!,"AAAAAHL/f6A=")</f>
        <v>#REF!</v>
      </c>
      <c r="FF27" t="e">
        <f>AND(#REF!,"AAAAAHL/f6E=")</f>
        <v>#REF!</v>
      </c>
      <c r="FG27" t="e">
        <f>AND(#REF!,"AAAAAHL/f6I=")</f>
        <v>#REF!</v>
      </c>
      <c r="FH27" t="e">
        <f>AND(#REF!,"AAAAAHL/f6M=")</f>
        <v>#REF!</v>
      </c>
      <c r="FI27" t="e">
        <f>AND(#REF!,"AAAAAHL/f6Q=")</f>
        <v>#REF!</v>
      </c>
      <c r="FJ27" t="e">
        <f>AND(#REF!,"AAAAAHL/f6U=")</f>
        <v>#REF!</v>
      </c>
      <c r="FK27" t="e">
        <f>AND(#REF!,"AAAAAHL/f6Y=")</f>
        <v>#REF!</v>
      </c>
      <c r="FL27" t="e">
        <f>AND(#REF!,"AAAAAHL/f6c=")</f>
        <v>#REF!</v>
      </c>
      <c r="FM27" t="e">
        <f>AND(#REF!,"AAAAAHL/f6g=")</f>
        <v>#REF!</v>
      </c>
      <c r="FN27" t="e">
        <f>AND(#REF!,"AAAAAHL/f6k=")</f>
        <v>#REF!</v>
      </c>
      <c r="FO27" t="e">
        <f>AND(#REF!,"AAAAAHL/f6o=")</f>
        <v>#REF!</v>
      </c>
      <c r="FP27" t="e">
        <f>AND(#REF!,"AAAAAHL/f6s=")</f>
        <v>#REF!</v>
      </c>
      <c r="FQ27" t="e">
        <f>AND(#REF!,"AAAAAHL/f6w=")</f>
        <v>#REF!</v>
      </c>
      <c r="FR27" t="e">
        <f>AND(#REF!,"AAAAAHL/f60=")</f>
        <v>#REF!</v>
      </c>
      <c r="FS27" t="e">
        <f>IF(#REF!,"AAAAAHL/f64=",0)</f>
        <v>#REF!</v>
      </c>
      <c r="FT27" t="e">
        <f>AND(#REF!,"AAAAAHL/f68=")</f>
        <v>#REF!</v>
      </c>
      <c r="FU27" t="e">
        <f>AND(#REF!,"AAAAAHL/f7A=")</f>
        <v>#REF!</v>
      </c>
      <c r="FV27" t="e">
        <f>AND(#REF!,"AAAAAHL/f7E=")</f>
        <v>#REF!</v>
      </c>
      <c r="FW27" t="e">
        <f>AND(#REF!,"AAAAAHL/f7I=")</f>
        <v>#REF!</v>
      </c>
      <c r="FX27" t="e">
        <f>AND(#REF!,"AAAAAHL/f7M=")</f>
        <v>#REF!</v>
      </c>
      <c r="FY27" t="e">
        <f>AND(#REF!,"AAAAAHL/f7Q=")</f>
        <v>#REF!</v>
      </c>
      <c r="FZ27" t="e">
        <f>AND(#REF!,"AAAAAHL/f7U=")</f>
        <v>#REF!</v>
      </c>
      <c r="GA27" t="e">
        <f>AND(#REF!,"AAAAAHL/f7Y=")</f>
        <v>#REF!</v>
      </c>
      <c r="GB27" t="e">
        <f>AND(#REF!,"AAAAAHL/f7c=")</f>
        <v>#REF!</v>
      </c>
      <c r="GC27" t="e">
        <f>AND(#REF!,"AAAAAHL/f7g=")</f>
        <v>#REF!</v>
      </c>
      <c r="GD27" t="e">
        <f>AND(#REF!,"AAAAAHL/f7k=")</f>
        <v>#REF!</v>
      </c>
      <c r="GE27" t="e">
        <f>AND(#REF!,"AAAAAHL/f7o=")</f>
        <v>#REF!</v>
      </c>
      <c r="GF27" t="e">
        <f>AND(#REF!,"AAAAAHL/f7s=")</f>
        <v>#REF!</v>
      </c>
      <c r="GG27" t="e">
        <f>AND(#REF!,"AAAAAHL/f7w=")</f>
        <v>#REF!</v>
      </c>
      <c r="GH27" t="e">
        <f>AND(#REF!,"AAAAAHL/f70=")</f>
        <v>#REF!</v>
      </c>
      <c r="GI27" t="e">
        <f>AND(#REF!,"AAAAAHL/f74=")</f>
        <v>#REF!</v>
      </c>
      <c r="GJ27" t="e">
        <f>AND(#REF!,"AAAAAHL/f78=")</f>
        <v>#REF!</v>
      </c>
      <c r="GK27" t="e">
        <f>AND(#REF!,"AAAAAHL/f8A=")</f>
        <v>#REF!</v>
      </c>
      <c r="GL27" t="e">
        <f>AND(#REF!,"AAAAAHL/f8E=")</f>
        <v>#REF!</v>
      </c>
      <c r="GM27" t="e">
        <f>AND(#REF!,"AAAAAHL/f8I=")</f>
        <v>#REF!</v>
      </c>
      <c r="GN27" t="e">
        <f>AND(#REF!,"AAAAAHL/f8M=")</f>
        <v>#REF!</v>
      </c>
      <c r="GO27" t="e">
        <f>AND(#REF!,"AAAAAHL/f8Q=")</f>
        <v>#REF!</v>
      </c>
      <c r="GP27" t="e">
        <f>AND(#REF!,"AAAAAHL/f8U=")</f>
        <v>#REF!</v>
      </c>
      <c r="GQ27" t="e">
        <f>AND(#REF!,"AAAAAHL/f8Y=")</f>
        <v>#REF!</v>
      </c>
      <c r="GR27" t="e">
        <f>AND(#REF!,"AAAAAHL/f8c=")</f>
        <v>#REF!</v>
      </c>
      <c r="GS27" t="e">
        <f>AND(#REF!,"AAAAAHL/f8g=")</f>
        <v>#REF!</v>
      </c>
      <c r="GT27" t="e">
        <f>AND(#REF!,"AAAAAHL/f8k=")</f>
        <v>#REF!</v>
      </c>
      <c r="GU27" t="e">
        <f>AND(#REF!,"AAAAAHL/f8o=")</f>
        <v>#REF!</v>
      </c>
      <c r="GV27" t="e">
        <f>AND(#REF!,"AAAAAHL/f8s=")</f>
        <v>#REF!</v>
      </c>
      <c r="GW27" t="e">
        <f>AND(#REF!,"AAAAAHL/f8w=")</f>
        <v>#REF!</v>
      </c>
      <c r="GX27" t="e">
        <f>AND(#REF!,"AAAAAHL/f80=")</f>
        <v>#REF!</v>
      </c>
      <c r="GY27" t="e">
        <f>AND(#REF!,"AAAAAHL/f84=")</f>
        <v>#REF!</v>
      </c>
      <c r="GZ27" t="e">
        <f>AND(#REF!,"AAAAAHL/f88=")</f>
        <v>#REF!</v>
      </c>
      <c r="HA27" t="e">
        <f>AND(#REF!,"AAAAAHL/f9A=")</f>
        <v>#REF!</v>
      </c>
      <c r="HB27" t="e">
        <f>AND(#REF!,"AAAAAHL/f9E=")</f>
        <v>#REF!</v>
      </c>
      <c r="HC27" t="e">
        <f>AND(#REF!,"AAAAAHL/f9I=")</f>
        <v>#REF!</v>
      </c>
      <c r="HD27" t="e">
        <f>AND(#REF!,"AAAAAHL/f9M=")</f>
        <v>#REF!</v>
      </c>
      <c r="HE27" t="e">
        <f>AND(#REF!,"AAAAAHL/f9Q=")</f>
        <v>#REF!</v>
      </c>
      <c r="HF27" t="e">
        <f>AND(#REF!,"AAAAAHL/f9U=")</f>
        <v>#REF!</v>
      </c>
      <c r="HG27" t="e">
        <f>AND(#REF!,"AAAAAHL/f9Y=")</f>
        <v>#REF!</v>
      </c>
      <c r="HH27" t="e">
        <f>AND(#REF!,"AAAAAHL/f9c=")</f>
        <v>#REF!</v>
      </c>
      <c r="HI27" t="e">
        <f>AND(#REF!,"AAAAAHL/f9g=")</f>
        <v>#REF!</v>
      </c>
      <c r="HJ27" t="e">
        <f>AND(#REF!,"AAAAAHL/f9k=")</f>
        <v>#REF!</v>
      </c>
      <c r="HK27" t="e">
        <f>AND(#REF!,"AAAAAHL/f9o=")</f>
        <v>#REF!</v>
      </c>
      <c r="HL27" t="e">
        <f>AND(#REF!,"AAAAAHL/f9s=")</f>
        <v>#REF!</v>
      </c>
      <c r="HM27" t="e">
        <f>AND(#REF!,"AAAAAHL/f9w=")</f>
        <v>#REF!</v>
      </c>
      <c r="HN27" t="e">
        <f>AND(#REF!,"AAAAAHL/f90=")</f>
        <v>#REF!</v>
      </c>
      <c r="HO27" t="e">
        <f>AND(#REF!,"AAAAAHL/f94=")</f>
        <v>#REF!</v>
      </c>
      <c r="HP27" t="e">
        <f>AND(#REF!,"AAAAAHL/f98=")</f>
        <v>#REF!</v>
      </c>
      <c r="HQ27" t="e">
        <f>AND(#REF!,"AAAAAHL/f+A=")</f>
        <v>#REF!</v>
      </c>
      <c r="HR27" t="e">
        <f>AND(#REF!,"AAAAAHL/f+E=")</f>
        <v>#REF!</v>
      </c>
      <c r="HS27" t="e">
        <f>AND(#REF!,"AAAAAHL/f+I=")</f>
        <v>#REF!</v>
      </c>
      <c r="HT27" t="e">
        <f>AND(#REF!,"AAAAAHL/f+M=")</f>
        <v>#REF!</v>
      </c>
      <c r="HU27" t="e">
        <f>AND(#REF!,"AAAAAHL/f+Q=")</f>
        <v>#REF!</v>
      </c>
      <c r="HV27" t="e">
        <f>AND(#REF!,"AAAAAHL/f+U=")</f>
        <v>#REF!</v>
      </c>
      <c r="HW27" t="e">
        <f>AND(#REF!,"AAAAAHL/f+Y=")</f>
        <v>#REF!</v>
      </c>
      <c r="HX27" t="e">
        <f>AND(#REF!,"AAAAAHL/f+c=")</f>
        <v>#REF!</v>
      </c>
      <c r="HY27" t="e">
        <f>AND(#REF!,"AAAAAHL/f+g=")</f>
        <v>#REF!</v>
      </c>
      <c r="HZ27" t="e">
        <f>AND(#REF!,"AAAAAHL/f+k=")</f>
        <v>#REF!</v>
      </c>
      <c r="IA27" t="e">
        <f>AND(#REF!,"AAAAAHL/f+o=")</f>
        <v>#REF!</v>
      </c>
      <c r="IB27" t="e">
        <f>AND(#REF!,"AAAAAHL/f+s=")</f>
        <v>#REF!</v>
      </c>
      <c r="IC27" t="e">
        <f>AND(#REF!,"AAAAAHL/f+w=")</f>
        <v>#REF!</v>
      </c>
      <c r="ID27" t="e">
        <f>AND(#REF!,"AAAAAHL/f+0=")</f>
        <v>#REF!</v>
      </c>
      <c r="IE27" t="e">
        <f>AND(#REF!,"AAAAAHL/f+4=")</f>
        <v>#REF!</v>
      </c>
      <c r="IF27" t="e">
        <f>AND(#REF!,"AAAAAHL/f+8=")</f>
        <v>#REF!</v>
      </c>
      <c r="IG27" t="e">
        <f>AND(#REF!,"AAAAAHL/f/A=")</f>
        <v>#REF!</v>
      </c>
      <c r="IH27" t="e">
        <f>AND(#REF!,"AAAAAHL/f/E=")</f>
        <v>#REF!</v>
      </c>
      <c r="II27" t="e">
        <f>AND(#REF!,"AAAAAHL/f/I=")</f>
        <v>#REF!</v>
      </c>
      <c r="IJ27" t="e">
        <f>AND(#REF!,"AAAAAHL/f/M=")</f>
        <v>#REF!</v>
      </c>
      <c r="IK27" t="e">
        <f>AND(#REF!,"AAAAAHL/f/Q=")</f>
        <v>#REF!</v>
      </c>
      <c r="IL27" t="e">
        <f>AND(#REF!,"AAAAAHL/f/U=")</f>
        <v>#REF!</v>
      </c>
      <c r="IM27" t="e">
        <f>AND(#REF!,"AAAAAHL/f/Y=")</f>
        <v>#REF!</v>
      </c>
      <c r="IN27" t="e">
        <f>AND(#REF!,"AAAAAHL/f/c=")</f>
        <v>#REF!</v>
      </c>
      <c r="IO27" t="e">
        <f>AND(#REF!,"AAAAAHL/f/g=")</f>
        <v>#REF!</v>
      </c>
      <c r="IP27" t="e">
        <f>AND(#REF!,"AAAAAHL/f/k=")</f>
        <v>#REF!</v>
      </c>
      <c r="IQ27" t="e">
        <f>AND(#REF!,"AAAAAHL/f/o=")</f>
        <v>#REF!</v>
      </c>
      <c r="IR27" t="e">
        <f>AND(#REF!,"AAAAAHL/f/s=")</f>
        <v>#REF!</v>
      </c>
      <c r="IS27" t="e">
        <f>AND(#REF!,"AAAAAHL/f/w=")</f>
        <v>#REF!</v>
      </c>
      <c r="IT27" t="e">
        <f>AND(#REF!,"AAAAAHL/f/0=")</f>
        <v>#REF!</v>
      </c>
      <c r="IU27" t="e">
        <f>AND(#REF!,"AAAAAHL/f/4=")</f>
        <v>#REF!</v>
      </c>
      <c r="IV27" t="e">
        <f>AND(#REF!,"AAAAAHL/f/8=")</f>
        <v>#REF!</v>
      </c>
    </row>
    <row r="28" spans="1:256" x14ac:dyDescent="0.25">
      <c r="A28" t="e">
        <f>AND(#REF!,"AAAAACf93AA=")</f>
        <v>#REF!</v>
      </c>
      <c r="B28" t="e">
        <f>AND(#REF!,"AAAAACf93AE=")</f>
        <v>#REF!</v>
      </c>
      <c r="C28" t="e">
        <f>AND(#REF!,"AAAAACf93AI=")</f>
        <v>#REF!</v>
      </c>
      <c r="D28" t="e">
        <f>AND(#REF!,"AAAAACf93AM=")</f>
        <v>#REF!</v>
      </c>
      <c r="E28" t="e">
        <f>AND(#REF!,"AAAAACf93AQ=")</f>
        <v>#REF!</v>
      </c>
      <c r="F28" t="e">
        <f>AND(#REF!,"AAAAACf93AU=")</f>
        <v>#REF!</v>
      </c>
      <c r="G28" t="e">
        <f>AND(#REF!,"AAAAACf93AY=")</f>
        <v>#REF!</v>
      </c>
      <c r="H28" t="e">
        <f>AND(#REF!,"AAAAACf93Ac=")</f>
        <v>#REF!</v>
      </c>
      <c r="I28" t="e">
        <f>AND(#REF!,"AAAAACf93Ag=")</f>
        <v>#REF!</v>
      </c>
      <c r="J28" t="e">
        <f>AND(#REF!,"AAAAACf93Ak=")</f>
        <v>#REF!</v>
      </c>
      <c r="K28" t="e">
        <f>AND(#REF!,"AAAAACf93Ao=")</f>
        <v>#REF!</v>
      </c>
      <c r="L28" t="e">
        <f>AND(#REF!,"AAAAACf93As=")</f>
        <v>#REF!</v>
      </c>
      <c r="M28" t="e">
        <f>AND(#REF!,"AAAAACf93Aw=")</f>
        <v>#REF!</v>
      </c>
      <c r="N28" t="e">
        <f>AND(#REF!,"AAAAACf93A0=")</f>
        <v>#REF!</v>
      </c>
      <c r="O28" t="e">
        <f>AND(#REF!,"AAAAACf93A4=")</f>
        <v>#REF!</v>
      </c>
      <c r="P28" t="e">
        <f>AND(#REF!,"AAAAACf93A8=")</f>
        <v>#REF!</v>
      </c>
      <c r="Q28" t="e">
        <f>AND(#REF!,"AAAAACf93BA=")</f>
        <v>#REF!</v>
      </c>
      <c r="R28" t="e">
        <f>AND(#REF!,"AAAAACf93BE=")</f>
        <v>#REF!</v>
      </c>
      <c r="S28" t="e">
        <f>AND(#REF!,"AAAAACf93BI=")</f>
        <v>#REF!</v>
      </c>
      <c r="T28" t="e">
        <f>AND(#REF!,"AAAAACf93BM=")</f>
        <v>#REF!</v>
      </c>
      <c r="U28" t="e">
        <f>AND(#REF!,"AAAAACf93BQ=")</f>
        <v>#REF!</v>
      </c>
      <c r="V28" t="e">
        <f>AND(#REF!,"AAAAACf93BU=")</f>
        <v>#REF!</v>
      </c>
      <c r="W28" t="e">
        <f>AND(#REF!,"AAAAACf93BY=")</f>
        <v>#REF!</v>
      </c>
      <c r="X28" t="e">
        <f>IF(#REF!,"AAAAACf93Bc=",0)</f>
        <v>#REF!</v>
      </c>
      <c r="Y28" t="e">
        <f>AND(#REF!,"AAAAACf93Bg=")</f>
        <v>#REF!</v>
      </c>
      <c r="Z28" t="e">
        <f>AND(#REF!,"AAAAACf93Bk=")</f>
        <v>#REF!</v>
      </c>
      <c r="AA28" t="e">
        <f>AND(#REF!,"AAAAACf93Bo=")</f>
        <v>#REF!</v>
      </c>
      <c r="AB28" t="e">
        <f>AND(#REF!,"AAAAACf93Bs=")</f>
        <v>#REF!</v>
      </c>
      <c r="AC28" t="e">
        <f>AND(#REF!,"AAAAACf93Bw=")</f>
        <v>#REF!</v>
      </c>
      <c r="AD28" t="e">
        <f>AND(#REF!,"AAAAACf93B0=")</f>
        <v>#REF!</v>
      </c>
      <c r="AE28" t="e">
        <f>AND(#REF!,"AAAAACf93B4=")</f>
        <v>#REF!</v>
      </c>
      <c r="AF28" t="e">
        <f>AND(#REF!,"AAAAACf93B8=")</f>
        <v>#REF!</v>
      </c>
      <c r="AG28" t="e">
        <f>AND(#REF!,"AAAAACf93CA=")</f>
        <v>#REF!</v>
      </c>
      <c r="AH28" t="e">
        <f>AND(#REF!,"AAAAACf93CE=")</f>
        <v>#REF!</v>
      </c>
      <c r="AI28" t="e">
        <f>AND(#REF!,"AAAAACf93CI=")</f>
        <v>#REF!</v>
      </c>
      <c r="AJ28" t="e">
        <f>AND(#REF!,"AAAAACf93CM=")</f>
        <v>#REF!</v>
      </c>
      <c r="AK28" t="e">
        <f>AND(#REF!,"AAAAACf93CQ=")</f>
        <v>#REF!</v>
      </c>
      <c r="AL28" t="e">
        <f>AND(#REF!,"AAAAACf93CU=")</f>
        <v>#REF!</v>
      </c>
      <c r="AM28" t="e">
        <f>AND(#REF!,"AAAAACf93CY=")</f>
        <v>#REF!</v>
      </c>
      <c r="AN28" t="e">
        <f>AND(#REF!,"AAAAACf93Cc=")</f>
        <v>#REF!</v>
      </c>
      <c r="AO28" t="e">
        <f>AND(#REF!,"AAAAACf93Cg=")</f>
        <v>#REF!</v>
      </c>
      <c r="AP28" t="e">
        <f>AND(#REF!,"AAAAACf93Ck=")</f>
        <v>#REF!</v>
      </c>
      <c r="AQ28" t="e">
        <f>AND(#REF!,"AAAAACf93Co=")</f>
        <v>#REF!</v>
      </c>
      <c r="AR28" t="e">
        <f>AND(#REF!,"AAAAACf93Cs=")</f>
        <v>#REF!</v>
      </c>
      <c r="AS28" t="e">
        <f>AND(#REF!,"AAAAACf93Cw=")</f>
        <v>#REF!</v>
      </c>
      <c r="AT28" t="e">
        <f>AND(#REF!,"AAAAACf93C0=")</f>
        <v>#REF!</v>
      </c>
      <c r="AU28" t="e">
        <f>AND(#REF!,"AAAAACf93C4=")</f>
        <v>#REF!</v>
      </c>
      <c r="AV28" t="e">
        <f>AND(#REF!,"AAAAACf93C8=")</f>
        <v>#REF!</v>
      </c>
      <c r="AW28" t="e">
        <f>AND(#REF!,"AAAAACf93DA=")</f>
        <v>#REF!</v>
      </c>
      <c r="AX28" t="e">
        <f>AND(#REF!,"AAAAACf93DE=")</f>
        <v>#REF!</v>
      </c>
      <c r="AY28" t="e">
        <f>AND(#REF!,"AAAAACf93DI=")</f>
        <v>#REF!</v>
      </c>
      <c r="AZ28" t="e">
        <f>AND(#REF!,"AAAAACf93DM=")</f>
        <v>#REF!</v>
      </c>
      <c r="BA28" t="e">
        <f>AND(#REF!,"AAAAACf93DQ=")</f>
        <v>#REF!</v>
      </c>
      <c r="BB28" t="e">
        <f>AND(#REF!,"AAAAACf93DU=")</f>
        <v>#REF!</v>
      </c>
      <c r="BC28" t="e">
        <f>AND(#REF!,"AAAAACf93DY=")</f>
        <v>#REF!</v>
      </c>
      <c r="BD28" t="e">
        <f>AND(#REF!,"AAAAACf93Dc=")</f>
        <v>#REF!</v>
      </c>
      <c r="BE28" t="e">
        <f>AND(#REF!,"AAAAACf93Dg=")</f>
        <v>#REF!</v>
      </c>
      <c r="BF28" t="e">
        <f>AND(#REF!,"AAAAACf93Dk=")</f>
        <v>#REF!</v>
      </c>
      <c r="BG28" t="e">
        <f>AND(#REF!,"AAAAACf93Do=")</f>
        <v>#REF!</v>
      </c>
      <c r="BH28" t="e">
        <f>AND(#REF!,"AAAAACf93Ds=")</f>
        <v>#REF!</v>
      </c>
      <c r="BI28" t="e">
        <f>AND(#REF!,"AAAAACf93Dw=")</f>
        <v>#REF!</v>
      </c>
      <c r="BJ28" t="e">
        <f>AND(#REF!,"AAAAACf93D0=")</f>
        <v>#REF!</v>
      </c>
      <c r="BK28" t="e">
        <f>AND(#REF!,"AAAAACf93D4=")</f>
        <v>#REF!</v>
      </c>
      <c r="BL28" t="e">
        <f>AND(#REF!,"AAAAACf93D8=")</f>
        <v>#REF!</v>
      </c>
      <c r="BM28" t="e">
        <f>AND(#REF!,"AAAAACf93EA=")</f>
        <v>#REF!</v>
      </c>
      <c r="BN28" t="e">
        <f>AND(#REF!,"AAAAACf93EE=")</f>
        <v>#REF!</v>
      </c>
      <c r="BO28" t="e">
        <f>AND(#REF!,"AAAAACf93EI=")</f>
        <v>#REF!</v>
      </c>
      <c r="BP28" t="e">
        <f>AND(#REF!,"AAAAACf93EM=")</f>
        <v>#REF!</v>
      </c>
      <c r="BQ28" t="e">
        <f>AND(#REF!,"AAAAACf93EQ=")</f>
        <v>#REF!</v>
      </c>
      <c r="BR28" t="e">
        <f>AND(#REF!,"AAAAACf93EU=")</f>
        <v>#REF!</v>
      </c>
      <c r="BS28" t="e">
        <f>AND(#REF!,"AAAAACf93EY=")</f>
        <v>#REF!</v>
      </c>
      <c r="BT28" t="e">
        <f>AND(#REF!,"AAAAACf93Ec=")</f>
        <v>#REF!</v>
      </c>
      <c r="BU28" t="e">
        <f>AND(#REF!,"AAAAACf93Eg=")</f>
        <v>#REF!</v>
      </c>
      <c r="BV28" t="e">
        <f>AND(#REF!,"AAAAACf93Ek=")</f>
        <v>#REF!</v>
      </c>
      <c r="BW28" t="e">
        <f>AND(#REF!,"AAAAACf93Eo=")</f>
        <v>#REF!</v>
      </c>
      <c r="BX28" t="e">
        <f>AND(#REF!,"AAAAACf93Es=")</f>
        <v>#REF!</v>
      </c>
      <c r="BY28" t="e">
        <f>AND(#REF!,"AAAAACf93Ew=")</f>
        <v>#REF!</v>
      </c>
      <c r="BZ28" t="e">
        <f>AND(#REF!,"AAAAACf93E0=")</f>
        <v>#REF!</v>
      </c>
      <c r="CA28" t="e">
        <f>AND(#REF!,"AAAAACf93E4=")</f>
        <v>#REF!</v>
      </c>
      <c r="CB28" t="e">
        <f>AND(#REF!,"AAAAACf93E8=")</f>
        <v>#REF!</v>
      </c>
      <c r="CC28" t="e">
        <f>AND(#REF!,"AAAAACf93FA=")</f>
        <v>#REF!</v>
      </c>
      <c r="CD28" t="e">
        <f>AND(#REF!,"AAAAACf93FE=")</f>
        <v>#REF!</v>
      </c>
      <c r="CE28" t="e">
        <f>AND(#REF!,"AAAAACf93FI=")</f>
        <v>#REF!</v>
      </c>
      <c r="CF28" t="e">
        <f>AND(#REF!,"AAAAACf93FM=")</f>
        <v>#REF!</v>
      </c>
      <c r="CG28" t="e">
        <f>AND(#REF!,"AAAAACf93FQ=")</f>
        <v>#REF!</v>
      </c>
      <c r="CH28" t="e">
        <f>AND(#REF!,"AAAAACf93FU=")</f>
        <v>#REF!</v>
      </c>
      <c r="CI28" t="e">
        <f>AND(#REF!,"AAAAACf93FY=")</f>
        <v>#REF!</v>
      </c>
      <c r="CJ28" t="e">
        <f>AND(#REF!,"AAAAACf93Fc=")</f>
        <v>#REF!</v>
      </c>
      <c r="CK28" t="e">
        <f>AND(#REF!,"AAAAACf93Fg=")</f>
        <v>#REF!</v>
      </c>
      <c r="CL28" t="e">
        <f>AND(#REF!,"AAAAACf93Fk=")</f>
        <v>#REF!</v>
      </c>
      <c r="CM28" t="e">
        <f>AND(#REF!,"AAAAACf93Fo=")</f>
        <v>#REF!</v>
      </c>
      <c r="CN28" t="e">
        <f>AND(#REF!,"AAAAACf93Fs=")</f>
        <v>#REF!</v>
      </c>
      <c r="CO28" t="e">
        <f>AND(#REF!,"AAAAACf93Fw=")</f>
        <v>#REF!</v>
      </c>
      <c r="CP28" t="e">
        <f>AND(#REF!,"AAAAACf93F0=")</f>
        <v>#REF!</v>
      </c>
      <c r="CQ28" t="e">
        <f>AND(#REF!,"AAAAACf93F4=")</f>
        <v>#REF!</v>
      </c>
      <c r="CR28" t="e">
        <f>AND(#REF!,"AAAAACf93F8=")</f>
        <v>#REF!</v>
      </c>
      <c r="CS28" t="e">
        <f>AND(#REF!,"AAAAACf93GA=")</f>
        <v>#REF!</v>
      </c>
      <c r="CT28" t="e">
        <f>AND(#REF!,"AAAAACf93GE=")</f>
        <v>#REF!</v>
      </c>
      <c r="CU28" t="e">
        <f>AND(#REF!,"AAAAACf93GI=")</f>
        <v>#REF!</v>
      </c>
      <c r="CV28" t="e">
        <f>AND(#REF!,"AAAAACf93GM=")</f>
        <v>#REF!</v>
      </c>
      <c r="CW28" t="e">
        <f>AND(#REF!,"AAAAACf93GQ=")</f>
        <v>#REF!</v>
      </c>
      <c r="CX28" t="e">
        <f>AND(#REF!,"AAAAACf93GU=")</f>
        <v>#REF!</v>
      </c>
      <c r="CY28" t="e">
        <f>AND(#REF!,"AAAAACf93GY=")</f>
        <v>#REF!</v>
      </c>
      <c r="CZ28" t="e">
        <f>AND(#REF!,"AAAAACf93Gc=")</f>
        <v>#REF!</v>
      </c>
      <c r="DA28" t="e">
        <f>AND(#REF!,"AAAAACf93Gg=")</f>
        <v>#REF!</v>
      </c>
      <c r="DB28" t="e">
        <f>AND(#REF!,"AAAAACf93Gk=")</f>
        <v>#REF!</v>
      </c>
      <c r="DC28" t="e">
        <f>AND(#REF!,"AAAAACf93Go=")</f>
        <v>#REF!</v>
      </c>
      <c r="DD28" t="e">
        <f>AND(#REF!,"AAAAACf93Gs=")</f>
        <v>#REF!</v>
      </c>
      <c r="DE28" t="e">
        <f>AND(#REF!,"AAAAACf93Gw=")</f>
        <v>#REF!</v>
      </c>
      <c r="DF28" t="e">
        <f>AND(#REF!,"AAAAACf93G0=")</f>
        <v>#REF!</v>
      </c>
      <c r="DG28" t="e">
        <f>AND(#REF!,"AAAAACf93G4=")</f>
        <v>#REF!</v>
      </c>
      <c r="DH28" t="e">
        <f>AND(#REF!,"AAAAACf93G8=")</f>
        <v>#REF!</v>
      </c>
      <c r="DI28" t="e">
        <f>AND(#REF!,"AAAAACf93HA=")</f>
        <v>#REF!</v>
      </c>
      <c r="DJ28" t="e">
        <f>AND(#REF!,"AAAAACf93HE=")</f>
        <v>#REF!</v>
      </c>
      <c r="DK28" t="e">
        <f>AND(#REF!,"AAAAACf93HI=")</f>
        <v>#REF!</v>
      </c>
      <c r="DL28" t="e">
        <f>AND(#REF!,"AAAAACf93HM=")</f>
        <v>#REF!</v>
      </c>
      <c r="DM28" t="e">
        <f>AND(#REF!,"AAAAACf93HQ=")</f>
        <v>#REF!</v>
      </c>
      <c r="DN28" t="e">
        <f>AND(#REF!,"AAAAACf93HU=")</f>
        <v>#REF!</v>
      </c>
      <c r="DO28" t="e">
        <f>AND(#REF!,"AAAAACf93HY=")</f>
        <v>#REF!</v>
      </c>
      <c r="DP28" t="e">
        <f>AND(#REF!,"AAAAACf93Hc=")</f>
        <v>#REF!</v>
      </c>
      <c r="DQ28" t="e">
        <f>AND(#REF!,"AAAAACf93Hg=")</f>
        <v>#REF!</v>
      </c>
      <c r="DR28" t="e">
        <f>AND(#REF!,"AAAAACf93Hk=")</f>
        <v>#REF!</v>
      </c>
      <c r="DS28" t="e">
        <f>AND(#REF!,"AAAAACf93Ho=")</f>
        <v>#REF!</v>
      </c>
      <c r="DT28" t="e">
        <f>AND(#REF!,"AAAAACf93Hs=")</f>
        <v>#REF!</v>
      </c>
      <c r="DU28" t="e">
        <f>AND(#REF!,"AAAAACf93Hw=")</f>
        <v>#REF!</v>
      </c>
      <c r="DV28" t="e">
        <f>AND(#REF!,"AAAAACf93H0=")</f>
        <v>#REF!</v>
      </c>
      <c r="DW28" t="e">
        <f>AND(#REF!,"AAAAACf93H4=")</f>
        <v>#REF!</v>
      </c>
      <c r="DX28" t="e">
        <f>AND(#REF!,"AAAAACf93H8=")</f>
        <v>#REF!</v>
      </c>
      <c r="DY28" t="e">
        <f>IF(#REF!,"AAAAACf93IA=",0)</f>
        <v>#REF!</v>
      </c>
      <c r="DZ28" t="e">
        <f>AND(#REF!,"AAAAACf93IE=")</f>
        <v>#REF!</v>
      </c>
      <c r="EA28" t="e">
        <f>AND(#REF!,"AAAAACf93II=")</f>
        <v>#REF!</v>
      </c>
      <c r="EB28" t="e">
        <f>AND(#REF!,"AAAAACf93IM=")</f>
        <v>#REF!</v>
      </c>
      <c r="EC28" t="e">
        <f>AND(#REF!,"AAAAACf93IQ=")</f>
        <v>#REF!</v>
      </c>
      <c r="ED28" t="e">
        <f>AND(#REF!,"AAAAACf93IU=")</f>
        <v>#REF!</v>
      </c>
      <c r="EE28" t="e">
        <f>AND(#REF!,"AAAAACf93IY=")</f>
        <v>#REF!</v>
      </c>
      <c r="EF28" t="e">
        <f>AND(#REF!,"AAAAACf93Ic=")</f>
        <v>#REF!</v>
      </c>
      <c r="EG28" t="e">
        <f>AND(#REF!,"AAAAACf93Ig=")</f>
        <v>#REF!</v>
      </c>
      <c r="EH28" t="e">
        <f>AND(#REF!,"AAAAACf93Ik=")</f>
        <v>#REF!</v>
      </c>
      <c r="EI28" t="e">
        <f>AND(#REF!,"AAAAACf93Io=")</f>
        <v>#REF!</v>
      </c>
      <c r="EJ28" t="e">
        <f>AND(#REF!,"AAAAACf93Is=")</f>
        <v>#REF!</v>
      </c>
      <c r="EK28" t="e">
        <f>AND(#REF!,"AAAAACf93Iw=")</f>
        <v>#REF!</v>
      </c>
      <c r="EL28" t="e">
        <f>AND(#REF!,"AAAAACf93I0=")</f>
        <v>#REF!</v>
      </c>
      <c r="EM28" t="e">
        <f>AND(#REF!,"AAAAACf93I4=")</f>
        <v>#REF!</v>
      </c>
      <c r="EN28" t="e">
        <f>AND(#REF!,"AAAAACf93I8=")</f>
        <v>#REF!</v>
      </c>
      <c r="EO28" t="e">
        <f>AND(#REF!,"AAAAACf93JA=")</f>
        <v>#REF!</v>
      </c>
      <c r="EP28" t="e">
        <f>AND(#REF!,"AAAAACf93JE=")</f>
        <v>#REF!</v>
      </c>
      <c r="EQ28" t="e">
        <f>AND(#REF!,"AAAAACf93JI=")</f>
        <v>#REF!</v>
      </c>
      <c r="ER28" t="e">
        <f>AND(#REF!,"AAAAACf93JM=")</f>
        <v>#REF!</v>
      </c>
      <c r="ES28" t="e">
        <f>AND(#REF!,"AAAAACf93JQ=")</f>
        <v>#REF!</v>
      </c>
      <c r="ET28" t="e">
        <f>AND(#REF!,"AAAAACf93JU=")</f>
        <v>#REF!</v>
      </c>
      <c r="EU28" t="e">
        <f>AND(#REF!,"AAAAACf93JY=")</f>
        <v>#REF!</v>
      </c>
      <c r="EV28" t="e">
        <f>AND(#REF!,"AAAAACf93Jc=")</f>
        <v>#REF!</v>
      </c>
      <c r="EW28" t="e">
        <f>AND(#REF!,"AAAAACf93Jg=")</f>
        <v>#REF!</v>
      </c>
      <c r="EX28" t="e">
        <f>AND(#REF!,"AAAAACf93Jk=")</f>
        <v>#REF!</v>
      </c>
      <c r="EY28" t="e">
        <f>AND(#REF!,"AAAAACf93Jo=")</f>
        <v>#REF!</v>
      </c>
      <c r="EZ28" t="e">
        <f>AND(#REF!,"AAAAACf93Js=")</f>
        <v>#REF!</v>
      </c>
      <c r="FA28" t="e">
        <f>AND(#REF!,"AAAAACf93Jw=")</f>
        <v>#REF!</v>
      </c>
      <c r="FB28" t="e">
        <f>AND(#REF!,"AAAAACf93J0=")</f>
        <v>#REF!</v>
      </c>
      <c r="FC28" t="e">
        <f>AND(#REF!,"AAAAACf93J4=")</f>
        <v>#REF!</v>
      </c>
      <c r="FD28" t="e">
        <f>AND(#REF!,"AAAAACf93J8=")</f>
        <v>#REF!</v>
      </c>
      <c r="FE28" t="e">
        <f>AND(#REF!,"AAAAACf93KA=")</f>
        <v>#REF!</v>
      </c>
      <c r="FF28" t="e">
        <f>AND(#REF!,"AAAAACf93KE=")</f>
        <v>#REF!</v>
      </c>
      <c r="FG28" t="e">
        <f>AND(#REF!,"AAAAACf93KI=")</f>
        <v>#REF!</v>
      </c>
      <c r="FH28" t="e">
        <f>AND(#REF!,"AAAAACf93KM=")</f>
        <v>#REF!</v>
      </c>
      <c r="FI28" t="e">
        <f>AND(#REF!,"AAAAACf93KQ=")</f>
        <v>#REF!</v>
      </c>
      <c r="FJ28" t="e">
        <f>AND(#REF!,"AAAAACf93KU=")</f>
        <v>#REF!</v>
      </c>
      <c r="FK28" t="e">
        <f>AND(#REF!,"AAAAACf93KY=")</f>
        <v>#REF!</v>
      </c>
      <c r="FL28" t="e">
        <f>AND(#REF!,"AAAAACf93Kc=")</f>
        <v>#REF!</v>
      </c>
      <c r="FM28" t="e">
        <f>AND(#REF!,"AAAAACf93Kg=")</f>
        <v>#REF!</v>
      </c>
      <c r="FN28" t="e">
        <f>AND(#REF!,"AAAAACf93Kk=")</f>
        <v>#REF!</v>
      </c>
      <c r="FO28" t="e">
        <f>AND(#REF!,"AAAAACf93Ko=")</f>
        <v>#REF!</v>
      </c>
      <c r="FP28" t="e">
        <f>AND(#REF!,"AAAAACf93Ks=")</f>
        <v>#REF!</v>
      </c>
      <c r="FQ28" t="e">
        <f>AND(#REF!,"AAAAACf93Kw=")</f>
        <v>#REF!</v>
      </c>
      <c r="FR28" t="e">
        <f>AND(#REF!,"AAAAACf93K0=")</f>
        <v>#REF!</v>
      </c>
      <c r="FS28" t="e">
        <f>AND(#REF!,"AAAAACf93K4=")</f>
        <v>#REF!</v>
      </c>
      <c r="FT28" t="e">
        <f>AND(#REF!,"AAAAACf93K8=")</f>
        <v>#REF!</v>
      </c>
      <c r="FU28" t="e">
        <f>AND(#REF!,"AAAAACf93LA=")</f>
        <v>#REF!</v>
      </c>
      <c r="FV28" t="e">
        <f>AND(#REF!,"AAAAACf93LE=")</f>
        <v>#REF!</v>
      </c>
      <c r="FW28" t="e">
        <f>AND(#REF!,"AAAAACf93LI=")</f>
        <v>#REF!</v>
      </c>
      <c r="FX28" t="e">
        <f>AND(#REF!,"AAAAACf93LM=")</f>
        <v>#REF!</v>
      </c>
      <c r="FY28" t="e">
        <f>AND(#REF!,"AAAAACf93LQ=")</f>
        <v>#REF!</v>
      </c>
      <c r="FZ28" t="e">
        <f>AND(#REF!,"AAAAACf93LU=")</f>
        <v>#REF!</v>
      </c>
      <c r="GA28" t="e">
        <f>AND(#REF!,"AAAAACf93LY=")</f>
        <v>#REF!</v>
      </c>
      <c r="GB28" t="e">
        <f>AND(#REF!,"AAAAACf93Lc=")</f>
        <v>#REF!</v>
      </c>
      <c r="GC28" t="e">
        <f>AND(#REF!,"AAAAACf93Lg=")</f>
        <v>#REF!</v>
      </c>
      <c r="GD28" t="e">
        <f>AND(#REF!,"AAAAACf93Lk=")</f>
        <v>#REF!</v>
      </c>
      <c r="GE28" t="e">
        <f>AND(#REF!,"AAAAACf93Lo=")</f>
        <v>#REF!</v>
      </c>
      <c r="GF28" t="e">
        <f>AND(#REF!,"AAAAACf93Ls=")</f>
        <v>#REF!</v>
      </c>
      <c r="GG28" t="e">
        <f>AND(#REF!,"AAAAACf93Lw=")</f>
        <v>#REF!</v>
      </c>
      <c r="GH28" t="e">
        <f>AND(#REF!,"AAAAACf93L0=")</f>
        <v>#REF!</v>
      </c>
      <c r="GI28" t="e">
        <f>AND(#REF!,"AAAAACf93L4=")</f>
        <v>#REF!</v>
      </c>
      <c r="GJ28" t="e">
        <f>AND(#REF!,"AAAAACf93L8=")</f>
        <v>#REF!</v>
      </c>
      <c r="GK28" t="e">
        <f>AND(#REF!,"AAAAACf93MA=")</f>
        <v>#REF!</v>
      </c>
      <c r="GL28" t="e">
        <f>AND(#REF!,"AAAAACf93ME=")</f>
        <v>#REF!</v>
      </c>
      <c r="GM28" t="e">
        <f>AND(#REF!,"AAAAACf93MI=")</f>
        <v>#REF!</v>
      </c>
      <c r="GN28" t="e">
        <f>AND(#REF!,"AAAAACf93MM=")</f>
        <v>#REF!</v>
      </c>
      <c r="GO28" t="e">
        <f>AND(#REF!,"AAAAACf93MQ=")</f>
        <v>#REF!</v>
      </c>
      <c r="GP28" t="e">
        <f>AND(#REF!,"AAAAACf93MU=")</f>
        <v>#REF!</v>
      </c>
      <c r="GQ28" t="e">
        <f>AND(#REF!,"AAAAACf93MY=")</f>
        <v>#REF!</v>
      </c>
      <c r="GR28" t="e">
        <f>AND(#REF!,"AAAAACf93Mc=")</f>
        <v>#REF!</v>
      </c>
      <c r="GS28" t="e">
        <f>AND(#REF!,"AAAAACf93Mg=")</f>
        <v>#REF!</v>
      </c>
      <c r="GT28" t="e">
        <f>AND(#REF!,"AAAAACf93Mk=")</f>
        <v>#REF!</v>
      </c>
      <c r="GU28" t="e">
        <f>AND(#REF!,"AAAAACf93Mo=")</f>
        <v>#REF!</v>
      </c>
      <c r="GV28" t="e">
        <f>AND(#REF!,"AAAAACf93Ms=")</f>
        <v>#REF!</v>
      </c>
      <c r="GW28" t="e">
        <f>AND(#REF!,"AAAAACf93Mw=")</f>
        <v>#REF!</v>
      </c>
      <c r="GX28" t="e">
        <f>AND(#REF!,"AAAAACf93M0=")</f>
        <v>#REF!</v>
      </c>
      <c r="GY28" t="e">
        <f>AND(#REF!,"AAAAACf93M4=")</f>
        <v>#REF!</v>
      </c>
      <c r="GZ28" t="e">
        <f>AND(#REF!,"AAAAACf93M8=")</f>
        <v>#REF!</v>
      </c>
      <c r="HA28" t="e">
        <f>AND(#REF!,"AAAAACf93NA=")</f>
        <v>#REF!</v>
      </c>
      <c r="HB28" t="e">
        <f>AND(#REF!,"AAAAACf93NE=")</f>
        <v>#REF!</v>
      </c>
      <c r="HC28" t="e">
        <f>AND(#REF!,"AAAAACf93NI=")</f>
        <v>#REF!</v>
      </c>
      <c r="HD28" t="e">
        <f>AND(#REF!,"AAAAACf93NM=")</f>
        <v>#REF!</v>
      </c>
      <c r="HE28" t="e">
        <f>AND(#REF!,"AAAAACf93NQ=")</f>
        <v>#REF!</v>
      </c>
      <c r="HF28" t="e">
        <f>AND(#REF!,"AAAAACf93NU=")</f>
        <v>#REF!</v>
      </c>
      <c r="HG28" t="e">
        <f>AND(#REF!,"AAAAACf93NY=")</f>
        <v>#REF!</v>
      </c>
      <c r="HH28" t="e">
        <f>AND(#REF!,"AAAAACf93Nc=")</f>
        <v>#REF!</v>
      </c>
      <c r="HI28" t="e">
        <f>AND(#REF!,"AAAAACf93Ng=")</f>
        <v>#REF!</v>
      </c>
      <c r="HJ28" t="e">
        <f>AND(#REF!,"AAAAACf93Nk=")</f>
        <v>#REF!</v>
      </c>
      <c r="HK28" t="e">
        <f>AND(#REF!,"AAAAACf93No=")</f>
        <v>#REF!</v>
      </c>
      <c r="HL28" t="e">
        <f>AND(#REF!,"AAAAACf93Ns=")</f>
        <v>#REF!</v>
      </c>
      <c r="HM28" t="e">
        <f>AND(#REF!,"AAAAACf93Nw=")</f>
        <v>#REF!</v>
      </c>
      <c r="HN28" t="e">
        <f>AND(#REF!,"AAAAACf93N0=")</f>
        <v>#REF!</v>
      </c>
      <c r="HO28" t="e">
        <f>AND(#REF!,"AAAAACf93N4=")</f>
        <v>#REF!</v>
      </c>
      <c r="HP28" t="e">
        <f>AND(#REF!,"AAAAACf93N8=")</f>
        <v>#REF!</v>
      </c>
      <c r="HQ28" t="e">
        <f>AND(#REF!,"AAAAACf93OA=")</f>
        <v>#REF!</v>
      </c>
      <c r="HR28" t="e">
        <f>AND(#REF!,"AAAAACf93OE=")</f>
        <v>#REF!</v>
      </c>
      <c r="HS28" t="e">
        <f>AND(#REF!,"AAAAACf93OI=")</f>
        <v>#REF!</v>
      </c>
      <c r="HT28" t="e">
        <f>AND(#REF!,"AAAAACf93OM=")</f>
        <v>#REF!</v>
      </c>
      <c r="HU28" t="e">
        <f>AND(#REF!,"AAAAACf93OQ=")</f>
        <v>#REF!</v>
      </c>
      <c r="HV28" t="e">
        <f>AND(#REF!,"AAAAACf93OU=")</f>
        <v>#REF!</v>
      </c>
      <c r="HW28" t="e">
        <f>AND(#REF!,"AAAAACf93OY=")</f>
        <v>#REF!</v>
      </c>
      <c r="HX28" t="e">
        <f>AND(#REF!,"AAAAACf93Oc=")</f>
        <v>#REF!</v>
      </c>
      <c r="HY28" t="e">
        <f>AND(#REF!,"AAAAACf93Og=")</f>
        <v>#REF!</v>
      </c>
      <c r="HZ28" t="e">
        <f>IF(#REF!,"AAAAACf93Ok=",0)</f>
        <v>#REF!</v>
      </c>
      <c r="IA28" t="e">
        <f>AND(#REF!,"AAAAACf93Oo=")</f>
        <v>#REF!</v>
      </c>
      <c r="IB28" t="e">
        <f>AND(#REF!,"AAAAACf93Os=")</f>
        <v>#REF!</v>
      </c>
      <c r="IC28" t="e">
        <f>AND(#REF!,"AAAAACf93Ow=")</f>
        <v>#REF!</v>
      </c>
      <c r="ID28" t="e">
        <f>AND(#REF!,"AAAAACf93O0=")</f>
        <v>#REF!</v>
      </c>
      <c r="IE28" t="e">
        <f>AND(#REF!,"AAAAACf93O4=")</f>
        <v>#REF!</v>
      </c>
      <c r="IF28" t="e">
        <f>AND(#REF!,"AAAAACf93O8=")</f>
        <v>#REF!</v>
      </c>
      <c r="IG28" t="e">
        <f>AND(#REF!,"AAAAACf93PA=")</f>
        <v>#REF!</v>
      </c>
      <c r="IH28" t="e">
        <f>AND(#REF!,"AAAAACf93PE=")</f>
        <v>#REF!</v>
      </c>
      <c r="II28" t="e">
        <f>AND(#REF!,"AAAAACf93PI=")</f>
        <v>#REF!</v>
      </c>
      <c r="IJ28" t="e">
        <f>AND(#REF!,"AAAAACf93PM=")</f>
        <v>#REF!</v>
      </c>
      <c r="IK28" t="e">
        <f>AND(#REF!,"AAAAACf93PQ=")</f>
        <v>#REF!</v>
      </c>
      <c r="IL28" t="e">
        <f>AND(#REF!,"AAAAACf93PU=")</f>
        <v>#REF!</v>
      </c>
      <c r="IM28" t="e">
        <f>AND(#REF!,"AAAAACf93PY=")</f>
        <v>#REF!</v>
      </c>
      <c r="IN28" t="e">
        <f>AND(#REF!,"AAAAACf93Pc=")</f>
        <v>#REF!</v>
      </c>
      <c r="IO28" t="e">
        <f>AND(#REF!,"AAAAACf93Pg=")</f>
        <v>#REF!</v>
      </c>
      <c r="IP28" t="e">
        <f>AND(#REF!,"AAAAACf93Pk=")</f>
        <v>#REF!</v>
      </c>
      <c r="IQ28" t="e">
        <f>AND(#REF!,"AAAAACf93Po=")</f>
        <v>#REF!</v>
      </c>
      <c r="IR28" t="e">
        <f>AND(#REF!,"AAAAACf93Ps=")</f>
        <v>#REF!</v>
      </c>
      <c r="IS28" t="e">
        <f>AND(#REF!,"AAAAACf93Pw=")</f>
        <v>#REF!</v>
      </c>
      <c r="IT28" t="e">
        <f>AND(#REF!,"AAAAACf93P0=")</f>
        <v>#REF!</v>
      </c>
      <c r="IU28" t="e">
        <f>AND(#REF!,"AAAAACf93P4=")</f>
        <v>#REF!</v>
      </c>
      <c r="IV28" t="e">
        <f>AND(#REF!,"AAAAACf93P8=")</f>
        <v>#REF!</v>
      </c>
    </row>
    <row r="29" spans="1:256" x14ac:dyDescent="0.25">
      <c r="A29" t="e">
        <f>AND(#REF!,"AAAAADrH/wA=")</f>
        <v>#REF!</v>
      </c>
      <c r="B29" t="e">
        <f>AND(#REF!,"AAAAADrH/wE=")</f>
        <v>#REF!</v>
      </c>
      <c r="C29" t="e">
        <f>AND(#REF!,"AAAAADrH/wI=")</f>
        <v>#REF!</v>
      </c>
      <c r="D29" t="e">
        <f>AND(#REF!,"AAAAADrH/wM=")</f>
        <v>#REF!</v>
      </c>
      <c r="E29" t="e">
        <f>AND(#REF!,"AAAAADrH/wQ=")</f>
        <v>#REF!</v>
      </c>
      <c r="F29" t="e">
        <f>AND(#REF!,"AAAAADrH/wU=")</f>
        <v>#REF!</v>
      </c>
      <c r="G29" t="e">
        <f>AND(#REF!,"AAAAADrH/wY=")</f>
        <v>#REF!</v>
      </c>
      <c r="H29" t="e">
        <f>AND(#REF!,"AAAAADrH/wc=")</f>
        <v>#REF!</v>
      </c>
      <c r="I29" t="e">
        <f>AND(#REF!,"AAAAADrH/wg=")</f>
        <v>#REF!</v>
      </c>
      <c r="J29" t="e">
        <f>AND(#REF!,"AAAAADrH/wk=")</f>
        <v>#REF!</v>
      </c>
      <c r="K29" t="e">
        <f>AND(#REF!,"AAAAADrH/wo=")</f>
        <v>#REF!</v>
      </c>
      <c r="L29" t="e">
        <f>AND(#REF!,"AAAAADrH/ws=")</f>
        <v>#REF!</v>
      </c>
      <c r="M29" t="e">
        <f>AND(#REF!,"AAAAADrH/ww=")</f>
        <v>#REF!</v>
      </c>
      <c r="N29" t="e">
        <f>AND(#REF!,"AAAAADrH/w0=")</f>
        <v>#REF!</v>
      </c>
      <c r="O29" t="e">
        <f>AND(#REF!,"AAAAADrH/w4=")</f>
        <v>#REF!</v>
      </c>
      <c r="P29" t="e">
        <f>AND(#REF!,"AAAAADrH/w8=")</f>
        <v>#REF!</v>
      </c>
      <c r="Q29" t="e">
        <f>AND(#REF!,"AAAAADrH/xA=")</f>
        <v>#REF!</v>
      </c>
      <c r="R29" t="e">
        <f>AND(#REF!,"AAAAADrH/xE=")</f>
        <v>#REF!</v>
      </c>
      <c r="S29" t="e">
        <f>AND(#REF!,"AAAAADrH/xI=")</f>
        <v>#REF!</v>
      </c>
      <c r="T29" t="e">
        <f>AND(#REF!,"AAAAADrH/xM=")</f>
        <v>#REF!</v>
      </c>
      <c r="U29" t="e">
        <f>AND(#REF!,"AAAAADrH/xQ=")</f>
        <v>#REF!</v>
      </c>
      <c r="V29" t="e">
        <f>AND(#REF!,"AAAAADrH/xU=")</f>
        <v>#REF!</v>
      </c>
      <c r="W29" t="e">
        <f>AND(#REF!,"AAAAADrH/xY=")</f>
        <v>#REF!</v>
      </c>
      <c r="X29" t="e">
        <f>AND(#REF!,"AAAAADrH/xc=")</f>
        <v>#REF!</v>
      </c>
      <c r="Y29" t="e">
        <f>AND(#REF!,"AAAAADrH/xg=")</f>
        <v>#REF!</v>
      </c>
      <c r="Z29" t="e">
        <f>AND(#REF!,"AAAAADrH/xk=")</f>
        <v>#REF!</v>
      </c>
      <c r="AA29" t="e">
        <f>AND(#REF!,"AAAAADrH/xo=")</f>
        <v>#REF!</v>
      </c>
      <c r="AB29" t="e">
        <f>AND(#REF!,"AAAAADrH/xs=")</f>
        <v>#REF!</v>
      </c>
      <c r="AC29" t="e">
        <f>AND(#REF!,"AAAAADrH/xw=")</f>
        <v>#REF!</v>
      </c>
      <c r="AD29" t="e">
        <f>AND(#REF!,"AAAAADrH/x0=")</f>
        <v>#REF!</v>
      </c>
      <c r="AE29" t="e">
        <f>AND(#REF!,"AAAAADrH/x4=")</f>
        <v>#REF!</v>
      </c>
      <c r="AF29" t="e">
        <f>AND(#REF!,"AAAAADrH/x8=")</f>
        <v>#REF!</v>
      </c>
      <c r="AG29" t="e">
        <f>AND(#REF!,"AAAAADrH/yA=")</f>
        <v>#REF!</v>
      </c>
      <c r="AH29" t="e">
        <f>AND(#REF!,"AAAAADrH/yE=")</f>
        <v>#REF!</v>
      </c>
      <c r="AI29" t="e">
        <f>AND(#REF!,"AAAAADrH/yI=")</f>
        <v>#REF!</v>
      </c>
      <c r="AJ29" t="e">
        <f>AND(#REF!,"AAAAADrH/yM=")</f>
        <v>#REF!</v>
      </c>
      <c r="AK29" t="e">
        <f>AND(#REF!,"AAAAADrH/yQ=")</f>
        <v>#REF!</v>
      </c>
      <c r="AL29" t="e">
        <f>AND(#REF!,"AAAAADrH/yU=")</f>
        <v>#REF!</v>
      </c>
      <c r="AM29" t="e">
        <f>AND(#REF!,"AAAAADrH/yY=")</f>
        <v>#REF!</v>
      </c>
      <c r="AN29" t="e">
        <f>AND(#REF!,"AAAAADrH/yc=")</f>
        <v>#REF!</v>
      </c>
      <c r="AO29" t="e">
        <f>AND(#REF!,"AAAAADrH/yg=")</f>
        <v>#REF!</v>
      </c>
      <c r="AP29" t="e">
        <f>AND(#REF!,"AAAAADrH/yk=")</f>
        <v>#REF!</v>
      </c>
      <c r="AQ29" t="e">
        <f>AND(#REF!,"AAAAADrH/yo=")</f>
        <v>#REF!</v>
      </c>
      <c r="AR29" t="e">
        <f>AND(#REF!,"AAAAADrH/ys=")</f>
        <v>#REF!</v>
      </c>
      <c r="AS29" t="e">
        <f>AND(#REF!,"AAAAADrH/yw=")</f>
        <v>#REF!</v>
      </c>
      <c r="AT29" t="e">
        <f>AND(#REF!,"AAAAADrH/y0=")</f>
        <v>#REF!</v>
      </c>
      <c r="AU29" t="e">
        <f>AND(#REF!,"AAAAADrH/y4=")</f>
        <v>#REF!</v>
      </c>
      <c r="AV29" t="e">
        <f>AND(#REF!,"AAAAADrH/y8=")</f>
        <v>#REF!</v>
      </c>
      <c r="AW29" t="e">
        <f>AND(#REF!,"AAAAADrH/zA=")</f>
        <v>#REF!</v>
      </c>
      <c r="AX29" t="e">
        <f>AND(#REF!,"AAAAADrH/zE=")</f>
        <v>#REF!</v>
      </c>
      <c r="AY29" t="e">
        <f>AND(#REF!,"AAAAADrH/zI=")</f>
        <v>#REF!</v>
      </c>
      <c r="AZ29" t="e">
        <f>AND(#REF!,"AAAAADrH/zM=")</f>
        <v>#REF!</v>
      </c>
      <c r="BA29" t="e">
        <f>AND(#REF!,"AAAAADrH/zQ=")</f>
        <v>#REF!</v>
      </c>
      <c r="BB29" t="e">
        <f>AND(#REF!,"AAAAADrH/zU=")</f>
        <v>#REF!</v>
      </c>
      <c r="BC29" t="e">
        <f>AND(#REF!,"AAAAADrH/zY=")</f>
        <v>#REF!</v>
      </c>
      <c r="BD29" t="e">
        <f>AND(#REF!,"AAAAADrH/zc=")</f>
        <v>#REF!</v>
      </c>
      <c r="BE29" t="e">
        <f>AND(#REF!,"AAAAADrH/zg=")</f>
        <v>#REF!</v>
      </c>
      <c r="BF29" t="e">
        <f>AND(#REF!,"AAAAADrH/zk=")</f>
        <v>#REF!</v>
      </c>
      <c r="BG29" t="e">
        <f>AND(#REF!,"AAAAADrH/zo=")</f>
        <v>#REF!</v>
      </c>
      <c r="BH29" t="e">
        <f>AND(#REF!,"AAAAADrH/zs=")</f>
        <v>#REF!</v>
      </c>
      <c r="BI29" t="e">
        <f>AND(#REF!,"AAAAADrH/zw=")</f>
        <v>#REF!</v>
      </c>
      <c r="BJ29" t="e">
        <f>AND(#REF!,"AAAAADrH/z0=")</f>
        <v>#REF!</v>
      </c>
      <c r="BK29" t="e">
        <f>AND(#REF!,"AAAAADrH/z4=")</f>
        <v>#REF!</v>
      </c>
      <c r="BL29" t="e">
        <f>AND(#REF!,"AAAAADrH/z8=")</f>
        <v>#REF!</v>
      </c>
      <c r="BM29" t="e">
        <f>AND(#REF!,"AAAAADrH/0A=")</f>
        <v>#REF!</v>
      </c>
      <c r="BN29" t="e">
        <f>AND(#REF!,"AAAAADrH/0E=")</f>
        <v>#REF!</v>
      </c>
      <c r="BO29" t="e">
        <f>AND(#REF!,"AAAAADrH/0I=")</f>
        <v>#REF!</v>
      </c>
      <c r="BP29" t="e">
        <f>AND(#REF!,"AAAAADrH/0M=")</f>
        <v>#REF!</v>
      </c>
      <c r="BQ29" t="e">
        <f>AND(#REF!,"AAAAADrH/0Q=")</f>
        <v>#REF!</v>
      </c>
      <c r="BR29" t="e">
        <f>AND(#REF!,"AAAAADrH/0U=")</f>
        <v>#REF!</v>
      </c>
      <c r="BS29" t="e">
        <f>AND(#REF!,"AAAAADrH/0Y=")</f>
        <v>#REF!</v>
      </c>
      <c r="BT29" t="e">
        <f>AND(#REF!,"AAAAADrH/0c=")</f>
        <v>#REF!</v>
      </c>
      <c r="BU29" t="e">
        <f>AND(#REF!,"AAAAADrH/0g=")</f>
        <v>#REF!</v>
      </c>
      <c r="BV29" t="e">
        <f>AND(#REF!,"AAAAADrH/0k=")</f>
        <v>#REF!</v>
      </c>
      <c r="BW29" t="e">
        <f>AND(#REF!,"AAAAADrH/0o=")</f>
        <v>#REF!</v>
      </c>
      <c r="BX29" t="e">
        <f>AND(#REF!,"AAAAADrH/0s=")</f>
        <v>#REF!</v>
      </c>
      <c r="BY29" t="e">
        <f>AND(#REF!,"AAAAADrH/0w=")</f>
        <v>#REF!</v>
      </c>
      <c r="BZ29" t="e">
        <f>AND(#REF!,"AAAAADrH/00=")</f>
        <v>#REF!</v>
      </c>
      <c r="CA29" t="e">
        <f>AND(#REF!,"AAAAADrH/04=")</f>
        <v>#REF!</v>
      </c>
      <c r="CB29" t="e">
        <f>AND(#REF!,"AAAAADrH/08=")</f>
        <v>#REF!</v>
      </c>
      <c r="CC29" t="e">
        <f>AND(#REF!,"AAAAADrH/1A=")</f>
        <v>#REF!</v>
      </c>
      <c r="CD29" t="e">
        <f>AND(#REF!,"AAAAADrH/1E=")</f>
        <v>#REF!</v>
      </c>
      <c r="CE29" t="e">
        <f>IF(#REF!,"AAAAADrH/1I=",0)</f>
        <v>#REF!</v>
      </c>
      <c r="CF29" t="e">
        <f>AND(#REF!,"AAAAADrH/1M=")</f>
        <v>#REF!</v>
      </c>
      <c r="CG29" t="e">
        <f>AND(#REF!,"AAAAADrH/1Q=")</f>
        <v>#REF!</v>
      </c>
      <c r="CH29" t="e">
        <f>AND(#REF!,"AAAAADrH/1U=")</f>
        <v>#REF!</v>
      </c>
      <c r="CI29" t="e">
        <f>AND(#REF!,"AAAAADrH/1Y=")</f>
        <v>#REF!</v>
      </c>
      <c r="CJ29" t="e">
        <f>AND(#REF!,"AAAAADrH/1c=")</f>
        <v>#REF!</v>
      </c>
      <c r="CK29" t="e">
        <f>AND(#REF!,"AAAAADrH/1g=")</f>
        <v>#REF!</v>
      </c>
      <c r="CL29" t="e">
        <f>AND(#REF!,"AAAAADrH/1k=")</f>
        <v>#REF!</v>
      </c>
      <c r="CM29" t="e">
        <f>AND(#REF!,"AAAAADrH/1o=")</f>
        <v>#REF!</v>
      </c>
      <c r="CN29" t="e">
        <f>AND(#REF!,"AAAAADrH/1s=")</f>
        <v>#REF!</v>
      </c>
      <c r="CO29" t="e">
        <f>AND(#REF!,"AAAAADrH/1w=")</f>
        <v>#REF!</v>
      </c>
      <c r="CP29" t="e">
        <f>AND(#REF!,"AAAAADrH/10=")</f>
        <v>#REF!</v>
      </c>
      <c r="CQ29" t="e">
        <f>AND(#REF!,"AAAAADrH/14=")</f>
        <v>#REF!</v>
      </c>
      <c r="CR29" t="e">
        <f>AND(#REF!,"AAAAADrH/18=")</f>
        <v>#REF!</v>
      </c>
      <c r="CS29" t="e">
        <f>AND(#REF!,"AAAAADrH/2A=")</f>
        <v>#REF!</v>
      </c>
      <c r="CT29" t="e">
        <f>AND(#REF!,"AAAAADrH/2E=")</f>
        <v>#REF!</v>
      </c>
      <c r="CU29" t="e">
        <f>AND(#REF!,"AAAAADrH/2I=")</f>
        <v>#REF!</v>
      </c>
      <c r="CV29" t="e">
        <f>AND(#REF!,"AAAAADrH/2M=")</f>
        <v>#REF!</v>
      </c>
      <c r="CW29" t="e">
        <f>AND(#REF!,"AAAAADrH/2Q=")</f>
        <v>#REF!</v>
      </c>
      <c r="CX29" t="e">
        <f>AND(#REF!,"AAAAADrH/2U=")</f>
        <v>#REF!</v>
      </c>
      <c r="CY29" t="e">
        <f>AND(#REF!,"AAAAADrH/2Y=")</f>
        <v>#REF!</v>
      </c>
      <c r="CZ29" t="e">
        <f>AND(#REF!,"AAAAADrH/2c=")</f>
        <v>#REF!</v>
      </c>
      <c r="DA29" t="e">
        <f>AND(#REF!,"AAAAADrH/2g=")</f>
        <v>#REF!</v>
      </c>
      <c r="DB29" t="e">
        <f>AND(#REF!,"AAAAADrH/2k=")</f>
        <v>#REF!</v>
      </c>
      <c r="DC29" t="e">
        <f>AND(#REF!,"AAAAADrH/2o=")</f>
        <v>#REF!</v>
      </c>
      <c r="DD29" t="e">
        <f>AND(#REF!,"AAAAADrH/2s=")</f>
        <v>#REF!</v>
      </c>
      <c r="DE29" t="e">
        <f>AND(#REF!,"AAAAADrH/2w=")</f>
        <v>#REF!</v>
      </c>
      <c r="DF29" t="e">
        <f>AND(#REF!,"AAAAADrH/20=")</f>
        <v>#REF!</v>
      </c>
      <c r="DG29" t="e">
        <f>AND(#REF!,"AAAAADrH/24=")</f>
        <v>#REF!</v>
      </c>
      <c r="DH29" t="e">
        <f>AND(#REF!,"AAAAADrH/28=")</f>
        <v>#REF!</v>
      </c>
      <c r="DI29" t="e">
        <f>AND(#REF!,"AAAAADrH/3A=")</f>
        <v>#REF!</v>
      </c>
      <c r="DJ29" t="e">
        <f>AND(#REF!,"AAAAADrH/3E=")</f>
        <v>#REF!</v>
      </c>
      <c r="DK29" t="e">
        <f>AND(#REF!,"AAAAADrH/3I=")</f>
        <v>#REF!</v>
      </c>
      <c r="DL29" t="e">
        <f>AND(#REF!,"AAAAADrH/3M=")</f>
        <v>#REF!</v>
      </c>
      <c r="DM29" t="e">
        <f>AND(#REF!,"AAAAADrH/3Q=")</f>
        <v>#REF!</v>
      </c>
      <c r="DN29" t="e">
        <f>AND(#REF!,"AAAAADrH/3U=")</f>
        <v>#REF!</v>
      </c>
      <c r="DO29" t="e">
        <f>AND(#REF!,"AAAAADrH/3Y=")</f>
        <v>#REF!</v>
      </c>
      <c r="DP29" t="e">
        <f>AND(#REF!,"AAAAADrH/3c=")</f>
        <v>#REF!</v>
      </c>
      <c r="DQ29" t="e">
        <f>AND(#REF!,"AAAAADrH/3g=")</f>
        <v>#REF!</v>
      </c>
      <c r="DR29" t="e">
        <f>AND(#REF!,"AAAAADrH/3k=")</f>
        <v>#REF!</v>
      </c>
      <c r="DS29" t="e">
        <f>AND(#REF!,"AAAAADrH/3o=")</f>
        <v>#REF!</v>
      </c>
      <c r="DT29" t="e">
        <f>AND(#REF!,"AAAAADrH/3s=")</f>
        <v>#REF!</v>
      </c>
      <c r="DU29" t="e">
        <f>AND(#REF!,"AAAAADrH/3w=")</f>
        <v>#REF!</v>
      </c>
      <c r="DV29" t="e">
        <f>AND(#REF!,"AAAAADrH/30=")</f>
        <v>#REF!</v>
      </c>
      <c r="DW29" t="e">
        <f>AND(#REF!,"AAAAADrH/34=")</f>
        <v>#REF!</v>
      </c>
      <c r="DX29" t="e">
        <f>AND(#REF!,"AAAAADrH/38=")</f>
        <v>#REF!</v>
      </c>
      <c r="DY29" t="e">
        <f>AND(#REF!,"AAAAADrH/4A=")</f>
        <v>#REF!</v>
      </c>
      <c r="DZ29" t="e">
        <f>AND(#REF!,"AAAAADrH/4E=")</f>
        <v>#REF!</v>
      </c>
      <c r="EA29" t="e">
        <f>AND(#REF!,"AAAAADrH/4I=")</f>
        <v>#REF!</v>
      </c>
      <c r="EB29" t="e">
        <f>AND(#REF!,"AAAAADrH/4M=")</f>
        <v>#REF!</v>
      </c>
      <c r="EC29" t="e">
        <f>AND(#REF!,"AAAAADrH/4Q=")</f>
        <v>#REF!</v>
      </c>
      <c r="ED29" t="e">
        <f>AND(#REF!,"AAAAADrH/4U=")</f>
        <v>#REF!</v>
      </c>
      <c r="EE29" t="e">
        <f>AND(#REF!,"AAAAADrH/4Y=")</f>
        <v>#REF!</v>
      </c>
      <c r="EF29" t="e">
        <f>AND(#REF!,"AAAAADrH/4c=")</f>
        <v>#REF!</v>
      </c>
      <c r="EG29" t="e">
        <f>AND(#REF!,"AAAAADrH/4g=")</f>
        <v>#REF!</v>
      </c>
      <c r="EH29" t="e">
        <f>AND(#REF!,"AAAAADrH/4k=")</f>
        <v>#REF!</v>
      </c>
      <c r="EI29" t="e">
        <f>AND(#REF!,"AAAAADrH/4o=")</f>
        <v>#REF!</v>
      </c>
      <c r="EJ29" t="e">
        <f>AND(#REF!,"AAAAADrH/4s=")</f>
        <v>#REF!</v>
      </c>
      <c r="EK29" t="e">
        <f>AND(#REF!,"AAAAADrH/4w=")</f>
        <v>#REF!</v>
      </c>
      <c r="EL29" t="e">
        <f>AND(#REF!,"AAAAADrH/40=")</f>
        <v>#REF!</v>
      </c>
      <c r="EM29" t="e">
        <f>AND(#REF!,"AAAAADrH/44=")</f>
        <v>#REF!</v>
      </c>
      <c r="EN29" t="e">
        <f>AND(#REF!,"AAAAADrH/48=")</f>
        <v>#REF!</v>
      </c>
      <c r="EO29" t="e">
        <f>AND(#REF!,"AAAAADrH/5A=")</f>
        <v>#REF!</v>
      </c>
      <c r="EP29" t="e">
        <f>AND(#REF!,"AAAAADrH/5E=")</f>
        <v>#REF!</v>
      </c>
      <c r="EQ29" t="e">
        <f>AND(#REF!,"AAAAADrH/5I=")</f>
        <v>#REF!</v>
      </c>
      <c r="ER29" t="e">
        <f>AND(#REF!,"AAAAADrH/5M=")</f>
        <v>#REF!</v>
      </c>
      <c r="ES29" t="e">
        <f>AND(#REF!,"AAAAADrH/5Q=")</f>
        <v>#REF!</v>
      </c>
      <c r="ET29" t="e">
        <f>AND(#REF!,"AAAAADrH/5U=")</f>
        <v>#REF!</v>
      </c>
      <c r="EU29" t="e">
        <f>AND(#REF!,"AAAAADrH/5Y=")</f>
        <v>#REF!</v>
      </c>
      <c r="EV29" t="e">
        <f>AND(#REF!,"AAAAADrH/5c=")</f>
        <v>#REF!</v>
      </c>
      <c r="EW29" t="e">
        <f>AND(#REF!,"AAAAADrH/5g=")</f>
        <v>#REF!</v>
      </c>
      <c r="EX29" t="e">
        <f>AND(#REF!,"AAAAADrH/5k=")</f>
        <v>#REF!</v>
      </c>
      <c r="EY29" t="e">
        <f>AND(#REF!,"AAAAADrH/5o=")</f>
        <v>#REF!</v>
      </c>
      <c r="EZ29" t="e">
        <f>AND(#REF!,"AAAAADrH/5s=")</f>
        <v>#REF!</v>
      </c>
      <c r="FA29" t="e">
        <f>AND(#REF!,"AAAAADrH/5w=")</f>
        <v>#REF!</v>
      </c>
      <c r="FB29" t="e">
        <f>AND(#REF!,"AAAAADrH/50=")</f>
        <v>#REF!</v>
      </c>
      <c r="FC29" t="e">
        <f>AND(#REF!,"AAAAADrH/54=")</f>
        <v>#REF!</v>
      </c>
      <c r="FD29" t="e">
        <f>AND(#REF!,"AAAAADrH/58=")</f>
        <v>#REF!</v>
      </c>
      <c r="FE29" t="e">
        <f>AND(#REF!,"AAAAADrH/6A=")</f>
        <v>#REF!</v>
      </c>
      <c r="FF29" t="e">
        <f>AND(#REF!,"AAAAADrH/6E=")</f>
        <v>#REF!</v>
      </c>
      <c r="FG29" t="e">
        <f>AND(#REF!,"AAAAADrH/6I=")</f>
        <v>#REF!</v>
      </c>
      <c r="FH29" t="e">
        <f>AND(#REF!,"AAAAADrH/6M=")</f>
        <v>#REF!</v>
      </c>
      <c r="FI29" t="e">
        <f>AND(#REF!,"AAAAADrH/6Q=")</f>
        <v>#REF!</v>
      </c>
      <c r="FJ29" t="e">
        <f>AND(#REF!,"AAAAADrH/6U=")</f>
        <v>#REF!</v>
      </c>
      <c r="FK29" t="e">
        <f>AND(#REF!,"AAAAADrH/6Y=")</f>
        <v>#REF!</v>
      </c>
      <c r="FL29" t="e">
        <f>AND(#REF!,"AAAAADrH/6c=")</f>
        <v>#REF!</v>
      </c>
      <c r="FM29" t="e">
        <f>AND(#REF!,"AAAAADrH/6g=")</f>
        <v>#REF!</v>
      </c>
      <c r="FN29" t="e">
        <f>AND(#REF!,"AAAAADrH/6k=")</f>
        <v>#REF!</v>
      </c>
      <c r="FO29" t="e">
        <f>AND(#REF!,"AAAAADrH/6o=")</f>
        <v>#REF!</v>
      </c>
      <c r="FP29" t="e">
        <f>AND(#REF!,"AAAAADrH/6s=")</f>
        <v>#REF!</v>
      </c>
      <c r="FQ29" t="e">
        <f>AND(#REF!,"AAAAADrH/6w=")</f>
        <v>#REF!</v>
      </c>
      <c r="FR29" t="e">
        <f>AND(#REF!,"AAAAADrH/60=")</f>
        <v>#REF!</v>
      </c>
      <c r="FS29" t="e">
        <f>AND(#REF!,"AAAAADrH/64=")</f>
        <v>#REF!</v>
      </c>
      <c r="FT29" t="e">
        <f>AND(#REF!,"AAAAADrH/68=")</f>
        <v>#REF!</v>
      </c>
      <c r="FU29" t="e">
        <f>AND(#REF!,"AAAAADrH/7A=")</f>
        <v>#REF!</v>
      </c>
      <c r="FV29" t="e">
        <f>AND(#REF!,"AAAAADrH/7E=")</f>
        <v>#REF!</v>
      </c>
      <c r="FW29" t="e">
        <f>AND(#REF!,"AAAAADrH/7I=")</f>
        <v>#REF!</v>
      </c>
      <c r="FX29" t="e">
        <f>AND(#REF!,"AAAAADrH/7M=")</f>
        <v>#REF!</v>
      </c>
      <c r="FY29" t="e">
        <f>AND(#REF!,"AAAAADrH/7Q=")</f>
        <v>#REF!</v>
      </c>
      <c r="FZ29" t="e">
        <f>AND(#REF!,"AAAAADrH/7U=")</f>
        <v>#REF!</v>
      </c>
      <c r="GA29" t="e">
        <f>AND(#REF!,"AAAAADrH/7Y=")</f>
        <v>#REF!</v>
      </c>
      <c r="GB29" t="e">
        <f>AND(#REF!,"AAAAADrH/7c=")</f>
        <v>#REF!</v>
      </c>
      <c r="GC29" t="e">
        <f>AND(#REF!,"AAAAADrH/7g=")</f>
        <v>#REF!</v>
      </c>
      <c r="GD29" t="e">
        <f>AND(#REF!,"AAAAADrH/7k=")</f>
        <v>#REF!</v>
      </c>
      <c r="GE29" t="e">
        <f>AND(#REF!,"AAAAADrH/7o=")</f>
        <v>#REF!</v>
      </c>
      <c r="GF29" t="e">
        <f>IF(#REF!,"AAAAADrH/7s=",0)</f>
        <v>#REF!</v>
      </c>
      <c r="GG29" t="e">
        <f>AND(#REF!,"AAAAADrH/7w=")</f>
        <v>#REF!</v>
      </c>
      <c r="GH29" t="e">
        <f>AND(#REF!,"AAAAADrH/70=")</f>
        <v>#REF!</v>
      </c>
      <c r="GI29" t="e">
        <f>AND(#REF!,"AAAAADrH/74=")</f>
        <v>#REF!</v>
      </c>
      <c r="GJ29" t="e">
        <f>AND(#REF!,"AAAAADrH/78=")</f>
        <v>#REF!</v>
      </c>
      <c r="GK29" t="e">
        <f>AND(#REF!,"AAAAADrH/8A=")</f>
        <v>#REF!</v>
      </c>
      <c r="GL29" t="e">
        <f>AND(#REF!,"AAAAADrH/8E=")</f>
        <v>#REF!</v>
      </c>
      <c r="GM29" t="e">
        <f>AND(#REF!,"AAAAADrH/8I=")</f>
        <v>#REF!</v>
      </c>
      <c r="GN29" t="e">
        <f>AND(#REF!,"AAAAADrH/8M=")</f>
        <v>#REF!</v>
      </c>
      <c r="GO29" t="e">
        <f>AND(#REF!,"AAAAADrH/8Q=")</f>
        <v>#REF!</v>
      </c>
      <c r="GP29" t="e">
        <f>AND(#REF!,"AAAAADrH/8U=")</f>
        <v>#REF!</v>
      </c>
      <c r="GQ29" t="e">
        <f>AND(#REF!,"AAAAADrH/8Y=")</f>
        <v>#REF!</v>
      </c>
      <c r="GR29" t="e">
        <f>AND(#REF!,"AAAAADrH/8c=")</f>
        <v>#REF!</v>
      </c>
      <c r="GS29" t="e">
        <f>AND(#REF!,"AAAAADrH/8g=")</f>
        <v>#REF!</v>
      </c>
      <c r="GT29" t="e">
        <f>AND(#REF!,"AAAAADrH/8k=")</f>
        <v>#REF!</v>
      </c>
      <c r="GU29" t="e">
        <f>AND(#REF!,"AAAAADrH/8o=")</f>
        <v>#REF!</v>
      </c>
      <c r="GV29" t="e">
        <f>AND(#REF!,"AAAAADrH/8s=")</f>
        <v>#REF!</v>
      </c>
      <c r="GW29" t="e">
        <f>AND(#REF!,"AAAAADrH/8w=")</f>
        <v>#REF!</v>
      </c>
      <c r="GX29" t="e">
        <f>AND(#REF!,"AAAAADrH/80=")</f>
        <v>#REF!</v>
      </c>
      <c r="GY29" t="e">
        <f>AND(#REF!,"AAAAADrH/84=")</f>
        <v>#REF!</v>
      </c>
      <c r="GZ29" t="e">
        <f>AND(#REF!,"AAAAADrH/88=")</f>
        <v>#REF!</v>
      </c>
      <c r="HA29" t="e">
        <f>AND(#REF!,"AAAAADrH/9A=")</f>
        <v>#REF!</v>
      </c>
      <c r="HB29" t="e">
        <f>AND(#REF!,"AAAAADrH/9E=")</f>
        <v>#REF!</v>
      </c>
      <c r="HC29" t="e">
        <f>AND(#REF!,"AAAAADrH/9I=")</f>
        <v>#REF!</v>
      </c>
      <c r="HD29" t="e">
        <f>AND(#REF!,"AAAAADrH/9M=")</f>
        <v>#REF!</v>
      </c>
      <c r="HE29" t="e">
        <f>AND(#REF!,"AAAAADrH/9Q=")</f>
        <v>#REF!</v>
      </c>
      <c r="HF29" t="e">
        <f>AND(#REF!,"AAAAADrH/9U=")</f>
        <v>#REF!</v>
      </c>
      <c r="HG29" t="e">
        <f>AND(#REF!,"AAAAADrH/9Y=")</f>
        <v>#REF!</v>
      </c>
      <c r="HH29" t="e">
        <f>AND(#REF!,"AAAAADrH/9c=")</f>
        <v>#REF!</v>
      </c>
      <c r="HI29" t="e">
        <f>AND(#REF!,"AAAAADrH/9g=")</f>
        <v>#REF!</v>
      </c>
      <c r="HJ29" t="e">
        <f>AND(#REF!,"AAAAADrH/9k=")</f>
        <v>#REF!</v>
      </c>
      <c r="HK29" t="e">
        <f>AND(#REF!,"AAAAADrH/9o=")</f>
        <v>#REF!</v>
      </c>
      <c r="HL29" t="e">
        <f>AND(#REF!,"AAAAADrH/9s=")</f>
        <v>#REF!</v>
      </c>
      <c r="HM29" t="e">
        <f>AND(#REF!,"AAAAADrH/9w=")</f>
        <v>#REF!</v>
      </c>
      <c r="HN29" t="e">
        <f>AND(#REF!,"AAAAADrH/90=")</f>
        <v>#REF!</v>
      </c>
      <c r="HO29" t="e">
        <f>AND(#REF!,"AAAAADrH/94=")</f>
        <v>#REF!</v>
      </c>
      <c r="HP29" t="e">
        <f>AND(#REF!,"AAAAADrH/98=")</f>
        <v>#REF!</v>
      </c>
      <c r="HQ29" t="e">
        <f>AND(#REF!,"AAAAADrH/+A=")</f>
        <v>#REF!</v>
      </c>
      <c r="HR29" t="e">
        <f>AND(#REF!,"AAAAADrH/+E=")</f>
        <v>#REF!</v>
      </c>
      <c r="HS29" t="e">
        <f>AND(#REF!,"AAAAADrH/+I=")</f>
        <v>#REF!</v>
      </c>
      <c r="HT29" t="e">
        <f>AND(#REF!,"AAAAADrH/+M=")</f>
        <v>#REF!</v>
      </c>
      <c r="HU29" t="e">
        <f>AND(#REF!,"AAAAADrH/+Q=")</f>
        <v>#REF!</v>
      </c>
      <c r="HV29" t="e">
        <f>AND(#REF!,"AAAAADrH/+U=")</f>
        <v>#REF!</v>
      </c>
      <c r="HW29" t="e">
        <f>AND(#REF!,"AAAAADrH/+Y=")</f>
        <v>#REF!</v>
      </c>
      <c r="HX29" t="e">
        <f>AND(#REF!,"AAAAADrH/+c=")</f>
        <v>#REF!</v>
      </c>
      <c r="HY29" t="e">
        <f>AND(#REF!,"AAAAADrH/+g=")</f>
        <v>#REF!</v>
      </c>
      <c r="HZ29" t="e">
        <f>AND(#REF!,"AAAAADrH/+k=")</f>
        <v>#REF!</v>
      </c>
      <c r="IA29" t="e">
        <f>AND(#REF!,"AAAAADrH/+o=")</f>
        <v>#REF!</v>
      </c>
      <c r="IB29" t="e">
        <f>AND(#REF!,"AAAAADrH/+s=")</f>
        <v>#REF!</v>
      </c>
      <c r="IC29" t="e">
        <f>AND(#REF!,"AAAAADrH/+w=")</f>
        <v>#REF!</v>
      </c>
      <c r="ID29" t="e">
        <f>AND(#REF!,"AAAAADrH/+0=")</f>
        <v>#REF!</v>
      </c>
      <c r="IE29" t="e">
        <f>AND(#REF!,"AAAAADrH/+4=")</f>
        <v>#REF!</v>
      </c>
      <c r="IF29" t="e">
        <f>AND(#REF!,"AAAAADrH/+8=")</f>
        <v>#REF!</v>
      </c>
      <c r="IG29" t="e">
        <f>AND(#REF!,"AAAAADrH//A=")</f>
        <v>#REF!</v>
      </c>
      <c r="IH29" t="e">
        <f>AND(#REF!,"AAAAADrH//E=")</f>
        <v>#REF!</v>
      </c>
      <c r="II29" t="e">
        <f>AND(#REF!,"AAAAADrH//I=")</f>
        <v>#REF!</v>
      </c>
      <c r="IJ29" t="e">
        <f>AND(#REF!,"AAAAADrH//M=")</f>
        <v>#REF!</v>
      </c>
      <c r="IK29" t="e">
        <f>AND(#REF!,"AAAAADrH//Q=")</f>
        <v>#REF!</v>
      </c>
      <c r="IL29" t="e">
        <f>AND(#REF!,"AAAAADrH//U=")</f>
        <v>#REF!</v>
      </c>
      <c r="IM29" t="e">
        <f>AND(#REF!,"AAAAADrH//Y=")</f>
        <v>#REF!</v>
      </c>
      <c r="IN29" t="e">
        <f>AND(#REF!,"AAAAADrH//c=")</f>
        <v>#REF!</v>
      </c>
      <c r="IO29" t="e">
        <f>AND(#REF!,"AAAAADrH//g=")</f>
        <v>#REF!</v>
      </c>
      <c r="IP29" t="e">
        <f>AND(#REF!,"AAAAADrH//k=")</f>
        <v>#REF!</v>
      </c>
      <c r="IQ29" t="e">
        <f>AND(#REF!,"AAAAADrH//o=")</f>
        <v>#REF!</v>
      </c>
      <c r="IR29" t="e">
        <f>AND(#REF!,"AAAAADrH//s=")</f>
        <v>#REF!</v>
      </c>
      <c r="IS29" t="e">
        <f>AND(#REF!,"AAAAADrH//w=")</f>
        <v>#REF!</v>
      </c>
      <c r="IT29" t="e">
        <f>AND(#REF!,"AAAAADrH//0=")</f>
        <v>#REF!</v>
      </c>
      <c r="IU29" t="e">
        <f>AND(#REF!,"AAAAADrH//4=")</f>
        <v>#REF!</v>
      </c>
      <c r="IV29" t="e">
        <f>AND(#REF!,"AAAAADrH//8=")</f>
        <v>#REF!</v>
      </c>
    </row>
    <row r="30" spans="1:256" x14ac:dyDescent="0.25">
      <c r="A30" t="e">
        <f>AND(#REF!,"AAAAAB/9twA=")</f>
        <v>#REF!</v>
      </c>
      <c r="B30" t="e">
        <f>AND(#REF!,"AAAAAB/9twE=")</f>
        <v>#REF!</v>
      </c>
      <c r="C30" t="e">
        <f>AND(#REF!,"AAAAAB/9twI=")</f>
        <v>#REF!</v>
      </c>
      <c r="D30" t="e">
        <f>AND(#REF!,"AAAAAB/9twM=")</f>
        <v>#REF!</v>
      </c>
      <c r="E30" t="e">
        <f>AND(#REF!,"AAAAAB/9twQ=")</f>
        <v>#REF!</v>
      </c>
      <c r="F30" t="e">
        <f>AND(#REF!,"AAAAAB/9twU=")</f>
        <v>#REF!</v>
      </c>
      <c r="G30" t="e">
        <f>AND(#REF!,"AAAAAB/9twY=")</f>
        <v>#REF!</v>
      </c>
      <c r="H30" t="e">
        <f>AND(#REF!,"AAAAAB/9twc=")</f>
        <v>#REF!</v>
      </c>
      <c r="I30" t="e">
        <f>AND(#REF!,"AAAAAB/9twg=")</f>
        <v>#REF!</v>
      </c>
      <c r="J30" t="e">
        <f>AND(#REF!,"AAAAAB/9twk=")</f>
        <v>#REF!</v>
      </c>
      <c r="K30" t="e">
        <f>AND(#REF!,"AAAAAB/9two=")</f>
        <v>#REF!</v>
      </c>
      <c r="L30" t="e">
        <f>AND(#REF!,"AAAAAB/9tws=")</f>
        <v>#REF!</v>
      </c>
      <c r="M30" t="e">
        <f>AND(#REF!,"AAAAAB/9tww=")</f>
        <v>#REF!</v>
      </c>
      <c r="N30" t="e">
        <f>AND(#REF!,"AAAAAB/9tw0=")</f>
        <v>#REF!</v>
      </c>
      <c r="O30" t="e">
        <f>AND(#REF!,"AAAAAB/9tw4=")</f>
        <v>#REF!</v>
      </c>
      <c r="P30" t="e">
        <f>AND(#REF!,"AAAAAB/9tw8=")</f>
        <v>#REF!</v>
      </c>
      <c r="Q30" t="e">
        <f>AND(#REF!,"AAAAAB/9txA=")</f>
        <v>#REF!</v>
      </c>
      <c r="R30" t="e">
        <f>AND(#REF!,"AAAAAB/9txE=")</f>
        <v>#REF!</v>
      </c>
      <c r="S30" t="e">
        <f>AND(#REF!,"AAAAAB/9txI=")</f>
        <v>#REF!</v>
      </c>
      <c r="T30" t="e">
        <f>AND(#REF!,"AAAAAB/9txM=")</f>
        <v>#REF!</v>
      </c>
      <c r="U30" t="e">
        <f>AND(#REF!,"AAAAAB/9txQ=")</f>
        <v>#REF!</v>
      </c>
      <c r="V30" t="e">
        <f>AND(#REF!,"AAAAAB/9txU=")</f>
        <v>#REF!</v>
      </c>
      <c r="W30" t="e">
        <f>AND(#REF!,"AAAAAB/9txY=")</f>
        <v>#REF!</v>
      </c>
      <c r="X30" t="e">
        <f>AND(#REF!,"AAAAAB/9txc=")</f>
        <v>#REF!</v>
      </c>
      <c r="Y30" t="e">
        <f>AND(#REF!,"AAAAAB/9txg=")</f>
        <v>#REF!</v>
      </c>
      <c r="Z30" t="e">
        <f>AND(#REF!,"AAAAAB/9txk=")</f>
        <v>#REF!</v>
      </c>
      <c r="AA30" t="e">
        <f>AND(#REF!,"AAAAAB/9txo=")</f>
        <v>#REF!</v>
      </c>
      <c r="AB30" t="e">
        <f>AND(#REF!,"AAAAAB/9txs=")</f>
        <v>#REF!</v>
      </c>
      <c r="AC30" t="e">
        <f>AND(#REF!,"AAAAAB/9txw=")</f>
        <v>#REF!</v>
      </c>
      <c r="AD30" t="e">
        <f>AND(#REF!,"AAAAAB/9tx0=")</f>
        <v>#REF!</v>
      </c>
      <c r="AE30" t="e">
        <f>AND(#REF!,"AAAAAB/9tx4=")</f>
        <v>#REF!</v>
      </c>
      <c r="AF30" t="e">
        <f>AND(#REF!,"AAAAAB/9tx8=")</f>
        <v>#REF!</v>
      </c>
      <c r="AG30" t="e">
        <f>AND(#REF!,"AAAAAB/9tyA=")</f>
        <v>#REF!</v>
      </c>
      <c r="AH30" t="e">
        <f>AND(#REF!,"AAAAAB/9tyE=")</f>
        <v>#REF!</v>
      </c>
      <c r="AI30" t="e">
        <f>AND(#REF!,"AAAAAB/9tyI=")</f>
        <v>#REF!</v>
      </c>
      <c r="AJ30" t="e">
        <f>AND(#REF!,"AAAAAB/9tyM=")</f>
        <v>#REF!</v>
      </c>
      <c r="AK30" t="e">
        <f>IF(#REF!,"AAAAAB/9tyQ=",0)</f>
        <v>#REF!</v>
      </c>
      <c r="AL30" t="e">
        <f>AND(#REF!,"AAAAAB/9tyU=")</f>
        <v>#REF!</v>
      </c>
      <c r="AM30" t="e">
        <f>AND(#REF!,"AAAAAB/9tyY=")</f>
        <v>#REF!</v>
      </c>
      <c r="AN30" t="e">
        <f>AND(#REF!,"AAAAAB/9tyc=")</f>
        <v>#REF!</v>
      </c>
      <c r="AO30" t="e">
        <f>AND(#REF!,"AAAAAB/9tyg=")</f>
        <v>#REF!</v>
      </c>
      <c r="AP30" t="e">
        <f>AND(#REF!,"AAAAAB/9tyk=")</f>
        <v>#REF!</v>
      </c>
      <c r="AQ30" t="e">
        <f>AND(#REF!,"AAAAAB/9tyo=")</f>
        <v>#REF!</v>
      </c>
      <c r="AR30" t="e">
        <f>AND(#REF!,"AAAAAB/9tys=")</f>
        <v>#REF!</v>
      </c>
      <c r="AS30" t="e">
        <f>AND(#REF!,"AAAAAB/9tyw=")</f>
        <v>#REF!</v>
      </c>
      <c r="AT30" t="e">
        <f>AND(#REF!,"AAAAAB/9ty0=")</f>
        <v>#REF!</v>
      </c>
      <c r="AU30" t="e">
        <f>AND(#REF!,"AAAAAB/9ty4=")</f>
        <v>#REF!</v>
      </c>
      <c r="AV30" t="e">
        <f>AND(#REF!,"AAAAAB/9ty8=")</f>
        <v>#REF!</v>
      </c>
      <c r="AW30" t="e">
        <f>AND(#REF!,"AAAAAB/9tzA=")</f>
        <v>#REF!</v>
      </c>
      <c r="AX30" t="e">
        <f>AND(#REF!,"AAAAAB/9tzE=")</f>
        <v>#REF!</v>
      </c>
      <c r="AY30" t="e">
        <f>AND(#REF!,"AAAAAB/9tzI=")</f>
        <v>#REF!</v>
      </c>
      <c r="AZ30" t="e">
        <f>AND(#REF!,"AAAAAB/9tzM=")</f>
        <v>#REF!</v>
      </c>
      <c r="BA30" t="e">
        <f>AND(#REF!,"AAAAAB/9tzQ=")</f>
        <v>#REF!</v>
      </c>
      <c r="BB30" t="e">
        <f>AND(#REF!,"AAAAAB/9tzU=")</f>
        <v>#REF!</v>
      </c>
      <c r="BC30" t="e">
        <f>AND(#REF!,"AAAAAB/9tzY=")</f>
        <v>#REF!</v>
      </c>
      <c r="BD30" t="e">
        <f>AND(#REF!,"AAAAAB/9tzc=")</f>
        <v>#REF!</v>
      </c>
      <c r="BE30" t="e">
        <f>AND(#REF!,"AAAAAB/9tzg=")</f>
        <v>#REF!</v>
      </c>
      <c r="BF30" t="e">
        <f>AND(#REF!,"AAAAAB/9tzk=")</f>
        <v>#REF!</v>
      </c>
      <c r="BG30" t="e">
        <f>AND(#REF!,"AAAAAB/9tzo=")</f>
        <v>#REF!</v>
      </c>
      <c r="BH30" t="e">
        <f>AND(#REF!,"AAAAAB/9tzs=")</f>
        <v>#REF!</v>
      </c>
      <c r="BI30" t="e">
        <f>AND(#REF!,"AAAAAB/9tzw=")</f>
        <v>#REF!</v>
      </c>
      <c r="BJ30" t="e">
        <f>AND(#REF!,"AAAAAB/9tz0=")</f>
        <v>#REF!</v>
      </c>
      <c r="BK30" t="e">
        <f>AND(#REF!,"AAAAAB/9tz4=")</f>
        <v>#REF!</v>
      </c>
      <c r="BL30" t="e">
        <f>AND(#REF!,"AAAAAB/9tz8=")</f>
        <v>#REF!</v>
      </c>
      <c r="BM30" t="e">
        <f>AND(#REF!,"AAAAAB/9t0A=")</f>
        <v>#REF!</v>
      </c>
      <c r="BN30" t="e">
        <f>AND(#REF!,"AAAAAB/9t0E=")</f>
        <v>#REF!</v>
      </c>
      <c r="BO30" t="e">
        <f>AND(#REF!,"AAAAAB/9t0I=")</f>
        <v>#REF!</v>
      </c>
      <c r="BP30" t="e">
        <f>AND(#REF!,"AAAAAB/9t0M=")</f>
        <v>#REF!</v>
      </c>
      <c r="BQ30" t="e">
        <f>AND(#REF!,"AAAAAB/9t0Q=")</f>
        <v>#REF!</v>
      </c>
      <c r="BR30" t="e">
        <f>AND(#REF!,"AAAAAB/9t0U=")</f>
        <v>#REF!</v>
      </c>
      <c r="BS30" t="e">
        <f>AND(#REF!,"AAAAAB/9t0Y=")</f>
        <v>#REF!</v>
      </c>
      <c r="BT30" t="e">
        <f>AND(#REF!,"AAAAAB/9t0c=")</f>
        <v>#REF!</v>
      </c>
      <c r="BU30" t="e">
        <f>AND(#REF!,"AAAAAB/9t0g=")</f>
        <v>#REF!</v>
      </c>
      <c r="BV30" t="e">
        <f>AND(#REF!,"AAAAAB/9t0k=")</f>
        <v>#REF!</v>
      </c>
      <c r="BW30" t="e">
        <f>AND(#REF!,"AAAAAB/9t0o=")</f>
        <v>#REF!</v>
      </c>
      <c r="BX30" t="e">
        <f>AND(#REF!,"AAAAAB/9t0s=")</f>
        <v>#REF!</v>
      </c>
      <c r="BY30" t="e">
        <f>AND(#REF!,"AAAAAB/9t0w=")</f>
        <v>#REF!</v>
      </c>
      <c r="BZ30" t="e">
        <f>AND(#REF!,"AAAAAB/9t00=")</f>
        <v>#REF!</v>
      </c>
      <c r="CA30" t="e">
        <f>AND(#REF!,"AAAAAB/9t04=")</f>
        <v>#REF!</v>
      </c>
      <c r="CB30" t="e">
        <f>AND(#REF!,"AAAAAB/9t08=")</f>
        <v>#REF!</v>
      </c>
      <c r="CC30" t="e">
        <f>AND(#REF!,"AAAAAB/9t1A=")</f>
        <v>#REF!</v>
      </c>
      <c r="CD30" t="e">
        <f>AND(#REF!,"AAAAAB/9t1E=")</f>
        <v>#REF!</v>
      </c>
      <c r="CE30" t="e">
        <f>AND(#REF!,"AAAAAB/9t1I=")</f>
        <v>#REF!</v>
      </c>
      <c r="CF30" t="e">
        <f>AND(#REF!,"AAAAAB/9t1M=")</f>
        <v>#REF!</v>
      </c>
      <c r="CG30" t="e">
        <f>AND(#REF!,"AAAAAB/9t1Q=")</f>
        <v>#REF!</v>
      </c>
      <c r="CH30" t="e">
        <f>AND(#REF!,"AAAAAB/9t1U=")</f>
        <v>#REF!</v>
      </c>
      <c r="CI30" t="e">
        <f>AND(#REF!,"AAAAAB/9t1Y=")</f>
        <v>#REF!</v>
      </c>
      <c r="CJ30" t="e">
        <f>AND(#REF!,"AAAAAB/9t1c=")</f>
        <v>#REF!</v>
      </c>
      <c r="CK30" t="e">
        <f>AND(#REF!,"AAAAAB/9t1g=")</f>
        <v>#REF!</v>
      </c>
      <c r="CL30" t="e">
        <f>AND(#REF!,"AAAAAB/9t1k=")</f>
        <v>#REF!</v>
      </c>
      <c r="CM30" t="e">
        <f>AND(#REF!,"AAAAAB/9t1o=")</f>
        <v>#REF!</v>
      </c>
      <c r="CN30" t="e">
        <f>AND(#REF!,"AAAAAB/9t1s=")</f>
        <v>#REF!</v>
      </c>
      <c r="CO30" t="e">
        <f>AND(#REF!,"AAAAAB/9t1w=")</f>
        <v>#REF!</v>
      </c>
      <c r="CP30" t="e">
        <f>AND(#REF!,"AAAAAB/9t10=")</f>
        <v>#REF!</v>
      </c>
      <c r="CQ30" t="e">
        <f>AND(#REF!,"AAAAAB/9t14=")</f>
        <v>#REF!</v>
      </c>
      <c r="CR30" t="e">
        <f>AND(#REF!,"AAAAAB/9t18=")</f>
        <v>#REF!</v>
      </c>
      <c r="CS30" t="e">
        <f>AND(#REF!,"AAAAAB/9t2A=")</f>
        <v>#REF!</v>
      </c>
      <c r="CT30" t="e">
        <f>AND(#REF!,"AAAAAB/9t2E=")</f>
        <v>#REF!</v>
      </c>
      <c r="CU30" t="e">
        <f>AND(#REF!,"AAAAAB/9t2I=")</f>
        <v>#REF!</v>
      </c>
      <c r="CV30" t="e">
        <f>AND(#REF!,"AAAAAB/9t2M=")</f>
        <v>#REF!</v>
      </c>
      <c r="CW30" t="e">
        <f>AND(#REF!,"AAAAAB/9t2Q=")</f>
        <v>#REF!</v>
      </c>
      <c r="CX30" t="e">
        <f>AND(#REF!,"AAAAAB/9t2U=")</f>
        <v>#REF!</v>
      </c>
      <c r="CY30" t="e">
        <f>AND(#REF!,"AAAAAB/9t2Y=")</f>
        <v>#REF!</v>
      </c>
      <c r="CZ30" t="e">
        <f>AND(#REF!,"AAAAAB/9t2c=")</f>
        <v>#REF!</v>
      </c>
      <c r="DA30" t="e">
        <f>AND(#REF!,"AAAAAB/9t2g=")</f>
        <v>#REF!</v>
      </c>
      <c r="DB30" t="e">
        <f>AND(#REF!,"AAAAAB/9t2k=")</f>
        <v>#REF!</v>
      </c>
      <c r="DC30" t="e">
        <f>AND(#REF!,"AAAAAB/9t2o=")</f>
        <v>#REF!</v>
      </c>
      <c r="DD30" t="e">
        <f>AND(#REF!,"AAAAAB/9t2s=")</f>
        <v>#REF!</v>
      </c>
      <c r="DE30" t="e">
        <f>AND(#REF!,"AAAAAB/9t2w=")</f>
        <v>#REF!</v>
      </c>
      <c r="DF30" t="e">
        <f>AND(#REF!,"AAAAAB/9t20=")</f>
        <v>#REF!</v>
      </c>
      <c r="DG30" t="e">
        <f>AND(#REF!,"AAAAAB/9t24=")</f>
        <v>#REF!</v>
      </c>
      <c r="DH30" t="e">
        <f>AND(#REF!,"AAAAAB/9t28=")</f>
        <v>#REF!</v>
      </c>
      <c r="DI30" t="e">
        <f>AND(#REF!,"AAAAAB/9t3A=")</f>
        <v>#REF!</v>
      </c>
      <c r="DJ30" t="e">
        <f>AND(#REF!,"AAAAAB/9t3E=")</f>
        <v>#REF!</v>
      </c>
      <c r="DK30" t="e">
        <f>AND(#REF!,"AAAAAB/9t3I=")</f>
        <v>#REF!</v>
      </c>
      <c r="DL30" t="e">
        <f>AND(#REF!,"AAAAAB/9t3M=")</f>
        <v>#REF!</v>
      </c>
      <c r="DM30" t="e">
        <f>AND(#REF!,"AAAAAB/9t3Q=")</f>
        <v>#REF!</v>
      </c>
      <c r="DN30" t="e">
        <f>AND(#REF!,"AAAAAB/9t3U=")</f>
        <v>#REF!</v>
      </c>
      <c r="DO30" t="e">
        <f>AND(#REF!,"AAAAAB/9t3Y=")</f>
        <v>#REF!</v>
      </c>
      <c r="DP30" t="e">
        <f>AND(#REF!,"AAAAAB/9t3c=")</f>
        <v>#REF!</v>
      </c>
      <c r="DQ30" t="e">
        <f>AND(#REF!,"AAAAAB/9t3g=")</f>
        <v>#REF!</v>
      </c>
      <c r="DR30" t="e">
        <f>AND(#REF!,"AAAAAB/9t3k=")</f>
        <v>#REF!</v>
      </c>
      <c r="DS30" t="e">
        <f>AND(#REF!,"AAAAAB/9t3o=")</f>
        <v>#REF!</v>
      </c>
      <c r="DT30" t="e">
        <f>AND(#REF!,"AAAAAB/9t3s=")</f>
        <v>#REF!</v>
      </c>
      <c r="DU30" t="e">
        <f>AND(#REF!,"AAAAAB/9t3w=")</f>
        <v>#REF!</v>
      </c>
      <c r="DV30" t="e">
        <f>AND(#REF!,"AAAAAB/9t30=")</f>
        <v>#REF!</v>
      </c>
      <c r="DW30" t="e">
        <f>AND(#REF!,"AAAAAB/9t34=")</f>
        <v>#REF!</v>
      </c>
      <c r="DX30" t="e">
        <f>AND(#REF!,"AAAAAB/9t38=")</f>
        <v>#REF!</v>
      </c>
      <c r="DY30" t="e">
        <f>AND(#REF!,"AAAAAB/9t4A=")</f>
        <v>#REF!</v>
      </c>
      <c r="DZ30" t="e">
        <f>AND(#REF!,"AAAAAB/9t4E=")</f>
        <v>#REF!</v>
      </c>
      <c r="EA30" t="e">
        <f>AND(#REF!,"AAAAAB/9t4I=")</f>
        <v>#REF!</v>
      </c>
      <c r="EB30" t="e">
        <f>AND(#REF!,"AAAAAB/9t4M=")</f>
        <v>#REF!</v>
      </c>
      <c r="EC30" t="e">
        <f>AND(#REF!,"AAAAAB/9t4Q=")</f>
        <v>#REF!</v>
      </c>
      <c r="ED30" t="e">
        <f>AND(#REF!,"AAAAAB/9t4U=")</f>
        <v>#REF!</v>
      </c>
      <c r="EE30" t="e">
        <f>AND(#REF!,"AAAAAB/9t4Y=")</f>
        <v>#REF!</v>
      </c>
      <c r="EF30" t="e">
        <f>AND(#REF!,"AAAAAB/9t4c=")</f>
        <v>#REF!</v>
      </c>
      <c r="EG30" t="e">
        <f>AND(#REF!,"AAAAAB/9t4g=")</f>
        <v>#REF!</v>
      </c>
      <c r="EH30" t="e">
        <f>AND(#REF!,"AAAAAB/9t4k=")</f>
        <v>#REF!</v>
      </c>
      <c r="EI30" t="e">
        <f>AND(#REF!,"AAAAAB/9t4o=")</f>
        <v>#REF!</v>
      </c>
      <c r="EJ30" t="e">
        <f>AND(#REF!,"AAAAAB/9t4s=")</f>
        <v>#REF!</v>
      </c>
      <c r="EK30" t="e">
        <f>AND(#REF!,"AAAAAB/9t4w=")</f>
        <v>#REF!</v>
      </c>
      <c r="EL30" t="e">
        <f>IF(#REF!,"AAAAAB/9t40=",0)</f>
        <v>#REF!</v>
      </c>
      <c r="EM30" t="e">
        <f>AND(#REF!,"AAAAAB/9t44=")</f>
        <v>#REF!</v>
      </c>
      <c r="EN30" t="e">
        <f>AND(#REF!,"AAAAAB/9t48=")</f>
        <v>#REF!</v>
      </c>
      <c r="EO30" t="e">
        <f>AND(#REF!,"AAAAAB/9t5A=")</f>
        <v>#REF!</v>
      </c>
      <c r="EP30" t="e">
        <f>AND(#REF!,"AAAAAB/9t5E=")</f>
        <v>#REF!</v>
      </c>
      <c r="EQ30" t="e">
        <f>AND(#REF!,"AAAAAB/9t5I=")</f>
        <v>#REF!</v>
      </c>
      <c r="ER30" t="e">
        <f>AND(#REF!,"AAAAAB/9t5M=")</f>
        <v>#REF!</v>
      </c>
      <c r="ES30" t="e">
        <f>AND(#REF!,"AAAAAB/9t5Q=")</f>
        <v>#REF!</v>
      </c>
      <c r="ET30" t="e">
        <f>AND(#REF!,"AAAAAB/9t5U=")</f>
        <v>#REF!</v>
      </c>
      <c r="EU30" t="e">
        <f>AND(#REF!,"AAAAAB/9t5Y=")</f>
        <v>#REF!</v>
      </c>
      <c r="EV30" t="e">
        <f>AND(#REF!,"AAAAAB/9t5c=")</f>
        <v>#REF!</v>
      </c>
      <c r="EW30" t="e">
        <f>AND(#REF!,"AAAAAB/9t5g=")</f>
        <v>#REF!</v>
      </c>
      <c r="EX30" t="e">
        <f>AND(#REF!,"AAAAAB/9t5k=")</f>
        <v>#REF!</v>
      </c>
      <c r="EY30" t="e">
        <f>AND(#REF!,"AAAAAB/9t5o=")</f>
        <v>#REF!</v>
      </c>
      <c r="EZ30" t="e">
        <f>AND(#REF!,"AAAAAB/9t5s=")</f>
        <v>#REF!</v>
      </c>
      <c r="FA30" t="e">
        <f>AND(#REF!,"AAAAAB/9t5w=")</f>
        <v>#REF!</v>
      </c>
      <c r="FB30" t="e">
        <f>AND(#REF!,"AAAAAB/9t50=")</f>
        <v>#REF!</v>
      </c>
      <c r="FC30" t="e">
        <f>AND(#REF!,"AAAAAB/9t54=")</f>
        <v>#REF!</v>
      </c>
      <c r="FD30" t="e">
        <f>AND(#REF!,"AAAAAB/9t58=")</f>
        <v>#REF!</v>
      </c>
      <c r="FE30" t="e">
        <f>AND(#REF!,"AAAAAB/9t6A=")</f>
        <v>#REF!</v>
      </c>
      <c r="FF30" t="e">
        <f>AND(#REF!,"AAAAAB/9t6E=")</f>
        <v>#REF!</v>
      </c>
      <c r="FG30" t="e">
        <f>AND(#REF!,"AAAAAB/9t6I=")</f>
        <v>#REF!</v>
      </c>
      <c r="FH30" t="e">
        <f>AND(#REF!,"AAAAAB/9t6M=")</f>
        <v>#REF!</v>
      </c>
      <c r="FI30" t="e">
        <f>AND(#REF!,"AAAAAB/9t6Q=")</f>
        <v>#REF!</v>
      </c>
      <c r="FJ30" t="e">
        <f>AND(#REF!,"AAAAAB/9t6U=")</f>
        <v>#REF!</v>
      </c>
      <c r="FK30" t="e">
        <f>AND(#REF!,"AAAAAB/9t6Y=")</f>
        <v>#REF!</v>
      </c>
      <c r="FL30" t="e">
        <f>AND(#REF!,"AAAAAB/9t6c=")</f>
        <v>#REF!</v>
      </c>
      <c r="FM30" t="e">
        <f>AND(#REF!,"AAAAAB/9t6g=")</f>
        <v>#REF!</v>
      </c>
      <c r="FN30" t="e">
        <f>AND(#REF!,"AAAAAB/9t6k=")</f>
        <v>#REF!</v>
      </c>
      <c r="FO30" t="e">
        <f>AND(#REF!,"AAAAAB/9t6o=")</f>
        <v>#REF!</v>
      </c>
      <c r="FP30" t="e">
        <f>AND(#REF!,"AAAAAB/9t6s=")</f>
        <v>#REF!</v>
      </c>
      <c r="FQ30" t="e">
        <f>AND(#REF!,"AAAAAB/9t6w=")</f>
        <v>#REF!</v>
      </c>
      <c r="FR30" t="e">
        <f>AND(#REF!,"AAAAAB/9t60=")</f>
        <v>#REF!</v>
      </c>
      <c r="FS30" t="e">
        <f>AND(#REF!,"AAAAAB/9t64=")</f>
        <v>#REF!</v>
      </c>
      <c r="FT30" t="e">
        <f>AND(#REF!,"AAAAAB/9t68=")</f>
        <v>#REF!</v>
      </c>
      <c r="FU30" t="e">
        <f>AND(#REF!,"AAAAAB/9t7A=")</f>
        <v>#REF!</v>
      </c>
      <c r="FV30" t="e">
        <f>AND(#REF!,"AAAAAB/9t7E=")</f>
        <v>#REF!</v>
      </c>
      <c r="FW30" t="e">
        <f>AND(#REF!,"AAAAAB/9t7I=")</f>
        <v>#REF!</v>
      </c>
      <c r="FX30" t="e">
        <f>AND(#REF!,"AAAAAB/9t7M=")</f>
        <v>#REF!</v>
      </c>
      <c r="FY30" t="e">
        <f>AND(#REF!,"AAAAAB/9t7Q=")</f>
        <v>#REF!</v>
      </c>
      <c r="FZ30" t="e">
        <f>AND(#REF!,"AAAAAB/9t7U=")</f>
        <v>#REF!</v>
      </c>
      <c r="GA30" t="e">
        <f>AND(#REF!,"AAAAAB/9t7Y=")</f>
        <v>#REF!</v>
      </c>
      <c r="GB30" t="e">
        <f>AND(#REF!,"AAAAAB/9t7c=")</f>
        <v>#REF!</v>
      </c>
      <c r="GC30" t="e">
        <f>AND(#REF!,"AAAAAB/9t7g=")</f>
        <v>#REF!</v>
      </c>
      <c r="GD30" t="e">
        <f>AND(#REF!,"AAAAAB/9t7k=")</f>
        <v>#REF!</v>
      </c>
      <c r="GE30" t="e">
        <f>AND(#REF!,"AAAAAB/9t7o=")</f>
        <v>#REF!</v>
      </c>
      <c r="GF30" t="e">
        <f>AND(#REF!,"AAAAAB/9t7s=")</f>
        <v>#REF!</v>
      </c>
      <c r="GG30" t="e">
        <f>AND(#REF!,"AAAAAB/9t7w=")</f>
        <v>#REF!</v>
      </c>
      <c r="GH30" t="e">
        <f>AND(#REF!,"AAAAAB/9t70=")</f>
        <v>#REF!</v>
      </c>
      <c r="GI30" t="e">
        <f>AND(#REF!,"AAAAAB/9t74=")</f>
        <v>#REF!</v>
      </c>
      <c r="GJ30" t="e">
        <f>AND(#REF!,"AAAAAB/9t78=")</f>
        <v>#REF!</v>
      </c>
      <c r="GK30" t="e">
        <f>AND(#REF!,"AAAAAB/9t8A=")</f>
        <v>#REF!</v>
      </c>
      <c r="GL30" t="e">
        <f>AND(#REF!,"AAAAAB/9t8E=")</f>
        <v>#REF!</v>
      </c>
      <c r="GM30" t="e">
        <f>AND(#REF!,"AAAAAB/9t8I=")</f>
        <v>#REF!</v>
      </c>
      <c r="GN30" t="e">
        <f>AND(#REF!,"AAAAAB/9t8M=")</f>
        <v>#REF!</v>
      </c>
      <c r="GO30" t="e">
        <f>AND(#REF!,"AAAAAB/9t8Q=")</f>
        <v>#REF!</v>
      </c>
      <c r="GP30" t="e">
        <f>AND(#REF!,"AAAAAB/9t8U=")</f>
        <v>#REF!</v>
      </c>
      <c r="GQ30" t="e">
        <f>AND(#REF!,"AAAAAB/9t8Y=")</f>
        <v>#REF!</v>
      </c>
      <c r="GR30" t="e">
        <f>AND(#REF!,"AAAAAB/9t8c=")</f>
        <v>#REF!</v>
      </c>
      <c r="GS30" t="e">
        <f>AND(#REF!,"AAAAAB/9t8g=")</f>
        <v>#REF!</v>
      </c>
      <c r="GT30" t="e">
        <f>AND(#REF!,"AAAAAB/9t8k=")</f>
        <v>#REF!</v>
      </c>
      <c r="GU30" t="e">
        <f>AND(#REF!,"AAAAAB/9t8o=")</f>
        <v>#REF!</v>
      </c>
      <c r="GV30" t="e">
        <f>AND(#REF!,"AAAAAB/9t8s=")</f>
        <v>#REF!</v>
      </c>
      <c r="GW30" t="e">
        <f>AND(#REF!,"AAAAAB/9t8w=")</f>
        <v>#REF!</v>
      </c>
      <c r="GX30" t="e">
        <f>AND(#REF!,"AAAAAB/9t80=")</f>
        <v>#REF!</v>
      </c>
      <c r="GY30" t="e">
        <f>AND(#REF!,"AAAAAB/9t84=")</f>
        <v>#REF!</v>
      </c>
      <c r="GZ30" t="e">
        <f>AND(#REF!,"AAAAAB/9t88=")</f>
        <v>#REF!</v>
      </c>
      <c r="HA30" t="e">
        <f>AND(#REF!,"AAAAAB/9t9A=")</f>
        <v>#REF!</v>
      </c>
      <c r="HB30" t="e">
        <f>AND(#REF!,"AAAAAB/9t9E=")</f>
        <v>#REF!</v>
      </c>
      <c r="HC30" t="e">
        <f>AND(#REF!,"AAAAAB/9t9I=")</f>
        <v>#REF!</v>
      </c>
      <c r="HD30" t="e">
        <f>AND(#REF!,"AAAAAB/9t9M=")</f>
        <v>#REF!</v>
      </c>
      <c r="HE30" t="e">
        <f>AND(#REF!,"AAAAAB/9t9Q=")</f>
        <v>#REF!</v>
      </c>
      <c r="HF30" t="e">
        <f>AND(#REF!,"AAAAAB/9t9U=")</f>
        <v>#REF!</v>
      </c>
      <c r="HG30" t="e">
        <f>AND(#REF!,"AAAAAB/9t9Y=")</f>
        <v>#REF!</v>
      </c>
      <c r="HH30" t="e">
        <f>AND(#REF!,"AAAAAB/9t9c=")</f>
        <v>#REF!</v>
      </c>
      <c r="HI30" t="e">
        <f>AND(#REF!,"AAAAAB/9t9g=")</f>
        <v>#REF!</v>
      </c>
      <c r="HJ30" t="e">
        <f>AND(#REF!,"AAAAAB/9t9k=")</f>
        <v>#REF!</v>
      </c>
      <c r="HK30" t="e">
        <f>AND(#REF!,"AAAAAB/9t9o=")</f>
        <v>#REF!</v>
      </c>
      <c r="HL30" t="e">
        <f>AND(#REF!,"AAAAAB/9t9s=")</f>
        <v>#REF!</v>
      </c>
      <c r="HM30" t="e">
        <f>AND(#REF!,"AAAAAB/9t9w=")</f>
        <v>#REF!</v>
      </c>
      <c r="HN30" t="e">
        <f>AND(#REF!,"AAAAAB/9t90=")</f>
        <v>#REF!</v>
      </c>
      <c r="HO30" t="e">
        <f>AND(#REF!,"AAAAAB/9t94=")</f>
        <v>#REF!</v>
      </c>
      <c r="HP30" t="e">
        <f>AND(#REF!,"AAAAAB/9t98=")</f>
        <v>#REF!</v>
      </c>
      <c r="HQ30" t="e">
        <f>AND(#REF!,"AAAAAB/9t+A=")</f>
        <v>#REF!</v>
      </c>
      <c r="HR30" t="e">
        <f>AND(#REF!,"AAAAAB/9t+E=")</f>
        <v>#REF!</v>
      </c>
      <c r="HS30" t="e">
        <f>AND(#REF!,"AAAAAB/9t+I=")</f>
        <v>#REF!</v>
      </c>
      <c r="HT30" t="e">
        <f>AND(#REF!,"AAAAAB/9t+M=")</f>
        <v>#REF!</v>
      </c>
      <c r="HU30" t="e">
        <f>AND(#REF!,"AAAAAB/9t+Q=")</f>
        <v>#REF!</v>
      </c>
      <c r="HV30" t="e">
        <f>AND(#REF!,"AAAAAB/9t+U=")</f>
        <v>#REF!</v>
      </c>
      <c r="HW30" t="e">
        <f>AND(#REF!,"AAAAAB/9t+Y=")</f>
        <v>#REF!</v>
      </c>
      <c r="HX30" t="e">
        <f>AND(#REF!,"AAAAAB/9t+c=")</f>
        <v>#REF!</v>
      </c>
      <c r="HY30" t="e">
        <f>AND(#REF!,"AAAAAB/9t+g=")</f>
        <v>#REF!</v>
      </c>
      <c r="HZ30" t="e">
        <f>AND(#REF!,"AAAAAB/9t+k=")</f>
        <v>#REF!</v>
      </c>
      <c r="IA30" t="e">
        <f>AND(#REF!,"AAAAAB/9t+o=")</f>
        <v>#REF!</v>
      </c>
      <c r="IB30" t="e">
        <f>AND(#REF!,"AAAAAB/9t+s=")</f>
        <v>#REF!</v>
      </c>
      <c r="IC30" t="e">
        <f>AND(#REF!,"AAAAAB/9t+w=")</f>
        <v>#REF!</v>
      </c>
      <c r="ID30" t="e">
        <f>AND(#REF!,"AAAAAB/9t+0=")</f>
        <v>#REF!</v>
      </c>
      <c r="IE30" t="e">
        <f>AND(#REF!,"AAAAAB/9t+4=")</f>
        <v>#REF!</v>
      </c>
      <c r="IF30" t="e">
        <f>AND(#REF!,"AAAAAB/9t+8=")</f>
        <v>#REF!</v>
      </c>
      <c r="IG30" t="e">
        <f>AND(#REF!,"AAAAAB/9t/A=")</f>
        <v>#REF!</v>
      </c>
      <c r="IH30" t="e">
        <f>AND(#REF!,"AAAAAB/9t/E=")</f>
        <v>#REF!</v>
      </c>
      <c r="II30" t="e">
        <f>AND(#REF!,"AAAAAB/9t/I=")</f>
        <v>#REF!</v>
      </c>
      <c r="IJ30" t="e">
        <f>AND(#REF!,"AAAAAB/9t/M=")</f>
        <v>#REF!</v>
      </c>
      <c r="IK30" t="e">
        <f>AND(#REF!,"AAAAAB/9t/Q=")</f>
        <v>#REF!</v>
      </c>
      <c r="IL30" t="e">
        <f>AND(#REF!,"AAAAAB/9t/U=")</f>
        <v>#REF!</v>
      </c>
      <c r="IM30" t="e">
        <f>IF(#REF!,"AAAAAB/9t/Y=",0)</f>
        <v>#REF!</v>
      </c>
      <c r="IN30" t="e">
        <f>AND(#REF!,"AAAAAB/9t/c=")</f>
        <v>#REF!</v>
      </c>
      <c r="IO30" t="e">
        <f>AND(#REF!,"AAAAAB/9t/g=")</f>
        <v>#REF!</v>
      </c>
      <c r="IP30" t="e">
        <f>AND(#REF!,"AAAAAB/9t/k=")</f>
        <v>#REF!</v>
      </c>
      <c r="IQ30" t="e">
        <f>AND(#REF!,"AAAAAB/9t/o=")</f>
        <v>#REF!</v>
      </c>
      <c r="IR30" t="e">
        <f>AND(#REF!,"AAAAAB/9t/s=")</f>
        <v>#REF!</v>
      </c>
      <c r="IS30" t="e">
        <f>AND(#REF!,"AAAAAB/9t/w=")</f>
        <v>#REF!</v>
      </c>
      <c r="IT30" t="e">
        <f>AND(#REF!,"AAAAAB/9t/0=")</f>
        <v>#REF!</v>
      </c>
      <c r="IU30" t="e">
        <f>AND(#REF!,"AAAAAB/9t/4=")</f>
        <v>#REF!</v>
      </c>
      <c r="IV30" t="e">
        <f>AND(#REF!,"AAAAAB/9t/8=")</f>
        <v>#REF!</v>
      </c>
    </row>
    <row r="31" spans="1:256" x14ac:dyDescent="0.25">
      <c r="A31" t="e">
        <f>AND(#REF!,"AAAAAH72rAA=")</f>
        <v>#REF!</v>
      </c>
      <c r="B31" t="e">
        <f>AND(#REF!,"AAAAAH72rAE=")</f>
        <v>#REF!</v>
      </c>
      <c r="C31" t="e">
        <f>AND(#REF!,"AAAAAH72rAI=")</f>
        <v>#REF!</v>
      </c>
      <c r="D31" t="e">
        <f>AND(#REF!,"AAAAAH72rAM=")</f>
        <v>#REF!</v>
      </c>
      <c r="E31" t="e">
        <f>AND(#REF!,"AAAAAH72rAQ=")</f>
        <v>#REF!</v>
      </c>
      <c r="F31" t="e">
        <f>AND(#REF!,"AAAAAH72rAU=")</f>
        <v>#REF!</v>
      </c>
      <c r="G31" t="e">
        <f>AND(#REF!,"AAAAAH72rAY=")</f>
        <v>#REF!</v>
      </c>
      <c r="H31" t="e">
        <f>AND(#REF!,"AAAAAH72rAc=")</f>
        <v>#REF!</v>
      </c>
      <c r="I31" t="e">
        <f>AND(#REF!,"AAAAAH72rAg=")</f>
        <v>#REF!</v>
      </c>
      <c r="J31" t="e">
        <f>AND(#REF!,"AAAAAH72rAk=")</f>
        <v>#REF!</v>
      </c>
      <c r="K31" t="e">
        <f>AND(#REF!,"AAAAAH72rAo=")</f>
        <v>#REF!</v>
      </c>
      <c r="L31" t="e">
        <f>AND(#REF!,"AAAAAH72rAs=")</f>
        <v>#REF!</v>
      </c>
      <c r="M31" t="e">
        <f>AND(#REF!,"AAAAAH72rAw=")</f>
        <v>#REF!</v>
      </c>
      <c r="N31" t="e">
        <f>AND(#REF!,"AAAAAH72rA0=")</f>
        <v>#REF!</v>
      </c>
      <c r="O31" t="e">
        <f>AND(#REF!,"AAAAAH72rA4=")</f>
        <v>#REF!</v>
      </c>
      <c r="P31" t="e">
        <f>AND(#REF!,"AAAAAH72rA8=")</f>
        <v>#REF!</v>
      </c>
      <c r="Q31" t="e">
        <f>AND(#REF!,"AAAAAH72rBA=")</f>
        <v>#REF!</v>
      </c>
      <c r="R31" t="e">
        <f>AND(#REF!,"AAAAAH72rBE=")</f>
        <v>#REF!</v>
      </c>
      <c r="S31" t="e">
        <f>AND(#REF!,"AAAAAH72rBI=")</f>
        <v>#REF!</v>
      </c>
      <c r="T31" t="e">
        <f>AND(#REF!,"AAAAAH72rBM=")</f>
        <v>#REF!</v>
      </c>
      <c r="U31" t="e">
        <f>AND(#REF!,"AAAAAH72rBQ=")</f>
        <v>#REF!</v>
      </c>
      <c r="V31" t="e">
        <f>AND(#REF!,"AAAAAH72rBU=")</f>
        <v>#REF!</v>
      </c>
      <c r="W31" t="e">
        <f>AND(#REF!,"AAAAAH72rBY=")</f>
        <v>#REF!</v>
      </c>
      <c r="X31" t="e">
        <f>AND(#REF!,"AAAAAH72rBc=")</f>
        <v>#REF!</v>
      </c>
      <c r="Y31" t="e">
        <f>AND(#REF!,"AAAAAH72rBg=")</f>
        <v>#REF!</v>
      </c>
      <c r="Z31" t="e">
        <f>AND(#REF!,"AAAAAH72rBk=")</f>
        <v>#REF!</v>
      </c>
      <c r="AA31" t="e">
        <f>AND(#REF!,"AAAAAH72rBo=")</f>
        <v>#REF!</v>
      </c>
      <c r="AB31" t="e">
        <f>AND(#REF!,"AAAAAH72rBs=")</f>
        <v>#REF!</v>
      </c>
      <c r="AC31" t="e">
        <f>AND(#REF!,"AAAAAH72rBw=")</f>
        <v>#REF!</v>
      </c>
      <c r="AD31" t="e">
        <f>AND(#REF!,"AAAAAH72rB0=")</f>
        <v>#REF!</v>
      </c>
      <c r="AE31" t="e">
        <f>AND(#REF!,"AAAAAH72rB4=")</f>
        <v>#REF!</v>
      </c>
      <c r="AF31" t="e">
        <f>AND(#REF!,"AAAAAH72rB8=")</f>
        <v>#REF!</v>
      </c>
      <c r="AG31" t="e">
        <f>AND(#REF!,"AAAAAH72rCA=")</f>
        <v>#REF!</v>
      </c>
      <c r="AH31" t="e">
        <f>AND(#REF!,"AAAAAH72rCE=")</f>
        <v>#REF!</v>
      </c>
      <c r="AI31" t="e">
        <f>AND(#REF!,"AAAAAH72rCI=")</f>
        <v>#REF!</v>
      </c>
      <c r="AJ31" t="e">
        <f>AND(#REF!,"AAAAAH72rCM=")</f>
        <v>#REF!</v>
      </c>
      <c r="AK31" t="e">
        <f>AND(#REF!,"AAAAAH72rCQ=")</f>
        <v>#REF!</v>
      </c>
      <c r="AL31" t="e">
        <f>AND(#REF!,"AAAAAH72rCU=")</f>
        <v>#REF!</v>
      </c>
      <c r="AM31" t="e">
        <f>AND(#REF!,"AAAAAH72rCY=")</f>
        <v>#REF!</v>
      </c>
      <c r="AN31" t="e">
        <f>AND(#REF!,"AAAAAH72rCc=")</f>
        <v>#REF!</v>
      </c>
      <c r="AO31" t="e">
        <f>AND(#REF!,"AAAAAH72rCg=")</f>
        <v>#REF!</v>
      </c>
      <c r="AP31" t="e">
        <f>AND(#REF!,"AAAAAH72rCk=")</f>
        <v>#REF!</v>
      </c>
      <c r="AQ31" t="e">
        <f>AND(#REF!,"AAAAAH72rCo=")</f>
        <v>#REF!</v>
      </c>
      <c r="AR31" t="e">
        <f>AND(#REF!,"AAAAAH72rCs=")</f>
        <v>#REF!</v>
      </c>
      <c r="AS31" t="e">
        <f>AND(#REF!,"AAAAAH72rCw=")</f>
        <v>#REF!</v>
      </c>
      <c r="AT31" t="e">
        <f>AND(#REF!,"AAAAAH72rC0=")</f>
        <v>#REF!</v>
      </c>
      <c r="AU31" t="e">
        <f>AND(#REF!,"AAAAAH72rC4=")</f>
        <v>#REF!</v>
      </c>
      <c r="AV31" t="e">
        <f>AND(#REF!,"AAAAAH72rC8=")</f>
        <v>#REF!</v>
      </c>
      <c r="AW31" t="e">
        <f>AND(#REF!,"AAAAAH72rDA=")</f>
        <v>#REF!</v>
      </c>
      <c r="AX31" t="e">
        <f>AND(#REF!,"AAAAAH72rDE=")</f>
        <v>#REF!</v>
      </c>
      <c r="AY31" t="e">
        <f>AND(#REF!,"AAAAAH72rDI=")</f>
        <v>#REF!</v>
      </c>
      <c r="AZ31" t="e">
        <f>AND(#REF!,"AAAAAH72rDM=")</f>
        <v>#REF!</v>
      </c>
      <c r="BA31" t="e">
        <f>AND(#REF!,"AAAAAH72rDQ=")</f>
        <v>#REF!</v>
      </c>
      <c r="BB31" t="e">
        <f>AND(#REF!,"AAAAAH72rDU=")</f>
        <v>#REF!</v>
      </c>
      <c r="BC31" t="e">
        <f>AND(#REF!,"AAAAAH72rDY=")</f>
        <v>#REF!</v>
      </c>
      <c r="BD31" t="e">
        <f>AND(#REF!,"AAAAAH72rDc=")</f>
        <v>#REF!</v>
      </c>
      <c r="BE31" t="e">
        <f>AND(#REF!,"AAAAAH72rDg=")</f>
        <v>#REF!</v>
      </c>
      <c r="BF31" t="e">
        <f>AND(#REF!,"AAAAAH72rDk=")</f>
        <v>#REF!</v>
      </c>
      <c r="BG31" t="e">
        <f>AND(#REF!,"AAAAAH72rDo=")</f>
        <v>#REF!</v>
      </c>
      <c r="BH31" t="e">
        <f>AND(#REF!,"AAAAAH72rDs=")</f>
        <v>#REF!</v>
      </c>
      <c r="BI31" t="e">
        <f>AND(#REF!,"AAAAAH72rDw=")</f>
        <v>#REF!</v>
      </c>
      <c r="BJ31" t="e">
        <f>AND(#REF!,"AAAAAH72rD0=")</f>
        <v>#REF!</v>
      </c>
      <c r="BK31" t="e">
        <f>AND(#REF!,"AAAAAH72rD4=")</f>
        <v>#REF!</v>
      </c>
      <c r="BL31" t="e">
        <f>AND(#REF!,"AAAAAH72rD8=")</f>
        <v>#REF!</v>
      </c>
      <c r="BM31" t="e">
        <f>AND(#REF!,"AAAAAH72rEA=")</f>
        <v>#REF!</v>
      </c>
      <c r="BN31" t="e">
        <f>AND(#REF!,"AAAAAH72rEE=")</f>
        <v>#REF!</v>
      </c>
      <c r="BO31" t="e">
        <f>AND(#REF!,"AAAAAH72rEI=")</f>
        <v>#REF!</v>
      </c>
      <c r="BP31" t="e">
        <f>AND(#REF!,"AAAAAH72rEM=")</f>
        <v>#REF!</v>
      </c>
      <c r="BQ31" t="e">
        <f>AND(#REF!,"AAAAAH72rEQ=")</f>
        <v>#REF!</v>
      </c>
      <c r="BR31" t="e">
        <f>AND(#REF!,"AAAAAH72rEU=")</f>
        <v>#REF!</v>
      </c>
      <c r="BS31" t="e">
        <f>AND(#REF!,"AAAAAH72rEY=")</f>
        <v>#REF!</v>
      </c>
      <c r="BT31" t="e">
        <f>AND(#REF!,"AAAAAH72rEc=")</f>
        <v>#REF!</v>
      </c>
      <c r="BU31" t="e">
        <f>AND(#REF!,"AAAAAH72rEg=")</f>
        <v>#REF!</v>
      </c>
      <c r="BV31" t="e">
        <f>AND(#REF!,"AAAAAH72rEk=")</f>
        <v>#REF!</v>
      </c>
      <c r="BW31" t="e">
        <f>AND(#REF!,"AAAAAH72rEo=")</f>
        <v>#REF!</v>
      </c>
      <c r="BX31" t="e">
        <f>AND(#REF!,"AAAAAH72rEs=")</f>
        <v>#REF!</v>
      </c>
      <c r="BY31" t="e">
        <f>AND(#REF!,"AAAAAH72rEw=")</f>
        <v>#REF!</v>
      </c>
      <c r="BZ31" t="e">
        <f>AND(#REF!,"AAAAAH72rE0=")</f>
        <v>#REF!</v>
      </c>
      <c r="CA31" t="e">
        <f>AND(#REF!,"AAAAAH72rE4=")</f>
        <v>#REF!</v>
      </c>
      <c r="CB31" t="e">
        <f>AND(#REF!,"AAAAAH72rE8=")</f>
        <v>#REF!</v>
      </c>
      <c r="CC31" t="e">
        <f>AND(#REF!,"AAAAAH72rFA=")</f>
        <v>#REF!</v>
      </c>
      <c r="CD31" t="e">
        <f>AND(#REF!,"AAAAAH72rFE=")</f>
        <v>#REF!</v>
      </c>
      <c r="CE31" t="e">
        <f>AND(#REF!,"AAAAAH72rFI=")</f>
        <v>#REF!</v>
      </c>
      <c r="CF31" t="e">
        <f>AND(#REF!,"AAAAAH72rFM=")</f>
        <v>#REF!</v>
      </c>
      <c r="CG31" t="e">
        <f>AND(#REF!,"AAAAAH72rFQ=")</f>
        <v>#REF!</v>
      </c>
      <c r="CH31" t="e">
        <f>AND(#REF!,"AAAAAH72rFU=")</f>
        <v>#REF!</v>
      </c>
      <c r="CI31" t="e">
        <f>AND(#REF!,"AAAAAH72rFY=")</f>
        <v>#REF!</v>
      </c>
      <c r="CJ31" t="e">
        <f>AND(#REF!,"AAAAAH72rFc=")</f>
        <v>#REF!</v>
      </c>
      <c r="CK31" t="e">
        <f>AND(#REF!,"AAAAAH72rFg=")</f>
        <v>#REF!</v>
      </c>
      <c r="CL31" t="e">
        <f>AND(#REF!,"AAAAAH72rFk=")</f>
        <v>#REF!</v>
      </c>
      <c r="CM31" t="e">
        <f>AND(#REF!,"AAAAAH72rFo=")</f>
        <v>#REF!</v>
      </c>
      <c r="CN31" t="e">
        <f>AND(#REF!,"AAAAAH72rFs=")</f>
        <v>#REF!</v>
      </c>
      <c r="CO31" t="e">
        <f>AND(#REF!,"AAAAAH72rFw=")</f>
        <v>#REF!</v>
      </c>
      <c r="CP31" t="e">
        <f>AND(#REF!,"AAAAAH72rF0=")</f>
        <v>#REF!</v>
      </c>
      <c r="CQ31" t="e">
        <f>AND(#REF!,"AAAAAH72rF4=")</f>
        <v>#REF!</v>
      </c>
      <c r="CR31" t="e">
        <f>IF(#REF!,"AAAAAH72rF8=",0)</f>
        <v>#REF!</v>
      </c>
      <c r="CS31" t="e">
        <f>AND(#REF!,"AAAAAH72rGA=")</f>
        <v>#REF!</v>
      </c>
      <c r="CT31" t="e">
        <f>AND(#REF!,"AAAAAH72rGE=")</f>
        <v>#REF!</v>
      </c>
      <c r="CU31" t="e">
        <f>AND(#REF!,"AAAAAH72rGI=")</f>
        <v>#REF!</v>
      </c>
      <c r="CV31" t="e">
        <f>AND(#REF!,"AAAAAH72rGM=")</f>
        <v>#REF!</v>
      </c>
      <c r="CW31" t="e">
        <f>AND(#REF!,"AAAAAH72rGQ=")</f>
        <v>#REF!</v>
      </c>
      <c r="CX31" t="e">
        <f>AND(#REF!,"AAAAAH72rGU=")</f>
        <v>#REF!</v>
      </c>
      <c r="CY31" t="e">
        <f>AND(#REF!,"AAAAAH72rGY=")</f>
        <v>#REF!</v>
      </c>
      <c r="CZ31" t="e">
        <f>AND(#REF!,"AAAAAH72rGc=")</f>
        <v>#REF!</v>
      </c>
      <c r="DA31" t="e">
        <f>AND(#REF!,"AAAAAH72rGg=")</f>
        <v>#REF!</v>
      </c>
      <c r="DB31" t="e">
        <f>AND(#REF!,"AAAAAH72rGk=")</f>
        <v>#REF!</v>
      </c>
      <c r="DC31" t="e">
        <f>AND(#REF!,"AAAAAH72rGo=")</f>
        <v>#REF!</v>
      </c>
      <c r="DD31" t="e">
        <f>AND(#REF!,"AAAAAH72rGs=")</f>
        <v>#REF!</v>
      </c>
      <c r="DE31" t="e">
        <f>AND(#REF!,"AAAAAH72rGw=")</f>
        <v>#REF!</v>
      </c>
      <c r="DF31" t="e">
        <f>AND(#REF!,"AAAAAH72rG0=")</f>
        <v>#REF!</v>
      </c>
      <c r="DG31" t="e">
        <f>AND(#REF!,"AAAAAH72rG4=")</f>
        <v>#REF!</v>
      </c>
      <c r="DH31" t="e">
        <f>AND(#REF!,"AAAAAH72rG8=")</f>
        <v>#REF!</v>
      </c>
      <c r="DI31" t="e">
        <f>AND(#REF!,"AAAAAH72rHA=")</f>
        <v>#REF!</v>
      </c>
      <c r="DJ31" t="e">
        <f>AND(#REF!,"AAAAAH72rHE=")</f>
        <v>#REF!</v>
      </c>
      <c r="DK31" t="e">
        <f>AND(#REF!,"AAAAAH72rHI=")</f>
        <v>#REF!</v>
      </c>
      <c r="DL31" t="e">
        <f>AND(#REF!,"AAAAAH72rHM=")</f>
        <v>#REF!</v>
      </c>
      <c r="DM31" t="e">
        <f>AND(#REF!,"AAAAAH72rHQ=")</f>
        <v>#REF!</v>
      </c>
      <c r="DN31" t="e">
        <f>AND(#REF!,"AAAAAH72rHU=")</f>
        <v>#REF!</v>
      </c>
      <c r="DO31" t="e">
        <f>AND(#REF!,"AAAAAH72rHY=")</f>
        <v>#REF!</v>
      </c>
      <c r="DP31" t="e">
        <f>AND(#REF!,"AAAAAH72rHc=")</f>
        <v>#REF!</v>
      </c>
      <c r="DQ31" t="e">
        <f>AND(#REF!,"AAAAAH72rHg=")</f>
        <v>#REF!</v>
      </c>
      <c r="DR31" t="e">
        <f>AND(#REF!,"AAAAAH72rHk=")</f>
        <v>#REF!</v>
      </c>
      <c r="DS31" t="e">
        <f>AND(#REF!,"AAAAAH72rHo=")</f>
        <v>#REF!</v>
      </c>
      <c r="DT31" t="e">
        <f>AND(#REF!,"AAAAAH72rHs=")</f>
        <v>#REF!</v>
      </c>
      <c r="DU31" t="e">
        <f>AND(#REF!,"AAAAAH72rHw=")</f>
        <v>#REF!</v>
      </c>
      <c r="DV31" t="e">
        <f>AND(#REF!,"AAAAAH72rH0=")</f>
        <v>#REF!</v>
      </c>
      <c r="DW31" t="e">
        <f>AND(#REF!,"AAAAAH72rH4=")</f>
        <v>#REF!</v>
      </c>
      <c r="DX31" t="e">
        <f>AND(#REF!,"AAAAAH72rH8=")</f>
        <v>#REF!</v>
      </c>
      <c r="DY31" t="e">
        <f>AND(#REF!,"AAAAAH72rIA=")</f>
        <v>#REF!</v>
      </c>
      <c r="DZ31" t="e">
        <f>AND(#REF!,"AAAAAH72rIE=")</f>
        <v>#REF!</v>
      </c>
      <c r="EA31" t="e">
        <f>AND(#REF!,"AAAAAH72rII=")</f>
        <v>#REF!</v>
      </c>
      <c r="EB31" t="e">
        <f>AND(#REF!,"AAAAAH72rIM=")</f>
        <v>#REF!</v>
      </c>
      <c r="EC31" t="e">
        <f>AND(#REF!,"AAAAAH72rIQ=")</f>
        <v>#REF!</v>
      </c>
      <c r="ED31" t="e">
        <f>AND(#REF!,"AAAAAH72rIU=")</f>
        <v>#REF!</v>
      </c>
      <c r="EE31" t="e">
        <f>AND(#REF!,"AAAAAH72rIY=")</f>
        <v>#REF!</v>
      </c>
      <c r="EF31" t="e">
        <f>AND(#REF!,"AAAAAH72rIc=")</f>
        <v>#REF!</v>
      </c>
      <c r="EG31" t="e">
        <f>AND(#REF!,"AAAAAH72rIg=")</f>
        <v>#REF!</v>
      </c>
      <c r="EH31" t="e">
        <f>AND(#REF!,"AAAAAH72rIk=")</f>
        <v>#REF!</v>
      </c>
      <c r="EI31" t="e">
        <f>AND(#REF!,"AAAAAH72rIo=")</f>
        <v>#REF!</v>
      </c>
      <c r="EJ31" t="e">
        <f>AND(#REF!,"AAAAAH72rIs=")</f>
        <v>#REF!</v>
      </c>
      <c r="EK31" t="e">
        <f>AND(#REF!,"AAAAAH72rIw=")</f>
        <v>#REF!</v>
      </c>
      <c r="EL31" t="e">
        <f>AND(#REF!,"AAAAAH72rI0=")</f>
        <v>#REF!</v>
      </c>
      <c r="EM31" t="e">
        <f>AND(#REF!,"AAAAAH72rI4=")</f>
        <v>#REF!</v>
      </c>
      <c r="EN31" t="e">
        <f>AND(#REF!,"AAAAAH72rI8=")</f>
        <v>#REF!</v>
      </c>
      <c r="EO31" t="e">
        <f>AND(#REF!,"AAAAAH72rJA=")</f>
        <v>#REF!</v>
      </c>
      <c r="EP31" t="e">
        <f>AND(#REF!,"AAAAAH72rJE=")</f>
        <v>#REF!</v>
      </c>
      <c r="EQ31" t="e">
        <f>AND(#REF!,"AAAAAH72rJI=")</f>
        <v>#REF!</v>
      </c>
      <c r="ER31" t="e">
        <f>AND(#REF!,"AAAAAH72rJM=")</f>
        <v>#REF!</v>
      </c>
      <c r="ES31" t="e">
        <f>AND(#REF!,"AAAAAH72rJQ=")</f>
        <v>#REF!</v>
      </c>
      <c r="ET31" t="e">
        <f>AND(#REF!,"AAAAAH72rJU=")</f>
        <v>#REF!</v>
      </c>
      <c r="EU31" t="e">
        <f>AND(#REF!,"AAAAAH72rJY=")</f>
        <v>#REF!</v>
      </c>
      <c r="EV31" t="e">
        <f>AND(#REF!,"AAAAAH72rJc=")</f>
        <v>#REF!</v>
      </c>
      <c r="EW31" t="e">
        <f>AND(#REF!,"AAAAAH72rJg=")</f>
        <v>#REF!</v>
      </c>
      <c r="EX31" t="e">
        <f>AND(#REF!,"AAAAAH72rJk=")</f>
        <v>#REF!</v>
      </c>
      <c r="EY31" t="e">
        <f>AND(#REF!,"AAAAAH72rJo=")</f>
        <v>#REF!</v>
      </c>
      <c r="EZ31" t="e">
        <f>AND(#REF!,"AAAAAH72rJs=")</f>
        <v>#REF!</v>
      </c>
      <c r="FA31" t="e">
        <f>AND(#REF!,"AAAAAH72rJw=")</f>
        <v>#REF!</v>
      </c>
      <c r="FB31" t="e">
        <f>AND(#REF!,"AAAAAH72rJ0=")</f>
        <v>#REF!</v>
      </c>
      <c r="FC31" t="e">
        <f>AND(#REF!,"AAAAAH72rJ4=")</f>
        <v>#REF!</v>
      </c>
      <c r="FD31" t="e">
        <f>AND(#REF!,"AAAAAH72rJ8=")</f>
        <v>#REF!</v>
      </c>
      <c r="FE31" t="e">
        <f>AND(#REF!,"AAAAAH72rKA=")</f>
        <v>#REF!</v>
      </c>
      <c r="FF31" t="e">
        <f>AND(#REF!,"AAAAAH72rKE=")</f>
        <v>#REF!</v>
      </c>
      <c r="FG31" t="e">
        <f>AND(#REF!,"AAAAAH72rKI=")</f>
        <v>#REF!</v>
      </c>
      <c r="FH31" t="e">
        <f>AND(#REF!,"AAAAAH72rKM=")</f>
        <v>#REF!</v>
      </c>
      <c r="FI31" t="e">
        <f>AND(#REF!,"AAAAAH72rKQ=")</f>
        <v>#REF!</v>
      </c>
      <c r="FJ31" t="e">
        <f>AND(#REF!,"AAAAAH72rKU=")</f>
        <v>#REF!</v>
      </c>
      <c r="FK31" t="e">
        <f>AND(#REF!,"AAAAAH72rKY=")</f>
        <v>#REF!</v>
      </c>
      <c r="FL31" t="e">
        <f>AND(#REF!,"AAAAAH72rKc=")</f>
        <v>#REF!</v>
      </c>
      <c r="FM31" t="e">
        <f>AND(#REF!,"AAAAAH72rKg=")</f>
        <v>#REF!</v>
      </c>
      <c r="FN31" t="e">
        <f>AND(#REF!,"AAAAAH72rKk=")</f>
        <v>#REF!</v>
      </c>
      <c r="FO31" t="e">
        <f>AND(#REF!,"AAAAAH72rKo=")</f>
        <v>#REF!</v>
      </c>
      <c r="FP31" t="e">
        <f>AND(#REF!,"AAAAAH72rKs=")</f>
        <v>#REF!</v>
      </c>
      <c r="FQ31" t="e">
        <f>AND(#REF!,"AAAAAH72rKw=")</f>
        <v>#REF!</v>
      </c>
      <c r="FR31" t="e">
        <f>AND(#REF!,"AAAAAH72rK0=")</f>
        <v>#REF!</v>
      </c>
      <c r="FS31" t="e">
        <f>AND(#REF!,"AAAAAH72rK4=")</f>
        <v>#REF!</v>
      </c>
      <c r="FT31" t="e">
        <f>AND(#REF!,"AAAAAH72rK8=")</f>
        <v>#REF!</v>
      </c>
      <c r="FU31" t="e">
        <f>AND(#REF!,"AAAAAH72rLA=")</f>
        <v>#REF!</v>
      </c>
      <c r="FV31" t="e">
        <f>AND(#REF!,"AAAAAH72rLE=")</f>
        <v>#REF!</v>
      </c>
      <c r="FW31" t="e">
        <f>AND(#REF!,"AAAAAH72rLI=")</f>
        <v>#REF!</v>
      </c>
      <c r="FX31" t="e">
        <f>AND(#REF!,"AAAAAH72rLM=")</f>
        <v>#REF!</v>
      </c>
      <c r="FY31" t="e">
        <f>AND(#REF!,"AAAAAH72rLQ=")</f>
        <v>#REF!</v>
      </c>
      <c r="FZ31" t="e">
        <f>AND(#REF!,"AAAAAH72rLU=")</f>
        <v>#REF!</v>
      </c>
      <c r="GA31" t="e">
        <f>AND(#REF!,"AAAAAH72rLY=")</f>
        <v>#REF!</v>
      </c>
      <c r="GB31" t="e">
        <f>AND(#REF!,"AAAAAH72rLc=")</f>
        <v>#REF!</v>
      </c>
      <c r="GC31" t="e">
        <f>AND(#REF!,"AAAAAH72rLg=")</f>
        <v>#REF!</v>
      </c>
      <c r="GD31" t="e">
        <f>AND(#REF!,"AAAAAH72rLk=")</f>
        <v>#REF!</v>
      </c>
      <c r="GE31" t="e">
        <f>AND(#REF!,"AAAAAH72rLo=")</f>
        <v>#REF!</v>
      </c>
      <c r="GF31" t="e">
        <f>AND(#REF!,"AAAAAH72rLs=")</f>
        <v>#REF!</v>
      </c>
      <c r="GG31" t="e">
        <f>AND(#REF!,"AAAAAH72rLw=")</f>
        <v>#REF!</v>
      </c>
      <c r="GH31" t="e">
        <f>AND(#REF!,"AAAAAH72rL0=")</f>
        <v>#REF!</v>
      </c>
      <c r="GI31" t="e">
        <f>AND(#REF!,"AAAAAH72rL4=")</f>
        <v>#REF!</v>
      </c>
      <c r="GJ31" t="e">
        <f>AND(#REF!,"AAAAAH72rL8=")</f>
        <v>#REF!</v>
      </c>
      <c r="GK31" t="e">
        <f>AND(#REF!,"AAAAAH72rMA=")</f>
        <v>#REF!</v>
      </c>
      <c r="GL31" t="e">
        <f>AND(#REF!,"AAAAAH72rME=")</f>
        <v>#REF!</v>
      </c>
      <c r="GM31" t="e">
        <f>AND(#REF!,"AAAAAH72rMI=")</f>
        <v>#REF!</v>
      </c>
      <c r="GN31" t="e">
        <f>AND(#REF!,"AAAAAH72rMM=")</f>
        <v>#REF!</v>
      </c>
      <c r="GO31" t="e">
        <f>AND(#REF!,"AAAAAH72rMQ=")</f>
        <v>#REF!</v>
      </c>
      <c r="GP31" t="e">
        <f>AND(#REF!,"AAAAAH72rMU=")</f>
        <v>#REF!</v>
      </c>
      <c r="GQ31" t="e">
        <f>AND(#REF!,"AAAAAH72rMY=")</f>
        <v>#REF!</v>
      </c>
      <c r="GR31" t="e">
        <f>AND(#REF!,"AAAAAH72rMc=")</f>
        <v>#REF!</v>
      </c>
      <c r="GS31" t="e">
        <f>IF(#REF!,"AAAAAH72rMg=",0)</f>
        <v>#REF!</v>
      </c>
      <c r="GT31" t="e">
        <f>AND(#REF!,"AAAAAH72rMk=")</f>
        <v>#REF!</v>
      </c>
      <c r="GU31" t="e">
        <f>AND(#REF!,"AAAAAH72rMo=")</f>
        <v>#REF!</v>
      </c>
      <c r="GV31" t="e">
        <f>AND(#REF!,"AAAAAH72rMs=")</f>
        <v>#REF!</v>
      </c>
      <c r="GW31" t="e">
        <f>AND(#REF!,"AAAAAH72rMw=")</f>
        <v>#REF!</v>
      </c>
      <c r="GX31" t="e">
        <f>AND(#REF!,"AAAAAH72rM0=")</f>
        <v>#REF!</v>
      </c>
      <c r="GY31" t="e">
        <f>AND(#REF!,"AAAAAH72rM4=")</f>
        <v>#REF!</v>
      </c>
      <c r="GZ31" t="e">
        <f>AND(#REF!,"AAAAAH72rM8=")</f>
        <v>#REF!</v>
      </c>
      <c r="HA31" t="e">
        <f>AND(#REF!,"AAAAAH72rNA=")</f>
        <v>#REF!</v>
      </c>
      <c r="HB31" t="e">
        <f>AND(#REF!,"AAAAAH72rNE=")</f>
        <v>#REF!</v>
      </c>
      <c r="HC31" t="e">
        <f>AND(#REF!,"AAAAAH72rNI=")</f>
        <v>#REF!</v>
      </c>
      <c r="HD31" t="e">
        <f>AND(#REF!,"AAAAAH72rNM=")</f>
        <v>#REF!</v>
      </c>
      <c r="HE31" t="e">
        <f>AND(#REF!,"AAAAAH72rNQ=")</f>
        <v>#REF!</v>
      </c>
      <c r="HF31" t="e">
        <f>AND(#REF!,"AAAAAH72rNU=")</f>
        <v>#REF!</v>
      </c>
      <c r="HG31" t="e">
        <f>AND(#REF!,"AAAAAH72rNY=")</f>
        <v>#REF!</v>
      </c>
      <c r="HH31" t="e">
        <f>AND(#REF!,"AAAAAH72rNc=")</f>
        <v>#REF!</v>
      </c>
      <c r="HI31" t="e">
        <f>AND(#REF!,"AAAAAH72rNg=")</f>
        <v>#REF!</v>
      </c>
      <c r="HJ31" t="e">
        <f>AND(#REF!,"AAAAAH72rNk=")</f>
        <v>#REF!</v>
      </c>
      <c r="HK31" t="e">
        <f>AND(#REF!,"AAAAAH72rNo=")</f>
        <v>#REF!</v>
      </c>
      <c r="HL31" t="e">
        <f>AND(#REF!,"AAAAAH72rNs=")</f>
        <v>#REF!</v>
      </c>
      <c r="HM31" t="e">
        <f>AND(#REF!,"AAAAAH72rNw=")</f>
        <v>#REF!</v>
      </c>
      <c r="HN31" t="e">
        <f>AND(#REF!,"AAAAAH72rN0=")</f>
        <v>#REF!</v>
      </c>
      <c r="HO31" t="e">
        <f>AND(#REF!,"AAAAAH72rN4=")</f>
        <v>#REF!</v>
      </c>
      <c r="HP31" t="e">
        <f>AND(#REF!,"AAAAAH72rN8=")</f>
        <v>#REF!</v>
      </c>
      <c r="HQ31" t="e">
        <f>AND(#REF!,"AAAAAH72rOA=")</f>
        <v>#REF!</v>
      </c>
      <c r="HR31" t="e">
        <f>AND(#REF!,"AAAAAH72rOE=")</f>
        <v>#REF!</v>
      </c>
      <c r="HS31" t="e">
        <f>AND(#REF!,"AAAAAH72rOI=")</f>
        <v>#REF!</v>
      </c>
      <c r="HT31" t="e">
        <f>AND(#REF!,"AAAAAH72rOM=")</f>
        <v>#REF!</v>
      </c>
      <c r="HU31" t="e">
        <f>AND(#REF!,"AAAAAH72rOQ=")</f>
        <v>#REF!</v>
      </c>
      <c r="HV31" t="e">
        <f>AND(#REF!,"AAAAAH72rOU=")</f>
        <v>#REF!</v>
      </c>
      <c r="HW31" t="e">
        <f>AND(#REF!,"AAAAAH72rOY=")</f>
        <v>#REF!</v>
      </c>
      <c r="HX31" t="e">
        <f>AND(#REF!,"AAAAAH72rOc=")</f>
        <v>#REF!</v>
      </c>
      <c r="HY31" t="e">
        <f>AND(#REF!,"AAAAAH72rOg=")</f>
        <v>#REF!</v>
      </c>
      <c r="HZ31" t="e">
        <f>AND(#REF!,"AAAAAH72rOk=")</f>
        <v>#REF!</v>
      </c>
      <c r="IA31" t="e">
        <f>AND(#REF!,"AAAAAH72rOo=")</f>
        <v>#REF!</v>
      </c>
      <c r="IB31" t="e">
        <f>AND(#REF!,"AAAAAH72rOs=")</f>
        <v>#REF!</v>
      </c>
      <c r="IC31" t="e">
        <f>AND(#REF!,"AAAAAH72rOw=")</f>
        <v>#REF!</v>
      </c>
      <c r="ID31" t="e">
        <f>AND(#REF!,"AAAAAH72rO0=")</f>
        <v>#REF!</v>
      </c>
      <c r="IE31" t="e">
        <f>AND(#REF!,"AAAAAH72rO4=")</f>
        <v>#REF!</v>
      </c>
      <c r="IF31" t="e">
        <f>AND(#REF!,"AAAAAH72rO8=")</f>
        <v>#REF!</v>
      </c>
      <c r="IG31" t="e">
        <f>AND(#REF!,"AAAAAH72rPA=")</f>
        <v>#REF!</v>
      </c>
      <c r="IH31" t="e">
        <f>AND(#REF!,"AAAAAH72rPE=")</f>
        <v>#REF!</v>
      </c>
      <c r="II31" t="e">
        <f>AND(#REF!,"AAAAAH72rPI=")</f>
        <v>#REF!</v>
      </c>
      <c r="IJ31" t="e">
        <f>AND(#REF!,"AAAAAH72rPM=")</f>
        <v>#REF!</v>
      </c>
      <c r="IK31" t="e">
        <f>AND(#REF!,"AAAAAH72rPQ=")</f>
        <v>#REF!</v>
      </c>
      <c r="IL31" t="e">
        <f>AND(#REF!,"AAAAAH72rPU=")</f>
        <v>#REF!</v>
      </c>
      <c r="IM31" t="e">
        <f>AND(#REF!,"AAAAAH72rPY=")</f>
        <v>#REF!</v>
      </c>
      <c r="IN31" t="e">
        <f>AND(#REF!,"AAAAAH72rPc=")</f>
        <v>#REF!</v>
      </c>
      <c r="IO31" t="e">
        <f>AND(#REF!,"AAAAAH72rPg=")</f>
        <v>#REF!</v>
      </c>
      <c r="IP31" t="e">
        <f>AND(#REF!,"AAAAAH72rPk=")</f>
        <v>#REF!</v>
      </c>
      <c r="IQ31" t="e">
        <f>AND(#REF!,"AAAAAH72rPo=")</f>
        <v>#REF!</v>
      </c>
      <c r="IR31" t="e">
        <f>AND(#REF!,"AAAAAH72rPs=")</f>
        <v>#REF!</v>
      </c>
      <c r="IS31" t="e">
        <f>AND(#REF!,"AAAAAH72rPw=")</f>
        <v>#REF!</v>
      </c>
      <c r="IT31" t="e">
        <f>AND(#REF!,"AAAAAH72rP0=")</f>
        <v>#REF!</v>
      </c>
      <c r="IU31" t="e">
        <f>AND(#REF!,"AAAAAH72rP4=")</f>
        <v>#REF!</v>
      </c>
      <c r="IV31" t="e">
        <f>AND(#REF!,"AAAAAH72rP8=")</f>
        <v>#REF!</v>
      </c>
    </row>
    <row r="32" spans="1:256" x14ac:dyDescent="0.25">
      <c r="A32" t="e">
        <f>AND(#REF!,"AAAAAH3+vwA=")</f>
        <v>#REF!</v>
      </c>
      <c r="B32" t="e">
        <f>AND(#REF!,"AAAAAH3+vwE=")</f>
        <v>#REF!</v>
      </c>
      <c r="C32" t="e">
        <f>AND(#REF!,"AAAAAH3+vwI=")</f>
        <v>#REF!</v>
      </c>
      <c r="D32" t="e">
        <f>AND(#REF!,"AAAAAH3+vwM=")</f>
        <v>#REF!</v>
      </c>
      <c r="E32" t="e">
        <f>AND(#REF!,"AAAAAH3+vwQ=")</f>
        <v>#REF!</v>
      </c>
      <c r="F32" t="e">
        <f>AND(#REF!,"AAAAAH3+vwU=")</f>
        <v>#REF!</v>
      </c>
      <c r="G32" t="e">
        <f>AND(#REF!,"AAAAAH3+vwY=")</f>
        <v>#REF!</v>
      </c>
      <c r="H32" t="e">
        <f>AND(#REF!,"AAAAAH3+vwc=")</f>
        <v>#REF!</v>
      </c>
      <c r="I32" t="e">
        <f>AND(#REF!,"AAAAAH3+vwg=")</f>
        <v>#REF!</v>
      </c>
      <c r="J32" t="e">
        <f>AND(#REF!,"AAAAAH3+vwk=")</f>
        <v>#REF!</v>
      </c>
      <c r="K32" t="e">
        <f>AND(#REF!,"AAAAAH3+vwo=")</f>
        <v>#REF!</v>
      </c>
      <c r="L32" t="e">
        <f>AND(#REF!,"AAAAAH3+vws=")</f>
        <v>#REF!</v>
      </c>
      <c r="M32" t="e">
        <f>AND(#REF!,"AAAAAH3+vww=")</f>
        <v>#REF!</v>
      </c>
      <c r="N32" t="e">
        <f>AND(#REF!,"AAAAAH3+vw0=")</f>
        <v>#REF!</v>
      </c>
      <c r="O32" t="e">
        <f>AND(#REF!,"AAAAAH3+vw4=")</f>
        <v>#REF!</v>
      </c>
      <c r="P32" t="e">
        <f>AND(#REF!,"AAAAAH3+vw8=")</f>
        <v>#REF!</v>
      </c>
      <c r="Q32" t="e">
        <f>AND(#REF!,"AAAAAH3+vxA=")</f>
        <v>#REF!</v>
      </c>
      <c r="R32" t="e">
        <f>AND(#REF!,"AAAAAH3+vxE=")</f>
        <v>#REF!</v>
      </c>
      <c r="S32" t="e">
        <f>AND(#REF!,"AAAAAH3+vxI=")</f>
        <v>#REF!</v>
      </c>
      <c r="T32" t="e">
        <f>AND(#REF!,"AAAAAH3+vxM=")</f>
        <v>#REF!</v>
      </c>
      <c r="U32" t="e">
        <f>AND(#REF!,"AAAAAH3+vxQ=")</f>
        <v>#REF!</v>
      </c>
      <c r="V32" t="e">
        <f>AND(#REF!,"AAAAAH3+vxU=")</f>
        <v>#REF!</v>
      </c>
      <c r="W32" t="e">
        <f>AND(#REF!,"AAAAAH3+vxY=")</f>
        <v>#REF!</v>
      </c>
      <c r="X32" t="e">
        <f>AND(#REF!,"AAAAAH3+vxc=")</f>
        <v>#REF!</v>
      </c>
      <c r="Y32" t="e">
        <f>AND(#REF!,"AAAAAH3+vxg=")</f>
        <v>#REF!</v>
      </c>
      <c r="Z32" t="e">
        <f>AND(#REF!,"AAAAAH3+vxk=")</f>
        <v>#REF!</v>
      </c>
      <c r="AA32" t="e">
        <f>AND(#REF!,"AAAAAH3+vxo=")</f>
        <v>#REF!</v>
      </c>
      <c r="AB32" t="e">
        <f>AND(#REF!,"AAAAAH3+vxs=")</f>
        <v>#REF!</v>
      </c>
      <c r="AC32" t="e">
        <f>AND(#REF!,"AAAAAH3+vxw=")</f>
        <v>#REF!</v>
      </c>
      <c r="AD32" t="e">
        <f>AND(#REF!,"AAAAAH3+vx0=")</f>
        <v>#REF!</v>
      </c>
      <c r="AE32" t="e">
        <f>AND(#REF!,"AAAAAH3+vx4=")</f>
        <v>#REF!</v>
      </c>
      <c r="AF32" t="e">
        <f>AND(#REF!,"AAAAAH3+vx8=")</f>
        <v>#REF!</v>
      </c>
      <c r="AG32" t="e">
        <f>AND(#REF!,"AAAAAH3+vyA=")</f>
        <v>#REF!</v>
      </c>
      <c r="AH32" t="e">
        <f>AND(#REF!,"AAAAAH3+vyE=")</f>
        <v>#REF!</v>
      </c>
      <c r="AI32" t="e">
        <f>AND(#REF!,"AAAAAH3+vyI=")</f>
        <v>#REF!</v>
      </c>
      <c r="AJ32" t="e">
        <f>AND(#REF!,"AAAAAH3+vyM=")</f>
        <v>#REF!</v>
      </c>
      <c r="AK32" t="e">
        <f>AND(#REF!,"AAAAAH3+vyQ=")</f>
        <v>#REF!</v>
      </c>
      <c r="AL32" t="e">
        <f>AND(#REF!,"AAAAAH3+vyU=")</f>
        <v>#REF!</v>
      </c>
      <c r="AM32" t="e">
        <f>AND(#REF!,"AAAAAH3+vyY=")</f>
        <v>#REF!</v>
      </c>
      <c r="AN32" t="e">
        <f>AND(#REF!,"AAAAAH3+vyc=")</f>
        <v>#REF!</v>
      </c>
      <c r="AO32" t="e">
        <f>AND(#REF!,"AAAAAH3+vyg=")</f>
        <v>#REF!</v>
      </c>
      <c r="AP32" t="e">
        <f>AND(#REF!,"AAAAAH3+vyk=")</f>
        <v>#REF!</v>
      </c>
      <c r="AQ32" t="e">
        <f>AND(#REF!,"AAAAAH3+vyo=")</f>
        <v>#REF!</v>
      </c>
      <c r="AR32" t="e">
        <f>AND(#REF!,"AAAAAH3+vys=")</f>
        <v>#REF!</v>
      </c>
      <c r="AS32" t="e">
        <f>AND(#REF!,"AAAAAH3+vyw=")</f>
        <v>#REF!</v>
      </c>
      <c r="AT32" t="e">
        <f>AND(#REF!,"AAAAAH3+vy0=")</f>
        <v>#REF!</v>
      </c>
      <c r="AU32" t="e">
        <f>AND(#REF!,"AAAAAH3+vy4=")</f>
        <v>#REF!</v>
      </c>
      <c r="AV32" t="e">
        <f>AND(#REF!,"AAAAAH3+vy8=")</f>
        <v>#REF!</v>
      </c>
      <c r="AW32" t="e">
        <f>AND(#REF!,"AAAAAH3+vzA=")</f>
        <v>#REF!</v>
      </c>
      <c r="AX32" t="e">
        <f>IF(#REF!,"AAAAAH3+vzE=",0)</f>
        <v>#REF!</v>
      </c>
      <c r="AY32" t="e">
        <f>AND(#REF!,"AAAAAH3+vzI=")</f>
        <v>#REF!</v>
      </c>
      <c r="AZ32" t="e">
        <f>AND(#REF!,"AAAAAH3+vzM=")</f>
        <v>#REF!</v>
      </c>
      <c r="BA32" t="e">
        <f>AND(#REF!,"AAAAAH3+vzQ=")</f>
        <v>#REF!</v>
      </c>
      <c r="BB32" t="e">
        <f>AND(#REF!,"AAAAAH3+vzU=")</f>
        <v>#REF!</v>
      </c>
      <c r="BC32" t="e">
        <f>AND(#REF!,"AAAAAH3+vzY=")</f>
        <v>#REF!</v>
      </c>
      <c r="BD32" t="e">
        <f>AND(#REF!,"AAAAAH3+vzc=")</f>
        <v>#REF!</v>
      </c>
      <c r="BE32" t="e">
        <f>AND(#REF!,"AAAAAH3+vzg=")</f>
        <v>#REF!</v>
      </c>
      <c r="BF32" t="e">
        <f>AND(#REF!,"AAAAAH3+vzk=")</f>
        <v>#REF!</v>
      </c>
      <c r="BG32" t="e">
        <f>AND(#REF!,"AAAAAH3+vzo=")</f>
        <v>#REF!</v>
      </c>
      <c r="BH32" t="e">
        <f>AND(#REF!,"AAAAAH3+vzs=")</f>
        <v>#REF!</v>
      </c>
      <c r="BI32" t="e">
        <f>AND(#REF!,"AAAAAH3+vzw=")</f>
        <v>#REF!</v>
      </c>
      <c r="BJ32" t="e">
        <f>AND(#REF!,"AAAAAH3+vz0=")</f>
        <v>#REF!</v>
      </c>
      <c r="BK32" t="e">
        <f>AND(#REF!,"AAAAAH3+vz4=")</f>
        <v>#REF!</v>
      </c>
      <c r="BL32" t="e">
        <f>AND(#REF!,"AAAAAH3+vz8=")</f>
        <v>#REF!</v>
      </c>
      <c r="BM32" t="e">
        <f>AND(#REF!,"AAAAAH3+v0A=")</f>
        <v>#REF!</v>
      </c>
      <c r="BN32" t="e">
        <f>AND(#REF!,"AAAAAH3+v0E=")</f>
        <v>#REF!</v>
      </c>
      <c r="BO32" t="e">
        <f>AND(#REF!,"AAAAAH3+v0I=")</f>
        <v>#REF!</v>
      </c>
      <c r="BP32" t="e">
        <f>AND(#REF!,"AAAAAH3+v0M=")</f>
        <v>#REF!</v>
      </c>
      <c r="BQ32" t="e">
        <f>AND(#REF!,"AAAAAH3+v0Q=")</f>
        <v>#REF!</v>
      </c>
      <c r="BR32" t="e">
        <f>AND(#REF!,"AAAAAH3+v0U=")</f>
        <v>#REF!</v>
      </c>
      <c r="BS32" t="e">
        <f>AND(#REF!,"AAAAAH3+v0Y=")</f>
        <v>#REF!</v>
      </c>
      <c r="BT32" t="e">
        <f>AND(#REF!,"AAAAAH3+v0c=")</f>
        <v>#REF!</v>
      </c>
      <c r="BU32" t="e">
        <f>AND(#REF!,"AAAAAH3+v0g=")</f>
        <v>#REF!</v>
      </c>
      <c r="BV32" t="e">
        <f>AND(#REF!,"AAAAAH3+v0k=")</f>
        <v>#REF!</v>
      </c>
      <c r="BW32" t="e">
        <f>AND(#REF!,"AAAAAH3+v0o=")</f>
        <v>#REF!</v>
      </c>
      <c r="BX32" t="e">
        <f>AND(#REF!,"AAAAAH3+v0s=")</f>
        <v>#REF!</v>
      </c>
      <c r="BY32" t="e">
        <f>AND(#REF!,"AAAAAH3+v0w=")</f>
        <v>#REF!</v>
      </c>
      <c r="BZ32" t="e">
        <f>AND(#REF!,"AAAAAH3+v00=")</f>
        <v>#REF!</v>
      </c>
      <c r="CA32" t="e">
        <f>AND(#REF!,"AAAAAH3+v04=")</f>
        <v>#REF!</v>
      </c>
      <c r="CB32" t="e">
        <f>AND(#REF!,"AAAAAH3+v08=")</f>
        <v>#REF!</v>
      </c>
      <c r="CC32" t="e">
        <f>AND(#REF!,"AAAAAH3+v1A=")</f>
        <v>#REF!</v>
      </c>
      <c r="CD32" t="e">
        <f>AND(#REF!,"AAAAAH3+v1E=")</f>
        <v>#REF!</v>
      </c>
      <c r="CE32" t="e">
        <f>AND(#REF!,"AAAAAH3+v1I=")</f>
        <v>#REF!</v>
      </c>
      <c r="CF32" t="e">
        <f>AND(#REF!,"AAAAAH3+v1M=")</f>
        <v>#REF!</v>
      </c>
      <c r="CG32" t="e">
        <f>AND(#REF!,"AAAAAH3+v1Q=")</f>
        <v>#REF!</v>
      </c>
      <c r="CH32" t="e">
        <f>AND(#REF!,"AAAAAH3+v1U=")</f>
        <v>#REF!</v>
      </c>
      <c r="CI32" t="e">
        <f>AND(#REF!,"AAAAAH3+v1Y=")</f>
        <v>#REF!</v>
      </c>
      <c r="CJ32" t="e">
        <f>AND(#REF!,"AAAAAH3+v1c=")</f>
        <v>#REF!</v>
      </c>
      <c r="CK32" t="e">
        <f>AND(#REF!,"AAAAAH3+v1g=")</f>
        <v>#REF!</v>
      </c>
      <c r="CL32" t="e">
        <f>AND(#REF!,"AAAAAH3+v1k=")</f>
        <v>#REF!</v>
      </c>
      <c r="CM32" t="e">
        <f>AND(#REF!,"AAAAAH3+v1o=")</f>
        <v>#REF!</v>
      </c>
      <c r="CN32" t="e">
        <f>AND(#REF!,"AAAAAH3+v1s=")</f>
        <v>#REF!</v>
      </c>
      <c r="CO32" t="e">
        <f>AND(#REF!,"AAAAAH3+v1w=")</f>
        <v>#REF!</v>
      </c>
      <c r="CP32" t="e">
        <f>AND(#REF!,"AAAAAH3+v10=")</f>
        <v>#REF!</v>
      </c>
      <c r="CQ32" t="e">
        <f>AND(#REF!,"AAAAAH3+v14=")</f>
        <v>#REF!</v>
      </c>
      <c r="CR32" t="e">
        <f>AND(#REF!,"AAAAAH3+v18=")</f>
        <v>#REF!</v>
      </c>
      <c r="CS32" t="e">
        <f>AND(#REF!,"AAAAAH3+v2A=")</f>
        <v>#REF!</v>
      </c>
      <c r="CT32" t="e">
        <f>AND(#REF!,"AAAAAH3+v2E=")</f>
        <v>#REF!</v>
      </c>
      <c r="CU32" t="e">
        <f>AND(#REF!,"AAAAAH3+v2I=")</f>
        <v>#REF!</v>
      </c>
      <c r="CV32" t="e">
        <f>AND(#REF!,"AAAAAH3+v2M=")</f>
        <v>#REF!</v>
      </c>
      <c r="CW32" t="e">
        <f>AND(#REF!,"AAAAAH3+v2Q=")</f>
        <v>#REF!</v>
      </c>
      <c r="CX32" t="e">
        <f>AND(#REF!,"AAAAAH3+v2U=")</f>
        <v>#REF!</v>
      </c>
      <c r="CY32" t="e">
        <f>AND(#REF!,"AAAAAH3+v2Y=")</f>
        <v>#REF!</v>
      </c>
      <c r="CZ32" t="e">
        <f>AND(#REF!,"AAAAAH3+v2c=")</f>
        <v>#REF!</v>
      </c>
      <c r="DA32" t="e">
        <f>AND(#REF!,"AAAAAH3+v2g=")</f>
        <v>#REF!</v>
      </c>
      <c r="DB32" t="e">
        <f>AND(#REF!,"AAAAAH3+v2k=")</f>
        <v>#REF!</v>
      </c>
      <c r="DC32" t="e">
        <f>AND(#REF!,"AAAAAH3+v2o=")</f>
        <v>#REF!</v>
      </c>
      <c r="DD32" t="e">
        <f>AND(#REF!,"AAAAAH3+v2s=")</f>
        <v>#REF!</v>
      </c>
      <c r="DE32" t="e">
        <f>AND(#REF!,"AAAAAH3+v2w=")</f>
        <v>#REF!</v>
      </c>
      <c r="DF32" t="e">
        <f>AND(#REF!,"AAAAAH3+v20=")</f>
        <v>#REF!</v>
      </c>
      <c r="DG32" t="e">
        <f>AND(#REF!,"AAAAAH3+v24=")</f>
        <v>#REF!</v>
      </c>
      <c r="DH32" t="e">
        <f>AND(#REF!,"AAAAAH3+v28=")</f>
        <v>#REF!</v>
      </c>
      <c r="DI32" t="e">
        <f>AND(#REF!,"AAAAAH3+v3A=")</f>
        <v>#REF!</v>
      </c>
      <c r="DJ32" t="e">
        <f>AND(#REF!,"AAAAAH3+v3E=")</f>
        <v>#REF!</v>
      </c>
      <c r="DK32" t="e">
        <f>AND(#REF!,"AAAAAH3+v3I=")</f>
        <v>#REF!</v>
      </c>
      <c r="DL32" t="e">
        <f>AND(#REF!,"AAAAAH3+v3M=")</f>
        <v>#REF!</v>
      </c>
      <c r="DM32" t="e">
        <f>AND(#REF!,"AAAAAH3+v3Q=")</f>
        <v>#REF!</v>
      </c>
      <c r="DN32" t="e">
        <f>AND(#REF!,"AAAAAH3+v3U=")</f>
        <v>#REF!</v>
      </c>
      <c r="DO32" t="e">
        <f>AND(#REF!,"AAAAAH3+v3Y=")</f>
        <v>#REF!</v>
      </c>
      <c r="DP32" t="e">
        <f>AND(#REF!,"AAAAAH3+v3c=")</f>
        <v>#REF!</v>
      </c>
      <c r="DQ32" t="e">
        <f>AND(#REF!,"AAAAAH3+v3g=")</f>
        <v>#REF!</v>
      </c>
      <c r="DR32" t="e">
        <f>AND(#REF!,"AAAAAH3+v3k=")</f>
        <v>#REF!</v>
      </c>
      <c r="DS32" t="e">
        <f>AND(#REF!,"AAAAAH3+v3o=")</f>
        <v>#REF!</v>
      </c>
      <c r="DT32" t="e">
        <f>AND(#REF!,"AAAAAH3+v3s=")</f>
        <v>#REF!</v>
      </c>
      <c r="DU32" t="e">
        <f>AND(#REF!,"AAAAAH3+v3w=")</f>
        <v>#REF!</v>
      </c>
      <c r="DV32" t="e">
        <f>AND(#REF!,"AAAAAH3+v30=")</f>
        <v>#REF!</v>
      </c>
      <c r="DW32" t="e">
        <f>AND(#REF!,"AAAAAH3+v34=")</f>
        <v>#REF!</v>
      </c>
      <c r="DX32" t="e">
        <f>AND(#REF!,"AAAAAH3+v38=")</f>
        <v>#REF!</v>
      </c>
      <c r="DY32" t="e">
        <f>AND(#REF!,"AAAAAH3+v4A=")</f>
        <v>#REF!</v>
      </c>
      <c r="DZ32" t="e">
        <f>AND(#REF!,"AAAAAH3+v4E=")</f>
        <v>#REF!</v>
      </c>
      <c r="EA32" t="e">
        <f>AND(#REF!,"AAAAAH3+v4I=")</f>
        <v>#REF!</v>
      </c>
      <c r="EB32" t="e">
        <f>AND(#REF!,"AAAAAH3+v4M=")</f>
        <v>#REF!</v>
      </c>
      <c r="EC32" t="e">
        <f>AND(#REF!,"AAAAAH3+v4Q=")</f>
        <v>#REF!</v>
      </c>
      <c r="ED32" t="e">
        <f>AND(#REF!,"AAAAAH3+v4U=")</f>
        <v>#REF!</v>
      </c>
      <c r="EE32" t="e">
        <f>AND(#REF!,"AAAAAH3+v4Y=")</f>
        <v>#REF!</v>
      </c>
      <c r="EF32" t="e">
        <f>AND(#REF!,"AAAAAH3+v4c=")</f>
        <v>#REF!</v>
      </c>
      <c r="EG32" t="e">
        <f>AND(#REF!,"AAAAAH3+v4g=")</f>
        <v>#REF!</v>
      </c>
      <c r="EH32" t="e">
        <f>AND(#REF!,"AAAAAH3+v4k=")</f>
        <v>#REF!</v>
      </c>
      <c r="EI32" t="e">
        <f>AND(#REF!,"AAAAAH3+v4o=")</f>
        <v>#REF!</v>
      </c>
      <c r="EJ32" t="e">
        <f>AND(#REF!,"AAAAAH3+v4s=")</f>
        <v>#REF!</v>
      </c>
      <c r="EK32" t="e">
        <f>AND(#REF!,"AAAAAH3+v4w=")</f>
        <v>#REF!</v>
      </c>
      <c r="EL32" t="e">
        <f>AND(#REF!,"AAAAAH3+v40=")</f>
        <v>#REF!</v>
      </c>
      <c r="EM32" t="e">
        <f>AND(#REF!,"AAAAAH3+v44=")</f>
        <v>#REF!</v>
      </c>
      <c r="EN32" t="e">
        <f>AND(#REF!,"AAAAAH3+v48=")</f>
        <v>#REF!</v>
      </c>
      <c r="EO32" t="e">
        <f>AND(#REF!,"AAAAAH3+v5A=")</f>
        <v>#REF!</v>
      </c>
      <c r="EP32" t="e">
        <f>AND(#REF!,"AAAAAH3+v5E=")</f>
        <v>#REF!</v>
      </c>
      <c r="EQ32" t="e">
        <f>AND(#REF!,"AAAAAH3+v5I=")</f>
        <v>#REF!</v>
      </c>
      <c r="ER32" t="e">
        <f>AND(#REF!,"AAAAAH3+v5M=")</f>
        <v>#REF!</v>
      </c>
      <c r="ES32" t="e">
        <f>AND(#REF!,"AAAAAH3+v5Q=")</f>
        <v>#REF!</v>
      </c>
      <c r="ET32" t="e">
        <f>AND(#REF!,"AAAAAH3+v5U=")</f>
        <v>#REF!</v>
      </c>
      <c r="EU32" t="e">
        <f>AND(#REF!,"AAAAAH3+v5Y=")</f>
        <v>#REF!</v>
      </c>
      <c r="EV32" t="e">
        <f>AND(#REF!,"AAAAAH3+v5c=")</f>
        <v>#REF!</v>
      </c>
      <c r="EW32" t="e">
        <f>AND(#REF!,"AAAAAH3+v5g=")</f>
        <v>#REF!</v>
      </c>
      <c r="EX32" t="e">
        <f>AND(#REF!,"AAAAAH3+v5k=")</f>
        <v>#REF!</v>
      </c>
      <c r="EY32" t="e">
        <f>IF(#REF!,"AAAAAH3+v5o=",0)</f>
        <v>#REF!</v>
      </c>
      <c r="EZ32" t="e">
        <f>AND(#REF!,"AAAAAH3+v5s=")</f>
        <v>#REF!</v>
      </c>
      <c r="FA32" t="e">
        <f>AND(#REF!,"AAAAAH3+v5w=")</f>
        <v>#REF!</v>
      </c>
      <c r="FB32" t="e">
        <f>AND(#REF!,"AAAAAH3+v50=")</f>
        <v>#REF!</v>
      </c>
      <c r="FC32" t="e">
        <f>AND(#REF!,"AAAAAH3+v54=")</f>
        <v>#REF!</v>
      </c>
      <c r="FD32" t="e">
        <f>AND(#REF!,"AAAAAH3+v58=")</f>
        <v>#REF!</v>
      </c>
      <c r="FE32" t="e">
        <f>AND(#REF!,"AAAAAH3+v6A=")</f>
        <v>#REF!</v>
      </c>
      <c r="FF32" t="e">
        <f>AND(#REF!,"AAAAAH3+v6E=")</f>
        <v>#REF!</v>
      </c>
      <c r="FG32" t="e">
        <f>AND(#REF!,"AAAAAH3+v6I=")</f>
        <v>#REF!</v>
      </c>
      <c r="FH32" t="e">
        <f>AND(#REF!,"AAAAAH3+v6M=")</f>
        <v>#REF!</v>
      </c>
      <c r="FI32" t="e">
        <f>AND(#REF!,"AAAAAH3+v6Q=")</f>
        <v>#REF!</v>
      </c>
      <c r="FJ32" t="e">
        <f>AND(#REF!,"AAAAAH3+v6U=")</f>
        <v>#REF!</v>
      </c>
      <c r="FK32" t="e">
        <f>AND(#REF!,"AAAAAH3+v6Y=")</f>
        <v>#REF!</v>
      </c>
      <c r="FL32" t="e">
        <f>AND(#REF!,"AAAAAH3+v6c=")</f>
        <v>#REF!</v>
      </c>
      <c r="FM32" t="e">
        <f>AND(#REF!,"AAAAAH3+v6g=")</f>
        <v>#REF!</v>
      </c>
      <c r="FN32" t="e">
        <f>AND(#REF!,"AAAAAH3+v6k=")</f>
        <v>#REF!</v>
      </c>
      <c r="FO32" t="e">
        <f>AND(#REF!,"AAAAAH3+v6o=")</f>
        <v>#REF!</v>
      </c>
      <c r="FP32" t="e">
        <f>AND(#REF!,"AAAAAH3+v6s=")</f>
        <v>#REF!</v>
      </c>
      <c r="FQ32" t="e">
        <f>AND(#REF!,"AAAAAH3+v6w=")</f>
        <v>#REF!</v>
      </c>
      <c r="FR32" t="e">
        <f>AND(#REF!,"AAAAAH3+v60=")</f>
        <v>#REF!</v>
      </c>
      <c r="FS32" t="e">
        <f>AND(#REF!,"AAAAAH3+v64=")</f>
        <v>#REF!</v>
      </c>
      <c r="FT32" t="e">
        <f>AND(#REF!,"AAAAAH3+v68=")</f>
        <v>#REF!</v>
      </c>
      <c r="FU32" t="e">
        <f>AND(#REF!,"AAAAAH3+v7A=")</f>
        <v>#REF!</v>
      </c>
      <c r="FV32" t="e">
        <f>AND(#REF!,"AAAAAH3+v7E=")</f>
        <v>#REF!</v>
      </c>
      <c r="FW32" t="e">
        <f>AND(#REF!,"AAAAAH3+v7I=")</f>
        <v>#REF!</v>
      </c>
      <c r="FX32" t="e">
        <f>AND(#REF!,"AAAAAH3+v7M=")</f>
        <v>#REF!</v>
      </c>
      <c r="FY32" t="e">
        <f>AND(#REF!,"AAAAAH3+v7Q=")</f>
        <v>#REF!</v>
      </c>
      <c r="FZ32" t="e">
        <f>AND(#REF!,"AAAAAH3+v7U=")</f>
        <v>#REF!</v>
      </c>
      <c r="GA32" t="e">
        <f>AND(#REF!,"AAAAAH3+v7Y=")</f>
        <v>#REF!</v>
      </c>
      <c r="GB32" t="e">
        <f>AND(#REF!,"AAAAAH3+v7c=")</f>
        <v>#REF!</v>
      </c>
      <c r="GC32" t="e">
        <f>AND(#REF!,"AAAAAH3+v7g=")</f>
        <v>#REF!</v>
      </c>
      <c r="GD32" t="e">
        <f>AND(#REF!,"AAAAAH3+v7k=")</f>
        <v>#REF!</v>
      </c>
      <c r="GE32" t="e">
        <f>AND(#REF!,"AAAAAH3+v7o=")</f>
        <v>#REF!</v>
      </c>
      <c r="GF32" t="e">
        <f>AND(#REF!,"AAAAAH3+v7s=")</f>
        <v>#REF!</v>
      </c>
      <c r="GG32" t="e">
        <f>AND(#REF!,"AAAAAH3+v7w=")</f>
        <v>#REF!</v>
      </c>
      <c r="GH32" t="e">
        <f>AND(#REF!,"AAAAAH3+v70=")</f>
        <v>#REF!</v>
      </c>
      <c r="GI32" t="e">
        <f>AND(#REF!,"AAAAAH3+v74=")</f>
        <v>#REF!</v>
      </c>
      <c r="GJ32" t="e">
        <f>AND(#REF!,"AAAAAH3+v78=")</f>
        <v>#REF!</v>
      </c>
      <c r="GK32" t="e">
        <f>AND(#REF!,"AAAAAH3+v8A=")</f>
        <v>#REF!</v>
      </c>
      <c r="GL32" t="e">
        <f>AND(#REF!,"AAAAAH3+v8E=")</f>
        <v>#REF!</v>
      </c>
      <c r="GM32" t="e">
        <f>AND(#REF!,"AAAAAH3+v8I=")</f>
        <v>#REF!</v>
      </c>
      <c r="GN32" t="e">
        <f>AND(#REF!,"AAAAAH3+v8M=")</f>
        <v>#REF!</v>
      </c>
      <c r="GO32" t="e">
        <f>AND(#REF!,"AAAAAH3+v8Q=")</f>
        <v>#REF!</v>
      </c>
      <c r="GP32" t="e">
        <f>AND(#REF!,"AAAAAH3+v8U=")</f>
        <v>#REF!</v>
      </c>
      <c r="GQ32" t="e">
        <f>AND(#REF!,"AAAAAH3+v8Y=")</f>
        <v>#REF!</v>
      </c>
      <c r="GR32" t="e">
        <f>AND(#REF!,"AAAAAH3+v8c=")</f>
        <v>#REF!</v>
      </c>
      <c r="GS32" t="e">
        <f>AND(#REF!,"AAAAAH3+v8g=")</f>
        <v>#REF!</v>
      </c>
      <c r="GT32" t="e">
        <f>AND(#REF!,"AAAAAH3+v8k=")</f>
        <v>#REF!</v>
      </c>
      <c r="GU32" t="e">
        <f>AND(#REF!,"AAAAAH3+v8o=")</f>
        <v>#REF!</v>
      </c>
      <c r="GV32" t="e">
        <f>AND(#REF!,"AAAAAH3+v8s=")</f>
        <v>#REF!</v>
      </c>
      <c r="GW32" t="e">
        <f>AND(#REF!,"AAAAAH3+v8w=")</f>
        <v>#REF!</v>
      </c>
      <c r="GX32" t="e">
        <f>AND(#REF!,"AAAAAH3+v80=")</f>
        <v>#REF!</v>
      </c>
      <c r="GY32" t="e">
        <f>AND(#REF!,"AAAAAH3+v84=")</f>
        <v>#REF!</v>
      </c>
      <c r="GZ32" t="e">
        <f>AND(#REF!,"AAAAAH3+v88=")</f>
        <v>#REF!</v>
      </c>
      <c r="HA32" t="e">
        <f>AND(#REF!,"AAAAAH3+v9A=")</f>
        <v>#REF!</v>
      </c>
      <c r="HB32" t="e">
        <f>AND(#REF!,"AAAAAH3+v9E=")</f>
        <v>#REF!</v>
      </c>
      <c r="HC32" t="e">
        <f>AND(#REF!,"AAAAAH3+v9I=")</f>
        <v>#REF!</v>
      </c>
      <c r="HD32" t="e">
        <f>AND(#REF!,"AAAAAH3+v9M=")</f>
        <v>#REF!</v>
      </c>
      <c r="HE32" t="e">
        <f>AND(#REF!,"AAAAAH3+v9Q=")</f>
        <v>#REF!</v>
      </c>
      <c r="HF32" t="e">
        <f>AND(#REF!,"AAAAAH3+v9U=")</f>
        <v>#REF!</v>
      </c>
      <c r="HG32" t="e">
        <f>AND(#REF!,"AAAAAH3+v9Y=")</f>
        <v>#REF!</v>
      </c>
      <c r="HH32" t="e">
        <f>AND(#REF!,"AAAAAH3+v9c=")</f>
        <v>#REF!</v>
      </c>
      <c r="HI32" t="e">
        <f>AND(#REF!,"AAAAAH3+v9g=")</f>
        <v>#REF!</v>
      </c>
      <c r="HJ32" t="e">
        <f>AND(#REF!,"AAAAAH3+v9k=")</f>
        <v>#REF!</v>
      </c>
      <c r="HK32" t="e">
        <f>AND(#REF!,"AAAAAH3+v9o=")</f>
        <v>#REF!</v>
      </c>
      <c r="HL32" t="e">
        <f>AND(#REF!,"AAAAAH3+v9s=")</f>
        <v>#REF!</v>
      </c>
      <c r="HM32" t="e">
        <f>AND(#REF!,"AAAAAH3+v9w=")</f>
        <v>#REF!</v>
      </c>
      <c r="HN32" t="e">
        <f>AND(#REF!,"AAAAAH3+v90=")</f>
        <v>#REF!</v>
      </c>
      <c r="HO32" t="e">
        <f>AND(#REF!,"AAAAAH3+v94=")</f>
        <v>#REF!</v>
      </c>
      <c r="HP32" t="e">
        <f>AND(#REF!,"AAAAAH3+v98=")</f>
        <v>#REF!</v>
      </c>
      <c r="HQ32" t="e">
        <f>AND(#REF!,"AAAAAH3+v+A=")</f>
        <v>#REF!</v>
      </c>
      <c r="HR32" t="e">
        <f>AND(#REF!,"AAAAAH3+v+E=")</f>
        <v>#REF!</v>
      </c>
      <c r="HS32" t="e">
        <f>AND(#REF!,"AAAAAH3+v+I=")</f>
        <v>#REF!</v>
      </c>
      <c r="HT32" t="e">
        <f>AND(#REF!,"AAAAAH3+v+M=")</f>
        <v>#REF!</v>
      </c>
      <c r="HU32" t="e">
        <f>AND(#REF!,"AAAAAH3+v+Q=")</f>
        <v>#REF!</v>
      </c>
      <c r="HV32" t="e">
        <f>AND(#REF!,"AAAAAH3+v+U=")</f>
        <v>#REF!</v>
      </c>
      <c r="HW32" t="e">
        <f>AND(#REF!,"AAAAAH3+v+Y=")</f>
        <v>#REF!</v>
      </c>
      <c r="HX32" t="e">
        <f>AND(#REF!,"AAAAAH3+v+c=")</f>
        <v>#REF!</v>
      </c>
      <c r="HY32" t="e">
        <f>AND(#REF!,"AAAAAH3+v+g=")</f>
        <v>#REF!</v>
      </c>
      <c r="HZ32" t="e">
        <f>AND(#REF!,"AAAAAH3+v+k=")</f>
        <v>#REF!</v>
      </c>
      <c r="IA32" t="e">
        <f>AND(#REF!,"AAAAAH3+v+o=")</f>
        <v>#REF!</v>
      </c>
      <c r="IB32" t="e">
        <f>AND(#REF!,"AAAAAH3+v+s=")</f>
        <v>#REF!</v>
      </c>
      <c r="IC32" t="e">
        <f>AND(#REF!,"AAAAAH3+v+w=")</f>
        <v>#REF!</v>
      </c>
      <c r="ID32" t="e">
        <f>AND(#REF!,"AAAAAH3+v+0=")</f>
        <v>#REF!</v>
      </c>
      <c r="IE32" t="e">
        <f>AND(#REF!,"AAAAAH3+v+4=")</f>
        <v>#REF!</v>
      </c>
      <c r="IF32" t="e">
        <f>AND(#REF!,"AAAAAH3+v+8=")</f>
        <v>#REF!</v>
      </c>
      <c r="IG32" t="e">
        <f>AND(#REF!,"AAAAAH3+v/A=")</f>
        <v>#REF!</v>
      </c>
      <c r="IH32" t="e">
        <f>AND(#REF!,"AAAAAH3+v/E=")</f>
        <v>#REF!</v>
      </c>
      <c r="II32" t="e">
        <f>AND(#REF!,"AAAAAH3+v/I=")</f>
        <v>#REF!</v>
      </c>
      <c r="IJ32" t="e">
        <f>AND(#REF!,"AAAAAH3+v/M=")</f>
        <v>#REF!</v>
      </c>
      <c r="IK32" t="e">
        <f>AND(#REF!,"AAAAAH3+v/Q=")</f>
        <v>#REF!</v>
      </c>
      <c r="IL32" t="e">
        <f>AND(#REF!,"AAAAAH3+v/U=")</f>
        <v>#REF!</v>
      </c>
      <c r="IM32" t="e">
        <f>AND(#REF!,"AAAAAH3+v/Y=")</f>
        <v>#REF!</v>
      </c>
      <c r="IN32" t="e">
        <f>AND(#REF!,"AAAAAH3+v/c=")</f>
        <v>#REF!</v>
      </c>
      <c r="IO32" t="e">
        <f>AND(#REF!,"AAAAAH3+v/g=")</f>
        <v>#REF!</v>
      </c>
      <c r="IP32" t="e">
        <f>AND(#REF!,"AAAAAH3+v/k=")</f>
        <v>#REF!</v>
      </c>
      <c r="IQ32" t="e">
        <f>AND(#REF!,"AAAAAH3+v/o=")</f>
        <v>#REF!</v>
      </c>
      <c r="IR32" t="e">
        <f>AND(#REF!,"AAAAAH3+v/s=")</f>
        <v>#REF!</v>
      </c>
      <c r="IS32" t="e">
        <f>AND(#REF!,"AAAAAH3+v/w=")</f>
        <v>#REF!</v>
      </c>
      <c r="IT32" t="e">
        <f>AND(#REF!,"AAAAAH3+v/0=")</f>
        <v>#REF!</v>
      </c>
      <c r="IU32" t="e">
        <f>AND(#REF!,"AAAAAH3+v/4=")</f>
        <v>#REF!</v>
      </c>
      <c r="IV32" t="e">
        <f>AND(#REF!,"AAAAAH3+v/8=")</f>
        <v>#REF!</v>
      </c>
    </row>
    <row r="33" spans="1:256" x14ac:dyDescent="0.25">
      <c r="A33" t="e">
        <f>AND(#REF!,"AAAAAH/PuAA=")</f>
        <v>#REF!</v>
      </c>
      <c r="B33" t="e">
        <f>AND(#REF!,"AAAAAH/PuAE=")</f>
        <v>#REF!</v>
      </c>
      <c r="C33" t="e">
        <f>AND(#REF!,"AAAAAH/PuAI=")</f>
        <v>#REF!</v>
      </c>
      <c r="D33" t="e">
        <f>IF(#REF!,"AAAAAH/PuAM=",0)</f>
        <v>#REF!</v>
      </c>
      <c r="E33" t="e">
        <f>AND(#REF!,"AAAAAH/PuAQ=")</f>
        <v>#REF!</v>
      </c>
      <c r="F33" t="e">
        <f>AND(#REF!,"AAAAAH/PuAU=")</f>
        <v>#REF!</v>
      </c>
      <c r="G33" t="e">
        <f>AND(#REF!,"AAAAAH/PuAY=")</f>
        <v>#REF!</v>
      </c>
      <c r="H33" t="e">
        <f>AND(#REF!,"AAAAAH/PuAc=")</f>
        <v>#REF!</v>
      </c>
      <c r="I33" t="e">
        <f>AND(#REF!,"AAAAAH/PuAg=")</f>
        <v>#REF!</v>
      </c>
      <c r="J33" t="e">
        <f>AND(#REF!,"AAAAAH/PuAk=")</f>
        <v>#REF!</v>
      </c>
      <c r="K33" t="e">
        <f>AND(#REF!,"AAAAAH/PuAo=")</f>
        <v>#REF!</v>
      </c>
      <c r="L33" t="e">
        <f>AND(#REF!,"AAAAAH/PuAs=")</f>
        <v>#REF!</v>
      </c>
      <c r="M33" t="e">
        <f>AND(#REF!,"AAAAAH/PuAw=")</f>
        <v>#REF!</v>
      </c>
      <c r="N33" t="e">
        <f>AND(#REF!,"AAAAAH/PuA0=")</f>
        <v>#REF!</v>
      </c>
      <c r="O33" t="e">
        <f>AND(#REF!,"AAAAAH/PuA4=")</f>
        <v>#REF!</v>
      </c>
      <c r="P33" t="e">
        <f>AND(#REF!,"AAAAAH/PuA8=")</f>
        <v>#REF!</v>
      </c>
      <c r="Q33" t="e">
        <f>AND(#REF!,"AAAAAH/PuBA=")</f>
        <v>#REF!</v>
      </c>
      <c r="R33" t="e">
        <f>AND(#REF!,"AAAAAH/PuBE=")</f>
        <v>#REF!</v>
      </c>
      <c r="S33" t="e">
        <f>AND(#REF!,"AAAAAH/PuBI=")</f>
        <v>#REF!</v>
      </c>
      <c r="T33" t="e">
        <f>AND(#REF!,"AAAAAH/PuBM=")</f>
        <v>#REF!</v>
      </c>
      <c r="U33" t="e">
        <f>AND(#REF!,"AAAAAH/PuBQ=")</f>
        <v>#REF!</v>
      </c>
      <c r="V33" t="e">
        <f>AND(#REF!,"AAAAAH/PuBU=")</f>
        <v>#REF!</v>
      </c>
      <c r="W33" t="e">
        <f>AND(#REF!,"AAAAAH/PuBY=")</f>
        <v>#REF!</v>
      </c>
      <c r="X33" t="e">
        <f>AND(#REF!,"AAAAAH/PuBc=")</f>
        <v>#REF!</v>
      </c>
      <c r="Y33" t="e">
        <f>AND(#REF!,"AAAAAH/PuBg=")</f>
        <v>#REF!</v>
      </c>
      <c r="Z33" t="e">
        <f>AND(#REF!,"AAAAAH/PuBk=")</f>
        <v>#REF!</v>
      </c>
      <c r="AA33" t="e">
        <f>AND(#REF!,"AAAAAH/PuBo=")</f>
        <v>#REF!</v>
      </c>
      <c r="AB33" t="e">
        <f>AND(#REF!,"AAAAAH/PuBs=")</f>
        <v>#REF!</v>
      </c>
      <c r="AC33" t="e">
        <f>AND(#REF!,"AAAAAH/PuBw=")</f>
        <v>#REF!</v>
      </c>
      <c r="AD33" t="e">
        <f>AND(#REF!,"AAAAAH/PuB0=")</f>
        <v>#REF!</v>
      </c>
      <c r="AE33" t="e">
        <f>AND(#REF!,"AAAAAH/PuB4=")</f>
        <v>#REF!</v>
      </c>
      <c r="AF33" t="e">
        <f>AND(#REF!,"AAAAAH/PuB8=")</f>
        <v>#REF!</v>
      </c>
      <c r="AG33" t="e">
        <f>AND(#REF!,"AAAAAH/PuCA=")</f>
        <v>#REF!</v>
      </c>
      <c r="AH33" t="e">
        <f>AND(#REF!,"AAAAAH/PuCE=")</f>
        <v>#REF!</v>
      </c>
      <c r="AI33" t="e">
        <f>AND(#REF!,"AAAAAH/PuCI=")</f>
        <v>#REF!</v>
      </c>
      <c r="AJ33" t="e">
        <f>AND(#REF!,"AAAAAH/PuCM=")</f>
        <v>#REF!</v>
      </c>
      <c r="AK33" t="e">
        <f>AND(#REF!,"AAAAAH/PuCQ=")</f>
        <v>#REF!</v>
      </c>
      <c r="AL33" t="e">
        <f>AND(#REF!,"AAAAAH/PuCU=")</f>
        <v>#REF!</v>
      </c>
      <c r="AM33" t="e">
        <f>AND(#REF!,"AAAAAH/PuCY=")</f>
        <v>#REF!</v>
      </c>
      <c r="AN33" t="e">
        <f>AND(#REF!,"AAAAAH/PuCc=")</f>
        <v>#REF!</v>
      </c>
      <c r="AO33" t="e">
        <f>AND(#REF!,"AAAAAH/PuCg=")</f>
        <v>#REF!</v>
      </c>
      <c r="AP33" t="e">
        <f>AND(#REF!,"AAAAAH/PuCk=")</f>
        <v>#REF!</v>
      </c>
      <c r="AQ33" t="e">
        <f>AND(#REF!,"AAAAAH/PuCo=")</f>
        <v>#REF!</v>
      </c>
      <c r="AR33" t="e">
        <f>AND(#REF!,"AAAAAH/PuCs=")</f>
        <v>#REF!</v>
      </c>
      <c r="AS33" t="e">
        <f>AND(#REF!,"AAAAAH/PuCw=")</f>
        <v>#REF!</v>
      </c>
      <c r="AT33" t="e">
        <f>AND(#REF!,"AAAAAH/PuC0=")</f>
        <v>#REF!</v>
      </c>
      <c r="AU33" t="e">
        <f>AND(#REF!,"AAAAAH/PuC4=")</f>
        <v>#REF!</v>
      </c>
      <c r="AV33" t="e">
        <f>AND(#REF!,"AAAAAH/PuC8=")</f>
        <v>#REF!</v>
      </c>
      <c r="AW33" t="e">
        <f>AND(#REF!,"AAAAAH/PuDA=")</f>
        <v>#REF!</v>
      </c>
      <c r="AX33" t="e">
        <f>AND(#REF!,"AAAAAH/PuDE=")</f>
        <v>#REF!</v>
      </c>
      <c r="AY33" t="e">
        <f>AND(#REF!,"AAAAAH/PuDI=")</f>
        <v>#REF!</v>
      </c>
      <c r="AZ33" t="e">
        <f>AND(#REF!,"AAAAAH/PuDM=")</f>
        <v>#REF!</v>
      </c>
      <c r="BA33" t="e">
        <f>AND(#REF!,"AAAAAH/PuDQ=")</f>
        <v>#REF!</v>
      </c>
      <c r="BB33" t="e">
        <f>AND(#REF!,"AAAAAH/PuDU=")</f>
        <v>#REF!</v>
      </c>
      <c r="BC33" t="e">
        <f>AND(#REF!,"AAAAAH/PuDY=")</f>
        <v>#REF!</v>
      </c>
      <c r="BD33" t="e">
        <f>AND(#REF!,"AAAAAH/PuDc=")</f>
        <v>#REF!</v>
      </c>
      <c r="BE33" t="e">
        <f>AND(#REF!,"AAAAAH/PuDg=")</f>
        <v>#REF!</v>
      </c>
      <c r="BF33" t="e">
        <f>AND(#REF!,"AAAAAH/PuDk=")</f>
        <v>#REF!</v>
      </c>
      <c r="BG33" t="e">
        <f>AND(#REF!,"AAAAAH/PuDo=")</f>
        <v>#REF!</v>
      </c>
      <c r="BH33" t="e">
        <f>AND(#REF!,"AAAAAH/PuDs=")</f>
        <v>#REF!</v>
      </c>
      <c r="BI33" t="e">
        <f>AND(#REF!,"AAAAAH/PuDw=")</f>
        <v>#REF!</v>
      </c>
      <c r="BJ33" t="e">
        <f>AND(#REF!,"AAAAAH/PuD0=")</f>
        <v>#REF!</v>
      </c>
      <c r="BK33" t="e">
        <f>AND(#REF!,"AAAAAH/PuD4=")</f>
        <v>#REF!</v>
      </c>
      <c r="BL33" t="e">
        <f>AND(#REF!,"AAAAAH/PuD8=")</f>
        <v>#REF!</v>
      </c>
      <c r="BM33" t="e">
        <f>AND(#REF!,"AAAAAH/PuEA=")</f>
        <v>#REF!</v>
      </c>
      <c r="BN33" t="e">
        <f>AND(#REF!,"AAAAAH/PuEE=")</f>
        <v>#REF!</v>
      </c>
      <c r="BO33" t="e">
        <f>AND(#REF!,"AAAAAH/PuEI=")</f>
        <v>#REF!</v>
      </c>
      <c r="BP33" t="e">
        <f>AND(#REF!,"AAAAAH/PuEM=")</f>
        <v>#REF!</v>
      </c>
      <c r="BQ33" t="e">
        <f>AND(#REF!,"AAAAAH/PuEQ=")</f>
        <v>#REF!</v>
      </c>
      <c r="BR33" t="e">
        <f>AND(#REF!,"AAAAAH/PuEU=")</f>
        <v>#REF!</v>
      </c>
      <c r="BS33" t="e">
        <f>AND(#REF!,"AAAAAH/PuEY=")</f>
        <v>#REF!</v>
      </c>
      <c r="BT33" t="e">
        <f>AND(#REF!,"AAAAAH/PuEc=")</f>
        <v>#REF!</v>
      </c>
      <c r="BU33" t="e">
        <f>AND(#REF!,"AAAAAH/PuEg=")</f>
        <v>#REF!</v>
      </c>
      <c r="BV33" t="e">
        <f>AND(#REF!,"AAAAAH/PuEk=")</f>
        <v>#REF!</v>
      </c>
      <c r="BW33" t="e">
        <f>AND(#REF!,"AAAAAH/PuEo=")</f>
        <v>#REF!</v>
      </c>
      <c r="BX33" t="e">
        <f>AND(#REF!,"AAAAAH/PuEs=")</f>
        <v>#REF!</v>
      </c>
      <c r="BY33" t="e">
        <f>AND(#REF!,"AAAAAH/PuEw=")</f>
        <v>#REF!</v>
      </c>
      <c r="BZ33" t="e">
        <f>AND(#REF!,"AAAAAH/PuE0=")</f>
        <v>#REF!</v>
      </c>
      <c r="CA33" t="e">
        <f>AND(#REF!,"AAAAAH/PuE4=")</f>
        <v>#REF!</v>
      </c>
      <c r="CB33" t="e">
        <f>AND(#REF!,"AAAAAH/PuE8=")</f>
        <v>#REF!</v>
      </c>
      <c r="CC33" t="e">
        <f>AND(#REF!,"AAAAAH/PuFA=")</f>
        <v>#REF!</v>
      </c>
      <c r="CD33" t="e">
        <f>AND(#REF!,"AAAAAH/PuFE=")</f>
        <v>#REF!</v>
      </c>
      <c r="CE33" t="e">
        <f>AND(#REF!,"AAAAAH/PuFI=")</f>
        <v>#REF!</v>
      </c>
      <c r="CF33" t="e">
        <f>AND(#REF!,"AAAAAH/PuFM=")</f>
        <v>#REF!</v>
      </c>
      <c r="CG33" t="e">
        <f>AND(#REF!,"AAAAAH/PuFQ=")</f>
        <v>#REF!</v>
      </c>
      <c r="CH33" t="e">
        <f>AND(#REF!,"AAAAAH/PuFU=")</f>
        <v>#REF!</v>
      </c>
      <c r="CI33" t="e">
        <f>AND(#REF!,"AAAAAH/PuFY=")</f>
        <v>#REF!</v>
      </c>
      <c r="CJ33" t="e">
        <f>AND(#REF!,"AAAAAH/PuFc=")</f>
        <v>#REF!</v>
      </c>
      <c r="CK33" t="e">
        <f>AND(#REF!,"AAAAAH/PuFg=")</f>
        <v>#REF!</v>
      </c>
      <c r="CL33" t="e">
        <f>AND(#REF!,"AAAAAH/PuFk=")</f>
        <v>#REF!</v>
      </c>
      <c r="CM33" t="e">
        <f>AND(#REF!,"AAAAAH/PuFo=")</f>
        <v>#REF!</v>
      </c>
      <c r="CN33" t="e">
        <f>AND(#REF!,"AAAAAH/PuFs=")</f>
        <v>#REF!</v>
      </c>
      <c r="CO33" t="e">
        <f>AND(#REF!,"AAAAAH/PuFw=")</f>
        <v>#REF!</v>
      </c>
      <c r="CP33" t="e">
        <f>AND(#REF!,"AAAAAH/PuF0=")</f>
        <v>#REF!</v>
      </c>
      <c r="CQ33" t="e">
        <f>AND(#REF!,"AAAAAH/PuF4=")</f>
        <v>#REF!</v>
      </c>
      <c r="CR33" t="e">
        <f>AND(#REF!,"AAAAAH/PuF8=")</f>
        <v>#REF!</v>
      </c>
      <c r="CS33" t="e">
        <f>AND(#REF!,"AAAAAH/PuGA=")</f>
        <v>#REF!</v>
      </c>
      <c r="CT33" t="e">
        <f>AND(#REF!,"AAAAAH/PuGE=")</f>
        <v>#REF!</v>
      </c>
      <c r="CU33" t="e">
        <f>AND(#REF!,"AAAAAH/PuGI=")</f>
        <v>#REF!</v>
      </c>
      <c r="CV33" t="e">
        <f>AND(#REF!,"AAAAAH/PuGM=")</f>
        <v>#REF!</v>
      </c>
      <c r="CW33" t="e">
        <f>AND(#REF!,"AAAAAH/PuGQ=")</f>
        <v>#REF!</v>
      </c>
      <c r="CX33" t="e">
        <f>AND(#REF!,"AAAAAH/PuGU=")</f>
        <v>#REF!</v>
      </c>
      <c r="CY33" t="e">
        <f>AND(#REF!,"AAAAAH/PuGY=")</f>
        <v>#REF!</v>
      </c>
      <c r="CZ33" t="e">
        <f>AND(#REF!,"AAAAAH/PuGc=")</f>
        <v>#REF!</v>
      </c>
      <c r="DA33" t="e">
        <f>AND(#REF!,"AAAAAH/PuGg=")</f>
        <v>#REF!</v>
      </c>
      <c r="DB33" t="e">
        <f>AND(#REF!,"AAAAAH/PuGk=")</f>
        <v>#REF!</v>
      </c>
      <c r="DC33" t="e">
        <f>AND(#REF!,"AAAAAH/PuGo=")</f>
        <v>#REF!</v>
      </c>
      <c r="DD33" t="e">
        <f>AND(#REF!,"AAAAAH/PuGs=")</f>
        <v>#REF!</v>
      </c>
      <c r="DE33" t="e">
        <f>IF(#REF!,"AAAAAH/PuGw=",0)</f>
        <v>#REF!</v>
      </c>
      <c r="DF33" t="e">
        <f>AND(#REF!,"AAAAAH/PuG0=")</f>
        <v>#REF!</v>
      </c>
      <c r="DG33" t="e">
        <f>AND(#REF!,"AAAAAH/PuG4=")</f>
        <v>#REF!</v>
      </c>
      <c r="DH33" t="e">
        <f>AND(#REF!,"AAAAAH/PuG8=")</f>
        <v>#REF!</v>
      </c>
      <c r="DI33" t="e">
        <f>AND(#REF!,"AAAAAH/PuHA=")</f>
        <v>#REF!</v>
      </c>
      <c r="DJ33" t="e">
        <f>AND(#REF!,"AAAAAH/PuHE=")</f>
        <v>#REF!</v>
      </c>
      <c r="DK33" t="e">
        <f>AND(#REF!,"AAAAAH/PuHI=")</f>
        <v>#REF!</v>
      </c>
      <c r="DL33" t="e">
        <f>AND(#REF!,"AAAAAH/PuHM=")</f>
        <v>#REF!</v>
      </c>
      <c r="DM33" t="e">
        <f>AND(#REF!,"AAAAAH/PuHQ=")</f>
        <v>#REF!</v>
      </c>
      <c r="DN33" t="e">
        <f>AND(#REF!,"AAAAAH/PuHU=")</f>
        <v>#REF!</v>
      </c>
      <c r="DO33" t="e">
        <f>AND(#REF!,"AAAAAH/PuHY=")</f>
        <v>#REF!</v>
      </c>
      <c r="DP33" t="e">
        <f>AND(#REF!,"AAAAAH/PuHc=")</f>
        <v>#REF!</v>
      </c>
      <c r="DQ33" t="e">
        <f>AND(#REF!,"AAAAAH/PuHg=")</f>
        <v>#REF!</v>
      </c>
      <c r="DR33" t="e">
        <f>AND(#REF!,"AAAAAH/PuHk=")</f>
        <v>#REF!</v>
      </c>
      <c r="DS33" t="e">
        <f>AND(#REF!,"AAAAAH/PuHo=")</f>
        <v>#REF!</v>
      </c>
      <c r="DT33" t="e">
        <f>AND(#REF!,"AAAAAH/PuHs=")</f>
        <v>#REF!</v>
      </c>
      <c r="DU33" t="e">
        <f>AND(#REF!,"AAAAAH/PuHw=")</f>
        <v>#REF!</v>
      </c>
      <c r="DV33" t="e">
        <f>AND(#REF!,"AAAAAH/PuH0=")</f>
        <v>#REF!</v>
      </c>
      <c r="DW33" t="e">
        <f>AND(#REF!,"AAAAAH/PuH4=")</f>
        <v>#REF!</v>
      </c>
      <c r="DX33" t="e">
        <f>AND(#REF!,"AAAAAH/PuH8=")</f>
        <v>#REF!</v>
      </c>
      <c r="DY33" t="e">
        <f>AND(#REF!,"AAAAAH/PuIA=")</f>
        <v>#REF!</v>
      </c>
      <c r="DZ33" t="e">
        <f>AND(#REF!,"AAAAAH/PuIE=")</f>
        <v>#REF!</v>
      </c>
      <c r="EA33" t="e">
        <f>AND(#REF!,"AAAAAH/PuII=")</f>
        <v>#REF!</v>
      </c>
      <c r="EB33" t="e">
        <f>AND(#REF!,"AAAAAH/PuIM=")</f>
        <v>#REF!</v>
      </c>
      <c r="EC33" t="e">
        <f>AND(#REF!,"AAAAAH/PuIQ=")</f>
        <v>#REF!</v>
      </c>
      <c r="ED33" t="e">
        <f>AND(#REF!,"AAAAAH/PuIU=")</f>
        <v>#REF!</v>
      </c>
      <c r="EE33" t="e">
        <f>AND(#REF!,"AAAAAH/PuIY=")</f>
        <v>#REF!</v>
      </c>
      <c r="EF33" t="e">
        <f>AND(#REF!,"AAAAAH/PuIc=")</f>
        <v>#REF!</v>
      </c>
      <c r="EG33" t="e">
        <f>AND(#REF!,"AAAAAH/PuIg=")</f>
        <v>#REF!</v>
      </c>
      <c r="EH33" t="e">
        <f>AND(#REF!,"AAAAAH/PuIk=")</f>
        <v>#REF!</v>
      </c>
      <c r="EI33" t="e">
        <f>AND(#REF!,"AAAAAH/PuIo=")</f>
        <v>#REF!</v>
      </c>
      <c r="EJ33" t="e">
        <f>AND(#REF!,"AAAAAH/PuIs=")</f>
        <v>#REF!</v>
      </c>
      <c r="EK33" t="e">
        <f>AND(#REF!,"AAAAAH/PuIw=")</f>
        <v>#REF!</v>
      </c>
      <c r="EL33" t="e">
        <f>AND(#REF!,"AAAAAH/PuI0=")</f>
        <v>#REF!</v>
      </c>
      <c r="EM33" t="e">
        <f>AND(#REF!,"AAAAAH/PuI4=")</f>
        <v>#REF!</v>
      </c>
      <c r="EN33" t="e">
        <f>AND(#REF!,"AAAAAH/PuI8=")</f>
        <v>#REF!</v>
      </c>
      <c r="EO33" t="e">
        <f>AND(#REF!,"AAAAAH/PuJA=")</f>
        <v>#REF!</v>
      </c>
      <c r="EP33" t="e">
        <f>AND(#REF!,"AAAAAH/PuJE=")</f>
        <v>#REF!</v>
      </c>
      <c r="EQ33" t="e">
        <f>AND(#REF!,"AAAAAH/PuJI=")</f>
        <v>#REF!</v>
      </c>
      <c r="ER33" t="e">
        <f>AND(#REF!,"AAAAAH/PuJM=")</f>
        <v>#REF!</v>
      </c>
      <c r="ES33" t="e">
        <f>AND(#REF!,"AAAAAH/PuJQ=")</f>
        <v>#REF!</v>
      </c>
      <c r="ET33" t="e">
        <f>AND(#REF!,"AAAAAH/PuJU=")</f>
        <v>#REF!</v>
      </c>
      <c r="EU33" t="e">
        <f>AND(#REF!,"AAAAAH/PuJY=")</f>
        <v>#REF!</v>
      </c>
      <c r="EV33" t="e">
        <f>AND(#REF!,"AAAAAH/PuJc=")</f>
        <v>#REF!</v>
      </c>
      <c r="EW33" t="e">
        <f>AND(#REF!,"AAAAAH/PuJg=")</f>
        <v>#REF!</v>
      </c>
      <c r="EX33" t="e">
        <f>AND(#REF!,"AAAAAH/PuJk=")</f>
        <v>#REF!</v>
      </c>
      <c r="EY33" t="e">
        <f>AND(#REF!,"AAAAAH/PuJo=")</f>
        <v>#REF!</v>
      </c>
      <c r="EZ33" t="e">
        <f>AND(#REF!,"AAAAAH/PuJs=")</f>
        <v>#REF!</v>
      </c>
      <c r="FA33" t="e">
        <f>AND(#REF!,"AAAAAH/PuJw=")</f>
        <v>#REF!</v>
      </c>
      <c r="FB33" t="e">
        <f>AND(#REF!,"AAAAAH/PuJ0=")</f>
        <v>#REF!</v>
      </c>
      <c r="FC33" t="e">
        <f>AND(#REF!,"AAAAAH/PuJ4=")</f>
        <v>#REF!</v>
      </c>
      <c r="FD33" t="e">
        <f>AND(#REF!,"AAAAAH/PuJ8=")</f>
        <v>#REF!</v>
      </c>
      <c r="FE33" t="e">
        <f>AND(#REF!,"AAAAAH/PuKA=")</f>
        <v>#REF!</v>
      </c>
      <c r="FF33" t="e">
        <f>AND(#REF!,"AAAAAH/PuKE=")</f>
        <v>#REF!</v>
      </c>
      <c r="FG33" t="e">
        <f>AND(#REF!,"AAAAAH/PuKI=")</f>
        <v>#REF!</v>
      </c>
      <c r="FH33" t="e">
        <f>AND(#REF!,"AAAAAH/PuKM=")</f>
        <v>#REF!</v>
      </c>
      <c r="FI33" t="e">
        <f>AND(#REF!,"AAAAAH/PuKQ=")</f>
        <v>#REF!</v>
      </c>
      <c r="FJ33" t="e">
        <f>AND(#REF!,"AAAAAH/PuKU=")</f>
        <v>#REF!</v>
      </c>
      <c r="FK33" t="e">
        <f>AND(#REF!,"AAAAAH/PuKY=")</f>
        <v>#REF!</v>
      </c>
      <c r="FL33" t="e">
        <f>AND(#REF!,"AAAAAH/PuKc=")</f>
        <v>#REF!</v>
      </c>
      <c r="FM33" t="e">
        <f>AND(#REF!,"AAAAAH/PuKg=")</f>
        <v>#REF!</v>
      </c>
      <c r="FN33" t="e">
        <f>AND(#REF!,"AAAAAH/PuKk=")</f>
        <v>#REF!</v>
      </c>
      <c r="FO33" t="e">
        <f>AND(#REF!,"AAAAAH/PuKo=")</f>
        <v>#REF!</v>
      </c>
      <c r="FP33" t="e">
        <f>AND(#REF!,"AAAAAH/PuKs=")</f>
        <v>#REF!</v>
      </c>
      <c r="FQ33" t="e">
        <f>AND(#REF!,"AAAAAH/PuKw=")</f>
        <v>#REF!</v>
      </c>
      <c r="FR33" t="e">
        <f>AND(#REF!,"AAAAAH/PuK0=")</f>
        <v>#REF!</v>
      </c>
      <c r="FS33" t="e">
        <f>AND(#REF!,"AAAAAH/PuK4=")</f>
        <v>#REF!</v>
      </c>
      <c r="FT33" t="e">
        <f>AND(#REF!,"AAAAAH/PuK8=")</f>
        <v>#REF!</v>
      </c>
      <c r="FU33" t="e">
        <f>AND(#REF!,"AAAAAH/PuLA=")</f>
        <v>#REF!</v>
      </c>
      <c r="FV33" t="e">
        <f>AND(#REF!,"AAAAAH/PuLE=")</f>
        <v>#REF!</v>
      </c>
      <c r="FW33" t="e">
        <f>AND(#REF!,"AAAAAH/PuLI=")</f>
        <v>#REF!</v>
      </c>
      <c r="FX33" t="e">
        <f>AND(#REF!,"AAAAAH/PuLM=")</f>
        <v>#REF!</v>
      </c>
      <c r="FY33" t="e">
        <f>AND(#REF!,"AAAAAH/PuLQ=")</f>
        <v>#REF!</v>
      </c>
      <c r="FZ33" t="e">
        <f>AND(#REF!,"AAAAAH/PuLU=")</f>
        <v>#REF!</v>
      </c>
      <c r="GA33" t="e">
        <f>AND(#REF!,"AAAAAH/PuLY=")</f>
        <v>#REF!</v>
      </c>
      <c r="GB33" t="e">
        <f>AND(#REF!,"AAAAAH/PuLc=")</f>
        <v>#REF!</v>
      </c>
      <c r="GC33" t="e">
        <f>AND(#REF!,"AAAAAH/PuLg=")</f>
        <v>#REF!</v>
      </c>
      <c r="GD33" t="e">
        <f>AND(#REF!,"AAAAAH/PuLk=")</f>
        <v>#REF!</v>
      </c>
      <c r="GE33" t="e">
        <f>AND(#REF!,"AAAAAH/PuLo=")</f>
        <v>#REF!</v>
      </c>
      <c r="GF33" t="e">
        <f>AND(#REF!,"AAAAAH/PuLs=")</f>
        <v>#REF!</v>
      </c>
      <c r="GG33" t="e">
        <f>AND(#REF!,"AAAAAH/PuLw=")</f>
        <v>#REF!</v>
      </c>
      <c r="GH33" t="e">
        <f>AND(#REF!,"AAAAAH/PuL0=")</f>
        <v>#REF!</v>
      </c>
      <c r="GI33" t="e">
        <f>AND(#REF!,"AAAAAH/PuL4=")</f>
        <v>#REF!</v>
      </c>
      <c r="GJ33" t="e">
        <f>AND(#REF!,"AAAAAH/PuL8=")</f>
        <v>#REF!</v>
      </c>
      <c r="GK33" t="e">
        <f>AND(#REF!,"AAAAAH/PuMA=")</f>
        <v>#REF!</v>
      </c>
      <c r="GL33" t="e">
        <f>AND(#REF!,"AAAAAH/PuME=")</f>
        <v>#REF!</v>
      </c>
      <c r="GM33" t="e">
        <f>AND(#REF!,"AAAAAH/PuMI=")</f>
        <v>#REF!</v>
      </c>
      <c r="GN33" t="e">
        <f>AND(#REF!,"AAAAAH/PuMM=")</f>
        <v>#REF!</v>
      </c>
      <c r="GO33" t="e">
        <f>AND(#REF!,"AAAAAH/PuMQ=")</f>
        <v>#REF!</v>
      </c>
      <c r="GP33" t="e">
        <f>AND(#REF!,"AAAAAH/PuMU=")</f>
        <v>#REF!</v>
      </c>
      <c r="GQ33" t="e">
        <f>AND(#REF!,"AAAAAH/PuMY=")</f>
        <v>#REF!</v>
      </c>
      <c r="GR33" t="e">
        <f>AND(#REF!,"AAAAAH/PuMc=")</f>
        <v>#REF!</v>
      </c>
      <c r="GS33" t="e">
        <f>AND(#REF!,"AAAAAH/PuMg=")</f>
        <v>#REF!</v>
      </c>
      <c r="GT33" t="e">
        <f>AND(#REF!,"AAAAAH/PuMk=")</f>
        <v>#REF!</v>
      </c>
      <c r="GU33" t="e">
        <f>AND(#REF!,"AAAAAH/PuMo=")</f>
        <v>#REF!</v>
      </c>
      <c r="GV33" t="e">
        <f>AND(#REF!,"AAAAAH/PuMs=")</f>
        <v>#REF!</v>
      </c>
      <c r="GW33" t="e">
        <f>AND(#REF!,"AAAAAH/PuMw=")</f>
        <v>#REF!</v>
      </c>
      <c r="GX33" t="e">
        <f>AND(#REF!,"AAAAAH/PuM0=")</f>
        <v>#REF!</v>
      </c>
      <c r="GY33" t="e">
        <f>AND(#REF!,"AAAAAH/PuM4=")</f>
        <v>#REF!</v>
      </c>
      <c r="GZ33" t="e">
        <f>AND(#REF!,"AAAAAH/PuM8=")</f>
        <v>#REF!</v>
      </c>
      <c r="HA33" t="e">
        <f>AND(#REF!,"AAAAAH/PuNA=")</f>
        <v>#REF!</v>
      </c>
      <c r="HB33" t="e">
        <f>AND(#REF!,"AAAAAH/PuNE=")</f>
        <v>#REF!</v>
      </c>
      <c r="HC33" t="e">
        <f>AND(#REF!,"AAAAAH/PuNI=")</f>
        <v>#REF!</v>
      </c>
      <c r="HD33" t="e">
        <f>AND(#REF!,"AAAAAH/PuNM=")</f>
        <v>#REF!</v>
      </c>
      <c r="HE33" t="e">
        <f>AND(#REF!,"AAAAAH/PuNQ=")</f>
        <v>#REF!</v>
      </c>
      <c r="HF33" t="e">
        <f>IF(#REF!,"AAAAAH/PuNU=",0)</f>
        <v>#REF!</v>
      </c>
      <c r="HG33" t="e">
        <f>AND(#REF!,"AAAAAH/PuNY=")</f>
        <v>#REF!</v>
      </c>
      <c r="HH33" t="e">
        <f>AND(#REF!,"AAAAAH/PuNc=")</f>
        <v>#REF!</v>
      </c>
      <c r="HI33" t="e">
        <f>AND(#REF!,"AAAAAH/PuNg=")</f>
        <v>#REF!</v>
      </c>
      <c r="HJ33" t="e">
        <f>AND(#REF!,"AAAAAH/PuNk=")</f>
        <v>#REF!</v>
      </c>
      <c r="HK33" t="e">
        <f>AND(#REF!,"AAAAAH/PuNo=")</f>
        <v>#REF!</v>
      </c>
      <c r="HL33" t="e">
        <f>AND(#REF!,"AAAAAH/PuNs=")</f>
        <v>#REF!</v>
      </c>
      <c r="HM33" t="e">
        <f>AND(#REF!,"AAAAAH/PuNw=")</f>
        <v>#REF!</v>
      </c>
      <c r="HN33" t="e">
        <f>AND(#REF!,"AAAAAH/PuN0=")</f>
        <v>#REF!</v>
      </c>
      <c r="HO33" t="e">
        <f>AND(#REF!,"AAAAAH/PuN4=")</f>
        <v>#REF!</v>
      </c>
      <c r="HP33" t="e">
        <f>AND(#REF!,"AAAAAH/PuN8=")</f>
        <v>#REF!</v>
      </c>
      <c r="HQ33" t="e">
        <f>AND(#REF!,"AAAAAH/PuOA=")</f>
        <v>#REF!</v>
      </c>
      <c r="HR33" t="e">
        <f>AND(#REF!,"AAAAAH/PuOE=")</f>
        <v>#REF!</v>
      </c>
      <c r="HS33" t="e">
        <f>AND(#REF!,"AAAAAH/PuOI=")</f>
        <v>#REF!</v>
      </c>
      <c r="HT33" t="e">
        <f>AND(#REF!,"AAAAAH/PuOM=")</f>
        <v>#REF!</v>
      </c>
      <c r="HU33" t="e">
        <f>AND(#REF!,"AAAAAH/PuOQ=")</f>
        <v>#REF!</v>
      </c>
      <c r="HV33" t="e">
        <f>AND(#REF!,"AAAAAH/PuOU=")</f>
        <v>#REF!</v>
      </c>
      <c r="HW33" t="e">
        <f>AND(#REF!,"AAAAAH/PuOY=")</f>
        <v>#REF!</v>
      </c>
      <c r="HX33" t="e">
        <f>AND(#REF!,"AAAAAH/PuOc=")</f>
        <v>#REF!</v>
      </c>
      <c r="HY33" t="e">
        <f>AND(#REF!,"AAAAAH/PuOg=")</f>
        <v>#REF!</v>
      </c>
      <c r="HZ33" t="e">
        <f>AND(#REF!,"AAAAAH/PuOk=")</f>
        <v>#REF!</v>
      </c>
      <c r="IA33" t="e">
        <f>AND(#REF!,"AAAAAH/PuOo=")</f>
        <v>#REF!</v>
      </c>
      <c r="IB33" t="e">
        <f>AND(#REF!,"AAAAAH/PuOs=")</f>
        <v>#REF!</v>
      </c>
      <c r="IC33" t="e">
        <f>AND(#REF!,"AAAAAH/PuOw=")</f>
        <v>#REF!</v>
      </c>
      <c r="ID33" t="e">
        <f>AND(#REF!,"AAAAAH/PuO0=")</f>
        <v>#REF!</v>
      </c>
      <c r="IE33" t="e">
        <f>AND(#REF!,"AAAAAH/PuO4=")</f>
        <v>#REF!</v>
      </c>
      <c r="IF33" t="e">
        <f>AND(#REF!,"AAAAAH/PuO8=")</f>
        <v>#REF!</v>
      </c>
      <c r="IG33" t="e">
        <f>AND(#REF!,"AAAAAH/PuPA=")</f>
        <v>#REF!</v>
      </c>
      <c r="IH33" t="e">
        <f>AND(#REF!,"AAAAAH/PuPE=")</f>
        <v>#REF!</v>
      </c>
      <c r="II33" t="e">
        <f>AND(#REF!,"AAAAAH/PuPI=")</f>
        <v>#REF!</v>
      </c>
      <c r="IJ33" t="e">
        <f>AND(#REF!,"AAAAAH/PuPM=")</f>
        <v>#REF!</v>
      </c>
      <c r="IK33" t="e">
        <f>AND(#REF!,"AAAAAH/PuPQ=")</f>
        <v>#REF!</v>
      </c>
      <c r="IL33" t="e">
        <f>AND(#REF!,"AAAAAH/PuPU=")</f>
        <v>#REF!</v>
      </c>
      <c r="IM33" t="e">
        <f>AND(#REF!,"AAAAAH/PuPY=")</f>
        <v>#REF!</v>
      </c>
      <c r="IN33" t="e">
        <f>AND(#REF!,"AAAAAH/PuPc=")</f>
        <v>#REF!</v>
      </c>
      <c r="IO33" t="e">
        <f>AND(#REF!,"AAAAAH/PuPg=")</f>
        <v>#REF!</v>
      </c>
      <c r="IP33" t="e">
        <f>AND(#REF!,"AAAAAH/PuPk=")</f>
        <v>#REF!</v>
      </c>
      <c r="IQ33" t="e">
        <f>AND(#REF!,"AAAAAH/PuPo=")</f>
        <v>#REF!</v>
      </c>
      <c r="IR33" t="e">
        <f>AND(#REF!,"AAAAAH/PuPs=")</f>
        <v>#REF!</v>
      </c>
      <c r="IS33" t="e">
        <f>AND(#REF!,"AAAAAH/PuPw=")</f>
        <v>#REF!</v>
      </c>
      <c r="IT33" t="e">
        <f>AND(#REF!,"AAAAAH/PuP0=")</f>
        <v>#REF!</v>
      </c>
      <c r="IU33" t="e">
        <f>AND(#REF!,"AAAAAH/PuP4=")</f>
        <v>#REF!</v>
      </c>
      <c r="IV33" t="e">
        <f>AND(#REF!,"AAAAAH/PuP8=")</f>
        <v>#REF!</v>
      </c>
    </row>
    <row r="34" spans="1:256" x14ac:dyDescent="0.25">
      <c r="A34" t="e">
        <f>AND(#REF!,"AAAAADeu/gA=")</f>
        <v>#REF!</v>
      </c>
      <c r="B34" t="e">
        <f>AND(#REF!,"AAAAADeu/gE=")</f>
        <v>#REF!</v>
      </c>
      <c r="C34" t="e">
        <f>AND(#REF!,"AAAAADeu/gI=")</f>
        <v>#REF!</v>
      </c>
      <c r="D34" t="e">
        <f>AND(#REF!,"AAAAADeu/gM=")</f>
        <v>#REF!</v>
      </c>
      <c r="E34" t="e">
        <f>AND(#REF!,"AAAAADeu/gQ=")</f>
        <v>#REF!</v>
      </c>
      <c r="F34" t="e">
        <f>AND(#REF!,"AAAAADeu/gU=")</f>
        <v>#REF!</v>
      </c>
      <c r="G34" t="e">
        <f>AND(#REF!,"AAAAADeu/gY=")</f>
        <v>#REF!</v>
      </c>
      <c r="H34" t="e">
        <f>AND(#REF!,"AAAAADeu/gc=")</f>
        <v>#REF!</v>
      </c>
      <c r="I34" t="e">
        <f>AND(#REF!,"AAAAADeu/gg=")</f>
        <v>#REF!</v>
      </c>
      <c r="J34" t="e">
        <f>AND(#REF!,"AAAAADeu/gk=")</f>
        <v>#REF!</v>
      </c>
      <c r="K34" t="e">
        <f>AND(#REF!,"AAAAADeu/go=")</f>
        <v>#REF!</v>
      </c>
      <c r="L34" t="e">
        <f>AND(#REF!,"AAAAADeu/gs=")</f>
        <v>#REF!</v>
      </c>
      <c r="M34" t="e">
        <f>AND(#REF!,"AAAAADeu/gw=")</f>
        <v>#REF!</v>
      </c>
      <c r="N34" t="e">
        <f>AND(#REF!,"AAAAADeu/g0=")</f>
        <v>#REF!</v>
      </c>
      <c r="O34" t="e">
        <f>AND(#REF!,"AAAAADeu/g4=")</f>
        <v>#REF!</v>
      </c>
      <c r="P34" t="e">
        <f>AND(#REF!,"AAAAADeu/g8=")</f>
        <v>#REF!</v>
      </c>
      <c r="Q34" t="e">
        <f>AND(#REF!,"AAAAADeu/hA=")</f>
        <v>#REF!</v>
      </c>
      <c r="R34" t="e">
        <f>AND(#REF!,"AAAAADeu/hE=")</f>
        <v>#REF!</v>
      </c>
      <c r="S34" t="e">
        <f>AND(#REF!,"AAAAADeu/hI=")</f>
        <v>#REF!</v>
      </c>
      <c r="T34" t="e">
        <f>AND(#REF!,"AAAAADeu/hM=")</f>
        <v>#REF!</v>
      </c>
      <c r="U34" t="e">
        <f>AND(#REF!,"AAAAADeu/hQ=")</f>
        <v>#REF!</v>
      </c>
      <c r="V34" t="e">
        <f>AND(#REF!,"AAAAADeu/hU=")</f>
        <v>#REF!</v>
      </c>
      <c r="W34" t="e">
        <f>AND(#REF!,"AAAAADeu/hY=")</f>
        <v>#REF!</v>
      </c>
      <c r="X34" t="e">
        <f>AND(#REF!,"AAAAADeu/hc=")</f>
        <v>#REF!</v>
      </c>
      <c r="Y34" t="e">
        <f>AND(#REF!,"AAAAADeu/hg=")</f>
        <v>#REF!</v>
      </c>
      <c r="Z34" t="e">
        <f>AND(#REF!,"AAAAADeu/hk=")</f>
        <v>#REF!</v>
      </c>
      <c r="AA34" t="e">
        <f>AND(#REF!,"AAAAADeu/ho=")</f>
        <v>#REF!</v>
      </c>
      <c r="AB34" t="e">
        <f>AND(#REF!,"AAAAADeu/hs=")</f>
        <v>#REF!</v>
      </c>
      <c r="AC34" t="e">
        <f>AND(#REF!,"AAAAADeu/hw=")</f>
        <v>#REF!</v>
      </c>
      <c r="AD34" t="e">
        <f>AND(#REF!,"AAAAADeu/h0=")</f>
        <v>#REF!</v>
      </c>
      <c r="AE34" t="e">
        <f>AND(#REF!,"AAAAADeu/h4=")</f>
        <v>#REF!</v>
      </c>
      <c r="AF34" t="e">
        <f>AND(#REF!,"AAAAADeu/h8=")</f>
        <v>#REF!</v>
      </c>
      <c r="AG34" t="e">
        <f>AND(#REF!,"AAAAADeu/iA=")</f>
        <v>#REF!</v>
      </c>
      <c r="AH34" t="e">
        <f>AND(#REF!,"AAAAADeu/iE=")</f>
        <v>#REF!</v>
      </c>
      <c r="AI34" t="e">
        <f>AND(#REF!,"AAAAADeu/iI=")</f>
        <v>#REF!</v>
      </c>
      <c r="AJ34" t="e">
        <f>AND(#REF!,"AAAAADeu/iM=")</f>
        <v>#REF!</v>
      </c>
      <c r="AK34" t="e">
        <f>AND(#REF!,"AAAAADeu/iQ=")</f>
        <v>#REF!</v>
      </c>
      <c r="AL34" t="e">
        <f>AND(#REF!,"AAAAADeu/iU=")</f>
        <v>#REF!</v>
      </c>
      <c r="AM34" t="e">
        <f>AND(#REF!,"AAAAADeu/iY=")</f>
        <v>#REF!</v>
      </c>
      <c r="AN34" t="e">
        <f>AND(#REF!,"AAAAADeu/ic=")</f>
        <v>#REF!</v>
      </c>
      <c r="AO34" t="e">
        <f>AND(#REF!,"AAAAADeu/ig=")</f>
        <v>#REF!</v>
      </c>
      <c r="AP34" t="e">
        <f>AND(#REF!,"AAAAADeu/ik=")</f>
        <v>#REF!</v>
      </c>
      <c r="AQ34" t="e">
        <f>AND(#REF!,"AAAAADeu/io=")</f>
        <v>#REF!</v>
      </c>
      <c r="AR34" t="e">
        <f>AND(#REF!,"AAAAADeu/is=")</f>
        <v>#REF!</v>
      </c>
      <c r="AS34" t="e">
        <f>AND(#REF!,"AAAAADeu/iw=")</f>
        <v>#REF!</v>
      </c>
      <c r="AT34" t="e">
        <f>AND(#REF!,"AAAAADeu/i0=")</f>
        <v>#REF!</v>
      </c>
      <c r="AU34" t="e">
        <f>AND(#REF!,"AAAAADeu/i4=")</f>
        <v>#REF!</v>
      </c>
      <c r="AV34" t="e">
        <f>AND(#REF!,"AAAAADeu/i8=")</f>
        <v>#REF!</v>
      </c>
      <c r="AW34" t="e">
        <f>AND(#REF!,"AAAAADeu/jA=")</f>
        <v>#REF!</v>
      </c>
      <c r="AX34" t="e">
        <f>AND(#REF!,"AAAAADeu/jE=")</f>
        <v>#REF!</v>
      </c>
      <c r="AY34" t="e">
        <f>AND(#REF!,"AAAAADeu/jI=")</f>
        <v>#REF!</v>
      </c>
      <c r="AZ34" t="e">
        <f>AND(#REF!,"AAAAADeu/jM=")</f>
        <v>#REF!</v>
      </c>
      <c r="BA34" t="e">
        <f>AND(#REF!,"AAAAADeu/jQ=")</f>
        <v>#REF!</v>
      </c>
      <c r="BB34" t="e">
        <f>AND(#REF!,"AAAAADeu/jU=")</f>
        <v>#REF!</v>
      </c>
      <c r="BC34" t="e">
        <f>AND(#REF!,"AAAAADeu/jY=")</f>
        <v>#REF!</v>
      </c>
      <c r="BD34" t="e">
        <f>AND(#REF!,"AAAAADeu/jc=")</f>
        <v>#REF!</v>
      </c>
      <c r="BE34" t="e">
        <f>AND(#REF!,"AAAAADeu/jg=")</f>
        <v>#REF!</v>
      </c>
      <c r="BF34" t="e">
        <f>AND(#REF!,"AAAAADeu/jk=")</f>
        <v>#REF!</v>
      </c>
      <c r="BG34" t="e">
        <f>AND(#REF!,"AAAAADeu/jo=")</f>
        <v>#REF!</v>
      </c>
      <c r="BH34" t="e">
        <f>AND(#REF!,"AAAAADeu/js=")</f>
        <v>#REF!</v>
      </c>
      <c r="BI34" t="e">
        <f>AND(#REF!,"AAAAADeu/jw=")</f>
        <v>#REF!</v>
      </c>
      <c r="BJ34" t="e">
        <f>AND(#REF!,"AAAAADeu/j0=")</f>
        <v>#REF!</v>
      </c>
      <c r="BK34" t="e">
        <f>IF(#REF!,"AAAAADeu/j4=",0)</f>
        <v>#REF!</v>
      </c>
      <c r="BL34" t="e">
        <f>AND(#REF!,"AAAAADeu/j8=")</f>
        <v>#REF!</v>
      </c>
      <c r="BM34" t="e">
        <f>AND(#REF!,"AAAAADeu/kA=")</f>
        <v>#REF!</v>
      </c>
      <c r="BN34" t="e">
        <f>AND(#REF!,"AAAAADeu/kE=")</f>
        <v>#REF!</v>
      </c>
      <c r="BO34" t="e">
        <f>AND(#REF!,"AAAAADeu/kI=")</f>
        <v>#REF!</v>
      </c>
      <c r="BP34" t="e">
        <f>AND(#REF!,"AAAAADeu/kM=")</f>
        <v>#REF!</v>
      </c>
      <c r="BQ34" t="e">
        <f>AND(#REF!,"AAAAADeu/kQ=")</f>
        <v>#REF!</v>
      </c>
      <c r="BR34" t="e">
        <f>AND(#REF!,"AAAAADeu/kU=")</f>
        <v>#REF!</v>
      </c>
      <c r="BS34" t="e">
        <f>AND(#REF!,"AAAAADeu/kY=")</f>
        <v>#REF!</v>
      </c>
      <c r="BT34" t="e">
        <f>AND(#REF!,"AAAAADeu/kc=")</f>
        <v>#REF!</v>
      </c>
      <c r="BU34" t="e">
        <f>AND(#REF!,"AAAAADeu/kg=")</f>
        <v>#REF!</v>
      </c>
      <c r="BV34" t="e">
        <f>AND(#REF!,"AAAAADeu/kk=")</f>
        <v>#REF!</v>
      </c>
      <c r="BW34" t="e">
        <f>AND(#REF!,"AAAAADeu/ko=")</f>
        <v>#REF!</v>
      </c>
      <c r="BX34" t="e">
        <f>AND(#REF!,"AAAAADeu/ks=")</f>
        <v>#REF!</v>
      </c>
      <c r="BY34" t="e">
        <f>AND(#REF!,"AAAAADeu/kw=")</f>
        <v>#REF!</v>
      </c>
      <c r="BZ34" t="e">
        <f>AND(#REF!,"AAAAADeu/k0=")</f>
        <v>#REF!</v>
      </c>
      <c r="CA34" t="e">
        <f>AND(#REF!,"AAAAADeu/k4=")</f>
        <v>#REF!</v>
      </c>
      <c r="CB34" t="e">
        <f>AND(#REF!,"AAAAADeu/k8=")</f>
        <v>#REF!</v>
      </c>
      <c r="CC34" t="e">
        <f>AND(#REF!,"AAAAADeu/lA=")</f>
        <v>#REF!</v>
      </c>
      <c r="CD34" t="e">
        <f>AND(#REF!,"AAAAADeu/lE=")</f>
        <v>#REF!</v>
      </c>
      <c r="CE34" t="e">
        <f>AND(#REF!,"AAAAADeu/lI=")</f>
        <v>#REF!</v>
      </c>
      <c r="CF34" t="e">
        <f>AND(#REF!,"AAAAADeu/lM=")</f>
        <v>#REF!</v>
      </c>
      <c r="CG34" t="e">
        <f>AND(#REF!,"AAAAADeu/lQ=")</f>
        <v>#REF!</v>
      </c>
      <c r="CH34" t="e">
        <f>AND(#REF!,"AAAAADeu/lU=")</f>
        <v>#REF!</v>
      </c>
      <c r="CI34" t="e">
        <f>AND(#REF!,"AAAAADeu/lY=")</f>
        <v>#REF!</v>
      </c>
      <c r="CJ34" t="e">
        <f>AND(#REF!,"AAAAADeu/lc=")</f>
        <v>#REF!</v>
      </c>
      <c r="CK34" t="e">
        <f>AND(#REF!,"AAAAADeu/lg=")</f>
        <v>#REF!</v>
      </c>
      <c r="CL34" t="e">
        <f>AND(#REF!,"AAAAADeu/lk=")</f>
        <v>#REF!</v>
      </c>
      <c r="CM34" t="e">
        <f>AND(#REF!,"AAAAADeu/lo=")</f>
        <v>#REF!</v>
      </c>
      <c r="CN34" t="e">
        <f>AND(#REF!,"AAAAADeu/ls=")</f>
        <v>#REF!</v>
      </c>
      <c r="CO34" t="e">
        <f>AND(#REF!,"AAAAADeu/lw=")</f>
        <v>#REF!</v>
      </c>
      <c r="CP34" t="e">
        <f>AND(#REF!,"AAAAADeu/l0=")</f>
        <v>#REF!</v>
      </c>
      <c r="CQ34" t="e">
        <f>AND(#REF!,"AAAAADeu/l4=")</f>
        <v>#REF!</v>
      </c>
      <c r="CR34" t="e">
        <f>AND(#REF!,"AAAAADeu/l8=")</f>
        <v>#REF!</v>
      </c>
      <c r="CS34" t="e">
        <f>AND(#REF!,"AAAAADeu/mA=")</f>
        <v>#REF!</v>
      </c>
      <c r="CT34" t="e">
        <f>AND(#REF!,"AAAAADeu/mE=")</f>
        <v>#REF!</v>
      </c>
      <c r="CU34" t="e">
        <f>AND(#REF!,"AAAAADeu/mI=")</f>
        <v>#REF!</v>
      </c>
      <c r="CV34" t="e">
        <f>AND(#REF!,"AAAAADeu/mM=")</f>
        <v>#REF!</v>
      </c>
      <c r="CW34" t="e">
        <f>AND(#REF!,"AAAAADeu/mQ=")</f>
        <v>#REF!</v>
      </c>
      <c r="CX34" t="e">
        <f>AND(#REF!,"AAAAADeu/mU=")</f>
        <v>#REF!</v>
      </c>
      <c r="CY34" t="e">
        <f>AND(#REF!,"AAAAADeu/mY=")</f>
        <v>#REF!</v>
      </c>
      <c r="CZ34" t="e">
        <f>AND(#REF!,"AAAAADeu/mc=")</f>
        <v>#REF!</v>
      </c>
      <c r="DA34" t="e">
        <f>AND(#REF!,"AAAAADeu/mg=")</f>
        <v>#REF!</v>
      </c>
      <c r="DB34" t="e">
        <f>AND(#REF!,"AAAAADeu/mk=")</f>
        <v>#REF!</v>
      </c>
      <c r="DC34" t="e">
        <f>AND(#REF!,"AAAAADeu/mo=")</f>
        <v>#REF!</v>
      </c>
      <c r="DD34" t="e">
        <f>AND(#REF!,"AAAAADeu/ms=")</f>
        <v>#REF!</v>
      </c>
      <c r="DE34" t="e">
        <f>AND(#REF!,"AAAAADeu/mw=")</f>
        <v>#REF!</v>
      </c>
      <c r="DF34" t="e">
        <f>AND(#REF!,"AAAAADeu/m0=")</f>
        <v>#REF!</v>
      </c>
      <c r="DG34" t="e">
        <f>AND(#REF!,"AAAAADeu/m4=")</f>
        <v>#REF!</v>
      </c>
      <c r="DH34" t="e">
        <f>AND(#REF!,"AAAAADeu/m8=")</f>
        <v>#REF!</v>
      </c>
      <c r="DI34" t="e">
        <f>AND(#REF!,"AAAAADeu/nA=")</f>
        <v>#REF!</v>
      </c>
      <c r="DJ34" t="e">
        <f>AND(#REF!,"AAAAADeu/nE=")</f>
        <v>#REF!</v>
      </c>
      <c r="DK34" t="e">
        <f>AND(#REF!,"AAAAADeu/nI=")</f>
        <v>#REF!</v>
      </c>
      <c r="DL34" t="e">
        <f>AND(#REF!,"AAAAADeu/nM=")</f>
        <v>#REF!</v>
      </c>
      <c r="DM34" t="e">
        <f>AND(#REF!,"AAAAADeu/nQ=")</f>
        <v>#REF!</v>
      </c>
      <c r="DN34" t="e">
        <f>AND(#REF!,"AAAAADeu/nU=")</f>
        <v>#REF!</v>
      </c>
      <c r="DO34" t="e">
        <f>AND(#REF!,"AAAAADeu/nY=")</f>
        <v>#REF!</v>
      </c>
      <c r="DP34" t="e">
        <f>AND(#REF!,"AAAAADeu/nc=")</f>
        <v>#REF!</v>
      </c>
      <c r="DQ34" t="e">
        <f>AND(#REF!,"AAAAADeu/ng=")</f>
        <v>#REF!</v>
      </c>
      <c r="DR34" t="e">
        <f>AND(#REF!,"AAAAADeu/nk=")</f>
        <v>#REF!</v>
      </c>
      <c r="DS34" t="e">
        <f>AND(#REF!,"AAAAADeu/no=")</f>
        <v>#REF!</v>
      </c>
      <c r="DT34" t="e">
        <f>AND(#REF!,"AAAAADeu/ns=")</f>
        <v>#REF!</v>
      </c>
      <c r="DU34" t="e">
        <f>AND(#REF!,"AAAAADeu/nw=")</f>
        <v>#REF!</v>
      </c>
      <c r="DV34" t="e">
        <f>AND(#REF!,"AAAAADeu/n0=")</f>
        <v>#REF!</v>
      </c>
      <c r="DW34" t="e">
        <f>AND(#REF!,"AAAAADeu/n4=")</f>
        <v>#REF!</v>
      </c>
      <c r="DX34" t="e">
        <f>AND(#REF!,"AAAAADeu/n8=")</f>
        <v>#REF!</v>
      </c>
      <c r="DY34" t="e">
        <f>AND(#REF!,"AAAAADeu/oA=")</f>
        <v>#REF!</v>
      </c>
      <c r="DZ34" t="e">
        <f>AND(#REF!,"AAAAADeu/oE=")</f>
        <v>#REF!</v>
      </c>
      <c r="EA34" t="e">
        <f>AND(#REF!,"AAAAADeu/oI=")</f>
        <v>#REF!</v>
      </c>
      <c r="EB34" t="e">
        <f>AND(#REF!,"AAAAADeu/oM=")</f>
        <v>#REF!</v>
      </c>
      <c r="EC34" t="e">
        <f>AND(#REF!,"AAAAADeu/oQ=")</f>
        <v>#REF!</v>
      </c>
      <c r="ED34" t="e">
        <f>AND(#REF!,"AAAAADeu/oU=")</f>
        <v>#REF!</v>
      </c>
      <c r="EE34" t="e">
        <f>AND(#REF!,"AAAAADeu/oY=")</f>
        <v>#REF!</v>
      </c>
      <c r="EF34" t="e">
        <f>AND(#REF!,"AAAAADeu/oc=")</f>
        <v>#REF!</v>
      </c>
      <c r="EG34" t="e">
        <f>AND(#REF!,"AAAAADeu/og=")</f>
        <v>#REF!</v>
      </c>
      <c r="EH34" t="e">
        <f>AND(#REF!,"AAAAADeu/ok=")</f>
        <v>#REF!</v>
      </c>
      <c r="EI34" t="e">
        <f>AND(#REF!,"AAAAADeu/oo=")</f>
        <v>#REF!</v>
      </c>
      <c r="EJ34" t="e">
        <f>AND(#REF!,"AAAAADeu/os=")</f>
        <v>#REF!</v>
      </c>
      <c r="EK34" t="e">
        <f>AND(#REF!,"AAAAADeu/ow=")</f>
        <v>#REF!</v>
      </c>
      <c r="EL34" t="e">
        <f>AND(#REF!,"AAAAADeu/o0=")</f>
        <v>#REF!</v>
      </c>
      <c r="EM34" t="e">
        <f>AND(#REF!,"AAAAADeu/o4=")</f>
        <v>#REF!</v>
      </c>
      <c r="EN34" t="e">
        <f>AND(#REF!,"AAAAADeu/o8=")</f>
        <v>#REF!</v>
      </c>
      <c r="EO34" t="e">
        <f>AND(#REF!,"AAAAADeu/pA=")</f>
        <v>#REF!</v>
      </c>
      <c r="EP34" t="e">
        <f>AND(#REF!,"AAAAADeu/pE=")</f>
        <v>#REF!</v>
      </c>
      <c r="EQ34" t="e">
        <f>AND(#REF!,"AAAAADeu/pI=")</f>
        <v>#REF!</v>
      </c>
      <c r="ER34" t="e">
        <f>AND(#REF!,"AAAAADeu/pM=")</f>
        <v>#REF!</v>
      </c>
      <c r="ES34" t="e">
        <f>AND(#REF!,"AAAAADeu/pQ=")</f>
        <v>#REF!</v>
      </c>
      <c r="ET34" t="e">
        <f>AND(#REF!,"AAAAADeu/pU=")</f>
        <v>#REF!</v>
      </c>
      <c r="EU34" t="e">
        <f>AND(#REF!,"AAAAADeu/pY=")</f>
        <v>#REF!</v>
      </c>
      <c r="EV34" t="e">
        <f>AND(#REF!,"AAAAADeu/pc=")</f>
        <v>#REF!</v>
      </c>
      <c r="EW34" t="e">
        <f>AND(#REF!,"AAAAADeu/pg=")</f>
        <v>#REF!</v>
      </c>
      <c r="EX34" t="e">
        <f>AND(#REF!,"AAAAADeu/pk=")</f>
        <v>#REF!</v>
      </c>
      <c r="EY34" t="e">
        <f>AND(#REF!,"AAAAADeu/po=")</f>
        <v>#REF!</v>
      </c>
      <c r="EZ34" t="e">
        <f>AND(#REF!,"AAAAADeu/ps=")</f>
        <v>#REF!</v>
      </c>
      <c r="FA34" t="e">
        <f>AND(#REF!,"AAAAADeu/pw=")</f>
        <v>#REF!</v>
      </c>
      <c r="FB34" t="e">
        <f>AND(#REF!,"AAAAADeu/p0=")</f>
        <v>#REF!</v>
      </c>
      <c r="FC34" t="e">
        <f>AND(#REF!,"AAAAADeu/p4=")</f>
        <v>#REF!</v>
      </c>
      <c r="FD34" t="e">
        <f>AND(#REF!,"AAAAADeu/p8=")</f>
        <v>#REF!</v>
      </c>
      <c r="FE34" t="e">
        <f>AND(#REF!,"AAAAADeu/qA=")</f>
        <v>#REF!</v>
      </c>
      <c r="FF34" t="e">
        <f>AND(#REF!,"AAAAADeu/qE=")</f>
        <v>#REF!</v>
      </c>
      <c r="FG34" t="e">
        <f>AND(#REF!,"AAAAADeu/qI=")</f>
        <v>#REF!</v>
      </c>
      <c r="FH34" t="e">
        <f>AND(#REF!,"AAAAADeu/qM=")</f>
        <v>#REF!</v>
      </c>
      <c r="FI34" t="e">
        <f>AND(#REF!,"AAAAADeu/qQ=")</f>
        <v>#REF!</v>
      </c>
      <c r="FJ34" t="e">
        <f>AND(#REF!,"AAAAADeu/qU=")</f>
        <v>#REF!</v>
      </c>
      <c r="FK34" t="e">
        <f>AND(#REF!,"AAAAADeu/qY=")</f>
        <v>#REF!</v>
      </c>
      <c r="FL34" t="e">
        <f>IF(#REF!,"AAAAADeu/qc=",0)</f>
        <v>#REF!</v>
      </c>
      <c r="FM34" t="e">
        <f>AND(#REF!,"AAAAADeu/qg=")</f>
        <v>#REF!</v>
      </c>
      <c r="FN34" t="e">
        <f>AND(#REF!,"AAAAADeu/qk=")</f>
        <v>#REF!</v>
      </c>
      <c r="FO34" t="e">
        <f>AND(#REF!,"AAAAADeu/qo=")</f>
        <v>#REF!</v>
      </c>
      <c r="FP34" t="e">
        <f>AND(#REF!,"AAAAADeu/qs=")</f>
        <v>#REF!</v>
      </c>
      <c r="FQ34" t="e">
        <f>AND(#REF!,"AAAAADeu/qw=")</f>
        <v>#REF!</v>
      </c>
      <c r="FR34" t="e">
        <f>AND(#REF!,"AAAAADeu/q0=")</f>
        <v>#REF!</v>
      </c>
      <c r="FS34" t="e">
        <f>AND(#REF!,"AAAAADeu/q4=")</f>
        <v>#REF!</v>
      </c>
      <c r="FT34" t="e">
        <f>AND(#REF!,"AAAAADeu/q8=")</f>
        <v>#REF!</v>
      </c>
      <c r="FU34" t="e">
        <f>AND(#REF!,"AAAAADeu/rA=")</f>
        <v>#REF!</v>
      </c>
      <c r="FV34" t="e">
        <f>AND(#REF!,"AAAAADeu/rE=")</f>
        <v>#REF!</v>
      </c>
      <c r="FW34" t="e">
        <f>AND(#REF!,"AAAAADeu/rI=")</f>
        <v>#REF!</v>
      </c>
      <c r="FX34" t="e">
        <f>AND(#REF!,"AAAAADeu/rM=")</f>
        <v>#REF!</v>
      </c>
      <c r="FY34" t="e">
        <f>AND(#REF!,"AAAAADeu/rQ=")</f>
        <v>#REF!</v>
      </c>
      <c r="FZ34" t="e">
        <f>AND(#REF!,"AAAAADeu/rU=")</f>
        <v>#REF!</v>
      </c>
      <c r="GA34" t="e">
        <f>AND(#REF!,"AAAAADeu/rY=")</f>
        <v>#REF!</v>
      </c>
      <c r="GB34" t="e">
        <f>AND(#REF!,"AAAAADeu/rc=")</f>
        <v>#REF!</v>
      </c>
      <c r="GC34" t="e">
        <f>AND(#REF!,"AAAAADeu/rg=")</f>
        <v>#REF!</v>
      </c>
      <c r="GD34" t="e">
        <f>AND(#REF!,"AAAAADeu/rk=")</f>
        <v>#REF!</v>
      </c>
      <c r="GE34" t="e">
        <f>AND(#REF!,"AAAAADeu/ro=")</f>
        <v>#REF!</v>
      </c>
      <c r="GF34" t="e">
        <f>AND(#REF!,"AAAAADeu/rs=")</f>
        <v>#REF!</v>
      </c>
      <c r="GG34" t="e">
        <f>AND(#REF!,"AAAAADeu/rw=")</f>
        <v>#REF!</v>
      </c>
      <c r="GH34" t="e">
        <f>AND(#REF!,"AAAAADeu/r0=")</f>
        <v>#REF!</v>
      </c>
      <c r="GI34" t="e">
        <f>AND(#REF!,"AAAAADeu/r4=")</f>
        <v>#REF!</v>
      </c>
      <c r="GJ34" t="e">
        <f>AND(#REF!,"AAAAADeu/r8=")</f>
        <v>#REF!</v>
      </c>
      <c r="GK34" t="e">
        <f>AND(#REF!,"AAAAADeu/sA=")</f>
        <v>#REF!</v>
      </c>
      <c r="GL34" t="e">
        <f>AND(#REF!,"AAAAADeu/sE=")</f>
        <v>#REF!</v>
      </c>
      <c r="GM34" t="e">
        <f>AND(#REF!,"AAAAADeu/sI=")</f>
        <v>#REF!</v>
      </c>
      <c r="GN34" t="e">
        <f>AND(#REF!,"AAAAADeu/sM=")</f>
        <v>#REF!</v>
      </c>
      <c r="GO34" t="e">
        <f>AND(#REF!,"AAAAADeu/sQ=")</f>
        <v>#REF!</v>
      </c>
      <c r="GP34" t="e">
        <f>AND(#REF!,"AAAAADeu/sU=")</f>
        <v>#REF!</v>
      </c>
      <c r="GQ34" t="e">
        <f>AND(#REF!,"AAAAADeu/sY=")</f>
        <v>#REF!</v>
      </c>
      <c r="GR34" t="e">
        <f>AND(#REF!,"AAAAADeu/sc=")</f>
        <v>#REF!</v>
      </c>
      <c r="GS34" t="e">
        <f>AND(#REF!,"AAAAADeu/sg=")</f>
        <v>#REF!</v>
      </c>
      <c r="GT34" t="e">
        <f>AND(#REF!,"AAAAADeu/sk=")</f>
        <v>#REF!</v>
      </c>
      <c r="GU34" t="e">
        <f>AND(#REF!,"AAAAADeu/so=")</f>
        <v>#REF!</v>
      </c>
      <c r="GV34" t="e">
        <f>AND(#REF!,"AAAAADeu/ss=")</f>
        <v>#REF!</v>
      </c>
      <c r="GW34" t="e">
        <f>AND(#REF!,"AAAAADeu/sw=")</f>
        <v>#REF!</v>
      </c>
      <c r="GX34" t="e">
        <f>AND(#REF!,"AAAAADeu/s0=")</f>
        <v>#REF!</v>
      </c>
      <c r="GY34" t="e">
        <f>AND(#REF!,"AAAAADeu/s4=")</f>
        <v>#REF!</v>
      </c>
      <c r="GZ34" t="e">
        <f>AND(#REF!,"AAAAADeu/s8=")</f>
        <v>#REF!</v>
      </c>
      <c r="HA34" t="e">
        <f>AND(#REF!,"AAAAADeu/tA=")</f>
        <v>#REF!</v>
      </c>
      <c r="HB34" t="e">
        <f>AND(#REF!,"AAAAADeu/tE=")</f>
        <v>#REF!</v>
      </c>
      <c r="HC34" t="e">
        <f>AND(#REF!,"AAAAADeu/tI=")</f>
        <v>#REF!</v>
      </c>
      <c r="HD34" t="e">
        <f>AND(#REF!,"AAAAADeu/tM=")</f>
        <v>#REF!</v>
      </c>
      <c r="HE34" t="e">
        <f>AND(#REF!,"AAAAADeu/tQ=")</f>
        <v>#REF!</v>
      </c>
      <c r="HF34" t="e">
        <f>AND(#REF!,"AAAAADeu/tU=")</f>
        <v>#REF!</v>
      </c>
      <c r="HG34" t="e">
        <f>AND(#REF!,"AAAAADeu/tY=")</f>
        <v>#REF!</v>
      </c>
      <c r="HH34" t="e">
        <f>AND(#REF!,"AAAAADeu/tc=")</f>
        <v>#REF!</v>
      </c>
      <c r="HI34" t="e">
        <f>AND(#REF!,"AAAAADeu/tg=")</f>
        <v>#REF!</v>
      </c>
      <c r="HJ34" t="e">
        <f>AND(#REF!,"AAAAADeu/tk=")</f>
        <v>#REF!</v>
      </c>
      <c r="HK34" t="e">
        <f>AND(#REF!,"AAAAADeu/to=")</f>
        <v>#REF!</v>
      </c>
      <c r="HL34" t="e">
        <f>AND(#REF!,"AAAAADeu/ts=")</f>
        <v>#REF!</v>
      </c>
      <c r="HM34" t="e">
        <f>AND(#REF!,"AAAAADeu/tw=")</f>
        <v>#REF!</v>
      </c>
      <c r="HN34" t="e">
        <f>AND(#REF!,"AAAAADeu/t0=")</f>
        <v>#REF!</v>
      </c>
      <c r="HO34" t="e">
        <f>AND(#REF!,"AAAAADeu/t4=")</f>
        <v>#REF!</v>
      </c>
      <c r="HP34" t="e">
        <f>AND(#REF!,"AAAAADeu/t8=")</f>
        <v>#REF!</v>
      </c>
      <c r="HQ34" t="e">
        <f>AND(#REF!,"AAAAADeu/uA=")</f>
        <v>#REF!</v>
      </c>
      <c r="HR34" t="e">
        <f>AND(#REF!,"AAAAADeu/uE=")</f>
        <v>#REF!</v>
      </c>
      <c r="HS34" t="e">
        <f>AND(#REF!,"AAAAADeu/uI=")</f>
        <v>#REF!</v>
      </c>
      <c r="HT34" t="e">
        <f>AND(#REF!,"AAAAADeu/uM=")</f>
        <v>#REF!</v>
      </c>
      <c r="HU34" t="e">
        <f>AND(#REF!,"AAAAADeu/uQ=")</f>
        <v>#REF!</v>
      </c>
      <c r="HV34" t="e">
        <f>AND(#REF!,"AAAAADeu/uU=")</f>
        <v>#REF!</v>
      </c>
      <c r="HW34" t="e">
        <f>AND(#REF!,"AAAAADeu/uY=")</f>
        <v>#REF!</v>
      </c>
      <c r="HX34" t="e">
        <f>AND(#REF!,"AAAAADeu/uc=")</f>
        <v>#REF!</v>
      </c>
      <c r="HY34" t="e">
        <f>AND(#REF!,"AAAAADeu/ug=")</f>
        <v>#REF!</v>
      </c>
      <c r="HZ34" t="e">
        <f>AND(#REF!,"AAAAADeu/uk=")</f>
        <v>#REF!</v>
      </c>
      <c r="IA34" t="e">
        <f>AND(#REF!,"AAAAADeu/uo=")</f>
        <v>#REF!</v>
      </c>
      <c r="IB34" t="e">
        <f>AND(#REF!,"AAAAADeu/us=")</f>
        <v>#REF!</v>
      </c>
      <c r="IC34" t="e">
        <f>AND(#REF!,"AAAAADeu/uw=")</f>
        <v>#REF!</v>
      </c>
      <c r="ID34" t="e">
        <f>AND(#REF!,"AAAAADeu/u0=")</f>
        <v>#REF!</v>
      </c>
      <c r="IE34" t="e">
        <f>AND(#REF!,"AAAAADeu/u4=")</f>
        <v>#REF!</v>
      </c>
      <c r="IF34" t="e">
        <f>AND(#REF!,"AAAAADeu/u8=")</f>
        <v>#REF!</v>
      </c>
      <c r="IG34" t="e">
        <f>AND(#REF!,"AAAAADeu/vA=")</f>
        <v>#REF!</v>
      </c>
      <c r="IH34" t="e">
        <f>AND(#REF!,"AAAAADeu/vE=")</f>
        <v>#REF!</v>
      </c>
      <c r="II34" t="e">
        <f>AND(#REF!,"AAAAADeu/vI=")</f>
        <v>#REF!</v>
      </c>
      <c r="IJ34" t="e">
        <f>AND(#REF!,"AAAAADeu/vM=")</f>
        <v>#REF!</v>
      </c>
      <c r="IK34" t="e">
        <f>AND(#REF!,"AAAAADeu/vQ=")</f>
        <v>#REF!</v>
      </c>
      <c r="IL34" t="e">
        <f>AND(#REF!,"AAAAADeu/vU=")</f>
        <v>#REF!</v>
      </c>
      <c r="IM34" t="e">
        <f>AND(#REF!,"AAAAADeu/vY=")</f>
        <v>#REF!</v>
      </c>
      <c r="IN34" t="e">
        <f>AND(#REF!,"AAAAADeu/vc=")</f>
        <v>#REF!</v>
      </c>
      <c r="IO34" t="e">
        <f>AND(#REF!,"AAAAADeu/vg=")</f>
        <v>#REF!</v>
      </c>
      <c r="IP34" t="e">
        <f>AND(#REF!,"AAAAADeu/vk=")</f>
        <v>#REF!</v>
      </c>
      <c r="IQ34" t="e">
        <f>AND(#REF!,"AAAAADeu/vo=")</f>
        <v>#REF!</v>
      </c>
      <c r="IR34" t="e">
        <f>AND(#REF!,"AAAAADeu/vs=")</f>
        <v>#REF!</v>
      </c>
      <c r="IS34" t="e">
        <f>AND(#REF!,"AAAAADeu/vw=")</f>
        <v>#REF!</v>
      </c>
      <c r="IT34" t="e">
        <f>AND(#REF!,"AAAAADeu/v0=")</f>
        <v>#REF!</v>
      </c>
      <c r="IU34" t="e">
        <f>AND(#REF!,"AAAAADeu/v4=")</f>
        <v>#REF!</v>
      </c>
      <c r="IV34" t="e">
        <f>AND(#REF!,"AAAAADeu/v8=")</f>
        <v>#REF!</v>
      </c>
    </row>
    <row r="35" spans="1:256" x14ac:dyDescent="0.25">
      <c r="A35" t="e">
        <f>AND(#REF!,"AAAAAH/7LQA=")</f>
        <v>#REF!</v>
      </c>
      <c r="B35" t="e">
        <f>AND(#REF!,"AAAAAH/7LQE=")</f>
        <v>#REF!</v>
      </c>
      <c r="C35" t="e">
        <f>AND(#REF!,"AAAAAH/7LQI=")</f>
        <v>#REF!</v>
      </c>
      <c r="D35" t="e">
        <f>AND(#REF!,"AAAAAH/7LQM=")</f>
        <v>#REF!</v>
      </c>
      <c r="E35" t="e">
        <f>AND(#REF!,"AAAAAH/7LQQ=")</f>
        <v>#REF!</v>
      </c>
      <c r="F35" t="e">
        <f>AND(#REF!,"AAAAAH/7LQU=")</f>
        <v>#REF!</v>
      </c>
      <c r="G35" t="e">
        <f>AND(#REF!,"AAAAAH/7LQY=")</f>
        <v>#REF!</v>
      </c>
      <c r="H35" t="e">
        <f>AND(#REF!,"AAAAAH/7LQc=")</f>
        <v>#REF!</v>
      </c>
      <c r="I35" t="e">
        <f>AND(#REF!,"AAAAAH/7LQg=")</f>
        <v>#REF!</v>
      </c>
      <c r="J35" t="e">
        <f>AND(#REF!,"AAAAAH/7LQk=")</f>
        <v>#REF!</v>
      </c>
      <c r="K35" t="e">
        <f>AND(#REF!,"AAAAAH/7LQo=")</f>
        <v>#REF!</v>
      </c>
      <c r="L35" t="e">
        <f>AND(#REF!,"AAAAAH/7LQs=")</f>
        <v>#REF!</v>
      </c>
      <c r="M35" t="e">
        <f>AND(#REF!,"AAAAAH/7LQw=")</f>
        <v>#REF!</v>
      </c>
      <c r="N35" t="e">
        <f>AND(#REF!,"AAAAAH/7LQ0=")</f>
        <v>#REF!</v>
      </c>
      <c r="O35" t="e">
        <f>AND(#REF!,"AAAAAH/7LQ4=")</f>
        <v>#REF!</v>
      </c>
      <c r="P35" t="e">
        <f>AND(#REF!,"AAAAAH/7LQ8=")</f>
        <v>#REF!</v>
      </c>
      <c r="Q35" t="e">
        <f>IF(#REF!,"AAAAAH/7LRA=",0)</f>
        <v>#REF!</v>
      </c>
      <c r="R35" t="e">
        <f>AND(#REF!,"AAAAAH/7LRE=")</f>
        <v>#REF!</v>
      </c>
      <c r="S35" t="e">
        <f>AND(#REF!,"AAAAAH/7LRI=")</f>
        <v>#REF!</v>
      </c>
      <c r="T35" t="e">
        <f>AND(#REF!,"AAAAAH/7LRM=")</f>
        <v>#REF!</v>
      </c>
      <c r="U35" t="e">
        <f>AND(#REF!,"AAAAAH/7LRQ=")</f>
        <v>#REF!</v>
      </c>
      <c r="V35" t="e">
        <f>AND(#REF!,"AAAAAH/7LRU=")</f>
        <v>#REF!</v>
      </c>
      <c r="W35" t="e">
        <f>AND(#REF!,"AAAAAH/7LRY=")</f>
        <v>#REF!</v>
      </c>
      <c r="X35" t="e">
        <f>AND(#REF!,"AAAAAH/7LRc=")</f>
        <v>#REF!</v>
      </c>
      <c r="Y35" t="e">
        <f>AND(#REF!,"AAAAAH/7LRg=")</f>
        <v>#REF!</v>
      </c>
      <c r="Z35" t="e">
        <f>AND(#REF!,"AAAAAH/7LRk=")</f>
        <v>#REF!</v>
      </c>
      <c r="AA35" t="e">
        <f>AND(#REF!,"AAAAAH/7LRo=")</f>
        <v>#REF!</v>
      </c>
      <c r="AB35" t="e">
        <f>AND(#REF!,"AAAAAH/7LRs=")</f>
        <v>#REF!</v>
      </c>
      <c r="AC35" t="e">
        <f>AND(#REF!,"AAAAAH/7LRw=")</f>
        <v>#REF!</v>
      </c>
      <c r="AD35" t="e">
        <f>AND(#REF!,"AAAAAH/7LR0=")</f>
        <v>#REF!</v>
      </c>
      <c r="AE35" t="e">
        <f>AND(#REF!,"AAAAAH/7LR4=")</f>
        <v>#REF!</v>
      </c>
      <c r="AF35" t="e">
        <f>AND(#REF!,"AAAAAH/7LR8=")</f>
        <v>#REF!</v>
      </c>
      <c r="AG35" t="e">
        <f>AND(#REF!,"AAAAAH/7LSA=")</f>
        <v>#REF!</v>
      </c>
      <c r="AH35" t="e">
        <f>AND(#REF!,"AAAAAH/7LSE=")</f>
        <v>#REF!</v>
      </c>
      <c r="AI35" t="e">
        <f>AND(#REF!,"AAAAAH/7LSI=")</f>
        <v>#REF!</v>
      </c>
      <c r="AJ35" t="e">
        <f>AND(#REF!,"AAAAAH/7LSM=")</f>
        <v>#REF!</v>
      </c>
      <c r="AK35" t="e">
        <f>AND(#REF!,"AAAAAH/7LSQ=")</f>
        <v>#REF!</v>
      </c>
      <c r="AL35" t="e">
        <f>AND(#REF!,"AAAAAH/7LSU=")</f>
        <v>#REF!</v>
      </c>
      <c r="AM35" t="e">
        <f>AND(#REF!,"AAAAAH/7LSY=")</f>
        <v>#REF!</v>
      </c>
      <c r="AN35" t="e">
        <f>AND(#REF!,"AAAAAH/7LSc=")</f>
        <v>#REF!</v>
      </c>
      <c r="AO35" t="e">
        <f>AND(#REF!,"AAAAAH/7LSg=")</f>
        <v>#REF!</v>
      </c>
      <c r="AP35" t="e">
        <f>AND(#REF!,"AAAAAH/7LSk=")</f>
        <v>#REF!</v>
      </c>
      <c r="AQ35" t="e">
        <f>AND(#REF!,"AAAAAH/7LSo=")</f>
        <v>#REF!</v>
      </c>
      <c r="AR35" t="e">
        <f>AND(#REF!,"AAAAAH/7LSs=")</f>
        <v>#REF!</v>
      </c>
      <c r="AS35" t="e">
        <f>AND(#REF!,"AAAAAH/7LSw=")</f>
        <v>#REF!</v>
      </c>
      <c r="AT35" t="e">
        <f>AND(#REF!,"AAAAAH/7LS0=")</f>
        <v>#REF!</v>
      </c>
      <c r="AU35" t="e">
        <f>AND(#REF!,"AAAAAH/7LS4=")</f>
        <v>#REF!</v>
      </c>
      <c r="AV35" t="e">
        <f>AND(#REF!,"AAAAAH/7LS8=")</f>
        <v>#REF!</v>
      </c>
      <c r="AW35" t="e">
        <f>AND(#REF!,"AAAAAH/7LTA=")</f>
        <v>#REF!</v>
      </c>
      <c r="AX35" t="e">
        <f>AND(#REF!,"AAAAAH/7LTE=")</f>
        <v>#REF!</v>
      </c>
      <c r="AY35" t="e">
        <f>AND(#REF!,"AAAAAH/7LTI=")</f>
        <v>#REF!</v>
      </c>
      <c r="AZ35" t="e">
        <f>AND(#REF!,"AAAAAH/7LTM=")</f>
        <v>#REF!</v>
      </c>
      <c r="BA35" t="e">
        <f>AND(#REF!,"AAAAAH/7LTQ=")</f>
        <v>#REF!</v>
      </c>
      <c r="BB35" t="e">
        <f>AND(#REF!,"AAAAAH/7LTU=")</f>
        <v>#REF!</v>
      </c>
      <c r="BC35" t="e">
        <f>AND(#REF!,"AAAAAH/7LTY=")</f>
        <v>#REF!</v>
      </c>
      <c r="BD35" t="e">
        <f>AND(#REF!,"AAAAAH/7LTc=")</f>
        <v>#REF!</v>
      </c>
      <c r="BE35" t="e">
        <f>AND(#REF!,"AAAAAH/7LTg=")</f>
        <v>#REF!</v>
      </c>
      <c r="BF35" t="e">
        <f>AND(#REF!,"AAAAAH/7LTk=")</f>
        <v>#REF!</v>
      </c>
      <c r="BG35" t="e">
        <f>AND(#REF!,"AAAAAH/7LTo=")</f>
        <v>#REF!</v>
      </c>
      <c r="BH35" t="e">
        <f>AND(#REF!,"AAAAAH/7LTs=")</f>
        <v>#REF!</v>
      </c>
      <c r="BI35" t="e">
        <f>AND(#REF!,"AAAAAH/7LTw=")</f>
        <v>#REF!</v>
      </c>
      <c r="BJ35" t="e">
        <f>AND(#REF!,"AAAAAH/7LT0=")</f>
        <v>#REF!</v>
      </c>
      <c r="BK35" t="e">
        <f>AND(#REF!,"AAAAAH/7LT4=")</f>
        <v>#REF!</v>
      </c>
      <c r="BL35" t="e">
        <f>AND(#REF!,"AAAAAH/7LT8=")</f>
        <v>#REF!</v>
      </c>
      <c r="BM35" t="e">
        <f>AND(#REF!,"AAAAAH/7LUA=")</f>
        <v>#REF!</v>
      </c>
      <c r="BN35" t="e">
        <f>AND(#REF!,"AAAAAH/7LUE=")</f>
        <v>#REF!</v>
      </c>
      <c r="BO35" t="e">
        <f>AND(#REF!,"AAAAAH/7LUI=")</f>
        <v>#REF!</v>
      </c>
      <c r="BP35" t="e">
        <f>AND(#REF!,"AAAAAH/7LUM=")</f>
        <v>#REF!</v>
      </c>
      <c r="BQ35" t="e">
        <f>AND(#REF!,"AAAAAH/7LUQ=")</f>
        <v>#REF!</v>
      </c>
      <c r="BR35" t="e">
        <f>AND(#REF!,"AAAAAH/7LUU=")</f>
        <v>#REF!</v>
      </c>
      <c r="BS35" t="e">
        <f>AND(#REF!,"AAAAAH/7LUY=")</f>
        <v>#REF!</v>
      </c>
      <c r="BT35" t="e">
        <f>AND(#REF!,"AAAAAH/7LUc=")</f>
        <v>#REF!</v>
      </c>
      <c r="BU35" t="e">
        <f>AND(#REF!,"AAAAAH/7LUg=")</f>
        <v>#REF!</v>
      </c>
      <c r="BV35" t="e">
        <f>AND(#REF!,"AAAAAH/7LUk=")</f>
        <v>#REF!</v>
      </c>
      <c r="BW35" t="e">
        <f>AND(#REF!,"AAAAAH/7LUo=")</f>
        <v>#REF!</v>
      </c>
      <c r="BX35" t="e">
        <f>AND(#REF!,"AAAAAH/7LUs=")</f>
        <v>#REF!</v>
      </c>
      <c r="BY35" t="e">
        <f>AND(#REF!,"AAAAAH/7LUw=")</f>
        <v>#REF!</v>
      </c>
      <c r="BZ35" t="e">
        <f>AND(#REF!,"AAAAAH/7LU0=")</f>
        <v>#REF!</v>
      </c>
      <c r="CA35" t="e">
        <f>AND(#REF!,"AAAAAH/7LU4=")</f>
        <v>#REF!</v>
      </c>
      <c r="CB35" t="e">
        <f>AND(#REF!,"AAAAAH/7LU8=")</f>
        <v>#REF!</v>
      </c>
      <c r="CC35" t="e">
        <f>AND(#REF!,"AAAAAH/7LVA=")</f>
        <v>#REF!</v>
      </c>
      <c r="CD35" t="e">
        <f>AND(#REF!,"AAAAAH/7LVE=")</f>
        <v>#REF!</v>
      </c>
      <c r="CE35" t="e">
        <f>AND(#REF!,"AAAAAH/7LVI=")</f>
        <v>#REF!</v>
      </c>
      <c r="CF35" t="e">
        <f>AND(#REF!,"AAAAAH/7LVM=")</f>
        <v>#REF!</v>
      </c>
      <c r="CG35" t="e">
        <f>AND(#REF!,"AAAAAH/7LVQ=")</f>
        <v>#REF!</v>
      </c>
      <c r="CH35" t="e">
        <f>AND(#REF!,"AAAAAH/7LVU=")</f>
        <v>#REF!</v>
      </c>
      <c r="CI35" t="e">
        <f>AND(#REF!,"AAAAAH/7LVY=")</f>
        <v>#REF!</v>
      </c>
      <c r="CJ35" t="e">
        <f>AND(#REF!,"AAAAAH/7LVc=")</f>
        <v>#REF!</v>
      </c>
      <c r="CK35" t="e">
        <f>AND(#REF!,"AAAAAH/7LVg=")</f>
        <v>#REF!</v>
      </c>
      <c r="CL35" t="e">
        <f>AND(#REF!,"AAAAAH/7LVk=")</f>
        <v>#REF!</v>
      </c>
      <c r="CM35" t="e">
        <f>AND(#REF!,"AAAAAH/7LVo=")</f>
        <v>#REF!</v>
      </c>
      <c r="CN35" t="e">
        <f>AND(#REF!,"AAAAAH/7LVs=")</f>
        <v>#REF!</v>
      </c>
      <c r="CO35" t="e">
        <f>AND(#REF!,"AAAAAH/7LVw=")</f>
        <v>#REF!</v>
      </c>
      <c r="CP35" t="e">
        <f>AND(#REF!,"AAAAAH/7LV0=")</f>
        <v>#REF!</v>
      </c>
      <c r="CQ35" t="e">
        <f>AND(#REF!,"AAAAAH/7LV4=")</f>
        <v>#REF!</v>
      </c>
      <c r="CR35" t="e">
        <f>AND(#REF!,"AAAAAH/7LV8=")</f>
        <v>#REF!</v>
      </c>
      <c r="CS35" t="e">
        <f>AND(#REF!,"AAAAAH/7LWA=")</f>
        <v>#REF!</v>
      </c>
      <c r="CT35" t="e">
        <f>AND(#REF!,"AAAAAH/7LWE=")</f>
        <v>#REF!</v>
      </c>
      <c r="CU35" t="e">
        <f>AND(#REF!,"AAAAAH/7LWI=")</f>
        <v>#REF!</v>
      </c>
      <c r="CV35" t="e">
        <f>AND(#REF!,"AAAAAH/7LWM=")</f>
        <v>#REF!</v>
      </c>
      <c r="CW35" t="e">
        <f>AND(#REF!,"AAAAAH/7LWQ=")</f>
        <v>#REF!</v>
      </c>
      <c r="CX35" t="e">
        <f>AND(#REF!,"AAAAAH/7LWU=")</f>
        <v>#REF!</v>
      </c>
      <c r="CY35" t="e">
        <f>AND(#REF!,"AAAAAH/7LWY=")</f>
        <v>#REF!</v>
      </c>
      <c r="CZ35" t="e">
        <f>AND(#REF!,"AAAAAH/7LWc=")</f>
        <v>#REF!</v>
      </c>
      <c r="DA35" t="e">
        <f>AND(#REF!,"AAAAAH/7LWg=")</f>
        <v>#REF!</v>
      </c>
      <c r="DB35" t="e">
        <f>AND(#REF!,"AAAAAH/7LWk=")</f>
        <v>#REF!</v>
      </c>
      <c r="DC35" t="e">
        <f>AND(#REF!,"AAAAAH/7LWo=")</f>
        <v>#REF!</v>
      </c>
      <c r="DD35" t="e">
        <f>AND(#REF!,"AAAAAH/7LWs=")</f>
        <v>#REF!</v>
      </c>
      <c r="DE35" t="e">
        <f>AND(#REF!,"AAAAAH/7LWw=")</f>
        <v>#REF!</v>
      </c>
      <c r="DF35" t="e">
        <f>AND(#REF!,"AAAAAH/7LW0=")</f>
        <v>#REF!</v>
      </c>
      <c r="DG35" t="e">
        <f>AND(#REF!,"AAAAAH/7LW4=")</f>
        <v>#REF!</v>
      </c>
      <c r="DH35" t="e">
        <f>AND(#REF!,"AAAAAH/7LW8=")</f>
        <v>#REF!</v>
      </c>
      <c r="DI35" t="e">
        <f>AND(#REF!,"AAAAAH/7LXA=")</f>
        <v>#REF!</v>
      </c>
      <c r="DJ35" t="e">
        <f>AND(#REF!,"AAAAAH/7LXE=")</f>
        <v>#REF!</v>
      </c>
      <c r="DK35" t="e">
        <f>AND(#REF!,"AAAAAH/7LXI=")</f>
        <v>#REF!</v>
      </c>
      <c r="DL35" t="e">
        <f>AND(#REF!,"AAAAAH/7LXM=")</f>
        <v>#REF!</v>
      </c>
      <c r="DM35" t="e">
        <f>AND(#REF!,"AAAAAH/7LXQ=")</f>
        <v>#REF!</v>
      </c>
      <c r="DN35" t="e">
        <f>AND(#REF!,"AAAAAH/7LXU=")</f>
        <v>#REF!</v>
      </c>
      <c r="DO35" t="e">
        <f>AND(#REF!,"AAAAAH/7LXY=")</f>
        <v>#REF!</v>
      </c>
      <c r="DP35" t="e">
        <f>AND(#REF!,"AAAAAH/7LXc=")</f>
        <v>#REF!</v>
      </c>
      <c r="DQ35" t="e">
        <f>AND(#REF!,"AAAAAH/7LXg=")</f>
        <v>#REF!</v>
      </c>
      <c r="DR35" t="e">
        <f>IF(#REF!,"AAAAAH/7LXk=",0)</f>
        <v>#REF!</v>
      </c>
      <c r="DS35" t="e">
        <f>AND(#REF!,"AAAAAH/7LXo=")</f>
        <v>#REF!</v>
      </c>
      <c r="DT35" t="e">
        <f>AND(#REF!,"AAAAAH/7LXs=")</f>
        <v>#REF!</v>
      </c>
      <c r="DU35" t="e">
        <f>AND(#REF!,"AAAAAH/7LXw=")</f>
        <v>#REF!</v>
      </c>
      <c r="DV35" t="e">
        <f>AND(#REF!,"AAAAAH/7LX0=")</f>
        <v>#REF!</v>
      </c>
      <c r="DW35" t="e">
        <f>AND(#REF!,"AAAAAH/7LX4=")</f>
        <v>#REF!</v>
      </c>
      <c r="DX35" t="e">
        <f>AND(#REF!,"AAAAAH/7LX8=")</f>
        <v>#REF!</v>
      </c>
      <c r="DY35" t="e">
        <f>AND(#REF!,"AAAAAH/7LYA=")</f>
        <v>#REF!</v>
      </c>
      <c r="DZ35" t="e">
        <f>AND(#REF!,"AAAAAH/7LYE=")</f>
        <v>#REF!</v>
      </c>
      <c r="EA35" t="e">
        <f>AND(#REF!,"AAAAAH/7LYI=")</f>
        <v>#REF!</v>
      </c>
      <c r="EB35" t="e">
        <f>AND(#REF!,"AAAAAH/7LYM=")</f>
        <v>#REF!</v>
      </c>
      <c r="EC35" t="e">
        <f>AND(#REF!,"AAAAAH/7LYQ=")</f>
        <v>#REF!</v>
      </c>
      <c r="ED35" t="e">
        <f>AND(#REF!,"AAAAAH/7LYU=")</f>
        <v>#REF!</v>
      </c>
      <c r="EE35" t="e">
        <f>AND(#REF!,"AAAAAH/7LYY=")</f>
        <v>#REF!</v>
      </c>
      <c r="EF35" t="e">
        <f>AND(#REF!,"AAAAAH/7LYc=")</f>
        <v>#REF!</v>
      </c>
      <c r="EG35" t="e">
        <f>AND(#REF!,"AAAAAH/7LYg=")</f>
        <v>#REF!</v>
      </c>
      <c r="EH35" t="e">
        <f>AND(#REF!,"AAAAAH/7LYk=")</f>
        <v>#REF!</v>
      </c>
      <c r="EI35" t="e">
        <f>AND(#REF!,"AAAAAH/7LYo=")</f>
        <v>#REF!</v>
      </c>
      <c r="EJ35" t="e">
        <f>AND(#REF!,"AAAAAH/7LYs=")</f>
        <v>#REF!</v>
      </c>
      <c r="EK35" t="e">
        <f>AND(#REF!,"AAAAAH/7LYw=")</f>
        <v>#REF!</v>
      </c>
      <c r="EL35" t="e">
        <f>AND(#REF!,"AAAAAH/7LY0=")</f>
        <v>#REF!</v>
      </c>
      <c r="EM35" t="e">
        <f>AND(#REF!,"AAAAAH/7LY4=")</f>
        <v>#REF!</v>
      </c>
      <c r="EN35" t="e">
        <f>AND(#REF!,"AAAAAH/7LY8=")</f>
        <v>#REF!</v>
      </c>
      <c r="EO35" t="e">
        <f>AND(#REF!,"AAAAAH/7LZA=")</f>
        <v>#REF!</v>
      </c>
      <c r="EP35" t="e">
        <f>AND(#REF!,"AAAAAH/7LZE=")</f>
        <v>#REF!</v>
      </c>
      <c r="EQ35" t="e">
        <f>AND(#REF!,"AAAAAH/7LZI=")</f>
        <v>#REF!</v>
      </c>
      <c r="ER35" t="e">
        <f>AND(#REF!,"AAAAAH/7LZM=")</f>
        <v>#REF!</v>
      </c>
      <c r="ES35" t="e">
        <f>AND(#REF!,"AAAAAH/7LZQ=")</f>
        <v>#REF!</v>
      </c>
      <c r="ET35" t="e">
        <f>AND(#REF!,"AAAAAH/7LZU=")</f>
        <v>#REF!</v>
      </c>
      <c r="EU35" t="e">
        <f>AND(#REF!,"AAAAAH/7LZY=")</f>
        <v>#REF!</v>
      </c>
      <c r="EV35" t="e">
        <f>AND(#REF!,"AAAAAH/7LZc=")</f>
        <v>#REF!</v>
      </c>
      <c r="EW35" t="e">
        <f>AND(#REF!,"AAAAAH/7LZg=")</f>
        <v>#REF!</v>
      </c>
      <c r="EX35" t="e">
        <f>AND(#REF!,"AAAAAH/7LZk=")</f>
        <v>#REF!</v>
      </c>
      <c r="EY35" t="e">
        <f>AND(#REF!,"AAAAAH/7LZo=")</f>
        <v>#REF!</v>
      </c>
      <c r="EZ35" t="e">
        <f>AND(#REF!,"AAAAAH/7LZs=")</f>
        <v>#REF!</v>
      </c>
      <c r="FA35" t="e">
        <f>AND(#REF!,"AAAAAH/7LZw=")</f>
        <v>#REF!</v>
      </c>
      <c r="FB35" t="e">
        <f>AND(#REF!,"AAAAAH/7LZ0=")</f>
        <v>#REF!</v>
      </c>
      <c r="FC35" t="e">
        <f>AND(#REF!,"AAAAAH/7LZ4=")</f>
        <v>#REF!</v>
      </c>
      <c r="FD35" t="e">
        <f>AND(#REF!,"AAAAAH/7LZ8=")</f>
        <v>#REF!</v>
      </c>
      <c r="FE35" t="e">
        <f>AND(#REF!,"AAAAAH/7LaA=")</f>
        <v>#REF!</v>
      </c>
      <c r="FF35" t="e">
        <f>AND(#REF!,"AAAAAH/7LaE=")</f>
        <v>#REF!</v>
      </c>
      <c r="FG35" t="e">
        <f>AND(#REF!,"AAAAAH/7LaI=")</f>
        <v>#REF!</v>
      </c>
      <c r="FH35" t="e">
        <f>AND(#REF!,"AAAAAH/7LaM=")</f>
        <v>#REF!</v>
      </c>
      <c r="FI35" t="e">
        <f>AND(#REF!,"AAAAAH/7LaQ=")</f>
        <v>#REF!</v>
      </c>
      <c r="FJ35" t="e">
        <f>AND(#REF!,"AAAAAH/7LaU=")</f>
        <v>#REF!</v>
      </c>
      <c r="FK35" t="e">
        <f>AND(#REF!,"AAAAAH/7LaY=")</f>
        <v>#REF!</v>
      </c>
      <c r="FL35" t="e">
        <f>AND(#REF!,"AAAAAH/7Lac=")</f>
        <v>#REF!</v>
      </c>
      <c r="FM35" t="e">
        <f>AND(#REF!,"AAAAAH/7Lag=")</f>
        <v>#REF!</v>
      </c>
      <c r="FN35" t="e">
        <f>AND(#REF!,"AAAAAH/7Lak=")</f>
        <v>#REF!</v>
      </c>
      <c r="FO35" t="e">
        <f>AND(#REF!,"AAAAAH/7Lao=")</f>
        <v>#REF!</v>
      </c>
      <c r="FP35" t="e">
        <f>AND(#REF!,"AAAAAH/7Las=")</f>
        <v>#REF!</v>
      </c>
      <c r="FQ35" t="e">
        <f>AND(#REF!,"AAAAAH/7Law=")</f>
        <v>#REF!</v>
      </c>
      <c r="FR35" t="e">
        <f>AND(#REF!,"AAAAAH/7La0=")</f>
        <v>#REF!</v>
      </c>
      <c r="FS35" t="e">
        <f>AND(#REF!,"AAAAAH/7La4=")</f>
        <v>#REF!</v>
      </c>
      <c r="FT35" t="e">
        <f>AND(#REF!,"AAAAAH/7La8=")</f>
        <v>#REF!</v>
      </c>
      <c r="FU35" t="e">
        <f>AND(#REF!,"AAAAAH/7LbA=")</f>
        <v>#REF!</v>
      </c>
      <c r="FV35" t="e">
        <f>AND(#REF!,"AAAAAH/7LbE=")</f>
        <v>#REF!</v>
      </c>
      <c r="FW35" t="e">
        <f>AND(#REF!,"AAAAAH/7LbI=")</f>
        <v>#REF!</v>
      </c>
      <c r="FX35" t="e">
        <f>AND(#REF!,"AAAAAH/7LbM=")</f>
        <v>#REF!</v>
      </c>
      <c r="FY35" t="e">
        <f>AND(#REF!,"AAAAAH/7LbQ=")</f>
        <v>#REF!</v>
      </c>
      <c r="FZ35" t="e">
        <f>AND(#REF!,"AAAAAH/7LbU=")</f>
        <v>#REF!</v>
      </c>
      <c r="GA35" t="e">
        <f>AND(#REF!,"AAAAAH/7LbY=")</f>
        <v>#REF!</v>
      </c>
      <c r="GB35" t="e">
        <f>AND(#REF!,"AAAAAH/7Lbc=")</f>
        <v>#REF!</v>
      </c>
      <c r="GC35" t="e">
        <f>AND(#REF!,"AAAAAH/7Lbg=")</f>
        <v>#REF!</v>
      </c>
      <c r="GD35" t="e">
        <f>AND(#REF!,"AAAAAH/7Lbk=")</f>
        <v>#REF!</v>
      </c>
      <c r="GE35" t="e">
        <f>AND(#REF!,"AAAAAH/7Lbo=")</f>
        <v>#REF!</v>
      </c>
      <c r="GF35" t="e">
        <f>AND(#REF!,"AAAAAH/7Lbs=")</f>
        <v>#REF!</v>
      </c>
      <c r="GG35" t="e">
        <f>AND(#REF!,"AAAAAH/7Lbw=")</f>
        <v>#REF!</v>
      </c>
      <c r="GH35" t="e">
        <f>AND(#REF!,"AAAAAH/7Lb0=")</f>
        <v>#REF!</v>
      </c>
      <c r="GI35" t="e">
        <f>AND(#REF!,"AAAAAH/7Lb4=")</f>
        <v>#REF!</v>
      </c>
      <c r="GJ35" t="e">
        <f>AND(#REF!,"AAAAAH/7Lb8=")</f>
        <v>#REF!</v>
      </c>
      <c r="GK35" t="e">
        <f>AND(#REF!,"AAAAAH/7LcA=")</f>
        <v>#REF!</v>
      </c>
      <c r="GL35" t="e">
        <f>AND(#REF!,"AAAAAH/7LcE=")</f>
        <v>#REF!</v>
      </c>
      <c r="GM35" t="e">
        <f>AND(#REF!,"AAAAAH/7LcI=")</f>
        <v>#REF!</v>
      </c>
      <c r="GN35" t="e">
        <f>AND(#REF!,"AAAAAH/7LcM=")</f>
        <v>#REF!</v>
      </c>
      <c r="GO35" t="e">
        <f>AND(#REF!,"AAAAAH/7LcQ=")</f>
        <v>#REF!</v>
      </c>
      <c r="GP35" t="e">
        <f>AND(#REF!,"AAAAAH/7LcU=")</f>
        <v>#REF!</v>
      </c>
      <c r="GQ35" t="e">
        <f>AND(#REF!,"AAAAAH/7LcY=")</f>
        <v>#REF!</v>
      </c>
      <c r="GR35" t="e">
        <f>AND(#REF!,"AAAAAH/7Lcc=")</f>
        <v>#REF!</v>
      </c>
      <c r="GS35" t="e">
        <f>AND(#REF!,"AAAAAH/7Lcg=")</f>
        <v>#REF!</v>
      </c>
      <c r="GT35" t="e">
        <f>AND(#REF!,"AAAAAH/7Lck=")</f>
        <v>#REF!</v>
      </c>
      <c r="GU35" t="e">
        <f>AND(#REF!,"AAAAAH/7Lco=")</f>
        <v>#REF!</v>
      </c>
      <c r="GV35" t="e">
        <f>AND(#REF!,"AAAAAH/7Lcs=")</f>
        <v>#REF!</v>
      </c>
      <c r="GW35" t="e">
        <f>AND(#REF!,"AAAAAH/7Lcw=")</f>
        <v>#REF!</v>
      </c>
      <c r="GX35" t="e">
        <f>AND(#REF!,"AAAAAH/7Lc0=")</f>
        <v>#REF!</v>
      </c>
      <c r="GY35" t="e">
        <f>AND(#REF!,"AAAAAH/7Lc4=")</f>
        <v>#REF!</v>
      </c>
      <c r="GZ35" t="e">
        <f>AND(#REF!,"AAAAAH/7Lc8=")</f>
        <v>#REF!</v>
      </c>
      <c r="HA35" t="e">
        <f>AND(#REF!,"AAAAAH/7LdA=")</f>
        <v>#REF!</v>
      </c>
      <c r="HB35" t="e">
        <f>AND(#REF!,"AAAAAH/7LdE=")</f>
        <v>#REF!</v>
      </c>
      <c r="HC35" t="e">
        <f>AND(#REF!,"AAAAAH/7LdI=")</f>
        <v>#REF!</v>
      </c>
      <c r="HD35" t="e">
        <f>AND(#REF!,"AAAAAH/7LdM=")</f>
        <v>#REF!</v>
      </c>
      <c r="HE35" t="e">
        <f>AND(#REF!,"AAAAAH/7LdQ=")</f>
        <v>#REF!</v>
      </c>
      <c r="HF35" t="e">
        <f>AND(#REF!,"AAAAAH/7LdU=")</f>
        <v>#REF!</v>
      </c>
      <c r="HG35" t="e">
        <f>AND(#REF!,"AAAAAH/7LdY=")</f>
        <v>#REF!</v>
      </c>
      <c r="HH35" t="e">
        <f>AND(#REF!,"AAAAAH/7Ldc=")</f>
        <v>#REF!</v>
      </c>
      <c r="HI35" t="e">
        <f>AND(#REF!,"AAAAAH/7Ldg=")</f>
        <v>#REF!</v>
      </c>
      <c r="HJ35" t="e">
        <f>AND(#REF!,"AAAAAH/7Ldk=")</f>
        <v>#REF!</v>
      </c>
      <c r="HK35" t="e">
        <f>AND(#REF!,"AAAAAH/7Ldo=")</f>
        <v>#REF!</v>
      </c>
      <c r="HL35" t="e">
        <f>AND(#REF!,"AAAAAH/7Lds=")</f>
        <v>#REF!</v>
      </c>
      <c r="HM35" t="e">
        <f>AND(#REF!,"AAAAAH/7Ldw=")</f>
        <v>#REF!</v>
      </c>
      <c r="HN35" t="e">
        <f>AND(#REF!,"AAAAAH/7Ld0=")</f>
        <v>#REF!</v>
      </c>
      <c r="HO35" t="e">
        <f>AND(#REF!,"AAAAAH/7Ld4=")</f>
        <v>#REF!</v>
      </c>
      <c r="HP35" t="e">
        <f>AND(#REF!,"AAAAAH/7Ld8=")</f>
        <v>#REF!</v>
      </c>
      <c r="HQ35" t="e">
        <f>AND(#REF!,"AAAAAH/7LeA=")</f>
        <v>#REF!</v>
      </c>
      <c r="HR35" t="e">
        <f>AND(#REF!,"AAAAAH/7LeE=")</f>
        <v>#REF!</v>
      </c>
      <c r="HS35" t="e">
        <f>IF(#REF!,"AAAAAH/7LeI=",0)</f>
        <v>#REF!</v>
      </c>
      <c r="HT35" t="e">
        <f>AND(#REF!,"AAAAAH/7LeM=")</f>
        <v>#REF!</v>
      </c>
      <c r="HU35" t="e">
        <f>AND(#REF!,"AAAAAH/7LeQ=")</f>
        <v>#REF!</v>
      </c>
      <c r="HV35" t="e">
        <f>AND(#REF!,"AAAAAH/7LeU=")</f>
        <v>#REF!</v>
      </c>
      <c r="HW35" t="e">
        <f>AND(#REF!,"AAAAAH/7LeY=")</f>
        <v>#REF!</v>
      </c>
      <c r="HX35" t="e">
        <f>AND(#REF!,"AAAAAH/7Lec=")</f>
        <v>#REF!</v>
      </c>
      <c r="HY35" t="e">
        <f>AND(#REF!,"AAAAAH/7Leg=")</f>
        <v>#REF!</v>
      </c>
      <c r="HZ35" t="e">
        <f>AND(#REF!,"AAAAAH/7Lek=")</f>
        <v>#REF!</v>
      </c>
      <c r="IA35" t="e">
        <f>AND(#REF!,"AAAAAH/7Leo=")</f>
        <v>#REF!</v>
      </c>
      <c r="IB35" t="e">
        <f>AND(#REF!,"AAAAAH/7Les=")</f>
        <v>#REF!</v>
      </c>
      <c r="IC35" t="e">
        <f>AND(#REF!,"AAAAAH/7Lew=")</f>
        <v>#REF!</v>
      </c>
      <c r="ID35" t="e">
        <f>AND(#REF!,"AAAAAH/7Le0=")</f>
        <v>#REF!</v>
      </c>
      <c r="IE35" t="e">
        <f>AND(#REF!,"AAAAAH/7Le4=")</f>
        <v>#REF!</v>
      </c>
      <c r="IF35" t="e">
        <f>AND(#REF!,"AAAAAH/7Le8=")</f>
        <v>#REF!</v>
      </c>
      <c r="IG35" t="e">
        <f>AND(#REF!,"AAAAAH/7LfA=")</f>
        <v>#REF!</v>
      </c>
      <c r="IH35" t="e">
        <f>AND(#REF!,"AAAAAH/7LfE=")</f>
        <v>#REF!</v>
      </c>
      <c r="II35" t="e">
        <f>AND(#REF!,"AAAAAH/7LfI=")</f>
        <v>#REF!</v>
      </c>
      <c r="IJ35" t="e">
        <f>AND(#REF!,"AAAAAH/7LfM=")</f>
        <v>#REF!</v>
      </c>
      <c r="IK35" t="e">
        <f>AND(#REF!,"AAAAAH/7LfQ=")</f>
        <v>#REF!</v>
      </c>
      <c r="IL35" t="e">
        <f>AND(#REF!,"AAAAAH/7LfU=")</f>
        <v>#REF!</v>
      </c>
      <c r="IM35" t="e">
        <f>AND(#REF!,"AAAAAH/7LfY=")</f>
        <v>#REF!</v>
      </c>
      <c r="IN35" t="e">
        <f>AND(#REF!,"AAAAAH/7Lfc=")</f>
        <v>#REF!</v>
      </c>
      <c r="IO35" t="e">
        <f>AND(#REF!,"AAAAAH/7Lfg=")</f>
        <v>#REF!</v>
      </c>
      <c r="IP35" t="e">
        <f>AND(#REF!,"AAAAAH/7Lfk=")</f>
        <v>#REF!</v>
      </c>
      <c r="IQ35" t="e">
        <f>AND(#REF!,"AAAAAH/7Lfo=")</f>
        <v>#REF!</v>
      </c>
      <c r="IR35" t="e">
        <f>AND(#REF!,"AAAAAH/7Lfs=")</f>
        <v>#REF!</v>
      </c>
      <c r="IS35" t="e">
        <f>AND(#REF!,"AAAAAH/7Lfw=")</f>
        <v>#REF!</v>
      </c>
      <c r="IT35" t="e">
        <f>AND(#REF!,"AAAAAH/7Lf0=")</f>
        <v>#REF!</v>
      </c>
      <c r="IU35" t="e">
        <f>AND(#REF!,"AAAAAH/7Lf4=")</f>
        <v>#REF!</v>
      </c>
      <c r="IV35" t="e">
        <f>AND(#REF!,"AAAAAH/7Lf8=")</f>
        <v>#REF!</v>
      </c>
    </row>
    <row r="36" spans="1:256" x14ac:dyDescent="0.25">
      <c r="A36" t="e">
        <f>AND(#REF!,"AAAAAHvp/wA=")</f>
        <v>#REF!</v>
      </c>
      <c r="B36" t="e">
        <f>AND(#REF!,"AAAAAHvp/wE=")</f>
        <v>#REF!</v>
      </c>
      <c r="C36" t="e">
        <f>AND(#REF!,"AAAAAHvp/wI=")</f>
        <v>#REF!</v>
      </c>
      <c r="D36" t="e">
        <f>AND(#REF!,"AAAAAHvp/wM=")</f>
        <v>#REF!</v>
      </c>
      <c r="E36" t="e">
        <f>AND(#REF!,"AAAAAHvp/wQ=")</f>
        <v>#REF!</v>
      </c>
      <c r="F36" t="e">
        <f>AND(#REF!,"AAAAAHvp/wU=")</f>
        <v>#REF!</v>
      </c>
      <c r="G36" t="e">
        <f>AND(#REF!,"AAAAAHvp/wY=")</f>
        <v>#REF!</v>
      </c>
      <c r="H36" t="e">
        <f>AND(#REF!,"AAAAAHvp/wc=")</f>
        <v>#REF!</v>
      </c>
      <c r="I36" t="e">
        <f>AND(#REF!,"AAAAAHvp/wg=")</f>
        <v>#REF!</v>
      </c>
      <c r="J36" t="e">
        <f>AND(#REF!,"AAAAAHvp/wk=")</f>
        <v>#REF!</v>
      </c>
      <c r="K36" t="e">
        <f>AND(#REF!,"AAAAAHvp/wo=")</f>
        <v>#REF!</v>
      </c>
      <c r="L36" t="e">
        <f>AND(#REF!,"AAAAAHvp/ws=")</f>
        <v>#REF!</v>
      </c>
      <c r="M36" t="e">
        <f>AND(#REF!,"AAAAAHvp/ww=")</f>
        <v>#REF!</v>
      </c>
      <c r="N36" t="e">
        <f>AND(#REF!,"AAAAAHvp/w0=")</f>
        <v>#REF!</v>
      </c>
      <c r="O36" t="e">
        <f>AND(#REF!,"AAAAAHvp/w4=")</f>
        <v>#REF!</v>
      </c>
      <c r="P36" t="e">
        <f>AND(#REF!,"AAAAAHvp/w8=")</f>
        <v>#REF!</v>
      </c>
      <c r="Q36" t="e">
        <f>AND(#REF!,"AAAAAHvp/xA=")</f>
        <v>#REF!</v>
      </c>
      <c r="R36" t="e">
        <f>AND(#REF!,"AAAAAHvp/xE=")</f>
        <v>#REF!</v>
      </c>
      <c r="S36" t="e">
        <f>AND(#REF!,"AAAAAHvp/xI=")</f>
        <v>#REF!</v>
      </c>
      <c r="T36" t="e">
        <f>AND(#REF!,"AAAAAHvp/xM=")</f>
        <v>#REF!</v>
      </c>
      <c r="U36" t="e">
        <f>AND(#REF!,"AAAAAHvp/xQ=")</f>
        <v>#REF!</v>
      </c>
      <c r="V36" t="e">
        <f>AND(#REF!,"AAAAAHvp/xU=")</f>
        <v>#REF!</v>
      </c>
      <c r="W36" t="e">
        <f>AND(#REF!,"AAAAAHvp/xY=")</f>
        <v>#REF!</v>
      </c>
      <c r="X36" t="e">
        <f>AND(#REF!,"AAAAAHvp/xc=")</f>
        <v>#REF!</v>
      </c>
      <c r="Y36" t="e">
        <f>AND(#REF!,"AAAAAHvp/xg=")</f>
        <v>#REF!</v>
      </c>
      <c r="Z36" t="e">
        <f>AND(#REF!,"AAAAAHvp/xk=")</f>
        <v>#REF!</v>
      </c>
      <c r="AA36" t="e">
        <f>AND(#REF!,"AAAAAHvp/xo=")</f>
        <v>#REF!</v>
      </c>
      <c r="AB36" t="e">
        <f>AND(#REF!,"AAAAAHvp/xs=")</f>
        <v>#REF!</v>
      </c>
      <c r="AC36" t="e">
        <f>AND(#REF!,"AAAAAHvp/xw=")</f>
        <v>#REF!</v>
      </c>
      <c r="AD36" t="e">
        <f>AND(#REF!,"AAAAAHvp/x0=")</f>
        <v>#REF!</v>
      </c>
      <c r="AE36" t="e">
        <f>AND(#REF!,"AAAAAHvp/x4=")</f>
        <v>#REF!</v>
      </c>
      <c r="AF36" t="e">
        <f>AND(#REF!,"AAAAAHvp/x8=")</f>
        <v>#REF!</v>
      </c>
      <c r="AG36" t="e">
        <f>AND(#REF!,"AAAAAHvp/yA=")</f>
        <v>#REF!</v>
      </c>
      <c r="AH36" t="e">
        <f>AND(#REF!,"AAAAAHvp/yE=")</f>
        <v>#REF!</v>
      </c>
      <c r="AI36" t="e">
        <f>AND(#REF!,"AAAAAHvp/yI=")</f>
        <v>#REF!</v>
      </c>
      <c r="AJ36" t="e">
        <f>AND(#REF!,"AAAAAHvp/yM=")</f>
        <v>#REF!</v>
      </c>
      <c r="AK36" t="e">
        <f>AND(#REF!,"AAAAAHvp/yQ=")</f>
        <v>#REF!</v>
      </c>
      <c r="AL36" t="e">
        <f>AND(#REF!,"AAAAAHvp/yU=")</f>
        <v>#REF!</v>
      </c>
      <c r="AM36" t="e">
        <f>AND(#REF!,"AAAAAHvp/yY=")</f>
        <v>#REF!</v>
      </c>
      <c r="AN36" t="e">
        <f>AND(#REF!,"AAAAAHvp/yc=")</f>
        <v>#REF!</v>
      </c>
      <c r="AO36" t="e">
        <f>AND(#REF!,"AAAAAHvp/yg=")</f>
        <v>#REF!</v>
      </c>
      <c r="AP36" t="e">
        <f>AND(#REF!,"AAAAAHvp/yk=")</f>
        <v>#REF!</v>
      </c>
      <c r="AQ36" t="e">
        <f>AND(#REF!,"AAAAAHvp/yo=")</f>
        <v>#REF!</v>
      </c>
      <c r="AR36" t="e">
        <f>AND(#REF!,"AAAAAHvp/ys=")</f>
        <v>#REF!</v>
      </c>
      <c r="AS36" t="e">
        <f>AND(#REF!,"AAAAAHvp/yw=")</f>
        <v>#REF!</v>
      </c>
      <c r="AT36" t="e">
        <f>AND(#REF!,"AAAAAHvp/y0=")</f>
        <v>#REF!</v>
      </c>
      <c r="AU36" t="e">
        <f>AND(#REF!,"AAAAAHvp/y4=")</f>
        <v>#REF!</v>
      </c>
      <c r="AV36" t="e">
        <f>AND(#REF!,"AAAAAHvp/y8=")</f>
        <v>#REF!</v>
      </c>
      <c r="AW36" t="e">
        <f>AND(#REF!,"AAAAAHvp/zA=")</f>
        <v>#REF!</v>
      </c>
      <c r="AX36" t="e">
        <f>AND(#REF!,"AAAAAHvp/zE=")</f>
        <v>#REF!</v>
      </c>
      <c r="AY36" t="e">
        <f>AND(#REF!,"AAAAAHvp/zI=")</f>
        <v>#REF!</v>
      </c>
      <c r="AZ36" t="e">
        <f>AND(#REF!,"AAAAAHvp/zM=")</f>
        <v>#REF!</v>
      </c>
      <c r="BA36" t="e">
        <f>AND(#REF!,"AAAAAHvp/zQ=")</f>
        <v>#REF!</v>
      </c>
      <c r="BB36" t="e">
        <f>AND(#REF!,"AAAAAHvp/zU=")</f>
        <v>#REF!</v>
      </c>
      <c r="BC36" t="e">
        <f>AND(#REF!,"AAAAAHvp/zY=")</f>
        <v>#REF!</v>
      </c>
      <c r="BD36" t="e">
        <f>AND(#REF!,"AAAAAHvp/zc=")</f>
        <v>#REF!</v>
      </c>
      <c r="BE36" t="e">
        <f>AND(#REF!,"AAAAAHvp/zg=")</f>
        <v>#REF!</v>
      </c>
      <c r="BF36" t="e">
        <f>AND(#REF!,"AAAAAHvp/zk=")</f>
        <v>#REF!</v>
      </c>
      <c r="BG36" t="e">
        <f>AND(#REF!,"AAAAAHvp/zo=")</f>
        <v>#REF!</v>
      </c>
      <c r="BH36" t="e">
        <f>AND(#REF!,"AAAAAHvp/zs=")</f>
        <v>#REF!</v>
      </c>
      <c r="BI36" t="e">
        <f>AND(#REF!,"AAAAAHvp/zw=")</f>
        <v>#REF!</v>
      </c>
      <c r="BJ36" t="e">
        <f>AND(#REF!,"AAAAAHvp/z0=")</f>
        <v>#REF!</v>
      </c>
      <c r="BK36" t="e">
        <f>AND(#REF!,"AAAAAHvp/z4=")</f>
        <v>#REF!</v>
      </c>
      <c r="BL36" t="e">
        <f>AND(#REF!,"AAAAAHvp/z8=")</f>
        <v>#REF!</v>
      </c>
      <c r="BM36" t="e">
        <f>AND(#REF!,"AAAAAHvp/0A=")</f>
        <v>#REF!</v>
      </c>
      <c r="BN36" t="e">
        <f>AND(#REF!,"AAAAAHvp/0E=")</f>
        <v>#REF!</v>
      </c>
      <c r="BO36" t="e">
        <f>AND(#REF!,"AAAAAHvp/0I=")</f>
        <v>#REF!</v>
      </c>
      <c r="BP36" t="e">
        <f>AND(#REF!,"AAAAAHvp/0M=")</f>
        <v>#REF!</v>
      </c>
      <c r="BQ36" t="e">
        <f>AND(#REF!,"AAAAAHvp/0Q=")</f>
        <v>#REF!</v>
      </c>
      <c r="BR36" t="e">
        <f>AND(#REF!,"AAAAAHvp/0U=")</f>
        <v>#REF!</v>
      </c>
      <c r="BS36" t="e">
        <f>AND(#REF!,"AAAAAHvp/0Y=")</f>
        <v>#REF!</v>
      </c>
      <c r="BT36" t="e">
        <f>AND(#REF!,"AAAAAHvp/0c=")</f>
        <v>#REF!</v>
      </c>
      <c r="BU36" t="e">
        <f>AND(#REF!,"AAAAAHvp/0g=")</f>
        <v>#REF!</v>
      </c>
      <c r="BV36" t="e">
        <f>AND(#REF!,"AAAAAHvp/0k=")</f>
        <v>#REF!</v>
      </c>
      <c r="BW36" t="e">
        <f>AND(#REF!,"AAAAAHvp/0o=")</f>
        <v>#REF!</v>
      </c>
      <c r="BX36" t="e">
        <f>IF(#REF!,"AAAAAHvp/0s=",0)</f>
        <v>#REF!</v>
      </c>
      <c r="BY36" t="e">
        <f>AND(#REF!,"AAAAAHvp/0w=")</f>
        <v>#REF!</v>
      </c>
      <c r="BZ36" t="e">
        <f>AND(#REF!,"AAAAAHvp/00=")</f>
        <v>#REF!</v>
      </c>
      <c r="CA36" t="e">
        <f>AND(#REF!,"AAAAAHvp/04=")</f>
        <v>#REF!</v>
      </c>
      <c r="CB36" t="e">
        <f>AND(#REF!,"AAAAAHvp/08=")</f>
        <v>#REF!</v>
      </c>
      <c r="CC36" t="e">
        <f>AND(#REF!,"AAAAAHvp/1A=")</f>
        <v>#REF!</v>
      </c>
      <c r="CD36" t="e">
        <f>AND(#REF!,"AAAAAHvp/1E=")</f>
        <v>#REF!</v>
      </c>
      <c r="CE36" t="e">
        <f>AND(#REF!,"AAAAAHvp/1I=")</f>
        <v>#REF!</v>
      </c>
      <c r="CF36" t="e">
        <f>AND(#REF!,"AAAAAHvp/1M=")</f>
        <v>#REF!</v>
      </c>
      <c r="CG36" t="e">
        <f>AND(#REF!,"AAAAAHvp/1Q=")</f>
        <v>#REF!</v>
      </c>
      <c r="CH36" t="e">
        <f>AND(#REF!,"AAAAAHvp/1U=")</f>
        <v>#REF!</v>
      </c>
      <c r="CI36" t="e">
        <f>AND(#REF!,"AAAAAHvp/1Y=")</f>
        <v>#REF!</v>
      </c>
      <c r="CJ36" t="e">
        <f>AND(#REF!,"AAAAAHvp/1c=")</f>
        <v>#REF!</v>
      </c>
      <c r="CK36" t="e">
        <f>AND(#REF!,"AAAAAHvp/1g=")</f>
        <v>#REF!</v>
      </c>
      <c r="CL36" t="e">
        <f>AND(#REF!,"AAAAAHvp/1k=")</f>
        <v>#REF!</v>
      </c>
      <c r="CM36" t="e">
        <f>AND(#REF!,"AAAAAHvp/1o=")</f>
        <v>#REF!</v>
      </c>
      <c r="CN36" t="e">
        <f>AND(#REF!,"AAAAAHvp/1s=")</f>
        <v>#REF!</v>
      </c>
      <c r="CO36" t="e">
        <f>AND(#REF!,"AAAAAHvp/1w=")</f>
        <v>#REF!</v>
      </c>
      <c r="CP36" t="e">
        <f>AND(#REF!,"AAAAAHvp/10=")</f>
        <v>#REF!</v>
      </c>
      <c r="CQ36" t="e">
        <f>AND(#REF!,"AAAAAHvp/14=")</f>
        <v>#REF!</v>
      </c>
      <c r="CR36" t="e">
        <f>AND(#REF!,"AAAAAHvp/18=")</f>
        <v>#REF!</v>
      </c>
      <c r="CS36" t="e">
        <f>AND(#REF!,"AAAAAHvp/2A=")</f>
        <v>#REF!</v>
      </c>
      <c r="CT36" t="e">
        <f>AND(#REF!,"AAAAAHvp/2E=")</f>
        <v>#REF!</v>
      </c>
      <c r="CU36" t="e">
        <f>AND(#REF!,"AAAAAHvp/2I=")</f>
        <v>#REF!</v>
      </c>
      <c r="CV36" t="e">
        <f>AND(#REF!,"AAAAAHvp/2M=")</f>
        <v>#REF!</v>
      </c>
      <c r="CW36" t="e">
        <f>AND(#REF!,"AAAAAHvp/2Q=")</f>
        <v>#REF!</v>
      </c>
      <c r="CX36" t="e">
        <f>AND(#REF!,"AAAAAHvp/2U=")</f>
        <v>#REF!</v>
      </c>
      <c r="CY36" t="e">
        <f>AND(#REF!,"AAAAAHvp/2Y=")</f>
        <v>#REF!</v>
      </c>
      <c r="CZ36" t="e">
        <f>AND(#REF!,"AAAAAHvp/2c=")</f>
        <v>#REF!</v>
      </c>
      <c r="DA36" t="e">
        <f>AND(#REF!,"AAAAAHvp/2g=")</f>
        <v>#REF!</v>
      </c>
      <c r="DB36" t="e">
        <f>AND(#REF!,"AAAAAHvp/2k=")</f>
        <v>#REF!</v>
      </c>
      <c r="DC36" t="e">
        <f>AND(#REF!,"AAAAAHvp/2o=")</f>
        <v>#REF!</v>
      </c>
      <c r="DD36" t="e">
        <f>AND(#REF!,"AAAAAHvp/2s=")</f>
        <v>#REF!</v>
      </c>
      <c r="DE36" t="e">
        <f>AND(#REF!,"AAAAAHvp/2w=")</f>
        <v>#REF!</v>
      </c>
      <c r="DF36" t="e">
        <f>AND(#REF!,"AAAAAHvp/20=")</f>
        <v>#REF!</v>
      </c>
      <c r="DG36" t="e">
        <f>AND(#REF!,"AAAAAHvp/24=")</f>
        <v>#REF!</v>
      </c>
      <c r="DH36" t="e">
        <f>AND(#REF!,"AAAAAHvp/28=")</f>
        <v>#REF!</v>
      </c>
      <c r="DI36" t="e">
        <f>AND(#REF!,"AAAAAHvp/3A=")</f>
        <v>#REF!</v>
      </c>
      <c r="DJ36" t="e">
        <f>AND(#REF!,"AAAAAHvp/3E=")</f>
        <v>#REF!</v>
      </c>
      <c r="DK36" t="e">
        <f>AND(#REF!,"AAAAAHvp/3I=")</f>
        <v>#REF!</v>
      </c>
      <c r="DL36" t="e">
        <f>AND(#REF!,"AAAAAHvp/3M=")</f>
        <v>#REF!</v>
      </c>
      <c r="DM36" t="e">
        <f>AND(#REF!,"AAAAAHvp/3Q=")</f>
        <v>#REF!</v>
      </c>
      <c r="DN36" t="e">
        <f>AND(#REF!,"AAAAAHvp/3U=")</f>
        <v>#REF!</v>
      </c>
      <c r="DO36" t="e">
        <f>AND(#REF!,"AAAAAHvp/3Y=")</f>
        <v>#REF!</v>
      </c>
      <c r="DP36" t="e">
        <f>AND(#REF!,"AAAAAHvp/3c=")</f>
        <v>#REF!</v>
      </c>
      <c r="DQ36" t="e">
        <f>AND(#REF!,"AAAAAHvp/3g=")</f>
        <v>#REF!</v>
      </c>
      <c r="DR36" t="e">
        <f>AND(#REF!,"AAAAAHvp/3k=")</f>
        <v>#REF!</v>
      </c>
      <c r="DS36" t="e">
        <f>AND(#REF!,"AAAAAHvp/3o=")</f>
        <v>#REF!</v>
      </c>
      <c r="DT36" t="e">
        <f>AND(#REF!,"AAAAAHvp/3s=")</f>
        <v>#REF!</v>
      </c>
      <c r="DU36" t="e">
        <f>AND(#REF!,"AAAAAHvp/3w=")</f>
        <v>#REF!</v>
      </c>
      <c r="DV36" t="e">
        <f>AND(#REF!,"AAAAAHvp/30=")</f>
        <v>#REF!</v>
      </c>
      <c r="DW36" t="e">
        <f>AND(#REF!,"AAAAAHvp/34=")</f>
        <v>#REF!</v>
      </c>
      <c r="DX36" t="e">
        <f>AND(#REF!,"AAAAAHvp/38=")</f>
        <v>#REF!</v>
      </c>
      <c r="DY36" t="e">
        <f>AND(#REF!,"AAAAAHvp/4A=")</f>
        <v>#REF!</v>
      </c>
      <c r="DZ36" t="e">
        <f>AND(#REF!,"AAAAAHvp/4E=")</f>
        <v>#REF!</v>
      </c>
      <c r="EA36" t="e">
        <f>AND(#REF!,"AAAAAHvp/4I=")</f>
        <v>#REF!</v>
      </c>
      <c r="EB36" t="e">
        <f>AND(#REF!,"AAAAAHvp/4M=")</f>
        <v>#REF!</v>
      </c>
      <c r="EC36" t="e">
        <f>AND(#REF!,"AAAAAHvp/4Q=")</f>
        <v>#REF!</v>
      </c>
      <c r="ED36" t="e">
        <f>AND(#REF!,"AAAAAHvp/4U=")</f>
        <v>#REF!</v>
      </c>
      <c r="EE36" t="e">
        <f>AND(#REF!,"AAAAAHvp/4Y=")</f>
        <v>#REF!</v>
      </c>
      <c r="EF36" t="e">
        <f>AND(#REF!,"AAAAAHvp/4c=")</f>
        <v>#REF!</v>
      </c>
      <c r="EG36" t="e">
        <f>AND(#REF!,"AAAAAHvp/4g=")</f>
        <v>#REF!</v>
      </c>
      <c r="EH36" t="e">
        <f>AND(#REF!,"AAAAAHvp/4k=")</f>
        <v>#REF!</v>
      </c>
      <c r="EI36" t="e">
        <f>AND(#REF!,"AAAAAHvp/4o=")</f>
        <v>#REF!</v>
      </c>
      <c r="EJ36" t="e">
        <f>AND(#REF!,"AAAAAHvp/4s=")</f>
        <v>#REF!</v>
      </c>
      <c r="EK36" t="e">
        <f>AND(#REF!,"AAAAAHvp/4w=")</f>
        <v>#REF!</v>
      </c>
      <c r="EL36" t="e">
        <f>AND(#REF!,"AAAAAHvp/40=")</f>
        <v>#REF!</v>
      </c>
      <c r="EM36" t="e">
        <f>AND(#REF!,"AAAAAHvp/44=")</f>
        <v>#REF!</v>
      </c>
      <c r="EN36" t="e">
        <f>AND(#REF!,"AAAAAHvp/48=")</f>
        <v>#REF!</v>
      </c>
      <c r="EO36" t="e">
        <f>AND(#REF!,"AAAAAHvp/5A=")</f>
        <v>#REF!</v>
      </c>
      <c r="EP36" t="e">
        <f>AND(#REF!,"AAAAAHvp/5E=")</f>
        <v>#REF!</v>
      </c>
      <c r="EQ36" t="e">
        <f>AND(#REF!,"AAAAAHvp/5I=")</f>
        <v>#REF!</v>
      </c>
      <c r="ER36" t="e">
        <f>AND(#REF!,"AAAAAHvp/5M=")</f>
        <v>#REF!</v>
      </c>
      <c r="ES36" t="e">
        <f>AND(#REF!,"AAAAAHvp/5Q=")</f>
        <v>#REF!</v>
      </c>
      <c r="ET36" t="e">
        <f>AND(#REF!,"AAAAAHvp/5U=")</f>
        <v>#REF!</v>
      </c>
      <c r="EU36" t="e">
        <f>AND(#REF!,"AAAAAHvp/5Y=")</f>
        <v>#REF!</v>
      </c>
      <c r="EV36" t="e">
        <f>AND(#REF!,"AAAAAHvp/5c=")</f>
        <v>#REF!</v>
      </c>
      <c r="EW36" t="e">
        <f>AND(#REF!,"AAAAAHvp/5g=")</f>
        <v>#REF!</v>
      </c>
      <c r="EX36" t="e">
        <f>AND(#REF!,"AAAAAHvp/5k=")</f>
        <v>#REF!</v>
      </c>
      <c r="EY36" t="e">
        <f>AND(#REF!,"AAAAAHvp/5o=")</f>
        <v>#REF!</v>
      </c>
      <c r="EZ36" t="e">
        <f>AND(#REF!,"AAAAAHvp/5s=")</f>
        <v>#REF!</v>
      </c>
      <c r="FA36" t="e">
        <f>AND(#REF!,"AAAAAHvp/5w=")</f>
        <v>#REF!</v>
      </c>
      <c r="FB36" t="e">
        <f>AND(#REF!,"AAAAAHvp/50=")</f>
        <v>#REF!</v>
      </c>
      <c r="FC36" t="e">
        <f>AND(#REF!,"AAAAAHvp/54=")</f>
        <v>#REF!</v>
      </c>
      <c r="FD36" t="e">
        <f>AND(#REF!,"AAAAAHvp/58=")</f>
        <v>#REF!</v>
      </c>
      <c r="FE36" t="e">
        <f>AND(#REF!,"AAAAAHvp/6A=")</f>
        <v>#REF!</v>
      </c>
      <c r="FF36" t="e">
        <f>AND(#REF!,"AAAAAHvp/6E=")</f>
        <v>#REF!</v>
      </c>
      <c r="FG36" t="e">
        <f>AND(#REF!,"AAAAAHvp/6I=")</f>
        <v>#REF!</v>
      </c>
      <c r="FH36" t="e">
        <f>AND(#REF!,"AAAAAHvp/6M=")</f>
        <v>#REF!</v>
      </c>
      <c r="FI36" t="e">
        <f>AND(#REF!,"AAAAAHvp/6Q=")</f>
        <v>#REF!</v>
      </c>
      <c r="FJ36" t="e">
        <f>AND(#REF!,"AAAAAHvp/6U=")</f>
        <v>#REF!</v>
      </c>
      <c r="FK36" t="e">
        <f>AND(#REF!,"AAAAAHvp/6Y=")</f>
        <v>#REF!</v>
      </c>
      <c r="FL36" t="e">
        <f>AND(#REF!,"AAAAAHvp/6c=")</f>
        <v>#REF!</v>
      </c>
      <c r="FM36" t="e">
        <f>AND(#REF!,"AAAAAHvp/6g=")</f>
        <v>#REF!</v>
      </c>
      <c r="FN36" t="e">
        <f>AND(#REF!,"AAAAAHvp/6k=")</f>
        <v>#REF!</v>
      </c>
      <c r="FO36" t="e">
        <f>AND(#REF!,"AAAAAHvp/6o=")</f>
        <v>#REF!</v>
      </c>
      <c r="FP36" t="e">
        <f>AND(#REF!,"AAAAAHvp/6s=")</f>
        <v>#REF!</v>
      </c>
      <c r="FQ36" t="e">
        <f>AND(#REF!,"AAAAAHvp/6w=")</f>
        <v>#REF!</v>
      </c>
      <c r="FR36" t="e">
        <f>AND(#REF!,"AAAAAHvp/60=")</f>
        <v>#REF!</v>
      </c>
      <c r="FS36" t="e">
        <f>AND(#REF!,"AAAAAHvp/64=")</f>
        <v>#REF!</v>
      </c>
      <c r="FT36" t="e">
        <f>AND(#REF!,"AAAAAHvp/68=")</f>
        <v>#REF!</v>
      </c>
      <c r="FU36" t="e">
        <f>AND(#REF!,"AAAAAHvp/7A=")</f>
        <v>#REF!</v>
      </c>
      <c r="FV36" t="e">
        <f>AND(#REF!,"AAAAAHvp/7E=")</f>
        <v>#REF!</v>
      </c>
      <c r="FW36" t="e">
        <f>AND(#REF!,"AAAAAHvp/7I=")</f>
        <v>#REF!</v>
      </c>
      <c r="FX36" t="e">
        <f>AND(#REF!,"AAAAAHvp/7M=")</f>
        <v>#REF!</v>
      </c>
      <c r="FY36" t="e">
        <f>IF(#REF!,"AAAAAHvp/7Q=",0)</f>
        <v>#REF!</v>
      </c>
      <c r="FZ36" t="e">
        <f>AND(#REF!,"AAAAAHvp/7U=")</f>
        <v>#REF!</v>
      </c>
      <c r="GA36" t="e">
        <f>AND(#REF!,"AAAAAHvp/7Y=")</f>
        <v>#REF!</v>
      </c>
      <c r="GB36" t="e">
        <f>AND(#REF!,"AAAAAHvp/7c=")</f>
        <v>#REF!</v>
      </c>
      <c r="GC36" t="e">
        <f>AND(#REF!,"AAAAAHvp/7g=")</f>
        <v>#REF!</v>
      </c>
      <c r="GD36" t="e">
        <f>AND(#REF!,"AAAAAHvp/7k=")</f>
        <v>#REF!</v>
      </c>
      <c r="GE36" t="e">
        <f>AND(#REF!,"AAAAAHvp/7o=")</f>
        <v>#REF!</v>
      </c>
      <c r="GF36" t="e">
        <f>AND(#REF!,"AAAAAHvp/7s=")</f>
        <v>#REF!</v>
      </c>
      <c r="GG36" t="e">
        <f>AND(#REF!,"AAAAAHvp/7w=")</f>
        <v>#REF!</v>
      </c>
      <c r="GH36" t="e">
        <f>AND(#REF!,"AAAAAHvp/70=")</f>
        <v>#REF!</v>
      </c>
      <c r="GI36" t="e">
        <f>AND(#REF!,"AAAAAHvp/74=")</f>
        <v>#REF!</v>
      </c>
      <c r="GJ36" t="e">
        <f>AND(#REF!,"AAAAAHvp/78=")</f>
        <v>#REF!</v>
      </c>
      <c r="GK36" t="e">
        <f>AND(#REF!,"AAAAAHvp/8A=")</f>
        <v>#REF!</v>
      </c>
      <c r="GL36" t="e">
        <f>AND(#REF!,"AAAAAHvp/8E=")</f>
        <v>#REF!</v>
      </c>
      <c r="GM36" t="e">
        <f>AND(#REF!,"AAAAAHvp/8I=")</f>
        <v>#REF!</v>
      </c>
      <c r="GN36" t="e">
        <f>AND(#REF!,"AAAAAHvp/8M=")</f>
        <v>#REF!</v>
      </c>
      <c r="GO36" t="e">
        <f>AND(#REF!,"AAAAAHvp/8Q=")</f>
        <v>#REF!</v>
      </c>
      <c r="GP36" t="e">
        <f>AND(#REF!,"AAAAAHvp/8U=")</f>
        <v>#REF!</v>
      </c>
      <c r="GQ36" t="e">
        <f>AND(#REF!,"AAAAAHvp/8Y=")</f>
        <v>#REF!</v>
      </c>
      <c r="GR36" t="e">
        <f>AND(#REF!,"AAAAAHvp/8c=")</f>
        <v>#REF!</v>
      </c>
      <c r="GS36" t="e">
        <f>AND(#REF!,"AAAAAHvp/8g=")</f>
        <v>#REF!</v>
      </c>
      <c r="GT36" t="e">
        <f>AND(#REF!,"AAAAAHvp/8k=")</f>
        <v>#REF!</v>
      </c>
      <c r="GU36" t="e">
        <f>AND(#REF!,"AAAAAHvp/8o=")</f>
        <v>#REF!</v>
      </c>
      <c r="GV36" t="e">
        <f>AND(#REF!,"AAAAAHvp/8s=")</f>
        <v>#REF!</v>
      </c>
      <c r="GW36" t="e">
        <f>AND(#REF!,"AAAAAHvp/8w=")</f>
        <v>#REF!</v>
      </c>
      <c r="GX36" t="e">
        <f>AND(#REF!,"AAAAAHvp/80=")</f>
        <v>#REF!</v>
      </c>
      <c r="GY36" t="e">
        <f>AND(#REF!,"AAAAAHvp/84=")</f>
        <v>#REF!</v>
      </c>
      <c r="GZ36" t="e">
        <f>AND(#REF!,"AAAAAHvp/88=")</f>
        <v>#REF!</v>
      </c>
      <c r="HA36" t="e">
        <f>AND(#REF!,"AAAAAHvp/9A=")</f>
        <v>#REF!</v>
      </c>
      <c r="HB36" t="e">
        <f>AND(#REF!,"AAAAAHvp/9E=")</f>
        <v>#REF!</v>
      </c>
      <c r="HC36" t="e">
        <f>AND(#REF!,"AAAAAHvp/9I=")</f>
        <v>#REF!</v>
      </c>
      <c r="HD36" t="e">
        <f>AND(#REF!,"AAAAAHvp/9M=")</f>
        <v>#REF!</v>
      </c>
      <c r="HE36" t="e">
        <f>AND(#REF!,"AAAAAHvp/9Q=")</f>
        <v>#REF!</v>
      </c>
      <c r="HF36" t="e">
        <f>AND(#REF!,"AAAAAHvp/9U=")</f>
        <v>#REF!</v>
      </c>
      <c r="HG36" t="e">
        <f>AND(#REF!,"AAAAAHvp/9Y=")</f>
        <v>#REF!</v>
      </c>
      <c r="HH36" t="e">
        <f>AND(#REF!,"AAAAAHvp/9c=")</f>
        <v>#REF!</v>
      </c>
      <c r="HI36" t="e">
        <f>AND(#REF!,"AAAAAHvp/9g=")</f>
        <v>#REF!</v>
      </c>
      <c r="HJ36" t="e">
        <f>AND(#REF!,"AAAAAHvp/9k=")</f>
        <v>#REF!</v>
      </c>
      <c r="HK36" t="e">
        <f>AND(#REF!,"AAAAAHvp/9o=")</f>
        <v>#REF!</v>
      </c>
      <c r="HL36" t="e">
        <f>AND(#REF!,"AAAAAHvp/9s=")</f>
        <v>#REF!</v>
      </c>
      <c r="HM36" t="e">
        <f>AND(#REF!,"AAAAAHvp/9w=")</f>
        <v>#REF!</v>
      </c>
      <c r="HN36" t="e">
        <f>AND(#REF!,"AAAAAHvp/90=")</f>
        <v>#REF!</v>
      </c>
      <c r="HO36" t="e">
        <f>AND(#REF!,"AAAAAHvp/94=")</f>
        <v>#REF!</v>
      </c>
      <c r="HP36" t="e">
        <f>AND(#REF!,"AAAAAHvp/98=")</f>
        <v>#REF!</v>
      </c>
      <c r="HQ36" t="e">
        <f>AND(#REF!,"AAAAAHvp/+A=")</f>
        <v>#REF!</v>
      </c>
      <c r="HR36" t="e">
        <f>AND(#REF!,"AAAAAHvp/+E=")</f>
        <v>#REF!</v>
      </c>
      <c r="HS36" t="e">
        <f>AND(#REF!,"AAAAAHvp/+I=")</f>
        <v>#REF!</v>
      </c>
      <c r="HT36" t="e">
        <f>AND(#REF!,"AAAAAHvp/+M=")</f>
        <v>#REF!</v>
      </c>
      <c r="HU36" t="e">
        <f>AND(#REF!,"AAAAAHvp/+Q=")</f>
        <v>#REF!</v>
      </c>
      <c r="HV36" t="e">
        <f>AND(#REF!,"AAAAAHvp/+U=")</f>
        <v>#REF!</v>
      </c>
      <c r="HW36" t="e">
        <f>AND(#REF!,"AAAAAHvp/+Y=")</f>
        <v>#REF!</v>
      </c>
      <c r="HX36" t="e">
        <f>AND(#REF!,"AAAAAHvp/+c=")</f>
        <v>#REF!</v>
      </c>
      <c r="HY36" t="e">
        <f>AND(#REF!,"AAAAAHvp/+g=")</f>
        <v>#REF!</v>
      </c>
      <c r="HZ36" t="e">
        <f>AND(#REF!,"AAAAAHvp/+k=")</f>
        <v>#REF!</v>
      </c>
      <c r="IA36" t="e">
        <f>AND(#REF!,"AAAAAHvp/+o=")</f>
        <v>#REF!</v>
      </c>
      <c r="IB36" t="e">
        <f>AND(#REF!,"AAAAAHvp/+s=")</f>
        <v>#REF!</v>
      </c>
      <c r="IC36" t="e">
        <f>AND(#REF!,"AAAAAHvp/+w=")</f>
        <v>#REF!</v>
      </c>
      <c r="ID36" t="e">
        <f>AND(#REF!,"AAAAAHvp/+0=")</f>
        <v>#REF!</v>
      </c>
      <c r="IE36" t="e">
        <f>AND(#REF!,"AAAAAHvp/+4=")</f>
        <v>#REF!</v>
      </c>
      <c r="IF36" t="e">
        <f>AND(#REF!,"AAAAAHvp/+8=")</f>
        <v>#REF!</v>
      </c>
      <c r="IG36" t="e">
        <f>AND(#REF!,"AAAAAHvp//A=")</f>
        <v>#REF!</v>
      </c>
      <c r="IH36" t="e">
        <f>AND(#REF!,"AAAAAHvp//E=")</f>
        <v>#REF!</v>
      </c>
      <c r="II36" t="e">
        <f>AND(#REF!,"AAAAAHvp//I=")</f>
        <v>#REF!</v>
      </c>
      <c r="IJ36" t="e">
        <f>AND(#REF!,"AAAAAHvp//M=")</f>
        <v>#REF!</v>
      </c>
      <c r="IK36" t="e">
        <f>AND(#REF!,"AAAAAHvp//Q=")</f>
        <v>#REF!</v>
      </c>
      <c r="IL36" t="e">
        <f>AND(#REF!,"AAAAAHvp//U=")</f>
        <v>#REF!</v>
      </c>
      <c r="IM36" t="e">
        <f>AND(#REF!,"AAAAAHvp//Y=")</f>
        <v>#REF!</v>
      </c>
      <c r="IN36" t="e">
        <f>AND(#REF!,"AAAAAHvp//c=")</f>
        <v>#REF!</v>
      </c>
      <c r="IO36" t="e">
        <f>AND(#REF!,"AAAAAHvp//g=")</f>
        <v>#REF!</v>
      </c>
      <c r="IP36" t="e">
        <f>AND(#REF!,"AAAAAHvp//k=")</f>
        <v>#REF!</v>
      </c>
      <c r="IQ36" t="e">
        <f>AND(#REF!,"AAAAAHvp//o=")</f>
        <v>#REF!</v>
      </c>
      <c r="IR36" t="e">
        <f>AND(#REF!,"AAAAAHvp//s=")</f>
        <v>#REF!</v>
      </c>
      <c r="IS36" t="e">
        <f>AND(#REF!,"AAAAAHvp//w=")</f>
        <v>#REF!</v>
      </c>
      <c r="IT36" t="e">
        <f>AND(#REF!,"AAAAAHvp//0=")</f>
        <v>#REF!</v>
      </c>
      <c r="IU36" t="e">
        <f>AND(#REF!,"AAAAAHvp//4=")</f>
        <v>#REF!</v>
      </c>
      <c r="IV36" t="e">
        <f>AND(#REF!,"AAAAAHvp//8=")</f>
        <v>#REF!</v>
      </c>
    </row>
    <row r="37" spans="1:256" x14ac:dyDescent="0.25">
      <c r="A37" t="e">
        <f>AND(#REF!,"AAAAAH+/1wA=")</f>
        <v>#REF!</v>
      </c>
      <c r="B37" t="e">
        <f>AND(#REF!,"AAAAAH+/1wE=")</f>
        <v>#REF!</v>
      </c>
      <c r="C37" t="e">
        <f>AND(#REF!,"AAAAAH+/1wI=")</f>
        <v>#REF!</v>
      </c>
      <c r="D37" t="e">
        <f>AND(#REF!,"AAAAAH+/1wM=")</f>
        <v>#REF!</v>
      </c>
      <c r="E37" t="e">
        <f>AND(#REF!,"AAAAAH+/1wQ=")</f>
        <v>#REF!</v>
      </c>
      <c r="F37" t="e">
        <f>AND(#REF!,"AAAAAH+/1wU=")</f>
        <v>#REF!</v>
      </c>
      <c r="G37" t="e">
        <f>AND(#REF!,"AAAAAH+/1wY=")</f>
        <v>#REF!</v>
      </c>
      <c r="H37" t="e">
        <f>AND(#REF!,"AAAAAH+/1wc=")</f>
        <v>#REF!</v>
      </c>
      <c r="I37" t="e">
        <f>AND(#REF!,"AAAAAH+/1wg=")</f>
        <v>#REF!</v>
      </c>
      <c r="J37" t="e">
        <f>AND(#REF!,"AAAAAH+/1wk=")</f>
        <v>#REF!</v>
      </c>
      <c r="K37" t="e">
        <f>AND(#REF!,"AAAAAH+/1wo=")</f>
        <v>#REF!</v>
      </c>
      <c r="L37" t="e">
        <f>AND(#REF!,"AAAAAH+/1ws=")</f>
        <v>#REF!</v>
      </c>
      <c r="M37" t="e">
        <f>AND(#REF!,"AAAAAH+/1ww=")</f>
        <v>#REF!</v>
      </c>
      <c r="N37" t="e">
        <f>AND(#REF!,"AAAAAH+/1w0=")</f>
        <v>#REF!</v>
      </c>
      <c r="O37" t="e">
        <f>AND(#REF!,"AAAAAH+/1w4=")</f>
        <v>#REF!</v>
      </c>
      <c r="P37" t="e">
        <f>AND(#REF!,"AAAAAH+/1w8=")</f>
        <v>#REF!</v>
      </c>
      <c r="Q37" t="e">
        <f>AND(#REF!,"AAAAAH+/1xA=")</f>
        <v>#REF!</v>
      </c>
      <c r="R37" t="e">
        <f>AND(#REF!,"AAAAAH+/1xE=")</f>
        <v>#REF!</v>
      </c>
      <c r="S37" t="e">
        <f>AND(#REF!,"AAAAAH+/1xI=")</f>
        <v>#REF!</v>
      </c>
      <c r="T37" t="e">
        <f>AND(#REF!,"AAAAAH+/1xM=")</f>
        <v>#REF!</v>
      </c>
      <c r="U37" t="e">
        <f>AND(#REF!,"AAAAAH+/1xQ=")</f>
        <v>#REF!</v>
      </c>
      <c r="V37" t="e">
        <f>AND(#REF!,"AAAAAH+/1xU=")</f>
        <v>#REF!</v>
      </c>
      <c r="W37" t="e">
        <f>AND(#REF!,"AAAAAH+/1xY=")</f>
        <v>#REF!</v>
      </c>
      <c r="X37" t="e">
        <f>AND(#REF!,"AAAAAH+/1xc=")</f>
        <v>#REF!</v>
      </c>
      <c r="Y37" t="e">
        <f>AND(#REF!,"AAAAAH+/1xg=")</f>
        <v>#REF!</v>
      </c>
      <c r="Z37" t="e">
        <f>AND(#REF!,"AAAAAH+/1xk=")</f>
        <v>#REF!</v>
      </c>
      <c r="AA37" t="e">
        <f>AND(#REF!,"AAAAAH+/1xo=")</f>
        <v>#REF!</v>
      </c>
      <c r="AB37" t="e">
        <f>AND(#REF!,"AAAAAH+/1xs=")</f>
        <v>#REF!</v>
      </c>
      <c r="AC37" t="e">
        <f>AND(#REF!,"AAAAAH+/1xw=")</f>
        <v>#REF!</v>
      </c>
      <c r="AD37" t="e">
        <f>IF(#REF!,"AAAAAH+/1x0=",0)</f>
        <v>#REF!</v>
      </c>
      <c r="AE37" t="e">
        <f>AND(#REF!,"AAAAAH+/1x4=")</f>
        <v>#REF!</v>
      </c>
      <c r="AF37" t="e">
        <f>AND(#REF!,"AAAAAH+/1x8=")</f>
        <v>#REF!</v>
      </c>
      <c r="AG37" t="e">
        <f>AND(#REF!,"AAAAAH+/1yA=")</f>
        <v>#REF!</v>
      </c>
      <c r="AH37" t="e">
        <f>AND(#REF!,"AAAAAH+/1yE=")</f>
        <v>#REF!</v>
      </c>
      <c r="AI37" t="e">
        <f>AND(#REF!,"AAAAAH+/1yI=")</f>
        <v>#REF!</v>
      </c>
      <c r="AJ37" t="e">
        <f>AND(#REF!,"AAAAAH+/1yM=")</f>
        <v>#REF!</v>
      </c>
      <c r="AK37" t="e">
        <f>AND(#REF!,"AAAAAH+/1yQ=")</f>
        <v>#REF!</v>
      </c>
      <c r="AL37" t="e">
        <f>AND(#REF!,"AAAAAH+/1yU=")</f>
        <v>#REF!</v>
      </c>
      <c r="AM37" t="e">
        <f>AND(#REF!,"AAAAAH+/1yY=")</f>
        <v>#REF!</v>
      </c>
      <c r="AN37" t="e">
        <f>AND(#REF!,"AAAAAH+/1yc=")</f>
        <v>#REF!</v>
      </c>
      <c r="AO37" t="e">
        <f>AND(#REF!,"AAAAAH+/1yg=")</f>
        <v>#REF!</v>
      </c>
      <c r="AP37" t="e">
        <f>AND(#REF!,"AAAAAH+/1yk=")</f>
        <v>#REF!</v>
      </c>
      <c r="AQ37" t="e">
        <f>AND(#REF!,"AAAAAH+/1yo=")</f>
        <v>#REF!</v>
      </c>
      <c r="AR37" t="e">
        <f>AND(#REF!,"AAAAAH+/1ys=")</f>
        <v>#REF!</v>
      </c>
      <c r="AS37" t="e">
        <f>AND(#REF!,"AAAAAH+/1yw=")</f>
        <v>#REF!</v>
      </c>
      <c r="AT37" t="e">
        <f>AND(#REF!,"AAAAAH+/1y0=")</f>
        <v>#REF!</v>
      </c>
      <c r="AU37" t="e">
        <f>AND(#REF!,"AAAAAH+/1y4=")</f>
        <v>#REF!</v>
      </c>
      <c r="AV37" t="e">
        <f>AND(#REF!,"AAAAAH+/1y8=")</f>
        <v>#REF!</v>
      </c>
      <c r="AW37" t="e">
        <f>AND(#REF!,"AAAAAH+/1zA=")</f>
        <v>#REF!</v>
      </c>
      <c r="AX37" t="e">
        <f>AND(#REF!,"AAAAAH+/1zE=")</f>
        <v>#REF!</v>
      </c>
      <c r="AY37" t="e">
        <f>AND(#REF!,"AAAAAH+/1zI=")</f>
        <v>#REF!</v>
      </c>
      <c r="AZ37" t="e">
        <f>AND(#REF!,"AAAAAH+/1zM=")</f>
        <v>#REF!</v>
      </c>
      <c r="BA37" t="e">
        <f>AND(#REF!,"AAAAAH+/1zQ=")</f>
        <v>#REF!</v>
      </c>
      <c r="BB37" t="e">
        <f>AND(#REF!,"AAAAAH+/1zU=")</f>
        <v>#REF!</v>
      </c>
      <c r="BC37" t="e">
        <f>AND(#REF!,"AAAAAH+/1zY=")</f>
        <v>#REF!</v>
      </c>
      <c r="BD37" t="e">
        <f>AND(#REF!,"AAAAAH+/1zc=")</f>
        <v>#REF!</v>
      </c>
      <c r="BE37" t="e">
        <f>AND(#REF!,"AAAAAH+/1zg=")</f>
        <v>#REF!</v>
      </c>
      <c r="BF37" t="e">
        <f>AND(#REF!,"AAAAAH+/1zk=")</f>
        <v>#REF!</v>
      </c>
      <c r="BG37" t="e">
        <f>AND(#REF!,"AAAAAH+/1zo=")</f>
        <v>#REF!</v>
      </c>
      <c r="BH37" t="e">
        <f>AND(#REF!,"AAAAAH+/1zs=")</f>
        <v>#REF!</v>
      </c>
      <c r="BI37" t="e">
        <f>AND(#REF!,"AAAAAH+/1zw=")</f>
        <v>#REF!</v>
      </c>
      <c r="BJ37" t="e">
        <f>AND(#REF!,"AAAAAH+/1z0=")</f>
        <v>#REF!</v>
      </c>
      <c r="BK37" t="e">
        <f>AND(#REF!,"AAAAAH+/1z4=")</f>
        <v>#REF!</v>
      </c>
      <c r="BL37" t="e">
        <f>AND(#REF!,"AAAAAH+/1z8=")</f>
        <v>#REF!</v>
      </c>
      <c r="BM37" t="e">
        <f>AND(#REF!,"AAAAAH+/10A=")</f>
        <v>#REF!</v>
      </c>
      <c r="BN37" t="e">
        <f>AND(#REF!,"AAAAAH+/10E=")</f>
        <v>#REF!</v>
      </c>
      <c r="BO37" t="e">
        <f>AND(#REF!,"AAAAAH+/10I=")</f>
        <v>#REF!</v>
      </c>
      <c r="BP37" t="e">
        <f>AND(#REF!,"AAAAAH+/10M=")</f>
        <v>#REF!</v>
      </c>
      <c r="BQ37" t="e">
        <f>AND(#REF!,"AAAAAH+/10Q=")</f>
        <v>#REF!</v>
      </c>
      <c r="BR37" t="e">
        <f>AND(#REF!,"AAAAAH+/10U=")</f>
        <v>#REF!</v>
      </c>
      <c r="BS37" t="e">
        <f>AND(#REF!,"AAAAAH+/10Y=")</f>
        <v>#REF!</v>
      </c>
      <c r="BT37" t="e">
        <f>AND(#REF!,"AAAAAH+/10c=")</f>
        <v>#REF!</v>
      </c>
      <c r="BU37" t="e">
        <f>AND(#REF!,"AAAAAH+/10g=")</f>
        <v>#REF!</v>
      </c>
      <c r="BV37" t="e">
        <f>AND(#REF!,"AAAAAH+/10k=")</f>
        <v>#REF!</v>
      </c>
      <c r="BW37" t="e">
        <f>AND(#REF!,"AAAAAH+/10o=")</f>
        <v>#REF!</v>
      </c>
      <c r="BX37" t="e">
        <f>AND(#REF!,"AAAAAH+/10s=")</f>
        <v>#REF!</v>
      </c>
      <c r="BY37" t="e">
        <f>AND(#REF!,"AAAAAH+/10w=")</f>
        <v>#REF!</v>
      </c>
      <c r="BZ37" t="e">
        <f>AND(#REF!,"AAAAAH+/100=")</f>
        <v>#REF!</v>
      </c>
      <c r="CA37" t="e">
        <f>AND(#REF!,"AAAAAH+/104=")</f>
        <v>#REF!</v>
      </c>
      <c r="CB37" t="e">
        <f>AND(#REF!,"AAAAAH+/108=")</f>
        <v>#REF!</v>
      </c>
      <c r="CC37" t="e">
        <f>AND(#REF!,"AAAAAH+/11A=")</f>
        <v>#REF!</v>
      </c>
      <c r="CD37" t="e">
        <f>AND(#REF!,"AAAAAH+/11E=")</f>
        <v>#REF!</v>
      </c>
      <c r="CE37" t="e">
        <f>AND(#REF!,"AAAAAH+/11I=")</f>
        <v>#REF!</v>
      </c>
      <c r="CF37" t="e">
        <f>AND(#REF!,"AAAAAH+/11M=")</f>
        <v>#REF!</v>
      </c>
      <c r="CG37" t="e">
        <f>AND(#REF!,"AAAAAH+/11Q=")</f>
        <v>#REF!</v>
      </c>
      <c r="CH37" t="e">
        <f>AND(#REF!,"AAAAAH+/11U=")</f>
        <v>#REF!</v>
      </c>
      <c r="CI37" t="e">
        <f>AND(#REF!,"AAAAAH+/11Y=")</f>
        <v>#REF!</v>
      </c>
      <c r="CJ37" t="e">
        <f>AND(#REF!,"AAAAAH+/11c=")</f>
        <v>#REF!</v>
      </c>
      <c r="CK37" t="e">
        <f>AND(#REF!,"AAAAAH+/11g=")</f>
        <v>#REF!</v>
      </c>
      <c r="CL37" t="e">
        <f>AND(#REF!,"AAAAAH+/11k=")</f>
        <v>#REF!</v>
      </c>
      <c r="CM37" t="e">
        <f>AND(#REF!,"AAAAAH+/11o=")</f>
        <v>#REF!</v>
      </c>
      <c r="CN37" t="e">
        <f>AND(#REF!,"AAAAAH+/11s=")</f>
        <v>#REF!</v>
      </c>
      <c r="CO37" t="e">
        <f>AND(#REF!,"AAAAAH+/11w=")</f>
        <v>#REF!</v>
      </c>
      <c r="CP37" t="e">
        <f>AND(#REF!,"AAAAAH+/110=")</f>
        <v>#REF!</v>
      </c>
      <c r="CQ37" t="e">
        <f>AND(#REF!,"AAAAAH+/114=")</f>
        <v>#REF!</v>
      </c>
      <c r="CR37" t="e">
        <f>AND(#REF!,"AAAAAH+/118=")</f>
        <v>#REF!</v>
      </c>
      <c r="CS37" t="e">
        <f>AND(#REF!,"AAAAAH+/12A=")</f>
        <v>#REF!</v>
      </c>
      <c r="CT37" t="e">
        <f>AND(#REF!,"AAAAAH+/12E=")</f>
        <v>#REF!</v>
      </c>
      <c r="CU37" t="e">
        <f>AND(#REF!,"AAAAAH+/12I=")</f>
        <v>#REF!</v>
      </c>
      <c r="CV37" t="e">
        <f>AND(#REF!,"AAAAAH+/12M=")</f>
        <v>#REF!</v>
      </c>
      <c r="CW37" t="e">
        <f>AND(#REF!,"AAAAAH+/12Q=")</f>
        <v>#REF!</v>
      </c>
      <c r="CX37" t="e">
        <f>AND(#REF!,"AAAAAH+/12U=")</f>
        <v>#REF!</v>
      </c>
      <c r="CY37" t="e">
        <f>AND(#REF!,"AAAAAH+/12Y=")</f>
        <v>#REF!</v>
      </c>
      <c r="CZ37" t="e">
        <f>AND(#REF!,"AAAAAH+/12c=")</f>
        <v>#REF!</v>
      </c>
      <c r="DA37" t="e">
        <f>AND(#REF!,"AAAAAH+/12g=")</f>
        <v>#REF!</v>
      </c>
      <c r="DB37" t="e">
        <f>AND(#REF!,"AAAAAH+/12k=")</f>
        <v>#REF!</v>
      </c>
      <c r="DC37" t="e">
        <f>AND(#REF!,"AAAAAH+/12o=")</f>
        <v>#REF!</v>
      </c>
      <c r="DD37" t="e">
        <f>AND(#REF!,"AAAAAH+/12s=")</f>
        <v>#REF!</v>
      </c>
      <c r="DE37" t="e">
        <f>AND(#REF!,"AAAAAH+/12w=")</f>
        <v>#REF!</v>
      </c>
      <c r="DF37" t="e">
        <f>AND(#REF!,"AAAAAH+/120=")</f>
        <v>#REF!</v>
      </c>
      <c r="DG37" t="e">
        <f>AND(#REF!,"AAAAAH+/124=")</f>
        <v>#REF!</v>
      </c>
      <c r="DH37" t="e">
        <f>AND(#REF!,"AAAAAH+/128=")</f>
        <v>#REF!</v>
      </c>
      <c r="DI37" t="e">
        <f>AND(#REF!,"AAAAAH+/13A=")</f>
        <v>#REF!</v>
      </c>
      <c r="DJ37" t="e">
        <f>AND(#REF!,"AAAAAH+/13E=")</f>
        <v>#REF!</v>
      </c>
      <c r="DK37" t="e">
        <f>AND(#REF!,"AAAAAH+/13I=")</f>
        <v>#REF!</v>
      </c>
      <c r="DL37" t="e">
        <f>AND(#REF!,"AAAAAH+/13M=")</f>
        <v>#REF!</v>
      </c>
      <c r="DM37" t="e">
        <f>AND(#REF!,"AAAAAH+/13Q=")</f>
        <v>#REF!</v>
      </c>
      <c r="DN37" t="e">
        <f>AND(#REF!,"AAAAAH+/13U=")</f>
        <v>#REF!</v>
      </c>
      <c r="DO37" t="e">
        <f>AND(#REF!,"AAAAAH+/13Y=")</f>
        <v>#REF!</v>
      </c>
      <c r="DP37" t="e">
        <f>AND(#REF!,"AAAAAH+/13c=")</f>
        <v>#REF!</v>
      </c>
      <c r="DQ37" t="e">
        <f>AND(#REF!,"AAAAAH+/13g=")</f>
        <v>#REF!</v>
      </c>
      <c r="DR37" t="e">
        <f>AND(#REF!,"AAAAAH+/13k=")</f>
        <v>#REF!</v>
      </c>
      <c r="DS37" t="e">
        <f>AND(#REF!,"AAAAAH+/13o=")</f>
        <v>#REF!</v>
      </c>
      <c r="DT37" t="e">
        <f>AND(#REF!,"AAAAAH+/13s=")</f>
        <v>#REF!</v>
      </c>
      <c r="DU37" t="e">
        <f>AND(#REF!,"AAAAAH+/13w=")</f>
        <v>#REF!</v>
      </c>
      <c r="DV37" t="e">
        <f>AND(#REF!,"AAAAAH+/130=")</f>
        <v>#REF!</v>
      </c>
      <c r="DW37" t="e">
        <f>AND(#REF!,"AAAAAH+/134=")</f>
        <v>#REF!</v>
      </c>
      <c r="DX37" t="e">
        <f>AND(#REF!,"AAAAAH+/138=")</f>
        <v>#REF!</v>
      </c>
      <c r="DY37" t="e">
        <f>AND(#REF!,"AAAAAH+/14A=")</f>
        <v>#REF!</v>
      </c>
      <c r="DZ37" t="e">
        <f>AND(#REF!,"AAAAAH+/14E=")</f>
        <v>#REF!</v>
      </c>
      <c r="EA37" t="e">
        <f>AND(#REF!,"AAAAAH+/14I=")</f>
        <v>#REF!</v>
      </c>
      <c r="EB37" t="e">
        <f>AND(#REF!,"AAAAAH+/14M=")</f>
        <v>#REF!</v>
      </c>
      <c r="EC37" t="e">
        <f>AND(#REF!,"AAAAAH+/14Q=")</f>
        <v>#REF!</v>
      </c>
      <c r="ED37" t="e">
        <f>AND(#REF!,"AAAAAH+/14U=")</f>
        <v>#REF!</v>
      </c>
      <c r="EE37" t="e">
        <f>IF(#REF!,"AAAAAH+/14Y=",0)</f>
        <v>#REF!</v>
      </c>
      <c r="EF37" t="e">
        <f>AND(#REF!,"AAAAAH+/14c=")</f>
        <v>#REF!</v>
      </c>
      <c r="EG37" t="e">
        <f>AND(#REF!,"AAAAAH+/14g=")</f>
        <v>#REF!</v>
      </c>
      <c r="EH37" t="e">
        <f>AND(#REF!,"AAAAAH+/14k=")</f>
        <v>#REF!</v>
      </c>
      <c r="EI37" t="e">
        <f>AND(#REF!,"AAAAAH+/14o=")</f>
        <v>#REF!</v>
      </c>
      <c r="EJ37" t="e">
        <f>AND(#REF!,"AAAAAH+/14s=")</f>
        <v>#REF!</v>
      </c>
      <c r="EK37" t="e">
        <f>AND(#REF!,"AAAAAH+/14w=")</f>
        <v>#REF!</v>
      </c>
      <c r="EL37" t="e">
        <f>AND(#REF!,"AAAAAH+/140=")</f>
        <v>#REF!</v>
      </c>
      <c r="EM37" t="e">
        <f>AND(#REF!,"AAAAAH+/144=")</f>
        <v>#REF!</v>
      </c>
      <c r="EN37" t="e">
        <f>AND(#REF!,"AAAAAH+/148=")</f>
        <v>#REF!</v>
      </c>
      <c r="EO37" t="e">
        <f>AND(#REF!,"AAAAAH+/15A=")</f>
        <v>#REF!</v>
      </c>
      <c r="EP37" t="e">
        <f>AND(#REF!,"AAAAAH+/15E=")</f>
        <v>#REF!</v>
      </c>
      <c r="EQ37" t="e">
        <f>AND(#REF!,"AAAAAH+/15I=")</f>
        <v>#REF!</v>
      </c>
      <c r="ER37" t="e">
        <f>AND(#REF!,"AAAAAH+/15M=")</f>
        <v>#REF!</v>
      </c>
      <c r="ES37" t="e">
        <f>AND(#REF!,"AAAAAH+/15Q=")</f>
        <v>#REF!</v>
      </c>
      <c r="ET37" t="e">
        <f>AND(#REF!,"AAAAAH+/15U=")</f>
        <v>#REF!</v>
      </c>
      <c r="EU37" t="e">
        <f>AND(#REF!,"AAAAAH+/15Y=")</f>
        <v>#REF!</v>
      </c>
      <c r="EV37" t="e">
        <f>AND(#REF!,"AAAAAH+/15c=")</f>
        <v>#REF!</v>
      </c>
      <c r="EW37" t="e">
        <f>AND(#REF!,"AAAAAH+/15g=")</f>
        <v>#REF!</v>
      </c>
      <c r="EX37" t="e">
        <f>AND(#REF!,"AAAAAH+/15k=")</f>
        <v>#REF!</v>
      </c>
      <c r="EY37" t="e">
        <f>AND(#REF!,"AAAAAH+/15o=")</f>
        <v>#REF!</v>
      </c>
      <c r="EZ37" t="e">
        <f>AND(#REF!,"AAAAAH+/15s=")</f>
        <v>#REF!</v>
      </c>
      <c r="FA37" t="e">
        <f>AND(#REF!,"AAAAAH+/15w=")</f>
        <v>#REF!</v>
      </c>
      <c r="FB37" t="e">
        <f>AND(#REF!,"AAAAAH+/150=")</f>
        <v>#REF!</v>
      </c>
      <c r="FC37" t="e">
        <f>AND(#REF!,"AAAAAH+/154=")</f>
        <v>#REF!</v>
      </c>
      <c r="FD37" t="e">
        <f>AND(#REF!,"AAAAAH+/158=")</f>
        <v>#REF!</v>
      </c>
      <c r="FE37" t="e">
        <f>AND(#REF!,"AAAAAH+/16A=")</f>
        <v>#REF!</v>
      </c>
      <c r="FF37" t="e">
        <f>AND(#REF!,"AAAAAH+/16E=")</f>
        <v>#REF!</v>
      </c>
      <c r="FG37" t="e">
        <f>AND(#REF!,"AAAAAH+/16I=")</f>
        <v>#REF!</v>
      </c>
      <c r="FH37" t="e">
        <f>AND(#REF!,"AAAAAH+/16M=")</f>
        <v>#REF!</v>
      </c>
      <c r="FI37" t="e">
        <f>AND(#REF!,"AAAAAH+/16Q=")</f>
        <v>#REF!</v>
      </c>
      <c r="FJ37" t="e">
        <f>AND(#REF!,"AAAAAH+/16U=")</f>
        <v>#REF!</v>
      </c>
      <c r="FK37" t="e">
        <f>AND(#REF!,"AAAAAH+/16Y=")</f>
        <v>#REF!</v>
      </c>
      <c r="FL37" t="e">
        <f>AND(#REF!,"AAAAAH+/16c=")</f>
        <v>#REF!</v>
      </c>
      <c r="FM37" t="e">
        <f>AND(#REF!,"AAAAAH+/16g=")</f>
        <v>#REF!</v>
      </c>
      <c r="FN37" t="e">
        <f>AND(#REF!,"AAAAAH+/16k=")</f>
        <v>#REF!</v>
      </c>
      <c r="FO37" t="e">
        <f>AND(#REF!,"AAAAAH+/16o=")</f>
        <v>#REF!</v>
      </c>
      <c r="FP37" t="e">
        <f>AND(#REF!,"AAAAAH+/16s=")</f>
        <v>#REF!</v>
      </c>
      <c r="FQ37" t="e">
        <f>AND(#REF!,"AAAAAH+/16w=")</f>
        <v>#REF!</v>
      </c>
      <c r="FR37" t="e">
        <f>AND(#REF!,"AAAAAH+/160=")</f>
        <v>#REF!</v>
      </c>
      <c r="FS37" t="e">
        <f>AND(#REF!,"AAAAAH+/164=")</f>
        <v>#REF!</v>
      </c>
      <c r="FT37" t="e">
        <f>AND(#REF!,"AAAAAH+/168=")</f>
        <v>#REF!</v>
      </c>
      <c r="FU37" t="e">
        <f>AND(#REF!,"AAAAAH+/17A=")</f>
        <v>#REF!</v>
      </c>
      <c r="FV37" t="e">
        <f>AND(#REF!,"AAAAAH+/17E=")</f>
        <v>#REF!</v>
      </c>
      <c r="FW37" t="e">
        <f>AND(#REF!,"AAAAAH+/17I=")</f>
        <v>#REF!</v>
      </c>
      <c r="FX37" t="e">
        <f>AND(#REF!,"AAAAAH+/17M=")</f>
        <v>#REF!</v>
      </c>
      <c r="FY37" t="e">
        <f>AND(#REF!,"AAAAAH+/17Q=")</f>
        <v>#REF!</v>
      </c>
      <c r="FZ37" t="e">
        <f>AND(#REF!,"AAAAAH+/17U=")</f>
        <v>#REF!</v>
      </c>
      <c r="GA37" t="e">
        <f>AND(#REF!,"AAAAAH+/17Y=")</f>
        <v>#REF!</v>
      </c>
      <c r="GB37" t="e">
        <f>AND(#REF!,"AAAAAH+/17c=")</f>
        <v>#REF!</v>
      </c>
      <c r="GC37" t="e">
        <f>AND(#REF!,"AAAAAH+/17g=")</f>
        <v>#REF!</v>
      </c>
      <c r="GD37" t="e">
        <f>AND(#REF!,"AAAAAH+/17k=")</f>
        <v>#REF!</v>
      </c>
      <c r="GE37" t="e">
        <f>AND(#REF!,"AAAAAH+/17o=")</f>
        <v>#REF!</v>
      </c>
      <c r="GF37" t="e">
        <f>AND(#REF!,"AAAAAH+/17s=")</f>
        <v>#REF!</v>
      </c>
      <c r="GG37" t="e">
        <f>AND(#REF!,"AAAAAH+/17w=")</f>
        <v>#REF!</v>
      </c>
      <c r="GH37" t="e">
        <f>AND(#REF!,"AAAAAH+/170=")</f>
        <v>#REF!</v>
      </c>
      <c r="GI37" t="e">
        <f>AND(#REF!,"AAAAAH+/174=")</f>
        <v>#REF!</v>
      </c>
      <c r="GJ37" t="e">
        <f>AND(#REF!,"AAAAAH+/178=")</f>
        <v>#REF!</v>
      </c>
      <c r="GK37" t="e">
        <f>AND(#REF!,"AAAAAH+/18A=")</f>
        <v>#REF!</v>
      </c>
      <c r="GL37" t="e">
        <f>AND(#REF!,"AAAAAH+/18E=")</f>
        <v>#REF!</v>
      </c>
      <c r="GM37" t="e">
        <f>AND(#REF!,"AAAAAH+/18I=")</f>
        <v>#REF!</v>
      </c>
      <c r="GN37" t="e">
        <f>AND(#REF!,"AAAAAH+/18M=")</f>
        <v>#REF!</v>
      </c>
      <c r="GO37" t="e">
        <f>AND(#REF!,"AAAAAH+/18Q=")</f>
        <v>#REF!</v>
      </c>
      <c r="GP37" t="e">
        <f>AND(#REF!,"AAAAAH+/18U=")</f>
        <v>#REF!</v>
      </c>
      <c r="GQ37" t="e">
        <f>AND(#REF!,"AAAAAH+/18Y=")</f>
        <v>#REF!</v>
      </c>
      <c r="GR37" t="e">
        <f>AND(#REF!,"AAAAAH+/18c=")</f>
        <v>#REF!</v>
      </c>
      <c r="GS37" t="e">
        <f>AND(#REF!,"AAAAAH+/18g=")</f>
        <v>#REF!</v>
      </c>
      <c r="GT37" t="e">
        <f>AND(#REF!,"AAAAAH+/18k=")</f>
        <v>#REF!</v>
      </c>
      <c r="GU37" t="e">
        <f>AND(#REF!,"AAAAAH+/18o=")</f>
        <v>#REF!</v>
      </c>
      <c r="GV37" t="e">
        <f>AND(#REF!,"AAAAAH+/18s=")</f>
        <v>#REF!</v>
      </c>
      <c r="GW37" t="e">
        <f>AND(#REF!,"AAAAAH+/18w=")</f>
        <v>#REF!</v>
      </c>
      <c r="GX37" t="e">
        <f>AND(#REF!,"AAAAAH+/180=")</f>
        <v>#REF!</v>
      </c>
      <c r="GY37" t="e">
        <f>AND(#REF!,"AAAAAH+/184=")</f>
        <v>#REF!</v>
      </c>
      <c r="GZ37" t="e">
        <f>AND(#REF!,"AAAAAH+/188=")</f>
        <v>#REF!</v>
      </c>
      <c r="HA37" t="e">
        <f>AND(#REF!,"AAAAAH+/19A=")</f>
        <v>#REF!</v>
      </c>
      <c r="HB37" t="e">
        <f>AND(#REF!,"AAAAAH+/19E=")</f>
        <v>#REF!</v>
      </c>
      <c r="HC37" t="e">
        <f>AND(#REF!,"AAAAAH+/19I=")</f>
        <v>#REF!</v>
      </c>
      <c r="HD37" t="e">
        <f>AND(#REF!,"AAAAAH+/19M=")</f>
        <v>#REF!</v>
      </c>
      <c r="HE37" t="e">
        <f>AND(#REF!,"AAAAAH+/19Q=")</f>
        <v>#REF!</v>
      </c>
      <c r="HF37" t="e">
        <f>AND(#REF!,"AAAAAH+/19U=")</f>
        <v>#REF!</v>
      </c>
      <c r="HG37" t="e">
        <f>AND(#REF!,"AAAAAH+/19Y=")</f>
        <v>#REF!</v>
      </c>
      <c r="HH37" t="e">
        <f>AND(#REF!,"AAAAAH+/19c=")</f>
        <v>#REF!</v>
      </c>
      <c r="HI37" t="e">
        <f>AND(#REF!,"AAAAAH+/19g=")</f>
        <v>#REF!</v>
      </c>
      <c r="HJ37" t="e">
        <f>AND(#REF!,"AAAAAH+/19k=")</f>
        <v>#REF!</v>
      </c>
      <c r="HK37" t="e">
        <f>AND(#REF!,"AAAAAH+/19o=")</f>
        <v>#REF!</v>
      </c>
      <c r="HL37" t="e">
        <f>AND(#REF!,"AAAAAH+/19s=")</f>
        <v>#REF!</v>
      </c>
      <c r="HM37" t="e">
        <f>AND(#REF!,"AAAAAH+/19w=")</f>
        <v>#REF!</v>
      </c>
      <c r="HN37" t="e">
        <f>AND(#REF!,"AAAAAH+/190=")</f>
        <v>#REF!</v>
      </c>
      <c r="HO37" t="e">
        <f>AND(#REF!,"AAAAAH+/194=")</f>
        <v>#REF!</v>
      </c>
      <c r="HP37" t="e">
        <f>AND(#REF!,"AAAAAH+/198=")</f>
        <v>#REF!</v>
      </c>
      <c r="HQ37" t="e">
        <f>AND(#REF!,"AAAAAH+/1+A=")</f>
        <v>#REF!</v>
      </c>
      <c r="HR37" t="e">
        <f>AND(#REF!,"AAAAAH+/1+E=")</f>
        <v>#REF!</v>
      </c>
      <c r="HS37" t="e">
        <f>AND(#REF!,"AAAAAH+/1+I=")</f>
        <v>#REF!</v>
      </c>
      <c r="HT37" t="e">
        <f>AND(#REF!,"AAAAAH+/1+M=")</f>
        <v>#REF!</v>
      </c>
      <c r="HU37" t="e">
        <f>AND(#REF!,"AAAAAH+/1+Q=")</f>
        <v>#REF!</v>
      </c>
      <c r="HV37" t="e">
        <f>AND(#REF!,"AAAAAH+/1+U=")</f>
        <v>#REF!</v>
      </c>
      <c r="HW37" t="e">
        <f>AND(#REF!,"AAAAAH+/1+Y=")</f>
        <v>#REF!</v>
      </c>
      <c r="HX37" t="e">
        <f>AND(#REF!,"AAAAAH+/1+c=")</f>
        <v>#REF!</v>
      </c>
      <c r="HY37" t="e">
        <f>AND(#REF!,"AAAAAH+/1+g=")</f>
        <v>#REF!</v>
      </c>
      <c r="HZ37" t="e">
        <f>AND(#REF!,"AAAAAH+/1+k=")</f>
        <v>#REF!</v>
      </c>
      <c r="IA37" t="e">
        <f>AND(#REF!,"AAAAAH+/1+o=")</f>
        <v>#REF!</v>
      </c>
      <c r="IB37" t="e">
        <f>AND(#REF!,"AAAAAH+/1+s=")</f>
        <v>#REF!</v>
      </c>
      <c r="IC37" t="e">
        <f>AND(#REF!,"AAAAAH+/1+w=")</f>
        <v>#REF!</v>
      </c>
      <c r="ID37" t="e">
        <f>AND(#REF!,"AAAAAH+/1+0=")</f>
        <v>#REF!</v>
      </c>
      <c r="IE37" t="e">
        <f>AND(#REF!,"AAAAAH+/1+4=")</f>
        <v>#REF!</v>
      </c>
      <c r="IF37" t="e">
        <f>IF(#REF!,"AAAAAH+/1+8=",0)</f>
        <v>#REF!</v>
      </c>
      <c r="IG37" t="e">
        <f>AND(#REF!,"AAAAAH+/1/A=")</f>
        <v>#REF!</v>
      </c>
      <c r="IH37" t="e">
        <f>AND(#REF!,"AAAAAH+/1/E=")</f>
        <v>#REF!</v>
      </c>
      <c r="II37" t="e">
        <f>AND(#REF!,"AAAAAH+/1/I=")</f>
        <v>#REF!</v>
      </c>
      <c r="IJ37" t="e">
        <f>AND(#REF!,"AAAAAH+/1/M=")</f>
        <v>#REF!</v>
      </c>
      <c r="IK37" t="e">
        <f>AND(#REF!,"AAAAAH+/1/Q=")</f>
        <v>#REF!</v>
      </c>
      <c r="IL37" t="e">
        <f>AND(#REF!,"AAAAAH+/1/U=")</f>
        <v>#REF!</v>
      </c>
      <c r="IM37" t="e">
        <f>AND(#REF!,"AAAAAH+/1/Y=")</f>
        <v>#REF!</v>
      </c>
      <c r="IN37" t="e">
        <f>AND(#REF!,"AAAAAH+/1/c=")</f>
        <v>#REF!</v>
      </c>
      <c r="IO37" t="e">
        <f>AND(#REF!,"AAAAAH+/1/g=")</f>
        <v>#REF!</v>
      </c>
      <c r="IP37" t="e">
        <f>AND(#REF!,"AAAAAH+/1/k=")</f>
        <v>#REF!</v>
      </c>
      <c r="IQ37" t="e">
        <f>AND(#REF!,"AAAAAH+/1/o=")</f>
        <v>#REF!</v>
      </c>
      <c r="IR37" t="e">
        <f>AND(#REF!,"AAAAAH+/1/s=")</f>
        <v>#REF!</v>
      </c>
      <c r="IS37" t="e">
        <f>AND(#REF!,"AAAAAH+/1/w=")</f>
        <v>#REF!</v>
      </c>
      <c r="IT37" t="e">
        <f>AND(#REF!,"AAAAAH+/1/0=")</f>
        <v>#REF!</v>
      </c>
      <c r="IU37" t="e">
        <f>AND(#REF!,"AAAAAH+/1/4=")</f>
        <v>#REF!</v>
      </c>
      <c r="IV37" t="e">
        <f>AND(#REF!,"AAAAAH+/1/8=")</f>
        <v>#REF!</v>
      </c>
    </row>
    <row r="38" spans="1:256" x14ac:dyDescent="0.25">
      <c r="A38" t="e">
        <f>AND(#REF!,"AAAAAHXfvwA=")</f>
        <v>#REF!</v>
      </c>
      <c r="B38" t="e">
        <f>AND(#REF!,"AAAAAHXfvwE=")</f>
        <v>#REF!</v>
      </c>
      <c r="C38" t="e">
        <f>AND(#REF!,"AAAAAHXfvwI=")</f>
        <v>#REF!</v>
      </c>
      <c r="D38" t="e">
        <f>AND(#REF!,"AAAAAHXfvwM=")</f>
        <v>#REF!</v>
      </c>
      <c r="E38" t="e">
        <f>AND(#REF!,"AAAAAHXfvwQ=")</f>
        <v>#REF!</v>
      </c>
      <c r="F38" t="e">
        <f>AND(#REF!,"AAAAAHXfvwU=")</f>
        <v>#REF!</v>
      </c>
      <c r="G38" t="e">
        <f>AND(#REF!,"AAAAAHXfvwY=")</f>
        <v>#REF!</v>
      </c>
      <c r="H38" t="e">
        <f>AND(#REF!,"AAAAAHXfvwc=")</f>
        <v>#REF!</v>
      </c>
      <c r="I38" t="e">
        <f>AND(#REF!,"AAAAAHXfvwg=")</f>
        <v>#REF!</v>
      </c>
      <c r="J38" t="e">
        <f>AND(#REF!,"AAAAAHXfvwk=")</f>
        <v>#REF!</v>
      </c>
      <c r="K38" t="e">
        <f>AND(#REF!,"AAAAAHXfvwo=")</f>
        <v>#REF!</v>
      </c>
      <c r="L38" t="e">
        <f>AND(#REF!,"AAAAAHXfvws=")</f>
        <v>#REF!</v>
      </c>
      <c r="M38" t="e">
        <f>AND(#REF!,"AAAAAHXfvww=")</f>
        <v>#REF!</v>
      </c>
      <c r="N38" t="e">
        <f>AND(#REF!,"AAAAAHXfvw0=")</f>
        <v>#REF!</v>
      </c>
      <c r="O38" t="e">
        <f>AND(#REF!,"AAAAAHXfvw4=")</f>
        <v>#REF!</v>
      </c>
      <c r="P38" t="e">
        <f>AND(#REF!,"AAAAAHXfvw8=")</f>
        <v>#REF!</v>
      </c>
      <c r="Q38" t="e">
        <f>AND(#REF!,"AAAAAHXfvxA=")</f>
        <v>#REF!</v>
      </c>
      <c r="R38" t="e">
        <f>AND(#REF!,"AAAAAHXfvxE=")</f>
        <v>#REF!</v>
      </c>
      <c r="S38" t="e">
        <f>AND(#REF!,"AAAAAHXfvxI=")</f>
        <v>#REF!</v>
      </c>
      <c r="T38" t="e">
        <f>AND(#REF!,"AAAAAHXfvxM=")</f>
        <v>#REF!</v>
      </c>
      <c r="U38" t="e">
        <f>AND(#REF!,"AAAAAHXfvxQ=")</f>
        <v>#REF!</v>
      </c>
      <c r="V38" t="e">
        <f>AND(#REF!,"AAAAAHXfvxU=")</f>
        <v>#REF!</v>
      </c>
      <c r="W38" t="e">
        <f>AND(#REF!,"AAAAAHXfvxY=")</f>
        <v>#REF!</v>
      </c>
      <c r="X38" t="e">
        <f>AND(#REF!,"AAAAAHXfvxc=")</f>
        <v>#REF!</v>
      </c>
      <c r="Y38" t="e">
        <f>AND(#REF!,"AAAAAHXfvxg=")</f>
        <v>#REF!</v>
      </c>
      <c r="Z38" t="e">
        <f>AND(#REF!,"AAAAAHXfvxk=")</f>
        <v>#REF!</v>
      </c>
      <c r="AA38" t="e">
        <f>AND(#REF!,"AAAAAHXfvxo=")</f>
        <v>#REF!</v>
      </c>
      <c r="AB38" t="e">
        <f>AND(#REF!,"AAAAAHXfvxs=")</f>
        <v>#REF!</v>
      </c>
      <c r="AC38" t="e">
        <f>AND(#REF!,"AAAAAHXfvxw=")</f>
        <v>#REF!</v>
      </c>
      <c r="AD38" t="e">
        <f>AND(#REF!,"AAAAAHXfvx0=")</f>
        <v>#REF!</v>
      </c>
      <c r="AE38" t="e">
        <f>AND(#REF!,"AAAAAHXfvx4=")</f>
        <v>#REF!</v>
      </c>
      <c r="AF38" t="e">
        <f>AND(#REF!,"AAAAAHXfvx8=")</f>
        <v>#REF!</v>
      </c>
      <c r="AG38" t="e">
        <f>AND(#REF!,"AAAAAHXfvyA=")</f>
        <v>#REF!</v>
      </c>
      <c r="AH38" t="e">
        <f>AND(#REF!,"AAAAAHXfvyE=")</f>
        <v>#REF!</v>
      </c>
      <c r="AI38" t="e">
        <f>AND(#REF!,"AAAAAHXfvyI=")</f>
        <v>#REF!</v>
      </c>
      <c r="AJ38" t="e">
        <f>AND(#REF!,"AAAAAHXfvyM=")</f>
        <v>#REF!</v>
      </c>
      <c r="AK38" t="e">
        <f>AND(#REF!,"AAAAAHXfvyQ=")</f>
        <v>#REF!</v>
      </c>
      <c r="AL38" t="e">
        <f>AND(#REF!,"AAAAAHXfvyU=")</f>
        <v>#REF!</v>
      </c>
      <c r="AM38" t="e">
        <f>AND(#REF!,"AAAAAHXfvyY=")</f>
        <v>#REF!</v>
      </c>
      <c r="AN38" t="e">
        <f>AND(#REF!,"AAAAAHXfvyc=")</f>
        <v>#REF!</v>
      </c>
      <c r="AO38" t="e">
        <f>AND(#REF!,"AAAAAHXfvyg=")</f>
        <v>#REF!</v>
      </c>
      <c r="AP38" t="e">
        <f>AND(#REF!,"AAAAAHXfvyk=")</f>
        <v>#REF!</v>
      </c>
      <c r="AQ38" t="e">
        <f>AND(#REF!,"AAAAAHXfvyo=")</f>
        <v>#REF!</v>
      </c>
      <c r="AR38" t="e">
        <f>AND(#REF!,"AAAAAHXfvys=")</f>
        <v>#REF!</v>
      </c>
      <c r="AS38" t="e">
        <f>AND(#REF!,"AAAAAHXfvyw=")</f>
        <v>#REF!</v>
      </c>
      <c r="AT38" t="e">
        <f>AND(#REF!,"AAAAAHXfvy0=")</f>
        <v>#REF!</v>
      </c>
      <c r="AU38" t="e">
        <f>AND(#REF!,"AAAAAHXfvy4=")</f>
        <v>#REF!</v>
      </c>
      <c r="AV38" t="e">
        <f>AND(#REF!,"AAAAAHXfvy8=")</f>
        <v>#REF!</v>
      </c>
      <c r="AW38" t="e">
        <f>AND(#REF!,"AAAAAHXfvzA=")</f>
        <v>#REF!</v>
      </c>
      <c r="AX38" t="e">
        <f>AND(#REF!,"AAAAAHXfvzE=")</f>
        <v>#REF!</v>
      </c>
      <c r="AY38" t="e">
        <f>AND(#REF!,"AAAAAHXfvzI=")</f>
        <v>#REF!</v>
      </c>
      <c r="AZ38" t="e">
        <f>AND(#REF!,"AAAAAHXfvzM=")</f>
        <v>#REF!</v>
      </c>
      <c r="BA38" t="e">
        <f>AND(#REF!,"AAAAAHXfvzQ=")</f>
        <v>#REF!</v>
      </c>
      <c r="BB38" t="e">
        <f>AND(#REF!,"AAAAAHXfvzU=")</f>
        <v>#REF!</v>
      </c>
      <c r="BC38" t="e">
        <f>AND(#REF!,"AAAAAHXfvzY=")</f>
        <v>#REF!</v>
      </c>
      <c r="BD38" t="e">
        <f>AND(#REF!,"AAAAAHXfvzc=")</f>
        <v>#REF!</v>
      </c>
      <c r="BE38" t="e">
        <f>AND(#REF!,"AAAAAHXfvzg=")</f>
        <v>#REF!</v>
      </c>
      <c r="BF38" t="e">
        <f>AND(#REF!,"AAAAAHXfvzk=")</f>
        <v>#REF!</v>
      </c>
      <c r="BG38" t="e">
        <f>AND(#REF!,"AAAAAHXfvzo=")</f>
        <v>#REF!</v>
      </c>
      <c r="BH38" t="e">
        <f>AND(#REF!,"AAAAAHXfvzs=")</f>
        <v>#REF!</v>
      </c>
      <c r="BI38" t="e">
        <f>AND(#REF!,"AAAAAHXfvzw=")</f>
        <v>#REF!</v>
      </c>
      <c r="BJ38" t="e">
        <f>AND(#REF!,"AAAAAHXfvz0=")</f>
        <v>#REF!</v>
      </c>
      <c r="BK38" t="e">
        <f>AND(#REF!,"AAAAAHXfvz4=")</f>
        <v>#REF!</v>
      </c>
      <c r="BL38" t="e">
        <f>AND(#REF!,"AAAAAHXfvz8=")</f>
        <v>#REF!</v>
      </c>
      <c r="BM38" t="e">
        <f>AND(#REF!,"AAAAAHXfv0A=")</f>
        <v>#REF!</v>
      </c>
      <c r="BN38" t="e">
        <f>AND(#REF!,"AAAAAHXfv0E=")</f>
        <v>#REF!</v>
      </c>
      <c r="BO38" t="e">
        <f>AND(#REF!,"AAAAAHXfv0I=")</f>
        <v>#REF!</v>
      </c>
      <c r="BP38" t="e">
        <f>AND(#REF!,"AAAAAHXfv0M=")</f>
        <v>#REF!</v>
      </c>
      <c r="BQ38" t="e">
        <f>AND(#REF!,"AAAAAHXfv0Q=")</f>
        <v>#REF!</v>
      </c>
      <c r="BR38" t="e">
        <f>AND(#REF!,"AAAAAHXfv0U=")</f>
        <v>#REF!</v>
      </c>
      <c r="BS38" t="e">
        <f>AND(#REF!,"AAAAAHXfv0Y=")</f>
        <v>#REF!</v>
      </c>
      <c r="BT38" t="e">
        <f>AND(#REF!,"AAAAAHXfv0c=")</f>
        <v>#REF!</v>
      </c>
      <c r="BU38" t="e">
        <f>AND(#REF!,"AAAAAHXfv0g=")</f>
        <v>#REF!</v>
      </c>
      <c r="BV38" t="e">
        <f>AND(#REF!,"AAAAAHXfv0k=")</f>
        <v>#REF!</v>
      </c>
      <c r="BW38" t="e">
        <f>AND(#REF!,"AAAAAHXfv0o=")</f>
        <v>#REF!</v>
      </c>
      <c r="BX38" t="e">
        <f>AND(#REF!,"AAAAAHXfv0s=")</f>
        <v>#REF!</v>
      </c>
      <c r="BY38" t="e">
        <f>AND(#REF!,"AAAAAHXfv0w=")</f>
        <v>#REF!</v>
      </c>
      <c r="BZ38" t="e">
        <f>AND(#REF!,"AAAAAHXfv00=")</f>
        <v>#REF!</v>
      </c>
      <c r="CA38" t="e">
        <f>AND(#REF!,"AAAAAHXfv04=")</f>
        <v>#REF!</v>
      </c>
      <c r="CB38" t="e">
        <f>AND(#REF!,"AAAAAHXfv08=")</f>
        <v>#REF!</v>
      </c>
      <c r="CC38" t="e">
        <f>AND(#REF!,"AAAAAHXfv1A=")</f>
        <v>#REF!</v>
      </c>
      <c r="CD38" t="e">
        <f>AND(#REF!,"AAAAAHXfv1E=")</f>
        <v>#REF!</v>
      </c>
      <c r="CE38" t="e">
        <f>AND(#REF!,"AAAAAHXfv1I=")</f>
        <v>#REF!</v>
      </c>
      <c r="CF38" t="e">
        <f>AND(#REF!,"AAAAAHXfv1M=")</f>
        <v>#REF!</v>
      </c>
      <c r="CG38" t="e">
        <f>AND(#REF!,"AAAAAHXfv1Q=")</f>
        <v>#REF!</v>
      </c>
      <c r="CH38" t="e">
        <f>AND(#REF!,"AAAAAHXfv1U=")</f>
        <v>#REF!</v>
      </c>
      <c r="CI38" t="e">
        <f>AND(#REF!,"AAAAAHXfv1Y=")</f>
        <v>#REF!</v>
      </c>
      <c r="CJ38" t="e">
        <f>AND(#REF!,"AAAAAHXfv1c=")</f>
        <v>#REF!</v>
      </c>
      <c r="CK38" t="e">
        <f>IF(#REF!,"AAAAAHXfv1g=",0)</f>
        <v>#REF!</v>
      </c>
      <c r="CL38" t="e">
        <f>AND(#REF!,"AAAAAHXfv1k=")</f>
        <v>#REF!</v>
      </c>
      <c r="CM38" t="e">
        <f>AND(#REF!,"AAAAAHXfv1o=")</f>
        <v>#REF!</v>
      </c>
      <c r="CN38" t="e">
        <f>AND(#REF!,"AAAAAHXfv1s=")</f>
        <v>#REF!</v>
      </c>
      <c r="CO38" t="e">
        <f>AND(#REF!,"AAAAAHXfv1w=")</f>
        <v>#REF!</v>
      </c>
      <c r="CP38" t="e">
        <f>AND(#REF!,"AAAAAHXfv10=")</f>
        <v>#REF!</v>
      </c>
      <c r="CQ38" t="e">
        <f>AND(#REF!,"AAAAAHXfv14=")</f>
        <v>#REF!</v>
      </c>
      <c r="CR38" t="e">
        <f>AND(#REF!,"AAAAAHXfv18=")</f>
        <v>#REF!</v>
      </c>
      <c r="CS38" t="e">
        <f>AND(#REF!,"AAAAAHXfv2A=")</f>
        <v>#REF!</v>
      </c>
      <c r="CT38" t="e">
        <f>AND(#REF!,"AAAAAHXfv2E=")</f>
        <v>#REF!</v>
      </c>
      <c r="CU38" t="e">
        <f>AND(#REF!,"AAAAAHXfv2I=")</f>
        <v>#REF!</v>
      </c>
      <c r="CV38" t="e">
        <f>AND(#REF!,"AAAAAHXfv2M=")</f>
        <v>#REF!</v>
      </c>
      <c r="CW38" t="e">
        <f>AND(#REF!,"AAAAAHXfv2Q=")</f>
        <v>#REF!</v>
      </c>
      <c r="CX38" t="e">
        <f>AND(#REF!,"AAAAAHXfv2U=")</f>
        <v>#REF!</v>
      </c>
      <c r="CY38" t="e">
        <f>AND(#REF!,"AAAAAHXfv2Y=")</f>
        <v>#REF!</v>
      </c>
      <c r="CZ38" t="e">
        <f>AND(#REF!,"AAAAAHXfv2c=")</f>
        <v>#REF!</v>
      </c>
      <c r="DA38" t="e">
        <f>AND(#REF!,"AAAAAHXfv2g=")</f>
        <v>#REF!</v>
      </c>
      <c r="DB38" t="e">
        <f>AND(#REF!,"AAAAAHXfv2k=")</f>
        <v>#REF!</v>
      </c>
      <c r="DC38" t="e">
        <f>AND(#REF!,"AAAAAHXfv2o=")</f>
        <v>#REF!</v>
      </c>
      <c r="DD38" t="e">
        <f>AND(#REF!,"AAAAAHXfv2s=")</f>
        <v>#REF!</v>
      </c>
      <c r="DE38" t="e">
        <f>AND(#REF!,"AAAAAHXfv2w=")</f>
        <v>#REF!</v>
      </c>
      <c r="DF38" t="e">
        <f>AND(#REF!,"AAAAAHXfv20=")</f>
        <v>#REF!</v>
      </c>
      <c r="DG38" t="e">
        <f>AND(#REF!,"AAAAAHXfv24=")</f>
        <v>#REF!</v>
      </c>
      <c r="DH38" t="e">
        <f>AND(#REF!,"AAAAAHXfv28=")</f>
        <v>#REF!</v>
      </c>
      <c r="DI38" t="e">
        <f>AND(#REF!,"AAAAAHXfv3A=")</f>
        <v>#REF!</v>
      </c>
      <c r="DJ38" t="e">
        <f>AND(#REF!,"AAAAAHXfv3E=")</f>
        <v>#REF!</v>
      </c>
      <c r="DK38" t="e">
        <f>AND(#REF!,"AAAAAHXfv3I=")</f>
        <v>#REF!</v>
      </c>
      <c r="DL38" t="e">
        <f>AND(#REF!,"AAAAAHXfv3M=")</f>
        <v>#REF!</v>
      </c>
      <c r="DM38" t="e">
        <f>AND(#REF!,"AAAAAHXfv3Q=")</f>
        <v>#REF!</v>
      </c>
      <c r="DN38" t="e">
        <f>AND(#REF!,"AAAAAHXfv3U=")</f>
        <v>#REF!</v>
      </c>
      <c r="DO38" t="e">
        <f>AND(#REF!,"AAAAAHXfv3Y=")</f>
        <v>#REF!</v>
      </c>
      <c r="DP38" t="e">
        <f>AND(#REF!,"AAAAAHXfv3c=")</f>
        <v>#REF!</v>
      </c>
      <c r="DQ38" t="e">
        <f>AND(#REF!,"AAAAAHXfv3g=")</f>
        <v>#REF!</v>
      </c>
      <c r="DR38" t="e">
        <f>AND(#REF!,"AAAAAHXfv3k=")</f>
        <v>#REF!</v>
      </c>
      <c r="DS38" t="e">
        <f>AND(#REF!,"AAAAAHXfv3o=")</f>
        <v>#REF!</v>
      </c>
      <c r="DT38" t="e">
        <f>AND(#REF!,"AAAAAHXfv3s=")</f>
        <v>#REF!</v>
      </c>
      <c r="DU38" t="e">
        <f>AND(#REF!,"AAAAAHXfv3w=")</f>
        <v>#REF!</v>
      </c>
      <c r="DV38" t="e">
        <f>AND(#REF!,"AAAAAHXfv30=")</f>
        <v>#REF!</v>
      </c>
      <c r="DW38" t="e">
        <f>AND(#REF!,"AAAAAHXfv34=")</f>
        <v>#REF!</v>
      </c>
      <c r="DX38" t="e">
        <f>AND(#REF!,"AAAAAHXfv38=")</f>
        <v>#REF!</v>
      </c>
      <c r="DY38" t="e">
        <f>AND(#REF!,"AAAAAHXfv4A=")</f>
        <v>#REF!</v>
      </c>
      <c r="DZ38" t="e">
        <f>AND(#REF!,"AAAAAHXfv4E=")</f>
        <v>#REF!</v>
      </c>
      <c r="EA38" t="e">
        <f>AND(#REF!,"AAAAAHXfv4I=")</f>
        <v>#REF!</v>
      </c>
      <c r="EB38" t="e">
        <f>AND(#REF!,"AAAAAHXfv4M=")</f>
        <v>#REF!</v>
      </c>
      <c r="EC38" t="e">
        <f>AND(#REF!,"AAAAAHXfv4Q=")</f>
        <v>#REF!</v>
      </c>
      <c r="ED38" t="e">
        <f>AND(#REF!,"AAAAAHXfv4U=")</f>
        <v>#REF!</v>
      </c>
      <c r="EE38" t="e">
        <f>AND(#REF!,"AAAAAHXfv4Y=")</f>
        <v>#REF!</v>
      </c>
      <c r="EF38" t="e">
        <f>AND(#REF!,"AAAAAHXfv4c=")</f>
        <v>#REF!</v>
      </c>
      <c r="EG38" t="e">
        <f>AND(#REF!,"AAAAAHXfv4g=")</f>
        <v>#REF!</v>
      </c>
      <c r="EH38" t="e">
        <f>AND(#REF!,"AAAAAHXfv4k=")</f>
        <v>#REF!</v>
      </c>
      <c r="EI38" t="e">
        <f>AND(#REF!,"AAAAAHXfv4o=")</f>
        <v>#REF!</v>
      </c>
      <c r="EJ38" t="e">
        <f>AND(#REF!,"AAAAAHXfv4s=")</f>
        <v>#REF!</v>
      </c>
      <c r="EK38" t="e">
        <f>AND(#REF!,"AAAAAHXfv4w=")</f>
        <v>#REF!</v>
      </c>
      <c r="EL38" t="e">
        <f>AND(#REF!,"AAAAAHXfv40=")</f>
        <v>#REF!</v>
      </c>
      <c r="EM38" t="e">
        <f>AND(#REF!,"AAAAAHXfv44=")</f>
        <v>#REF!</v>
      </c>
      <c r="EN38" t="e">
        <f>AND(#REF!,"AAAAAHXfv48=")</f>
        <v>#REF!</v>
      </c>
      <c r="EO38" t="e">
        <f>AND(#REF!,"AAAAAHXfv5A=")</f>
        <v>#REF!</v>
      </c>
      <c r="EP38" t="e">
        <f>AND(#REF!,"AAAAAHXfv5E=")</f>
        <v>#REF!</v>
      </c>
      <c r="EQ38" t="e">
        <f>AND(#REF!,"AAAAAHXfv5I=")</f>
        <v>#REF!</v>
      </c>
      <c r="ER38" t="e">
        <f>AND(#REF!,"AAAAAHXfv5M=")</f>
        <v>#REF!</v>
      </c>
      <c r="ES38" t="e">
        <f>AND(#REF!,"AAAAAHXfv5Q=")</f>
        <v>#REF!</v>
      </c>
      <c r="ET38" t="e">
        <f>AND(#REF!,"AAAAAHXfv5U=")</f>
        <v>#REF!</v>
      </c>
      <c r="EU38" t="e">
        <f>AND(#REF!,"AAAAAHXfv5Y=")</f>
        <v>#REF!</v>
      </c>
      <c r="EV38" t="e">
        <f>AND(#REF!,"AAAAAHXfv5c=")</f>
        <v>#REF!</v>
      </c>
      <c r="EW38" t="e">
        <f>AND(#REF!,"AAAAAHXfv5g=")</f>
        <v>#REF!</v>
      </c>
      <c r="EX38" t="e">
        <f>AND(#REF!,"AAAAAHXfv5k=")</f>
        <v>#REF!</v>
      </c>
      <c r="EY38" t="e">
        <f>AND(#REF!,"AAAAAHXfv5o=")</f>
        <v>#REF!</v>
      </c>
      <c r="EZ38" t="e">
        <f>AND(#REF!,"AAAAAHXfv5s=")</f>
        <v>#REF!</v>
      </c>
      <c r="FA38" t="e">
        <f>AND(#REF!,"AAAAAHXfv5w=")</f>
        <v>#REF!</v>
      </c>
      <c r="FB38" t="e">
        <f>AND(#REF!,"AAAAAHXfv50=")</f>
        <v>#REF!</v>
      </c>
      <c r="FC38" t="e">
        <f>AND(#REF!,"AAAAAHXfv54=")</f>
        <v>#REF!</v>
      </c>
      <c r="FD38" t="e">
        <f>AND(#REF!,"AAAAAHXfv58=")</f>
        <v>#REF!</v>
      </c>
      <c r="FE38" t="e">
        <f>AND(#REF!,"AAAAAHXfv6A=")</f>
        <v>#REF!</v>
      </c>
      <c r="FF38" t="e">
        <f>AND(#REF!,"AAAAAHXfv6E=")</f>
        <v>#REF!</v>
      </c>
      <c r="FG38" t="e">
        <f>AND(#REF!,"AAAAAHXfv6I=")</f>
        <v>#REF!</v>
      </c>
      <c r="FH38" t="e">
        <f>AND(#REF!,"AAAAAHXfv6M=")</f>
        <v>#REF!</v>
      </c>
      <c r="FI38" t="e">
        <f>AND(#REF!,"AAAAAHXfv6Q=")</f>
        <v>#REF!</v>
      </c>
      <c r="FJ38" t="e">
        <f>AND(#REF!,"AAAAAHXfv6U=")</f>
        <v>#REF!</v>
      </c>
      <c r="FK38" t="e">
        <f>AND(#REF!,"AAAAAHXfv6Y=")</f>
        <v>#REF!</v>
      </c>
      <c r="FL38" t="e">
        <f>AND(#REF!,"AAAAAHXfv6c=")</f>
        <v>#REF!</v>
      </c>
      <c r="FM38" t="e">
        <f>AND(#REF!,"AAAAAHXfv6g=")</f>
        <v>#REF!</v>
      </c>
      <c r="FN38" t="e">
        <f>AND(#REF!,"AAAAAHXfv6k=")</f>
        <v>#REF!</v>
      </c>
      <c r="FO38" t="e">
        <f>AND(#REF!,"AAAAAHXfv6o=")</f>
        <v>#REF!</v>
      </c>
      <c r="FP38" t="e">
        <f>AND(#REF!,"AAAAAHXfv6s=")</f>
        <v>#REF!</v>
      </c>
      <c r="FQ38" t="e">
        <f>AND(#REF!,"AAAAAHXfv6w=")</f>
        <v>#REF!</v>
      </c>
      <c r="FR38" t="e">
        <f>AND(#REF!,"AAAAAHXfv60=")</f>
        <v>#REF!</v>
      </c>
      <c r="FS38" t="e">
        <f>AND(#REF!,"AAAAAHXfv64=")</f>
        <v>#REF!</v>
      </c>
      <c r="FT38" t="e">
        <f>AND(#REF!,"AAAAAHXfv68=")</f>
        <v>#REF!</v>
      </c>
      <c r="FU38" t="e">
        <f>AND(#REF!,"AAAAAHXfv7A=")</f>
        <v>#REF!</v>
      </c>
      <c r="FV38" t="e">
        <f>AND(#REF!,"AAAAAHXfv7E=")</f>
        <v>#REF!</v>
      </c>
      <c r="FW38" t="e">
        <f>AND(#REF!,"AAAAAHXfv7I=")</f>
        <v>#REF!</v>
      </c>
      <c r="FX38" t="e">
        <f>AND(#REF!,"AAAAAHXfv7M=")</f>
        <v>#REF!</v>
      </c>
      <c r="FY38" t="e">
        <f>AND(#REF!,"AAAAAHXfv7Q=")</f>
        <v>#REF!</v>
      </c>
      <c r="FZ38" t="e">
        <f>AND(#REF!,"AAAAAHXfv7U=")</f>
        <v>#REF!</v>
      </c>
      <c r="GA38" t="e">
        <f>AND(#REF!,"AAAAAHXfv7Y=")</f>
        <v>#REF!</v>
      </c>
      <c r="GB38" t="e">
        <f>AND(#REF!,"AAAAAHXfv7c=")</f>
        <v>#REF!</v>
      </c>
      <c r="GC38" t="e">
        <f>AND(#REF!,"AAAAAHXfv7g=")</f>
        <v>#REF!</v>
      </c>
      <c r="GD38" t="e">
        <f>AND(#REF!,"AAAAAHXfv7k=")</f>
        <v>#REF!</v>
      </c>
      <c r="GE38" t="e">
        <f>AND(#REF!,"AAAAAHXfv7o=")</f>
        <v>#REF!</v>
      </c>
      <c r="GF38" t="e">
        <f>AND(#REF!,"AAAAAHXfv7s=")</f>
        <v>#REF!</v>
      </c>
      <c r="GG38" t="e">
        <f>AND(#REF!,"AAAAAHXfv7w=")</f>
        <v>#REF!</v>
      </c>
      <c r="GH38" t="e">
        <f>AND(#REF!,"AAAAAHXfv70=")</f>
        <v>#REF!</v>
      </c>
      <c r="GI38" t="e">
        <f>AND(#REF!,"AAAAAHXfv74=")</f>
        <v>#REF!</v>
      </c>
      <c r="GJ38" t="e">
        <f>AND(#REF!,"AAAAAHXfv78=")</f>
        <v>#REF!</v>
      </c>
      <c r="GK38" t="e">
        <f>AND(#REF!,"AAAAAHXfv8A=")</f>
        <v>#REF!</v>
      </c>
      <c r="GL38" t="e">
        <f>IF(#REF!,"AAAAAHXfv8E=",0)</f>
        <v>#REF!</v>
      </c>
      <c r="GM38" t="e">
        <f>AND(#REF!,"AAAAAHXfv8I=")</f>
        <v>#REF!</v>
      </c>
      <c r="GN38" t="e">
        <f>AND(#REF!,"AAAAAHXfv8M=")</f>
        <v>#REF!</v>
      </c>
      <c r="GO38" t="e">
        <f>AND(#REF!,"AAAAAHXfv8Q=")</f>
        <v>#REF!</v>
      </c>
      <c r="GP38" t="e">
        <f>AND(#REF!,"AAAAAHXfv8U=")</f>
        <v>#REF!</v>
      </c>
      <c r="GQ38" t="e">
        <f>AND(#REF!,"AAAAAHXfv8Y=")</f>
        <v>#REF!</v>
      </c>
      <c r="GR38" t="e">
        <f>AND(#REF!,"AAAAAHXfv8c=")</f>
        <v>#REF!</v>
      </c>
      <c r="GS38" t="e">
        <f>AND(#REF!,"AAAAAHXfv8g=")</f>
        <v>#REF!</v>
      </c>
      <c r="GT38" t="e">
        <f>AND(#REF!,"AAAAAHXfv8k=")</f>
        <v>#REF!</v>
      </c>
      <c r="GU38" t="e">
        <f>AND(#REF!,"AAAAAHXfv8o=")</f>
        <v>#REF!</v>
      </c>
      <c r="GV38" t="e">
        <f>AND(#REF!,"AAAAAHXfv8s=")</f>
        <v>#REF!</v>
      </c>
      <c r="GW38" t="e">
        <f>AND(#REF!,"AAAAAHXfv8w=")</f>
        <v>#REF!</v>
      </c>
      <c r="GX38" t="e">
        <f>AND(#REF!,"AAAAAHXfv80=")</f>
        <v>#REF!</v>
      </c>
      <c r="GY38" t="e">
        <f>AND(#REF!,"AAAAAHXfv84=")</f>
        <v>#REF!</v>
      </c>
      <c r="GZ38" t="e">
        <f>AND(#REF!,"AAAAAHXfv88=")</f>
        <v>#REF!</v>
      </c>
      <c r="HA38" t="e">
        <f>AND(#REF!,"AAAAAHXfv9A=")</f>
        <v>#REF!</v>
      </c>
      <c r="HB38" t="e">
        <f>AND(#REF!,"AAAAAHXfv9E=")</f>
        <v>#REF!</v>
      </c>
      <c r="HC38" t="e">
        <f>AND(#REF!,"AAAAAHXfv9I=")</f>
        <v>#REF!</v>
      </c>
      <c r="HD38" t="e">
        <f>AND(#REF!,"AAAAAHXfv9M=")</f>
        <v>#REF!</v>
      </c>
      <c r="HE38" t="e">
        <f>AND(#REF!,"AAAAAHXfv9Q=")</f>
        <v>#REF!</v>
      </c>
      <c r="HF38" t="e">
        <f>AND(#REF!,"AAAAAHXfv9U=")</f>
        <v>#REF!</v>
      </c>
      <c r="HG38" t="e">
        <f>AND(#REF!,"AAAAAHXfv9Y=")</f>
        <v>#REF!</v>
      </c>
      <c r="HH38" t="e">
        <f>AND(#REF!,"AAAAAHXfv9c=")</f>
        <v>#REF!</v>
      </c>
      <c r="HI38" t="e">
        <f>AND(#REF!,"AAAAAHXfv9g=")</f>
        <v>#REF!</v>
      </c>
      <c r="HJ38" t="e">
        <f>AND(#REF!,"AAAAAHXfv9k=")</f>
        <v>#REF!</v>
      </c>
      <c r="HK38" t="e">
        <f>AND(#REF!,"AAAAAHXfv9o=")</f>
        <v>#REF!</v>
      </c>
      <c r="HL38" t="e">
        <f>AND(#REF!,"AAAAAHXfv9s=")</f>
        <v>#REF!</v>
      </c>
      <c r="HM38" t="e">
        <f>AND(#REF!,"AAAAAHXfv9w=")</f>
        <v>#REF!</v>
      </c>
      <c r="HN38" t="e">
        <f>AND(#REF!,"AAAAAHXfv90=")</f>
        <v>#REF!</v>
      </c>
      <c r="HO38" t="e">
        <f>AND(#REF!,"AAAAAHXfv94=")</f>
        <v>#REF!</v>
      </c>
      <c r="HP38" t="e">
        <f>AND(#REF!,"AAAAAHXfv98=")</f>
        <v>#REF!</v>
      </c>
      <c r="HQ38" t="e">
        <f>AND(#REF!,"AAAAAHXfv+A=")</f>
        <v>#REF!</v>
      </c>
      <c r="HR38" t="e">
        <f>AND(#REF!,"AAAAAHXfv+E=")</f>
        <v>#REF!</v>
      </c>
      <c r="HS38" t="e">
        <f>AND(#REF!,"AAAAAHXfv+I=")</f>
        <v>#REF!</v>
      </c>
      <c r="HT38" t="e">
        <f>AND(#REF!,"AAAAAHXfv+M=")</f>
        <v>#REF!</v>
      </c>
      <c r="HU38" t="e">
        <f>AND(#REF!,"AAAAAHXfv+Q=")</f>
        <v>#REF!</v>
      </c>
      <c r="HV38" t="e">
        <f>AND(#REF!,"AAAAAHXfv+U=")</f>
        <v>#REF!</v>
      </c>
      <c r="HW38" t="e">
        <f>AND(#REF!,"AAAAAHXfv+Y=")</f>
        <v>#REF!</v>
      </c>
      <c r="HX38" t="e">
        <f>AND(#REF!,"AAAAAHXfv+c=")</f>
        <v>#REF!</v>
      </c>
      <c r="HY38" t="e">
        <f>AND(#REF!,"AAAAAHXfv+g=")</f>
        <v>#REF!</v>
      </c>
      <c r="HZ38" t="e">
        <f>AND(#REF!,"AAAAAHXfv+k=")</f>
        <v>#REF!</v>
      </c>
      <c r="IA38" t="e">
        <f>AND(#REF!,"AAAAAHXfv+o=")</f>
        <v>#REF!</v>
      </c>
      <c r="IB38" t="e">
        <f>AND(#REF!,"AAAAAHXfv+s=")</f>
        <v>#REF!</v>
      </c>
      <c r="IC38" t="e">
        <f>AND(#REF!,"AAAAAHXfv+w=")</f>
        <v>#REF!</v>
      </c>
      <c r="ID38" t="e">
        <f>AND(#REF!,"AAAAAHXfv+0=")</f>
        <v>#REF!</v>
      </c>
      <c r="IE38" t="e">
        <f>AND(#REF!,"AAAAAHXfv+4=")</f>
        <v>#REF!</v>
      </c>
      <c r="IF38" t="e">
        <f>AND(#REF!,"AAAAAHXfv+8=")</f>
        <v>#REF!</v>
      </c>
      <c r="IG38" t="e">
        <f>AND(#REF!,"AAAAAHXfv/A=")</f>
        <v>#REF!</v>
      </c>
      <c r="IH38" t="e">
        <f>AND(#REF!,"AAAAAHXfv/E=")</f>
        <v>#REF!</v>
      </c>
      <c r="II38" t="e">
        <f>AND(#REF!,"AAAAAHXfv/I=")</f>
        <v>#REF!</v>
      </c>
      <c r="IJ38" t="e">
        <f>AND(#REF!,"AAAAAHXfv/M=")</f>
        <v>#REF!</v>
      </c>
      <c r="IK38" t="e">
        <f>AND(#REF!,"AAAAAHXfv/Q=")</f>
        <v>#REF!</v>
      </c>
      <c r="IL38" t="e">
        <f>AND(#REF!,"AAAAAHXfv/U=")</f>
        <v>#REF!</v>
      </c>
      <c r="IM38" t="e">
        <f>AND(#REF!,"AAAAAHXfv/Y=")</f>
        <v>#REF!</v>
      </c>
      <c r="IN38" t="e">
        <f>AND(#REF!,"AAAAAHXfv/c=")</f>
        <v>#REF!</v>
      </c>
      <c r="IO38" t="e">
        <f>AND(#REF!,"AAAAAHXfv/g=")</f>
        <v>#REF!</v>
      </c>
      <c r="IP38" t="e">
        <f>AND(#REF!,"AAAAAHXfv/k=")</f>
        <v>#REF!</v>
      </c>
      <c r="IQ38" t="e">
        <f>AND(#REF!,"AAAAAHXfv/o=")</f>
        <v>#REF!</v>
      </c>
      <c r="IR38" t="e">
        <f>AND(#REF!,"AAAAAHXfv/s=")</f>
        <v>#REF!</v>
      </c>
      <c r="IS38" t="e">
        <f>AND(#REF!,"AAAAAHXfv/w=")</f>
        <v>#REF!</v>
      </c>
      <c r="IT38" t="e">
        <f>AND(#REF!,"AAAAAHXfv/0=")</f>
        <v>#REF!</v>
      </c>
      <c r="IU38" t="e">
        <f>AND(#REF!,"AAAAAHXfv/4=")</f>
        <v>#REF!</v>
      </c>
      <c r="IV38" t="e">
        <f>AND(#REF!,"AAAAAHXfv/8=")</f>
        <v>#REF!</v>
      </c>
    </row>
    <row r="39" spans="1:256" x14ac:dyDescent="0.25">
      <c r="A39" t="e">
        <f>AND(#REF!,"AAAAADyu/wA=")</f>
        <v>#REF!</v>
      </c>
      <c r="B39" t="e">
        <f>AND(#REF!,"AAAAADyu/wE=")</f>
        <v>#REF!</v>
      </c>
      <c r="C39" t="e">
        <f>AND(#REF!,"AAAAADyu/wI=")</f>
        <v>#REF!</v>
      </c>
      <c r="D39" t="e">
        <f>AND(#REF!,"AAAAADyu/wM=")</f>
        <v>#REF!</v>
      </c>
      <c r="E39" t="e">
        <f>AND(#REF!,"AAAAADyu/wQ=")</f>
        <v>#REF!</v>
      </c>
      <c r="F39" t="e">
        <f>AND(#REF!,"AAAAADyu/wU=")</f>
        <v>#REF!</v>
      </c>
      <c r="G39" t="e">
        <f>AND(#REF!,"AAAAADyu/wY=")</f>
        <v>#REF!</v>
      </c>
      <c r="H39" t="e">
        <f>AND(#REF!,"AAAAADyu/wc=")</f>
        <v>#REF!</v>
      </c>
      <c r="I39" t="e">
        <f>AND(#REF!,"AAAAADyu/wg=")</f>
        <v>#REF!</v>
      </c>
      <c r="J39" t="e">
        <f>AND(#REF!,"AAAAADyu/wk=")</f>
        <v>#REF!</v>
      </c>
      <c r="K39" t="e">
        <f>AND(#REF!,"AAAAADyu/wo=")</f>
        <v>#REF!</v>
      </c>
      <c r="L39" t="e">
        <f>AND(#REF!,"AAAAADyu/ws=")</f>
        <v>#REF!</v>
      </c>
      <c r="M39" t="e">
        <f>AND(#REF!,"AAAAADyu/ww=")</f>
        <v>#REF!</v>
      </c>
      <c r="N39" t="e">
        <f>AND(#REF!,"AAAAADyu/w0=")</f>
        <v>#REF!</v>
      </c>
      <c r="O39" t="e">
        <f>AND(#REF!,"AAAAADyu/w4=")</f>
        <v>#REF!</v>
      </c>
      <c r="P39" t="e">
        <f>AND(#REF!,"AAAAADyu/w8=")</f>
        <v>#REF!</v>
      </c>
      <c r="Q39" t="e">
        <f>AND(#REF!,"AAAAADyu/xA=")</f>
        <v>#REF!</v>
      </c>
      <c r="R39" t="e">
        <f>AND(#REF!,"AAAAADyu/xE=")</f>
        <v>#REF!</v>
      </c>
      <c r="S39" t="e">
        <f>AND(#REF!,"AAAAADyu/xI=")</f>
        <v>#REF!</v>
      </c>
      <c r="T39" t="e">
        <f>AND(#REF!,"AAAAADyu/xM=")</f>
        <v>#REF!</v>
      </c>
      <c r="U39" t="e">
        <f>AND(#REF!,"AAAAADyu/xQ=")</f>
        <v>#REF!</v>
      </c>
      <c r="V39" t="e">
        <f>AND(#REF!,"AAAAADyu/xU=")</f>
        <v>#REF!</v>
      </c>
      <c r="W39" t="e">
        <f>AND(#REF!,"AAAAADyu/xY=")</f>
        <v>#REF!</v>
      </c>
      <c r="X39" t="e">
        <f>AND(#REF!,"AAAAADyu/xc=")</f>
        <v>#REF!</v>
      </c>
      <c r="Y39" t="e">
        <f>AND(#REF!,"AAAAADyu/xg=")</f>
        <v>#REF!</v>
      </c>
      <c r="Z39" t="e">
        <f>AND(#REF!,"AAAAADyu/xk=")</f>
        <v>#REF!</v>
      </c>
      <c r="AA39" t="e">
        <f>AND(#REF!,"AAAAADyu/xo=")</f>
        <v>#REF!</v>
      </c>
      <c r="AB39" t="e">
        <f>AND(#REF!,"AAAAADyu/xs=")</f>
        <v>#REF!</v>
      </c>
      <c r="AC39" t="e">
        <f>AND(#REF!,"AAAAADyu/xw=")</f>
        <v>#REF!</v>
      </c>
      <c r="AD39" t="e">
        <f>AND(#REF!,"AAAAADyu/x0=")</f>
        <v>#REF!</v>
      </c>
      <c r="AE39" t="e">
        <f>AND(#REF!,"AAAAADyu/x4=")</f>
        <v>#REF!</v>
      </c>
      <c r="AF39" t="e">
        <f>AND(#REF!,"AAAAADyu/x8=")</f>
        <v>#REF!</v>
      </c>
      <c r="AG39" t="e">
        <f>AND(#REF!,"AAAAADyu/yA=")</f>
        <v>#REF!</v>
      </c>
      <c r="AH39" t="e">
        <f>AND(#REF!,"AAAAADyu/yE=")</f>
        <v>#REF!</v>
      </c>
      <c r="AI39" t="e">
        <f>AND(#REF!,"AAAAADyu/yI=")</f>
        <v>#REF!</v>
      </c>
      <c r="AJ39" t="e">
        <f>AND(#REF!,"AAAAADyu/yM=")</f>
        <v>#REF!</v>
      </c>
      <c r="AK39" t="e">
        <f>AND(#REF!,"AAAAADyu/yQ=")</f>
        <v>#REF!</v>
      </c>
      <c r="AL39" t="e">
        <f>AND(#REF!,"AAAAADyu/yU=")</f>
        <v>#REF!</v>
      </c>
      <c r="AM39" t="e">
        <f>AND(#REF!,"AAAAADyu/yY=")</f>
        <v>#REF!</v>
      </c>
      <c r="AN39" t="e">
        <f>AND(#REF!,"AAAAADyu/yc=")</f>
        <v>#REF!</v>
      </c>
      <c r="AO39" t="e">
        <f>AND(#REF!,"AAAAADyu/yg=")</f>
        <v>#REF!</v>
      </c>
      <c r="AP39" t="e">
        <f>AND(#REF!,"AAAAADyu/yk=")</f>
        <v>#REF!</v>
      </c>
      <c r="AQ39" t="e">
        <f>IF(#REF!,"AAAAADyu/yo=",0)</f>
        <v>#REF!</v>
      </c>
      <c r="AR39" t="e">
        <f>AND(#REF!,"AAAAADyu/ys=")</f>
        <v>#REF!</v>
      </c>
      <c r="AS39" t="e">
        <f>AND(#REF!,"AAAAADyu/yw=")</f>
        <v>#REF!</v>
      </c>
      <c r="AT39" t="e">
        <f>AND(#REF!,"AAAAADyu/y0=")</f>
        <v>#REF!</v>
      </c>
      <c r="AU39" t="e">
        <f>AND(#REF!,"AAAAADyu/y4=")</f>
        <v>#REF!</v>
      </c>
      <c r="AV39" t="e">
        <f>AND(#REF!,"AAAAADyu/y8=")</f>
        <v>#REF!</v>
      </c>
      <c r="AW39" t="e">
        <f>AND(#REF!,"AAAAADyu/zA=")</f>
        <v>#REF!</v>
      </c>
      <c r="AX39" t="e">
        <f>AND(#REF!,"AAAAADyu/zE=")</f>
        <v>#REF!</v>
      </c>
      <c r="AY39" t="e">
        <f>AND(#REF!,"AAAAADyu/zI=")</f>
        <v>#REF!</v>
      </c>
      <c r="AZ39" t="e">
        <f>AND(#REF!,"AAAAADyu/zM=")</f>
        <v>#REF!</v>
      </c>
      <c r="BA39" t="e">
        <f>AND(#REF!,"AAAAADyu/zQ=")</f>
        <v>#REF!</v>
      </c>
      <c r="BB39" t="e">
        <f>AND(#REF!,"AAAAADyu/zU=")</f>
        <v>#REF!</v>
      </c>
      <c r="BC39" t="e">
        <f>AND(#REF!,"AAAAADyu/zY=")</f>
        <v>#REF!</v>
      </c>
      <c r="BD39" t="e">
        <f>AND(#REF!,"AAAAADyu/zc=")</f>
        <v>#REF!</v>
      </c>
      <c r="BE39" t="e">
        <f>AND(#REF!,"AAAAADyu/zg=")</f>
        <v>#REF!</v>
      </c>
      <c r="BF39" t="e">
        <f>AND(#REF!,"AAAAADyu/zk=")</f>
        <v>#REF!</v>
      </c>
      <c r="BG39" t="e">
        <f>AND(#REF!,"AAAAADyu/zo=")</f>
        <v>#REF!</v>
      </c>
      <c r="BH39" t="e">
        <f>AND(#REF!,"AAAAADyu/zs=")</f>
        <v>#REF!</v>
      </c>
      <c r="BI39" t="e">
        <f>AND(#REF!,"AAAAADyu/zw=")</f>
        <v>#REF!</v>
      </c>
      <c r="BJ39" t="e">
        <f>AND(#REF!,"AAAAADyu/z0=")</f>
        <v>#REF!</v>
      </c>
      <c r="BK39" t="e">
        <f>AND(#REF!,"AAAAADyu/z4=")</f>
        <v>#REF!</v>
      </c>
      <c r="BL39" t="e">
        <f>AND(#REF!,"AAAAADyu/z8=")</f>
        <v>#REF!</v>
      </c>
      <c r="BM39" t="e">
        <f>AND(#REF!,"AAAAADyu/0A=")</f>
        <v>#REF!</v>
      </c>
      <c r="BN39" t="e">
        <f>AND(#REF!,"AAAAADyu/0E=")</f>
        <v>#REF!</v>
      </c>
      <c r="BO39" t="e">
        <f>AND(#REF!,"AAAAADyu/0I=")</f>
        <v>#REF!</v>
      </c>
      <c r="BP39" t="e">
        <f>AND(#REF!,"AAAAADyu/0M=")</f>
        <v>#REF!</v>
      </c>
      <c r="BQ39" t="e">
        <f>AND(#REF!,"AAAAADyu/0Q=")</f>
        <v>#REF!</v>
      </c>
      <c r="BR39" t="e">
        <f>AND(#REF!,"AAAAADyu/0U=")</f>
        <v>#REF!</v>
      </c>
      <c r="BS39" t="e">
        <f>AND(#REF!,"AAAAADyu/0Y=")</f>
        <v>#REF!</v>
      </c>
      <c r="BT39" t="e">
        <f>AND(#REF!,"AAAAADyu/0c=")</f>
        <v>#REF!</v>
      </c>
      <c r="BU39" t="e">
        <f>AND(#REF!,"AAAAADyu/0g=")</f>
        <v>#REF!</v>
      </c>
      <c r="BV39" t="e">
        <f>AND(#REF!,"AAAAADyu/0k=")</f>
        <v>#REF!</v>
      </c>
      <c r="BW39" t="e">
        <f>AND(#REF!,"AAAAADyu/0o=")</f>
        <v>#REF!</v>
      </c>
      <c r="BX39" t="e">
        <f>AND(#REF!,"AAAAADyu/0s=")</f>
        <v>#REF!</v>
      </c>
      <c r="BY39" t="e">
        <f>AND(#REF!,"AAAAADyu/0w=")</f>
        <v>#REF!</v>
      </c>
      <c r="BZ39" t="e">
        <f>AND(#REF!,"AAAAADyu/00=")</f>
        <v>#REF!</v>
      </c>
      <c r="CA39" t="e">
        <f>AND(#REF!,"AAAAADyu/04=")</f>
        <v>#REF!</v>
      </c>
      <c r="CB39" t="e">
        <f>AND(#REF!,"AAAAADyu/08=")</f>
        <v>#REF!</v>
      </c>
      <c r="CC39" t="e">
        <f>AND(#REF!,"AAAAADyu/1A=")</f>
        <v>#REF!</v>
      </c>
      <c r="CD39" t="e">
        <f>AND(#REF!,"AAAAADyu/1E=")</f>
        <v>#REF!</v>
      </c>
      <c r="CE39" t="e">
        <f>AND(#REF!,"AAAAADyu/1I=")</f>
        <v>#REF!</v>
      </c>
      <c r="CF39" t="e">
        <f>AND(#REF!,"AAAAADyu/1M=")</f>
        <v>#REF!</v>
      </c>
      <c r="CG39" t="e">
        <f>AND(#REF!,"AAAAADyu/1Q=")</f>
        <v>#REF!</v>
      </c>
      <c r="CH39" t="e">
        <f>AND(#REF!,"AAAAADyu/1U=")</f>
        <v>#REF!</v>
      </c>
      <c r="CI39" t="e">
        <f>AND(#REF!,"AAAAADyu/1Y=")</f>
        <v>#REF!</v>
      </c>
      <c r="CJ39" t="e">
        <f>AND(#REF!,"AAAAADyu/1c=")</f>
        <v>#REF!</v>
      </c>
      <c r="CK39" t="e">
        <f>AND(#REF!,"AAAAADyu/1g=")</f>
        <v>#REF!</v>
      </c>
      <c r="CL39" t="e">
        <f>AND(#REF!,"AAAAADyu/1k=")</f>
        <v>#REF!</v>
      </c>
      <c r="CM39" t="e">
        <f>AND(#REF!,"AAAAADyu/1o=")</f>
        <v>#REF!</v>
      </c>
      <c r="CN39" t="e">
        <f>AND(#REF!,"AAAAADyu/1s=")</f>
        <v>#REF!</v>
      </c>
      <c r="CO39" t="e">
        <f>AND(#REF!,"AAAAADyu/1w=")</f>
        <v>#REF!</v>
      </c>
      <c r="CP39" t="e">
        <f>AND(#REF!,"AAAAADyu/10=")</f>
        <v>#REF!</v>
      </c>
      <c r="CQ39" t="e">
        <f>AND(#REF!,"AAAAADyu/14=")</f>
        <v>#REF!</v>
      </c>
      <c r="CR39" t="e">
        <f>AND(#REF!,"AAAAADyu/18=")</f>
        <v>#REF!</v>
      </c>
      <c r="CS39" t="e">
        <f>AND(#REF!,"AAAAADyu/2A=")</f>
        <v>#REF!</v>
      </c>
      <c r="CT39" t="e">
        <f>AND(#REF!,"AAAAADyu/2E=")</f>
        <v>#REF!</v>
      </c>
      <c r="CU39" t="e">
        <f>AND(#REF!,"AAAAADyu/2I=")</f>
        <v>#REF!</v>
      </c>
      <c r="CV39" t="e">
        <f>AND(#REF!,"AAAAADyu/2M=")</f>
        <v>#REF!</v>
      </c>
      <c r="CW39" t="e">
        <f>AND(#REF!,"AAAAADyu/2Q=")</f>
        <v>#REF!</v>
      </c>
      <c r="CX39" t="e">
        <f>AND(#REF!,"AAAAADyu/2U=")</f>
        <v>#REF!</v>
      </c>
      <c r="CY39" t="e">
        <f>AND(#REF!,"AAAAADyu/2Y=")</f>
        <v>#REF!</v>
      </c>
      <c r="CZ39" t="e">
        <f>AND(#REF!,"AAAAADyu/2c=")</f>
        <v>#REF!</v>
      </c>
      <c r="DA39" t="e">
        <f>AND(#REF!,"AAAAADyu/2g=")</f>
        <v>#REF!</v>
      </c>
      <c r="DB39" t="e">
        <f>AND(#REF!,"AAAAADyu/2k=")</f>
        <v>#REF!</v>
      </c>
      <c r="DC39" t="e">
        <f>AND(#REF!,"AAAAADyu/2o=")</f>
        <v>#REF!</v>
      </c>
      <c r="DD39" t="e">
        <f>AND(#REF!,"AAAAADyu/2s=")</f>
        <v>#REF!</v>
      </c>
      <c r="DE39" t="e">
        <f>AND(#REF!,"AAAAADyu/2w=")</f>
        <v>#REF!</v>
      </c>
      <c r="DF39" t="e">
        <f>AND(#REF!,"AAAAADyu/20=")</f>
        <v>#REF!</v>
      </c>
      <c r="DG39" t="e">
        <f>AND(#REF!,"AAAAADyu/24=")</f>
        <v>#REF!</v>
      </c>
      <c r="DH39" t="e">
        <f>AND(#REF!,"AAAAADyu/28=")</f>
        <v>#REF!</v>
      </c>
      <c r="DI39" t="e">
        <f>AND(#REF!,"AAAAADyu/3A=")</f>
        <v>#REF!</v>
      </c>
      <c r="DJ39" t="e">
        <f>AND(#REF!,"AAAAADyu/3E=")</f>
        <v>#REF!</v>
      </c>
      <c r="DK39" t="e">
        <f>AND(#REF!,"AAAAADyu/3I=")</f>
        <v>#REF!</v>
      </c>
      <c r="DL39" t="e">
        <f>AND(#REF!,"AAAAADyu/3M=")</f>
        <v>#REF!</v>
      </c>
      <c r="DM39" t="e">
        <f>AND(#REF!,"AAAAADyu/3Q=")</f>
        <v>#REF!</v>
      </c>
      <c r="DN39" t="e">
        <f>AND(#REF!,"AAAAADyu/3U=")</f>
        <v>#REF!</v>
      </c>
      <c r="DO39" t="e">
        <f>AND(#REF!,"AAAAADyu/3Y=")</f>
        <v>#REF!</v>
      </c>
      <c r="DP39" t="e">
        <f>AND(#REF!,"AAAAADyu/3c=")</f>
        <v>#REF!</v>
      </c>
      <c r="DQ39" t="e">
        <f>AND(#REF!,"AAAAADyu/3g=")</f>
        <v>#REF!</v>
      </c>
      <c r="DR39" t="e">
        <f>AND(#REF!,"AAAAADyu/3k=")</f>
        <v>#REF!</v>
      </c>
      <c r="DS39" t="e">
        <f>AND(#REF!,"AAAAADyu/3o=")</f>
        <v>#REF!</v>
      </c>
      <c r="DT39" t="e">
        <f>AND(#REF!,"AAAAADyu/3s=")</f>
        <v>#REF!</v>
      </c>
      <c r="DU39" t="e">
        <f>AND(#REF!,"AAAAADyu/3w=")</f>
        <v>#REF!</v>
      </c>
      <c r="DV39" t="e">
        <f>AND(#REF!,"AAAAADyu/30=")</f>
        <v>#REF!</v>
      </c>
      <c r="DW39" t="e">
        <f>AND(#REF!,"AAAAADyu/34=")</f>
        <v>#REF!</v>
      </c>
      <c r="DX39" t="e">
        <f>AND(#REF!,"AAAAADyu/38=")</f>
        <v>#REF!</v>
      </c>
      <c r="DY39" t="e">
        <f>AND(#REF!,"AAAAADyu/4A=")</f>
        <v>#REF!</v>
      </c>
      <c r="DZ39" t="e">
        <f>AND(#REF!,"AAAAADyu/4E=")</f>
        <v>#REF!</v>
      </c>
      <c r="EA39" t="e">
        <f>AND(#REF!,"AAAAADyu/4I=")</f>
        <v>#REF!</v>
      </c>
      <c r="EB39" t="e">
        <f>AND(#REF!,"AAAAADyu/4M=")</f>
        <v>#REF!</v>
      </c>
      <c r="EC39" t="e">
        <f>AND(#REF!,"AAAAADyu/4Q=")</f>
        <v>#REF!</v>
      </c>
      <c r="ED39" t="e">
        <f>AND(#REF!,"AAAAADyu/4U=")</f>
        <v>#REF!</v>
      </c>
      <c r="EE39" t="e">
        <f>AND(#REF!,"AAAAADyu/4Y=")</f>
        <v>#REF!</v>
      </c>
      <c r="EF39" t="e">
        <f>AND(#REF!,"AAAAADyu/4c=")</f>
        <v>#REF!</v>
      </c>
      <c r="EG39" t="e">
        <f>AND(#REF!,"AAAAADyu/4g=")</f>
        <v>#REF!</v>
      </c>
      <c r="EH39" t="e">
        <f>AND(#REF!,"AAAAADyu/4k=")</f>
        <v>#REF!</v>
      </c>
      <c r="EI39" t="e">
        <f>AND(#REF!,"AAAAADyu/4o=")</f>
        <v>#REF!</v>
      </c>
      <c r="EJ39" t="e">
        <f>AND(#REF!,"AAAAADyu/4s=")</f>
        <v>#REF!</v>
      </c>
      <c r="EK39" t="e">
        <f>AND(#REF!,"AAAAADyu/4w=")</f>
        <v>#REF!</v>
      </c>
      <c r="EL39" t="e">
        <f>AND(#REF!,"AAAAADyu/40=")</f>
        <v>#REF!</v>
      </c>
      <c r="EM39" t="e">
        <f>AND(#REF!,"AAAAADyu/44=")</f>
        <v>#REF!</v>
      </c>
      <c r="EN39" t="e">
        <f>AND(#REF!,"AAAAADyu/48=")</f>
        <v>#REF!</v>
      </c>
      <c r="EO39" t="e">
        <f>AND(#REF!,"AAAAADyu/5A=")</f>
        <v>#REF!</v>
      </c>
      <c r="EP39" t="e">
        <f>AND(#REF!,"AAAAADyu/5E=")</f>
        <v>#REF!</v>
      </c>
      <c r="EQ39" t="e">
        <f>AND(#REF!,"AAAAADyu/5I=")</f>
        <v>#REF!</v>
      </c>
      <c r="ER39" t="e">
        <f>IF(#REF!,"AAAAADyu/5M=",0)</f>
        <v>#REF!</v>
      </c>
      <c r="ES39" t="e">
        <f>AND(#REF!,"AAAAADyu/5Q=")</f>
        <v>#REF!</v>
      </c>
      <c r="ET39" t="e">
        <f>AND(#REF!,"AAAAADyu/5U=")</f>
        <v>#REF!</v>
      </c>
      <c r="EU39" t="e">
        <f>AND(#REF!,"AAAAADyu/5Y=")</f>
        <v>#REF!</v>
      </c>
      <c r="EV39" t="e">
        <f>AND(#REF!,"AAAAADyu/5c=")</f>
        <v>#REF!</v>
      </c>
      <c r="EW39" t="e">
        <f>AND(#REF!,"AAAAADyu/5g=")</f>
        <v>#REF!</v>
      </c>
      <c r="EX39" t="e">
        <f>AND(#REF!,"AAAAADyu/5k=")</f>
        <v>#REF!</v>
      </c>
      <c r="EY39" t="e">
        <f>AND(#REF!,"AAAAADyu/5o=")</f>
        <v>#REF!</v>
      </c>
      <c r="EZ39" t="e">
        <f>AND(#REF!,"AAAAADyu/5s=")</f>
        <v>#REF!</v>
      </c>
      <c r="FA39" t="e">
        <f>AND(#REF!,"AAAAADyu/5w=")</f>
        <v>#REF!</v>
      </c>
      <c r="FB39" t="e">
        <f>AND(#REF!,"AAAAADyu/50=")</f>
        <v>#REF!</v>
      </c>
      <c r="FC39" t="e">
        <f>AND(#REF!,"AAAAADyu/54=")</f>
        <v>#REF!</v>
      </c>
      <c r="FD39" t="e">
        <f>AND(#REF!,"AAAAADyu/58=")</f>
        <v>#REF!</v>
      </c>
      <c r="FE39" t="e">
        <f>AND(#REF!,"AAAAADyu/6A=")</f>
        <v>#REF!</v>
      </c>
      <c r="FF39" t="e">
        <f>AND(#REF!,"AAAAADyu/6E=")</f>
        <v>#REF!</v>
      </c>
      <c r="FG39" t="e">
        <f>AND(#REF!,"AAAAADyu/6I=")</f>
        <v>#REF!</v>
      </c>
      <c r="FH39" t="e">
        <f>AND(#REF!,"AAAAADyu/6M=")</f>
        <v>#REF!</v>
      </c>
      <c r="FI39" t="e">
        <f>AND(#REF!,"AAAAADyu/6Q=")</f>
        <v>#REF!</v>
      </c>
      <c r="FJ39" t="e">
        <f>AND(#REF!,"AAAAADyu/6U=")</f>
        <v>#REF!</v>
      </c>
      <c r="FK39" t="e">
        <f>AND(#REF!,"AAAAADyu/6Y=")</f>
        <v>#REF!</v>
      </c>
      <c r="FL39" t="e">
        <f>AND(#REF!,"AAAAADyu/6c=")</f>
        <v>#REF!</v>
      </c>
      <c r="FM39" t="e">
        <f>AND(#REF!,"AAAAADyu/6g=")</f>
        <v>#REF!</v>
      </c>
      <c r="FN39" t="e">
        <f>AND(#REF!,"AAAAADyu/6k=")</f>
        <v>#REF!</v>
      </c>
      <c r="FO39" t="e">
        <f>AND(#REF!,"AAAAADyu/6o=")</f>
        <v>#REF!</v>
      </c>
      <c r="FP39" t="e">
        <f>AND(#REF!,"AAAAADyu/6s=")</f>
        <v>#REF!</v>
      </c>
      <c r="FQ39" t="e">
        <f>AND(#REF!,"AAAAADyu/6w=")</f>
        <v>#REF!</v>
      </c>
      <c r="FR39" t="e">
        <f>AND(#REF!,"AAAAADyu/60=")</f>
        <v>#REF!</v>
      </c>
      <c r="FS39" t="e">
        <f>AND(#REF!,"AAAAADyu/64=")</f>
        <v>#REF!</v>
      </c>
      <c r="FT39" t="e">
        <f>AND(#REF!,"AAAAADyu/68=")</f>
        <v>#REF!</v>
      </c>
      <c r="FU39" t="e">
        <f>AND(#REF!,"AAAAADyu/7A=")</f>
        <v>#REF!</v>
      </c>
      <c r="FV39" t="e">
        <f>AND(#REF!,"AAAAADyu/7E=")</f>
        <v>#REF!</v>
      </c>
      <c r="FW39" t="e">
        <f>AND(#REF!,"AAAAADyu/7I=")</f>
        <v>#REF!</v>
      </c>
      <c r="FX39" t="e">
        <f>AND(#REF!,"AAAAADyu/7M=")</f>
        <v>#REF!</v>
      </c>
      <c r="FY39" t="e">
        <f>AND(#REF!,"AAAAADyu/7Q=")</f>
        <v>#REF!</v>
      </c>
      <c r="FZ39" t="e">
        <f>AND(#REF!,"AAAAADyu/7U=")</f>
        <v>#REF!</v>
      </c>
      <c r="GA39" t="e">
        <f>AND(#REF!,"AAAAADyu/7Y=")</f>
        <v>#REF!</v>
      </c>
      <c r="GB39" t="e">
        <f>AND(#REF!,"AAAAADyu/7c=")</f>
        <v>#REF!</v>
      </c>
      <c r="GC39" t="e">
        <f>AND(#REF!,"AAAAADyu/7g=")</f>
        <v>#REF!</v>
      </c>
      <c r="GD39" t="e">
        <f>AND(#REF!,"AAAAADyu/7k=")</f>
        <v>#REF!</v>
      </c>
      <c r="GE39" t="e">
        <f>AND(#REF!,"AAAAADyu/7o=")</f>
        <v>#REF!</v>
      </c>
      <c r="GF39" t="e">
        <f>AND(#REF!,"AAAAADyu/7s=")</f>
        <v>#REF!</v>
      </c>
      <c r="GG39" t="e">
        <f>AND(#REF!,"AAAAADyu/7w=")</f>
        <v>#REF!</v>
      </c>
      <c r="GH39" t="e">
        <f>AND(#REF!,"AAAAADyu/70=")</f>
        <v>#REF!</v>
      </c>
      <c r="GI39" t="e">
        <f>AND(#REF!,"AAAAADyu/74=")</f>
        <v>#REF!</v>
      </c>
      <c r="GJ39" t="e">
        <f>AND(#REF!,"AAAAADyu/78=")</f>
        <v>#REF!</v>
      </c>
      <c r="GK39" t="e">
        <f>AND(#REF!,"AAAAADyu/8A=")</f>
        <v>#REF!</v>
      </c>
      <c r="GL39" t="e">
        <f>AND(#REF!,"AAAAADyu/8E=")</f>
        <v>#REF!</v>
      </c>
      <c r="GM39" t="e">
        <f>AND(#REF!,"AAAAADyu/8I=")</f>
        <v>#REF!</v>
      </c>
      <c r="GN39" t="e">
        <f>AND(#REF!,"AAAAADyu/8M=")</f>
        <v>#REF!</v>
      </c>
      <c r="GO39" t="e">
        <f>AND(#REF!,"AAAAADyu/8Q=")</f>
        <v>#REF!</v>
      </c>
      <c r="GP39" t="e">
        <f>AND(#REF!,"AAAAADyu/8U=")</f>
        <v>#REF!</v>
      </c>
      <c r="GQ39" t="e">
        <f>AND(#REF!,"AAAAADyu/8Y=")</f>
        <v>#REF!</v>
      </c>
      <c r="GR39" t="e">
        <f>AND(#REF!,"AAAAADyu/8c=")</f>
        <v>#REF!</v>
      </c>
      <c r="GS39" t="e">
        <f>AND(#REF!,"AAAAADyu/8g=")</f>
        <v>#REF!</v>
      </c>
      <c r="GT39" t="e">
        <f>AND(#REF!,"AAAAADyu/8k=")</f>
        <v>#REF!</v>
      </c>
      <c r="GU39" t="e">
        <f>AND(#REF!,"AAAAADyu/8o=")</f>
        <v>#REF!</v>
      </c>
      <c r="GV39" t="e">
        <f>AND(#REF!,"AAAAADyu/8s=")</f>
        <v>#REF!</v>
      </c>
      <c r="GW39" t="e">
        <f>AND(#REF!,"AAAAADyu/8w=")</f>
        <v>#REF!</v>
      </c>
      <c r="GX39" t="e">
        <f>AND(#REF!,"AAAAADyu/80=")</f>
        <v>#REF!</v>
      </c>
      <c r="GY39" t="e">
        <f>AND(#REF!,"AAAAADyu/84=")</f>
        <v>#REF!</v>
      </c>
      <c r="GZ39" t="e">
        <f>AND(#REF!,"AAAAADyu/88=")</f>
        <v>#REF!</v>
      </c>
      <c r="HA39" t="e">
        <f>AND(#REF!,"AAAAADyu/9A=")</f>
        <v>#REF!</v>
      </c>
      <c r="HB39" t="e">
        <f>AND(#REF!,"AAAAADyu/9E=")</f>
        <v>#REF!</v>
      </c>
      <c r="HC39" t="e">
        <f>AND(#REF!,"AAAAADyu/9I=")</f>
        <v>#REF!</v>
      </c>
      <c r="HD39" t="e">
        <f>AND(#REF!,"AAAAADyu/9M=")</f>
        <v>#REF!</v>
      </c>
      <c r="HE39" t="e">
        <f>AND(#REF!,"AAAAADyu/9Q=")</f>
        <v>#REF!</v>
      </c>
      <c r="HF39" t="e">
        <f>AND(#REF!,"AAAAADyu/9U=")</f>
        <v>#REF!</v>
      </c>
      <c r="HG39" t="e">
        <f>AND(#REF!,"AAAAADyu/9Y=")</f>
        <v>#REF!</v>
      </c>
      <c r="HH39" t="e">
        <f>AND(#REF!,"AAAAADyu/9c=")</f>
        <v>#REF!</v>
      </c>
      <c r="HI39" t="e">
        <f>AND(#REF!,"AAAAADyu/9g=")</f>
        <v>#REF!</v>
      </c>
      <c r="HJ39" t="e">
        <f>AND(#REF!,"AAAAADyu/9k=")</f>
        <v>#REF!</v>
      </c>
      <c r="HK39" t="e">
        <f>AND(#REF!,"AAAAADyu/9o=")</f>
        <v>#REF!</v>
      </c>
      <c r="HL39" t="e">
        <f>AND(#REF!,"AAAAADyu/9s=")</f>
        <v>#REF!</v>
      </c>
      <c r="HM39" t="e">
        <f>AND(#REF!,"AAAAADyu/9w=")</f>
        <v>#REF!</v>
      </c>
      <c r="HN39" t="e">
        <f>AND(#REF!,"AAAAADyu/90=")</f>
        <v>#REF!</v>
      </c>
      <c r="HO39" t="e">
        <f>AND(#REF!,"AAAAADyu/94=")</f>
        <v>#REF!</v>
      </c>
      <c r="HP39" t="e">
        <f>AND(#REF!,"AAAAADyu/98=")</f>
        <v>#REF!</v>
      </c>
      <c r="HQ39" t="e">
        <f>AND(#REF!,"AAAAADyu/+A=")</f>
        <v>#REF!</v>
      </c>
      <c r="HR39" t="e">
        <f>AND(#REF!,"AAAAADyu/+E=")</f>
        <v>#REF!</v>
      </c>
      <c r="HS39" t="e">
        <f>AND(#REF!,"AAAAADyu/+I=")</f>
        <v>#REF!</v>
      </c>
      <c r="HT39" t="e">
        <f>AND(#REF!,"AAAAADyu/+M=")</f>
        <v>#REF!</v>
      </c>
      <c r="HU39" t="e">
        <f>AND(#REF!,"AAAAADyu/+Q=")</f>
        <v>#REF!</v>
      </c>
      <c r="HV39" t="e">
        <f>AND(#REF!,"AAAAADyu/+U=")</f>
        <v>#REF!</v>
      </c>
      <c r="HW39" t="e">
        <f>AND(#REF!,"AAAAADyu/+Y=")</f>
        <v>#REF!</v>
      </c>
      <c r="HX39" t="e">
        <f>AND(#REF!,"AAAAADyu/+c=")</f>
        <v>#REF!</v>
      </c>
      <c r="HY39" t="e">
        <f>AND(#REF!,"AAAAADyu/+g=")</f>
        <v>#REF!</v>
      </c>
      <c r="HZ39" t="e">
        <f>AND(#REF!,"AAAAADyu/+k=")</f>
        <v>#REF!</v>
      </c>
      <c r="IA39" t="e">
        <f>AND(#REF!,"AAAAADyu/+o=")</f>
        <v>#REF!</v>
      </c>
      <c r="IB39" t="e">
        <f>AND(#REF!,"AAAAADyu/+s=")</f>
        <v>#REF!</v>
      </c>
      <c r="IC39" t="e">
        <f>AND(#REF!,"AAAAADyu/+w=")</f>
        <v>#REF!</v>
      </c>
      <c r="ID39" t="e">
        <f>AND(#REF!,"AAAAADyu/+0=")</f>
        <v>#REF!</v>
      </c>
      <c r="IE39" t="e">
        <f>AND(#REF!,"AAAAADyu/+4=")</f>
        <v>#REF!</v>
      </c>
      <c r="IF39" t="e">
        <f>AND(#REF!,"AAAAADyu/+8=")</f>
        <v>#REF!</v>
      </c>
      <c r="IG39" t="e">
        <f>AND(#REF!,"AAAAADyu//A=")</f>
        <v>#REF!</v>
      </c>
      <c r="IH39" t="e">
        <f>AND(#REF!,"AAAAADyu//E=")</f>
        <v>#REF!</v>
      </c>
      <c r="II39" t="e">
        <f>AND(#REF!,"AAAAADyu//I=")</f>
        <v>#REF!</v>
      </c>
      <c r="IJ39" t="e">
        <f>AND(#REF!,"AAAAADyu//M=")</f>
        <v>#REF!</v>
      </c>
      <c r="IK39" t="e">
        <f>AND(#REF!,"AAAAADyu//Q=")</f>
        <v>#REF!</v>
      </c>
      <c r="IL39" t="e">
        <f>AND(#REF!,"AAAAADyu//U=")</f>
        <v>#REF!</v>
      </c>
      <c r="IM39" t="e">
        <f>AND(#REF!,"AAAAADyu//Y=")</f>
        <v>#REF!</v>
      </c>
      <c r="IN39" t="e">
        <f>AND(#REF!,"AAAAADyu//c=")</f>
        <v>#REF!</v>
      </c>
      <c r="IO39" t="e">
        <f>AND(#REF!,"AAAAADyu//g=")</f>
        <v>#REF!</v>
      </c>
      <c r="IP39" t="e">
        <f>AND(#REF!,"AAAAADyu//k=")</f>
        <v>#REF!</v>
      </c>
      <c r="IQ39" t="e">
        <f>AND(#REF!,"AAAAADyu//o=")</f>
        <v>#REF!</v>
      </c>
      <c r="IR39" t="e">
        <f>AND(#REF!,"AAAAADyu//s=")</f>
        <v>#REF!</v>
      </c>
      <c r="IS39" t="e">
        <f>IF(#REF!,"AAAAADyu//w=",0)</f>
        <v>#REF!</v>
      </c>
      <c r="IT39" t="e">
        <f>AND(#REF!,"AAAAADyu//0=")</f>
        <v>#REF!</v>
      </c>
      <c r="IU39" t="e">
        <f>AND(#REF!,"AAAAADyu//4=")</f>
        <v>#REF!</v>
      </c>
      <c r="IV39" t="e">
        <f>AND(#REF!,"AAAAADyu//8=")</f>
        <v>#REF!</v>
      </c>
    </row>
    <row r="40" spans="1:256" x14ac:dyDescent="0.25">
      <c r="A40" t="e">
        <f>AND(#REF!,"AAAAABvv/wA=")</f>
        <v>#REF!</v>
      </c>
      <c r="B40" t="e">
        <f>AND(#REF!,"AAAAABvv/wE=")</f>
        <v>#REF!</v>
      </c>
      <c r="C40" t="e">
        <f>AND(#REF!,"AAAAABvv/wI=")</f>
        <v>#REF!</v>
      </c>
      <c r="D40" t="e">
        <f>AND(#REF!,"AAAAABvv/wM=")</f>
        <v>#REF!</v>
      </c>
      <c r="E40" t="e">
        <f>AND(#REF!,"AAAAABvv/wQ=")</f>
        <v>#REF!</v>
      </c>
      <c r="F40" t="e">
        <f>AND(#REF!,"AAAAABvv/wU=")</f>
        <v>#REF!</v>
      </c>
      <c r="G40" t="e">
        <f>AND(#REF!,"AAAAABvv/wY=")</f>
        <v>#REF!</v>
      </c>
      <c r="H40" t="e">
        <f>AND(#REF!,"AAAAABvv/wc=")</f>
        <v>#REF!</v>
      </c>
      <c r="I40" t="e">
        <f>AND(#REF!,"AAAAABvv/wg=")</f>
        <v>#REF!</v>
      </c>
      <c r="J40" t="e">
        <f>AND(#REF!,"AAAAABvv/wk=")</f>
        <v>#REF!</v>
      </c>
      <c r="K40" t="e">
        <f>AND(#REF!,"AAAAABvv/wo=")</f>
        <v>#REF!</v>
      </c>
      <c r="L40" t="e">
        <f>AND(#REF!,"AAAAABvv/ws=")</f>
        <v>#REF!</v>
      </c>
      <c r="M40" t="e">
        <f>AND(#REF!,"AAAAABvv/ww=")</f>
        <v>#REF!</v>
      </c>
      <c r="N40" t="e">
        <f>AND(#REF!,"AAAAABvv/w0=")</f>
        <v>#REF!</v>
      </c>
      <c r="O40" t="e">
        <f>AND(#REF!,"AAAAABvv/w4=")</f>
        <v>#REF!</v>
      </c>
      <c r="P40" t="e">
        <f>AND(#REF!,"AAAAABvv/w8=")</f>
        <v>#REF!</v>
      </c>
      <c r="Q40" t="e">
        <f>AND(#REF!,"AAAAABvv/xA=")</f>
        <v>#REF!</v>
      </c>
      <c r="R40" t="e">
        <f>AND(#REF!,"AAAAABvv/xE=")</f>
        <v>#REF!</v>
      </c>
      <c r="S40" t="e">
        <f>AND(#REF!,"AAAAABvv/xI=")</f>
        <v>#REF!</v>
      </c>
      <c r="T40" t="e">
        <f>AND(#REF!,"AAAAABvv/xM=")</f>
        <v>#REF!</v>
      </c>
      <c r="U40" t="e">
        <f>AND(#REF!,"AAAAABvv/xQ=")</f>
        <v>#REF!</v>
      </c>
      <c r="V40" t="e">
        <f>AND(#REF!,"AAAAABvv/xU=")</f>
        <v>#REF!</v>
      </c>
      <c r="W40" t="e">
        <f>AND(#REF!,"AAAAABvv/xY=")</f>
        <v>#REF!</v>
      </c>
      <c r="X40" t="e">
        <f>AND(#REF!,"AAAAABvv/xc=")</f>
        <v>#REF!</v>
      </c>
      <c r="Y40" t="e">
        <f>AND(#REF!,"AAAAABvv/xg=")</f>
        <v>#REF!</v>
      </c>
      <c r="Z40" t="e">
        <f>AND(#REF!,"AAAAABvv/xk=")</f>
        <v>#REF!</v>
      </c>
      <c r="AA40" t="e">
        <f>AND(#REF!,"AAAAABvv/xo=")</f>
        <v>#REF!</v>
      </c>
      <c r="AB40" t="e">
        <f>AND(#REF!,"AAAAABvv/xs=")</f>
        <v>#REF!</v>
      </c>
      <c r="AC40" t="e">
        <f>AND(#REF!,"AAAAABvv/xw=")</f>
        <v>#REF!</v>
      </c>
      <c r="AD40" t="e">
        <f>AND(#REF!,"AAAAABvv/x0=")</f>
        <v>#REF!</v>
      </c>
      <c r="AE40" t="e">
        <f>AND(#REF!,"AAAAABvv/x4=")</f>
        <v>#REF!</v>
      </c>
      <c r="AF40" t="e">
        <f>AND(#REF!,"AAAAABvv/x8=")</f>
        <v>#REF!</v>
      </c>
      <c r="AG40" t="e">
        <f>AND(#REF!,"AAAAABvv/yA=")</f>
        <v>#REF!</v>
      </c>
      <c r="AH40" t="e">
        <f>AND(#REF!,"AAAAABvv/yE=")</f>
        <v>#REF!</v>
      </c>
      <c r="AI40" t="e">
        <f>AND(#REF!,"AAAAABvv/yI=")</f>
        <v>#REF!</v>
      </c>
      <c r="AJ40" t="e">
        <f>AND(#REF!,"AAAAABvv/yM=")</f>
        <v>#REF!</v>
      </c>
      <c r="AK40" t="e">
        <f>AND(#REF!,"AAAAABvv/yQ=")</f>
        <v>#REF!</v>
      </c>
      <c r="AL40" t="e">
        <f>AND(#REF!,"AAAAABvv/yU=")</f>
        <v>#REF!</v>
      </c>
      <c r="AM40" t="e">
        <f>AND(#REF!,"AAAAABvv/yY=")</f>
        <v>#REF!</v>
      </c>
      <c r="AN40" t="e">
        <f>AND(#REF!,"AAAAABvv/yc=")</f>
        <v>#REF!</v>
      </c>
      <c r="AO40" t="e">
        <f>AND(#REF!,"AAAAABvv/yg=")</f>
        <v>#REF!</v>
      </c>
      <c r="AP40" t="e">
        <f>AND(#REF!,"AAAAABvv/yk=")</f>
        <v>#REF!</v>
      </c>
      <c r="AQ40" t="e">
        <f>AND(#REF!,"AAAAABvv/yo=")</f>
        <v>#REF!</v>
      </c>
      <c r="AR40" t="e">
        <f>AND(#REF!,"AAAAABvv/ys=")</f>
        <v>#REF!</v>
      </c>
      <c r="AS40" t="e">
        <f>AND(#REF!,"AAAAABvv/yw=")</f>
        <v>#REF!</v>
      </c>
      <c r="AT40" t="e">
        <f>AND(#REF!,"AAAAABvv/y0=")</f>
        <v>#REF!</v>
      </c>
      <c r="AU40" t="e">
        <f>AND(#REF!,"AAAAABvv/y4=")</f>
        <v>#REF!</v>
      </c>
      <c r="AV40" t="e">
        <f>AND(#REF!,"AAAAABvv/y8=")</f>
        <v>#REF!</v>
      </c>
      <c r="AW40" t="e">
        <f>AND(#REF!,"AAAAABvv/zA=")</f>
        <v>#REF!</v>
      </c>
      <c r="AX40" t="e">
        <f>AND(#REF!,"AAAAABvv/zE=")</f>
        <v>#REF!</v>
      </c>
      <c r="AY40" t="e">
        <f>AND(#REF!,"AAAAABvv/zI=")</f>
        <v>#REF!</v>
      </c>
      <c r="AZ40" t="e">
        <f>AND(#REF!,"AAAAABvv/zM=")</f>
        <v>#REF!</v>
      </c>
      <c r="BA40" t="e">
        <f>AND(#REF!,"AAAAABvv/zQ=")</f>
        <v>#REF!</v>
      </c>
      <c r="BB40" t="e">
        <f>AND(#REF!,"AAAAABvv/zU=")</f>
        <v>#REF!</v>
      </c>
      <c r="BC40" t="e">
        <f>AND(#REF!,"AAAAABvv/zY=")</f>
        <v>#REF!</v>
      </c>
      <c r="BD40" t="e">
        <f>AND(#REF!,"AAAAABvv/zc=")</f>
        <v>#REF!</v>
      </c>
      <c r="BE40" t="e">
        <f>AND(#REF!,"AAAAABvv/zg=")</f>
        <v>#REF!</v>
      </c>
      <c r="BF40" t="e">
        <f>AND(#REF!,"AAAAABvv/zk=")</f>
        <v>#REF!</v>
      </c>
      <c r="BG40" t="e">
        <f>AND(#REF!,"AAAAABvv/zo=")</f>
        <v>#REF!</v>
      </c>
      <c r="BH40" t="e">
        <f>AND(#REF!,"AAAAABvv/zs=")</f>
        <v>#REF!</v>
      </c>
      <c r="BI40" t="e">
        <f>AND(#REF!,"AAAAABvv/zw=")</f>
        <v>#REF!</v>
      </c>
      <c r="BJ40" t="e">
        <f>AND(#REF!,"AAAAABvv/z0=")</f>
        <v>#REF!</v>
      </c>
      <c r="BK40" t="e">
        <f>AND(#REF!,"AAAAABvv/z4=")</f>
        <v>#REF!</v>
      </c>
      <c r="BL40" t="e">
        <f>AND(#REF!,"AAAAABvv/z8=")</f>
        <v>#REF!</v>
      </c>
      <c r="BM40" t="e">
        <f>AND(#REF!,"AAAAABvv/0A=")</f>
        <v>#REF!</v>
      </c>
      <c r="BN40" t="e">
        <f>AND(#REF!,"AAAAABvv/0E=")</f>
        <v>#REF!</v>
      </c>
      <c r="BO40" t="e">
        <f>AND(#REF!,"AAAAABvv/0I=")</f>
        <v>#REF!</v>
      </c>
      <c r="BP40" t="e">
        <f>AND(#REF!,"AAAAABvv/0M=")</f>
        <v>#REF!</v>
      </c>
      <c r="BQ40" t="e">
        <f>AND(#REF!,"AAAAABvv/0Q=")</f>
        <v>#REF!</v>
      </c>
      <c r="BR40" t="e">
        <f>AND(#REF!,"AAAAABvv/0U=")</f>
        <v>#REF!</v>
      </c>
      <c r="BS40" t="e">
        <f>AND(#REF!,"AAAAABvv/0Y=")</f>
        <v>#REF!</v>
      </c>
      <c r="BT40" t="e">
        <f>AND(#REF!,"AAAAABvv/0c=")</f>
        <v>#REF!</v>
      </c>
      <c r="BU40" t="e">
        <f>AND(#REF!,"AAAAABvv/0g=")</f>
        <v>#REF!</v>
      </c>
      <c r="BV40" t="e">
        <f>AND(#REF!,"AAAAABvv/0k=")</f>
        <v>#REF!</v>
      </c>
      <c r="BW40" t="e">
        <f>AND(#REF!,"AAAAABvv/0o=")</f>
        <v>#REF!</v>
      </c>
      <c r="BX40" t="e">
        <f>AND(#REF!,"AAAAABvv/0s=")</f>
        <v>#REF!</v>
      </c>
      <c r="BY40" t="e">
        <f>AND(#REF!,"AAAAABvv/0w=")</f>
        <v>#REF!</v>
      </c>
      <c r="BZ40" t="e">
        <f>AND(#REF!,"AAAAABvv/00=")</f>
        <v>#REF!</v>
      </c>
      <c r="CA40" t="e">
        <f>AND(#REF!,"AAAAABvv/04=")</f>
        <v>#REF!</v>
      </c>
      <c r="CB40" t="e">
        <f>AND(#REF!,"AAAAABvv/08=")</f>
        <v>#REF!</v>
      </c>
      <c r="CC40" t="e">
        <f>AND(#REF!,"AAAAABvv/1A=")</f>
        <v>#REF!</v>
      </c>
      <c r="CD40" t="e">
        <f>AND(#REF!,"AAAAABvv/1E=")</f>
        <v>#REF!</v>
      </c>
      <c r="CE40" t="e">
        <f>AND(#REF!,"AAAAABvv/1I=")</f>
        <v>#REF!</v>
      </c>
      <c r="CF40" t="e">
        <f>AND(#REF!,"AAAAABvv/1M=")</f>
        <v>#REF!</v>
      </c>
      <c r="CG40" t="e">
        <f>AND(#REF!,"AAAAABvv/1Q=")</f>
        <v>#REF!</v>
      </c>
      <c r="CH40" t="e">
        <f>AND(#REF!,"AAAAABvv/1U=")</f>
        <v>#REF!</v>
      </c>
      <c r="CI40" t="e">
        <f>AND(#REF!,"AAAAABvv/1Y=")</f>
        <v>#REF!</v>
      </c>
      <c r="CJ40" t="e">
        <f>AND(#REF!,"AAAAABvv/1c=")</f>
        <v>#REF!</v>
      </c>
      <c r="CK40" t="e">
        <f>AND(#REF!,"AAAAABvv/1g=")</f>
        <v>#REF!</v>
      </c>
      <c r="CL40" t="e">
        <f>AND(#REF!,"AAAAABvv/1k=")</f>
        <v>#REF!</v>
      </c>
      <c r="CM40" t="e">
        <f>AND(#REF!,"AAAAABvv/1o=")</f>
        <v>#REF!</v>
      </c>
      <c r="CN40" t="e">
        <f>AND(#REF!,"AAAAABvv/1s=")</f>
        <v>#REF!</v>
      </c>
      <c r="CO40" t="e">
        <f>AND(#REF!,"AAAAABvv/1w=")</f>
        <v>#REF!</v>
      </c>
      <c r="CP40" t="e">
        <f>AND(#REF!,"AAAAABvv/10=")</f>
        <v>#REF!</v>
      </c>
      <c r="CQ40" t="e">
        <f>AND(#REF!,"AAAAABvv/14=")</f>
        <v>#REF!</v>
      </c>
      <c r="CR40" t="e">
        <f>AND(#REF!,"AAAAABvv/18=")</f>
        <v>#REF!</v>
      </c>
      <c r="CS40" t="e">
        <f>AND(#REF!,"AAAAABvv/2A=")</f>
        <v>#REF!</v>
      </c>
      <c r="CT40" t="e">
        <f>AND(#REF!,"AAAAABvv/2E=")</f>
        <v>#REF!</v>
      </c>
      <c r="CU40" t="e">
        <f>AND(#REF!,"AAAAABvv/2I=")</f>
        <v>#REF!</v>
      </c>
      <c r="CV40" t="e">
        <f>AND(#REF!,"AAAAABvv/2M=")</f>
        <v>#REF!</v>
      </c>
      <c r="CW40" t="e">
        <f>AND(#REF!,"AAAAABvv/2Q=")</f>
        <v>#REF!</v>
      </c>
      <c r="CX40" t="e">
        <f>IF(#REF!,"AAAAABvv/2U=",0)</f>
        <v>#REF!</v>
      </c>
      <c r="CY40" t="e">
        <f>AND(#REF!,"AAAAABvv/2Y=")</f>
        <v>#REF!</v>
      </c>
      <c r="CZ40" t="e">
        <f>AND(#REF!,"AAAAABvv/2c=")</f>
        <v>#REF!</v>
      </c>
      <c r="DA40" t="e">
        <f>AND(#REF!,"AAAAABvv/2g=")</f>
        <v>#REF!</v>
      </c>
      <c r="DB40" t="e">
        <f>AND(#REF!,"AAAAABvv/2k=")</f>
        <v>#REF!</v>
      </c>
      <c r="DC40" t="e">
        <f>AND(#REF!,"AAAAABvv/2o=")</f>
        <v>#REF!</v>
      </c>
      <c r="DD40" t="e">
        <f>AND(#REF!,"AAAAABvv/2s=")</f>
        <v>#REF!</v>
      </c>
      <c r="DE40" t="e">
        <f>AND(#REF!,"AAAAABvv/2w=")</f>
        <v>#REF!</v>
      </c>
      <c r="DF40" t="e">
        <f>AND(#REF!,"AAAAABvv/20=")</f>
        <v>#REF!</v>
      </c>
      <c r="DG40" t="e">
        <f>AND(#REF!,"AAAAABvv/24=")</f>
        <v>#REF!</v>
      </c>
      <c r="DH40" t="e">
        <f>AND(#REF!,"AAAAABvv/28=")</f>
        <v>#REF!</v>
      </c>
      <c r="DI40" t="e">
        <f>AND(#REF!,"AAAAABvv/3A=")</f>
        <v>#REF!</v>
      </c>
      <c r="DJ40" t="e">
        <f>AND(#REF!,"AAAAABvv/3E=")</f>
        <v>#REF!</v>
      </c>
      <c r="DK40" t="e">
        <f>AND(#REF!,"AAAAABvv/3I=")</f>
        <v>#REF!</v>
      </c>
      <c r="DL40" t="e">
        <f>AND(#REF!,"AAAAABvv/3M=")</f>
        <v>#REF!</v>
      </c>
      <c r="DM40" t="e">
        <f>AND(#REF!,"AAAAABvv/3Q=")</f>
        <v>#REF!</v>
      </c>
      <c r="DN40" t="e">
        <f>AND(#REF!,"AAAAABvv/3U=")</f>
        <v>#REF!</v>
      </c>
      <c r="DO40" t="e">
        <f>AND(#REF!,"AAAAABvv/3Y=")</f>
        <v>#REF!</v>
      </c>
      <c r="DP40" t="e">
        <f>AND(#REF!,"AAAAABvv/3c=")</f>
        <v>#REF!</v>
      </c>
      <c r="DQ40" t="e">
        <f>AND(#REF!,"AAAAABvv/3g=")</f>
        <v>#REF!</v>
      </c>
      <c r="DR40" t="e">
        <f>AND(#REF!,"AAAAABvv/3k=")</f>
        <v>#REF!</v>
      </c>
      <c r="DS40" t="e">
        <f>AND(#REF!,"AAAAABvv/3o=")</f>
        <v>#REF!</v>
      </c>
      <c r="DT40" t="e">
        <f>AND(#REF!,"AAAAABvv/3s=")</f>
        <v>#REF!</v>
      </c>
      <c r="DU40" t="e">
        <f>AND(#REF!,"AAAAABvv/3w=")</f>
        <v>#REF!</v>
      </c>
      <c r="DV40" t="e">
        <f>AND(#REF!,"AAAAABvv/30=")</f>
        <v>#REF!</v>
      </c>
      <c r="DW40" t="e">
        <f>AND(#REF!,"AAAAABvv/34=")</f>
        <v>#REF!</v>
      </c>
      <c r="DX40" t="e">
        <f>AND(#REF!,"AAAAABvv/38=")</f>
        <v>#REF!</v>
      </c>
      <c r="DY40" t="e">
        <f>AND(#REF!,"AAAAABvv/4A=")</f>
        <v>#REF!</v>
      </c>
      <c r="DZ40" t="e">
        <f>AND(#REF!,"AAAAABvv/4E=")</f>
        <v>#REF!</v>
      </c>
      <c r="EA40" t="e">
        <f>AND(#REF!,"AAAAABvv/4I=")</f>
        <v>#REF!</v>
      </c>
      <c r="EB40" t="e">
        <f>AND(#REF!,"AAAAABvv/4M=")</f>
        <v>#REF!</v>
      </c>
      <c r="EC40" t="e">
        <f>AND(#REF!,"AAAAABvv/4Q=")</f>
        <v>#REF!</v>
      </c>
      <c r="ED40" t="e">
        <f>AND(#REF!,"AAAAABvv/4U=")</f>
        <v>#REF!</v>
      </c>
      <c r="EE40" t="e">
        <f>AND(#REF!,"AAAAABvv/4Y=")</f>
        <v>#REF!</v>
      </c>
      <c r="EF40" t="e">
        <f>AND(#REF!,"AAAAABvv/4c=")</f>
        <v>#REF!</v>
      </c>
      <c r="EG40" t="e">
        <f>AND(#REF!,"AAAAABvv/4g=")</f>
        <v>#REF!</v>
      </c>
      <c r="EH40" t="e">
        <f>AND(#REF!,"AAAAABvv/4k=")</f>
        <v>#REF!</v>
      </c>
      <c r="EI40" t="e">
        <f>AND(#REF!,"AAAAABvv/4o=")</f>
        <v>#REF!</v>
      </c>
      <c r="EJ40" t="e">
        <f>AND(#REF!,"AAAAABvv/4s=")</f>
        <v>#REF!</v>
      </c>
      <c r="EK40" t="e">
        <f>AND(#REF!,"AAAAABvv/4w=")</f>
        <v>#REF!</v>
      </c>
      <c r="EL40" t="e">
        <f>AND(#REF!,"AAAAABvv/40=")</f>
        <v>#REF!</v>
      </c>
      <c r="EM40" t="e">
        <f>AND(#REF!,"AAAAABvv/44=")</f>
        <v>#REF!</v>
      </c>
      <c r="EN40" t="e">
        <f>AND(#REF!,"AAAAABvv/48=")</f>
        <v>#REF!</v>
      </c>
      <c r="EO40" t="e">
        <f>AND(#REF!,"AAAAABvv/5A=")</f>
        <v>#REF!</v>
      </c>
      <c r="EP40" t="e">
        <f>AND(#REF!,"AAAAABvv/5E=")</f>
        <v>#REF!</v>
      </c>
      <c r="EQ40" t="e">
        <f>AND(#REF!,"AAAAABvv/5I=")</f>
        <v>#REF!</v>
      </c>
      <c r="ER40" t="e">
        <f>AND(#REF!,"AAAAABvv/5M=")</f>
        <v>#REF!</v>
      </c>
      <c r="ES40" t="e">
        <f>AND(#REF!,"AAAAABvv/5Q=")</f>
        <v>#REF!</v>
      </c>
      <c r="ET40" t="e">
        <f>AND(#REF!,"AAAAABvv/5U=")</f>
        <v>#REF!</v>
      </c>
      <c r="EU40" t="e">
        <f>AND(#REF!,"AAAAABvv/5Y=")</f>
        <v>#REF!</v>
      </c>
      <c r="EV40" t="e">
        <f>AND(#REF!,"AAAAABvv/5c=")</f>
        <v>#REF!</v>
      </c>
      <c r="EW40" t="e">
        <f>AND(#REF!,"AAAAABvv/5g=")</f>
        <v>#REF!</v>
      </c>
      <c r="EX40" t="e">
        <f>AND(#REF!,"AAAAABvv/5k=")</f>
        <v>#REF!</v>
      </c>
      <c r="EY40" t="e">
        <f>AND(#REF!,"AAAAABvv/5o=")</f>
        <v>#REF!</v>
      </c>
      <c r="EZ40" t="e">
        <f>AND(#REF!,"AAAAABvv/5s=")</f>
        <v>#REF!</v>
      </c>
      <c r="FA40" t="e">
        <f>AND(#REF!,"AAAAABvv/5w=")</f>
        <v>#REF!</v>
      </c>
      <c r="FB40" t="e">
        <f>AND(#REF!,"AAAAABvv/50=")</f>
        <v>#REF!</v>
      </c>
      <c r="FC40" t="e">
        <f>AND(#REF!,"AAAAABvv/54=")</f>
        <v>#REF!</v>
      </c>
      <c r="FD40" t="e">
        <f>AND(#REF!,"AAAAABvv/58=")</f>
        <v>#REF!</v>
      </c>
      <c r="FE40" t="e">
        <f>AND(#REF!,"AAAAABvv/6A=")</f>
        <v>#REF!</v>
      </c>
      <c r="FF40" t="e">
        <f>AND(#REF!,"AAAAABvv/6E=")</f>
        <v>#REF!</v>
      </c>
      <c r="FG40" t="e">
        <f>AND(#REF!,"AAAAABvv/6I=")</f>
        <v>#REF!</v>
      </c>
      <c r="FH40" t="e">
        <f>AND(#REF!,"AAAAABvv/6M=")</f>
        <v>#REF!</v>
      </c>
      <c r="FI40" t="e">
        <f>AND(#REF!,"AAAAABvv/6Q=")</f>
        <v>#REF!</v>
      </c>
      <c r="FJ40" t="e">
        <f>AND(#REF!,"AAAAABvv/6U=")</f>
        <v>#REF!</v>
      </c>
      <c r="FK40" t="e">
        <f>AND(#REF!,"AAAAABvv/6Y=")</f>
        <v>#REF!</v>
      </c>
      <c r="FL40" t="e">
        <f>AND(#REF!,"AAAAABvv/6c=")</f>
        <v>#REF!</v>
      </c>
      <c r="FM40" t="e">
        <f>AND(#REF!,"AAAAABvv/6g=")</f>
        <v>#REF!</v>
      </c>
      <c r="FN40" t="e">
        <f>AND(#REF!,"AAAAABvv/6k=")</f>
        <v>#REF!</v>
      </c>
      <c r="FO40" t="e">
        <f>AND(#REF!,"AAAAABvv/6o=")</f>
        <v>#REF!</v>
      </c>
      <c r="FP40" t="e">
        <f>AND(#REF!,"AAAAABvv/6s=")</f>
        <v>#REF!</v>
      </c>
      <c r="FQ40" t="e">
        <f>AND(#REF!,"AAAAABvv/6w=")</f>
        <v>#REF!</v>
      </c>
      <c r="FR40" t="e">
        <f>AND(#REF!,"AAAAABvv/60=")</f>
        <v>#REF!</v>
      </c>
      <c r="FS40" t="e">
        <f>AND(#REF!,"AAAAABvv/64=")</f>
        <v>#REF!</v>
      </c>
      <c r="FT40" t="e">
        <f>AND(#REF!,"AAAAABvv/68=")</f>
        <v>#REF!</v>
      </c>
      <c r="FU40" t="e">
        <f>AND(#REF!,"AAAAABvv/7A=")</f>
        <v>#REF!</v>
      </c>
      <c r="FV40" t="e">
        <f>AND(#REF!,"AAAAABvv/7E=")</f>
        <v>#REF!</v>
      </c>
      <c r="FW40" t="e">
        <f>AND(#REF!,"AAAAABvv/7I=")</f>
        <v>#REF!</v>
      </c>
      <c r="FX40" t="e">
        <f>AND(#REF!,"AAAAABvv/7M=")</f>
        <v>#REF!</v>
      </c>
      <c r="FY40" t="e">
        <f>AND(#REF!,"AAAAABvv/7Q=")</f>
        <v>#REF!</v>
      </c>
      <c r="FZ40" t="e">
        <f>AND(#REF!,"AAAAABvv/7U=")</f>
        <v>#REF!</v>
      </c>
      <c r="GA40" t="e">
        <f>AND(#REF!,"AAAAABvv/7Y=")</f>
        <v>#REF!</v>
      </c>
      <c r="GB40" t="e">
        <f>AND(#REF!,"AAAAABvv/7c=")</f>
        <v>#REF!</v>
      </c>
      <c r="GC40" t="e">
        <f>AND(#REF!,"AAAAABvv/7g=")</f>
        <v>#REF!</v>
      </c>
      <c r="GD40" t="e">
        <f>AND(#REF!,"AAAAABvv/7k=")</f>
        <v>#REF!</v>
      </c>
      <c r="GE40" t="e">
        <f>AND(#REF!,"AAAAABvv/7o=")</f>
        <v>#REF!</v>
      </c>
      <c r="GF40" t="e">
        <f>AND(#REF!,"AAAAABvv/7s=")</f>
        <v>#REF!</v>
      </c>
      <c r="GG40" t="e">
        <f>AND(#REF!,"AAAAABvv/7w=")</f>
        <v>#REF!</v>
      </c>
      <c r="GH40" t="e">
        <f>AND(#REF!,"AAAAABvv/70=")</f>
        <v>#REF!</v>
      </c>
      <c r="GI40" t="e">
        <f>AND(#REF!,"AAAAABvv/74=")</f>
        <v>#REF!</v>
      </c>
      <c r="GJ40" t="e">
        <f>AND(#REF!,"AAAAABvv/78=")</f>
        <v>#REF!</v>
      </c>
      <c r="GK40" t="e">
        <f>AND(#REF!,"AAAAABvv/8A=")</f>
        <v>#REF!</v>
      </c>
      <c r="GL40" t="e">
        <f>AND(#REF!,"AAAAABvv/8E=")</f>
        <v>#REF!</v>
      </c>
      <c r="GM40" t="e">
        <f>AND(#REF!,"AAAAABvv/8I=")</f>
        <v>#REF!</v>
      </c>
      <c r="GN40" t="e">
        <f>AND(#REF!,"AAAAABvv/8M=")</f>
        <v>#REF!</v>
      </c>
      <c r="GO40" t="e">
        <f>AND(#REF!,"AAAAABvv/8Q=")</f>
        <v>#REF!</v>
      </c>
      <c r="GP40" t="e">
        <f>AND(#REF!,"AAAAABvv/8U=")</f>
        <v>#REF!</v>
      </c>
      <c r="GQ40" t="e">
        <f>AND(#REF!,"AAAAABvv/8Y=")</f>
        <v>#REF!</v>
      </c>
      <c r="GR40" t="e">
        <f>AND(#REF!,"AAAAABvv/8c=")</f>
        <v>#REF!</v>
      </c>
      <c r="GS40" t="e">
        <f>AND(#REF!,"AAAAABvv/8g=")</f>
        <v>#REF!</v>
      </c>
      <c r="GT40" t="e">
        <f>AND(#REF!,"AAAAABvv/8k=")</f>
        <v>#REF!</v>
      </c>
      <c r="GU40" t="e">
        <f>AND(#REF!,"AAAAABvv/8o=")</f>
        <v>#REF!</v>
      </c>
      <c r="GV40" t="e">
        <f>AND(#REF!,"AAAAABvv/8s=")</f>
        <v>#REF!</v>
      </c>
      <c r="GW40" t="e">
        <f>AND(#REF!,"AAAAABvv/8w=")</f>
        <v>#REF!</v>
      </c>
      <c r="GX40" t="e">
        <f>AND(#REF!,"AAAAABvv/80=")</f>
        <v>#REF!</v>
      </c>
      <c r="GY40" t="e">
        <f>IF(#REF!,"AAAAABvv/84=",0)</f>
        <v>#REF!</v>
      </c>
      <c r="GZ40" t="e">
        <f>AND(#REF!,"AAAAABvv/88=")</f>
        <v>#REF!</v>
      </c>
      <c r="HA40" t="e">
        <f>AND(#REF!,"AAAAABvv/9A=")</f>
        <v>#REF!</v>
      </c>
      <c r="HB40" t="e">
        <f>AND(#REF!,"AAAAABvv/9E=")</f>
        <v>#REF!</v>
      </c>
      <c r="HC40" t="e">
        <f>AND(#REF!,"AAAAABvv/9I=")</f>
        <v>#REF!</v>
      </c>
      <c r="HD40" t="e">
        <f>AND(#REF!,"AAAAABvv/9M=")</f>
        <v>#REF!</v>
      </c>
      <c r="HE40" t="e">
        <f>AND(#REF!,"AAAAABvv/9Q=")</f>
        <v>#REF!</v>
      </c>
      <c r="HF40" t="e">
        <f>AND(#REF!,"AAAAABvv/9U=")</f>
        <v>#REF!</v>
      </c>
      <c r="HG40" t="e">
        <f>AND(#REF!,"AAAAABvv/9Y=")</f>
        <v>#REF!</v>
      </c>
      <c r="HH40" t="e">
        <f>AND(#REF!,"AAAAABvv/9c=")</f>
        <v>#REF!</v>
      </c>
      <c r="HI40" t="e">
        <f>AND(#REF!,"AAAAABvv/9g=")</f>
        <v>#REF!</v>
      </c>
      <c r="HJ40" t="e">
        <f>AND(#REF!,"AAAAABvv/9k=")</f>
        <v>#REF!</v>
      </c>
      <c r="HK40" t="e">
        <f>AND(#REF!,"AAAAABvv/9o=")</f>
        <v>#REF!</v>
      </c>
      <c r="HL40" t="e">
        <f>AND(#REF!,"AAAAABvv/9s=")</f>
        <v>#REF!</v>
      </c>
      <c r="HM40" t="e">
        <f>AND(#REF!,"AAAAABvv/9w=")</f>
        <v>#REF!</v>
      </c>
      <c r="HN40" t="e">
        <f>AND(#REF!,"AAAAABvv/90=")</f>
        <v>#REF!</v>
      </c>
      <c r="HO40" t="e">
        <f>AND(#REF!,"AAAAABvv/94=")</f>
        <v>#REF!</v>
      </c>
      <c r="HP40" t="e">
        <f>AND(#REF!,"AAAAABvv/98=")</f>
        <v>#REF!</v>
      </c>
      <c r="HQ40" t="e">
        <f>AND(#REF!,"AAAAABvv/+A=")</f>
        <v>#REF!</v>
      </c>
      <c r="HR40" t="e">
        <f>AND(#REF!,"AAAAABvv/+E=")</f>
        <v>#REF!</v>
      </c>
      <c r="HS40" t="e">
        <f>AND(#REF!,"AAAAABvv/+I=")</f>
        <v>#REF!</v>
      </c>
      <c r="HT40" t="e">
        <f>AND(#REF!,"AAAAABvv/+M=")</f>
        <v>#REF!</v>
      </c>
      <c r="HU40" t="e">
        <f>AND(#REF!,"AAAAABvv/+Q=")</f>
        <v>#REF!</v>
      </c>
      <c r="HV40" t="e">
        <f>AND(#REF!,"AAAAABvv/+U=")</f>
        <v>#REF!</v>
      </c>
      <c r="HW40" t="e">
        <f>AND(#REF!,"AAAAABvv/+Y=")</f>
        <v>#REF!</v>
      </c>
      <c r="HX40" t="e">
        <f>AND(#REF!,"AAAAABvv/+c=")</f>
        <v>#REF!</v>
      </c>
      <c r="HY40" t="e">
        <f>AND(#REF!,"AAAAABvv/+g=")</f>
        <v>#REF!</v>
      </c>
      <c r="HZ40" t="e">
        <f>AND(#REF!,"AAAAABvv/+k=")</f>
        <v>#REF!</v>
      </c>
      <c r="IA40" t="e">
        <f>AND(#REF!,"AAAAABvv/+o=")</f>
        <v>#REF!</v>
      </c>
      <c r="IB40" t="e">
        <f>AND(#REF!,"AAAAABvv/+s=")</f>
        <v>#REF!</v>
      </c>
      <c r="IC40" t="e">
        <f>AND(#REF!,"AAAAABvv/+w=")</f>
        <v>#REF!</v>
      </c>
      <c r="ID40" t="e">
        <f>AND(#REF!,"AAAAABvv/+0=")</f>
        <v>#REF!</v>
      </c>
      <c r="IE40" t="e">
        <f>AND(#REF!,"AAAAABvv/+4=")</f>
        <v>#REF!</v>
      </c>
      <c r="IF40" t="e">
        <f>AND(#REF!,"AAAAABvv/+8=")</f>
        <v>#REF!</v>
      </c>
      <c r="IG40" t="e">
        <f>AND(#REF!,"AAAAABvv//A=")</f>
        <v>#REF!</v>
      </c>
      <c r="IH40" t="e">
        <f>AND(#REF!,"AAAAABvv//E=")</f>
        <v>#REF!</v>
      </c>
      <c r="II40" t="e">
        <f>AND(#REF!,"AAAAABvv//I=")</f>
        <v>#REF!</v>
      </c>
      <c r="IJ40" t="e">
        <f>AND(#REF!,"AAAAABvv//M=")</f>
        <v>#REF!</v>
      </c>
      <c r="IK40" t="e">
        <f>AND(#REF!,"AAAAABvv//Q=")</f>
        <v>#REF!</v>
      </c>
      <c r="IL40" t="e">
        <f>AND(#REF!,"AAAAABvv//U=")</f>
        <v>#REF!</v>
      </c>
      <c r="IM40" t="e">
        <f>AND(#REF!,"AAAAABvv//Y=")</f>
        <v>#REF!</v>
      </c>
      <c r="IN40" t="e">
        <f>AND(#REF!,"AAAAABvv//c=")</f>
        <v>#REF!</v>
      </c>
      <c r="IO40" t="e">
        <f>AND(#REF!,"AAAAABvv//g=")</f>
        <v>#REF!</v>
      </c>
      <c r="IP40" t="e">
        <f>AND(#REF!,"AAAAABvv//k=")</f>
        <v>#REF!</v>
      </c>
      <c r="IQ40" t="e">
        <f>AND(#REF!,"AAAAABvv//o=")</f>
        <v>#REF!</v>
      </c>
      <c r="IR40" t="e">
        <f>AND(#REF!,"AAAAABvv//s=")</f>
        <v>#REF!</v>
      </c>
      <c r="IS40" t="e">
        <f>AND(#REF!,"AAAAABvv//w=")</f>
        <v>#REF!</v>
      </c>
      <c r="IT40" t="e">
        <f>AND(#REF!,"AAAAABvv//0=")</f>
        <v>#REF!</v>
      </c>
      <c r="IU40" t="e">
        <f>AND(#REF!,"AAAAABvv//4=")</f>
        <v>#REF!</v>
      </c>
      <c r="IV40" t="e">
        <f>AND(#REF!,"AAAAABvv//8=")</f>
        <v>#REF!</v>
      </c>
    </row>
    <row r="41" spans="1:256" x14ac:dyDescent="0.25">
      <c r="A41" t="e">
        <f>AND(#REF!,"AAAAAC23/gA=")</f>
        <v>#REF!</v>
      </c>
      <c r="B41" t="e">
        <f>AND(#REF!,"AAAAAC23/gE=")</f>
        <v>#REF!</v>
      </c>
      <c r="C41" t="e">
        <f>AND(#REF!,"AAAAAC23/gI=")</f>
        <v>#REF!</v>
      </c>
      <c r="D41" t="e">
        <f>AND(#REF!,"AAAAAC23/gM=")</f>
        <v>#REF!</v>
      </c>
      <c r="E41" t="e">
        <f>AND(#REF!,"AAAAAC23/gQ=")</f>
        <v>#REF!</v>
      </c>
      <c r="F41" t="e">
        <f>AND(#REF!,"AAAAAC23/gU=")</f>
        <v>#REF!</v>
      </c>
      <c r="G41" t="e">
        <f>AND(#REF!,"AAAAAC23/gY=")</f>
        <v>#REF!</v>
      </c>
      <c r="H41" t="e">
        <f>AND(#REF!,"AAAAAC23/gc=")</f>
        <v>#REF!</v>
      </c>
      <c r="I41" t="e">
        <f>AND(#REF!,"AAAAAC23/gg=")</f>
        <v>#REF!</v>
      </c>
      <c r="J41" t="e">
        <f>AND(#REF!,"AAAAAC23/gk=")</f>
        <v>#REF!</v>
      </c>
      <c r="K41" t="e">
        <f>AND(#REF!,"AAAAAC23/go=")</f>
        <v>#REF!</v>
      </c>
      <c r="L41" t="e">
        <f>AND(#REF!,"AAAAAC23/gs=")</f>
        <v>#REF!</v>
      </c>
      <c r="M41" t="e">
        <f>AND(#REF!,"AAAAAC23/gw=")</f>
        <v>#REF!</v>
      </c>
      <c r="N41" t="e">
        <f>AND(#REF!,"AAAAAC23/g0=")</f>
        <v>#REF!</v>
      </c>
      <c r="O41" t="e">
        <f>AND(#REF!,"AAAAAC23/g4=")</f>
        <v>#REF!</v>
      </c>
      <c r="P41" t="e">
        <f>AND(#REF!,"AAAAAC23/g8=")</f>
        <v>#REF!</v>
      </c>
      <c r="Q41" t="e">
        <f>AND(#REF!,"AAAAAC23/hA=")</f>
        <v>#REF!</v>
      </c>
      <c r="R41" t="e">
        <f>AND(#REF!,"AAAAAC23/hE=")</f>
        <v>#REF!</v>
      </c>
      <c r="S41" t="e">
        <f>AND(#REF!,"AAAAAC23/hI=")</f>
        <v>#REF!</v>
      </c>
      <c r="T41" t="e">
        <f>AND(#REF!,"AAAAAC23/hM=")</f>
        <v>#REF!</v>
      </c>
      <c r="U41" t="e">
        <f>AND(#REF!,"AAAAAC23/hQ=")</f>
        <v>#REF!</v>
      </c>
      <c r="V41" t="e">
        <f>AND(#REF!,"AAAAAC23/hU=")</f>
        <v>#REF!</v>
      </c>
      <c r="W41" t="e">
        <f>AND(#REF!,"AAAAAC23/hY=")</f>
        <v>#REF!</v>
      </c>
      <c r="X41" t="e">
        <f>AND(#REF!,"AAAAAC23/hc=")</f>
        <v>#REF!</v>
      </c>
      <c r="Y41" t="e">
        <f>AND(#REF!,"AAAAAC23/hg=")</f>
        <v>#REF!</v>
      </c>
      <c r="Z41" t="e">
        <f>AND(#REF!,"AAAAAC23/hk=")</f>
        <v>#REF!</v>
      </c>
      <c r="AA41" t="e">
        <f>AND(#REF!,"AAAAAC23/ho=")</f>
        <v>#REF!</v>
      </c>
      <c r="AB41" t="e">
        <f>AND(#REF!,"AAAAAC23/hs=")</f>
        <v>#REF!</v>
      </c>
      <c r="AC41" t="e">
        <f>AND(#REF!,"AAAAAC23/hw=")</f>
        <v>#REF!</v>
      </c>
      <c r="AD41" t="e">
        <f>AND(#REF!,"AAAAAC23/h0=")</f>
        <v>#REF!</v>
      </c>
      <c r="AE41" t="e">
        <f>AND(#REF!,"AAAAAC23/h4=")</f>
        <v>#REF!</v>
      </c>
      <c r="AF41" t="e">
        <f>AND(#REF!,"AAAAAC23/h8=")</f>
        <v>#REF!</v>
      </c>
      <c r="AG41" t="e">
        <f>AND(#REF!,"AAAAAC23/iA=")</f>
        <v>#REF!</v>
      </c>
      <c r="AH41" t="e">
        <f>AND(#REF!,"AAAAAC23/iE=")</f>
        <v>#REF!</v>
      </c>
      <c r="AI41" t="e">
        <f>AND(#REF!,"AAAAAC23/iI=")</f>
        <v>#REF!</v>
      </c>
      <c r="AJ41" t="e">
        <f>AND(#REF!,"AAAAAC23/iM=")</f>
        <v>#REF!</v>
      </c>
      <c r="AK41" t="e">
        <f>AND(#REF!,"AAAAAC23/iQ=")</f>
        <v>#REF!</v>
      </c>
      <c r="AL41" t="e">
        <f>AND(#REF!,"AAAAAC23/iU=")</f>
        <v>#REF!</v>
      </c>
      <c r="AM41" t="e">
        <f>AND(#REF!,"AAAAAC23/iY=")</f>
        <v>#REF!</v>
      </c>
      <c r="AN41" t="e">
        <f>AND(#REF!,"AAAAAC23/ic=")</f>
        <v>#REF!</v>
      </c>
      <c r="AO41" t="e">
        <f>AND(#REF!,"AAAAAC23/ig=")</f>
        <v>#REF!</v>
      </c>
      <c r="AP41" t="e">
        <f>AND(#REF!,"AAAAAC23/ik=")</f>
        <v>#REF!</v>
      </c>
      <c r="AQ41" t="e">
        <f>AND(#REF!,"AAAAAC23/io=")</f>
        <v>#REF!</v>
      </c>
      <c r="AR41" t="e">
        <f>AND(#REF!,"AAAAAC23/is=")</f>
        <v>#REF!</v>
      </c>
      <c r="AS41" t="e">
        <f>AND(#REF!,"AAAAAC23/iw=")</f>
        <v>#REF!</v>
      </c>
      <c r="AT41" t="e">
        <f>AND(#REF!,"AAAAAC23/i0=")</f>
        <v>#REF!</v>
      </c>
      <c r="AU41" t="e">
        <f>AND(#REF!,"AAAAAC23/i4=")</f>
        <v>#REF!</v>
      </c>
      <c r="AV41" t="e">
        <f>AND(#REF!,"AAAAAC23/i8=")</f>
        <v>#REF!</v>
      </c>
      <c r="AW41" t="e">
        <f>AND(#REF!,"AAAAAC23/jA=")</f>
        <v>#REF!</v>
      </c>
      <c r="AX41" t="e">
        <f>AND(#REF!,"AAAAAC23/jE=")</f>
        <v>#REF!</v>
      </c>
      <c r="AY41" t="e">
        <f>AND(#REF!,"AAAAAC23/jI=")</f>
        <v>#REF!</v>
      </c>
      <c r="AZ41" t="e">
        <f>AND(#REF!,"AAAAAC23/jM=")</f>
        <v>#REF!</v>
      </c>
      <c r="BA41" t="e">
        <f>AND(#REF!,"AAAAAC23/jQ=")</f>
        <v>#REF!</v>
      </c>
      <c r="BB41" t="e">
        <f>AND(#REF!,"AAAAAC23/jU=")</f>
        <v>#REF!</v>
      </c>
      <c r="BC41" t="e">
        <f>AND(#REF!,"AAAAAC23/jY=")</f>
        <v>#REF!</v>
      </c>
      <c r="BD41" t="e">
        <f>IF(#REF!,"AAAAAC23/jc=",0)</f>
        <v>#REF!</v>
      </c>
      <c r="BE41" t="e">
        <f>AND(#REF!,"AAAAAC23/jg=")</f>
        <v>#REF!</v>
      </c>
      <c r="BF41" t="e">
        <f>AND(#REF!,"AAAAAC23/jk=")</f>
        <v>#REF!</v>
      </c>
      <c r="BG41" t="e">
        <f>AND(#REF!,"AAAAAC23/jo=")</f>
        <v>#REF!</v>
      </c>
      <c r="BH41" t="e">
        <f>AND(#REF!,"AAAAAC23/js=")</f>
        <v>#REF!</v>
      </c>
      <c r="BI41" t="e">
        <f>AND(#REF!,"AAAAAC23/jw=")</f>
        <v>#REF!</v>
      </c>
      <c r="BJ41" t="e">
        <f>AND(#REF!,"AAAAAC23/j0=")</f>
        <v>#REF!</v>
      </c>
      <c r="BK41" t="e">
        <f>AND(#REF!,"AAAAAC23/j4=")</f>
        <v>#REF!</v>
      </c>
      <c r="BL41" t="e">
        <f>AND(#REF!,"AAAAAC23/j8=")</f>
        <v>#REF!</v>
      </c>
      <c r="BM41" t="e">
        <f>AND(#REF!,"AAAAAC23/kA=")</f>
        <v>#REF!</v>
      </c>
      <c r="BN41" t="e">
        <f>AND(#REF!,"AAAAAC23/kE=")</f>
        <v>#REF!</v>
      </c>
      <c r="BO41" t="e">
        <f>AND(#REF!,"AAAAAC23/kI=")</f>
        <v>#REF!</v>
      </c>
      <c r="BP41" t="e">
        <f>AND(#REF!,"AAAAAC23/kM=")</f>
        <v>#REF!</v>
      </c>
      <c r="BQ41" t="e">
        <f>AND(#REF!,"AAAAAC23/kQ=")</f>
        <v>#REF!</v>
      </c>
      <c r="BR41" t="e">
        <f>AND(#REF!,"AAAAAC23/kU=")</f>
        <v>#REF!</v>
      </c>
      <c r="BS41" t="e">
        <f>AND(#REF!,"AAAAAC23/kY=")</f>
        <v>#REF!</v>
      </c>
      <c r="BT41" t="e">
        <f>AND(#REF!,"AAAAAC23/kc=")</f>
        <v>#REF!</v>
      </c>
      <c r="BU41" t="e">
        <f>AND(#REF!,"AAAAAC23/kg=")</f>
        <v>#REF!</v>
      </c>
      <c r="BV41" t="e">
        <f>AND(#REF!,"AAAAAC23/kk=")</f>
        <v>#REF!</v>
      </c>
      <c r="BW41" t="e">
        <f>AND(#REF!,"AAAAAC23/ko=")</f>
        <v>#REF!</v>
      </c>
      <c r="BX41" t="e">
        <f>AND(#REF!,"AAAAAC23/ks=")</f>
        <v>#REF!</v>
      </c>
      <c r="BY41" t="e">
        <f>AND(#REF!,"AAAAAC23/kw=")</f>
        <v>#REF!</v>
      </c>
      <c r="BZ41" t="e">
        <f>AND(#REF!,"AAAAAC23/k0=")</f>
        <v>#REF!</v>
      </c>
      <c r="CA41" t="e">
        <f>AND(#REF!,"AAAAAC23/k4=")</f>
        <v>#REF!</v>
      </c>
      <c r="CB41" t="e">
        <f>AND(#REF!,"AAAAAC23/k8=")</f>
        <v>#REF!</v>
      </c>
      <c r="CC41" t="e">
        <f>AND(#REF!,"AAAAAC23/lA=")</f>
        <v>#REF!</v>
      </c>
      <c r="CD41" t="e">
        <f>AND(#REF!,"AAAAAC23/lE=")</f>
        <v>#REF!</v>
      </c>
      <c r="CE41" t="e">
        <f>AND(#REF!,"AAAAAC23/lI=")</f>
        <v>#REF!</v>
      </c>
      <c r="CF41" t="e">
        <f>AND(#REF!,"AAAAAC23/lM=")</f>
        <v>#REF!</v>
      </c>
      <c r="CG41" t="e">
        <f>AND(#REF!,"AAAAAC23/lQ=")</f>
        <v>#REF!</v>
      </c>
      <c r="CH41" t="e">
        <f>AND(#REF!,"AAAAAC23/lU=")</f>
        <v>#REF!</v>
      </c>
      <c r="CI41" t="e">
        <f>AND(#REF!,"AAAAAC23/lY=")</f>
        <v>#REF!</v>
      </c>
      <c r="CJ41" t="e">
        <f>AND(#REF!,"AAAAAC23/lc=")</f>
        <v>#REF!</v>
      </c>
      <c r="CK41" t="e">
        <f>AND(#REF!,"AAAAAC23/lg=")</f>
        <v>#REF!</v>
      </c>
      <c r="CL41" t="e">
        <f>AND(#REF!,"AAAAAC23/lk=")</f>
        <v>#REF!</v>
      </c>
      <c r="CM41" t="e">
        <f>AND(#REF!,"AAAAAC23/lo=")</f>
        <v>#REF!</v>
      </c>
      <c r="CN41" t="e">
        <f>AND(#REF!,"AAAAAC23/ls=")</f>
        <v>#REF!</v>
      </c>
      <c r="CO41" t="e">
        <f>AND(#REF!,"AAAAAC23/lw=")</f>
        <v>#REF!</v>
      </c>
      <c r="CP41" t="e">
        <f>AND(#REF!,"AAAAAC23/l0=")</f>
        <v>#REF!</v>
      </c>
      <c r="CQ41" t="e">
        <f>AND(#REF!,"AAAAAC23/l4=")</f>
        <v>#REF!</v>
      </c>
      <c r="CR41" t="e">
        <f>AND(#REF!,"AAAAAC23/l8=")</f>
        <v>#REF!</v>
      </c>
      <c r="CS41" t="e">
        <f>AND(#REF!,"AAAAAC23/mA=")</f>
        <v>#REF!</v>
      </c>
      <c r="CT41" t="e">
        <f>AND(#REF!,"AAAAAC23/mE=")</f>
        <v>#REF!</v>
      </c>
      <c r="CU41" t="e">
        <f>AND(#REF!,"AAAAAC23/mI=")</f>
        <v>#REF!</v>
      </c>
      <c r="CV41" t="e">
        <f>AND(#REF!,"AAAAAC23/mM=")</f>
        <v>#REF!</v>
      </c>
      <c r="CW41" t="e">
        <f>AND(#REF!,"AAAAAC23/mQ=")</f>
        <v>#REF!</v>
      </c>
      <c r="CX41" t="e">
        <f>AND(#REF!,"AAAAAC23/mU=")</f>
        <v>#REF!</v>
      </c>
      <c r="CY41" t="e">
        <f>AND(#REF!,"AAAAAC23/mY=")</f>
        <v>#REF!</v>
      </c>
      <c r="CZ41" t="e">
        <f>AND(#REF!,"AAAAAC23/mc=")</f>
        <v>#REF!</v>
      </c>
      <c r="DA41" t="e">
        <f>AND(#REF!,"AAAAAC23/mg=")</f>
        <v>#REF!</v>
      </c>
      <c r="DB41" t="e">
        <f>AND(#REF!,"AAAAAC23/mk=")</f>
        <v>#REF!</v>
      </c>
      <c r="DC41" t="e">
        <f>AND(#REF!,"AAAAAC23/mo=")</f>
        <v>#REF!</v>
      </c>
      <c r="DD41" t="e">
        <f>AND(#REF!,"AAAAAC23/ms=")</f>
        <v>#REF!</v>
      </c>
      <c r="DE41" t="e">
        <f>AND(#REF!,"AAAAAC23/mw=")</f>
        <v>#REF!</v>
      </c>
      <c r="DF41" t="e">
        <f>AND(#REF!,"AAAAAC23/m0=")</f>
        <v>#REF!</v>
      </c>
      <c r="DG41" t="e">
        <f>AND(#REF!,"AAAAAC23/m4=")</f>
        <v>#REF!</v>
      </c>
      <c r="DH41" t="e">
        <f>AND(#REF!,"AAAAAC23/m8=")</f>
        <v>#REF!</v>
      </c>
      <c r="DI41" t="e">
        <f>AND(#REF!,"AAAAAC23/nA=")</f>
        <v>#REF!</v>
      </c>
      <c r="DJ41" t="e">
        <f>AND(#REF!,"AAAAAC23/nE=")</f>
        <v>#REF!</v>
      </c>
      <c r="DK41" t="e">
        <f>AND(#REF!,"AAAAAC23/nI=")</f>
        <v>#REF!</v>
      </c>
      <c r="DL41" t="e">
        <f>AND(#REF!,"AAAAAC23/nM=")</f>
        <v>#REF!</v>
      </c>
      <c r="DM41" t="e">
        <f>AND(#REF!,"AAAAAC23/nQ=")</f>
        <v>#REF!</v>
      </c>
      <c r="DN41" t="e">
        <f>AND(#REF!,"AAAAAC23/nU=")</f>
        <v>#REF!</v>
      </c>
      <c r="DO41" t="e">
        <f>AND(#REF!,"AAAAAC23/nY=")</f>
        <v>#REF!</v>
      </c>
      <c r="DP41" t="e">
        <f>AND(#REF!,"AAAAAC23/nc=")</f>
        <v>#REF!</v>
      </c>
      <c r="DQ41" t="e">
        <f>AND(#REF!,"AAAAAC23/ng=")</f>
        <v>#REF!</v>
      </c>
      <c r="DR41" t="e">
        <f>AND(#REF!,"AAAAAC23/nk=")</f>
        <v>#REF!</v>
      </c>
      <c r="DS41" t="e">
        <f>AND(#REF!,"AAAAAC23/no=")</f>
        <v>#REF!</v>
      </c>
      <c r="DT41" t="e">
        <f>AND(#REF!,"AAAAAC23/ns=")</f>
        <v>#REF!</v>
      </c>
      <c r="DU41" t="e">
        <f>AND(#REF!,"AAAAAC23/nw=")</f>
        <v>#REF!</v>
      </c>
      <c r="DV41" t="e">
        <f>AND(#REF!,"AAAAAC23/n0=")</f>
        <v>#REF!</v>
      </c>
      <c r="DW41" t="e">
        <f>AND(#REF!,"AAAAAC23/n4=")</f>
        <v>#REF!</v>
      </c>
      <c r="DX41" t="e">
        <f>AND(#REF!,"AAAAAC23/n8=")</f>
        <v>#REF!</v>
      </c>
      <c r="DY41" t="e">
        <f>AND(#REF!,"AAAAAC23/oA=")</f>
        <v>#REF!</v>
      </c>
      <c r="DZ41" t="e">
        <f>AND(#REF!,"AAAAAC23/oE=")</f>
        <v>#REF!</v>
      </c>
      <c r="EA41" t="e">
        <f>AND(#REF!,"AAAAAC23/oI=")</f>
        <v>#REF!</v>
      </c>
      <c r="EB41" t="e">
        <f>AND(#REF!,"AAAAAC23/oM=")</f>
        <v>#REF!</v>
      </c>
      <c r="EC41" t="e">
        <f>AND(#REF!,"AAAAAC23/oQ=")</f>
        <v>#REF!</v>
      </c>
      <c r="ED41" t="e">
        <f>AND(#REF!,"AAAAAC23/oU=")</f>
        <v>#REF!</v>
      </c>
      <c r="EE41" t="e">
        <f>AND(#REF!,"AAAAAC23/oY=")</f>
        <v>#REF!</v>
      </c>
      <c r="EF41" t="e">
        <f>AND(#REF!,"AAAAAC23/oc=")</f>
        <v>#REF!</v>
      </c>
      <c r="EG41" t="e">
        <f>AND(#REF!,"AAAAAC23/og=")</f>
        <v>#REF!</v>
      </c>
      <c r="EH41" t="e">
        <f>AND(#REF!,"AAAAAC23/ok=")</f>
        <v>#REF!</v>
      </c>
      <c r="EI41" t="e">
        <f>AND(#REF!,"AAAAAC23/oo=")</f>
        <v>#REF!</v>
      </c>
      <c r="EJ41" t="e">
        <f>AND(#REF!,"AAAAAC23/os=")</f>
        <v>#REF!</v>
      </c>
      <c r="EK41" t="e">
        <f>AND(#REF!,"AAAAAC23/ow=")</f>
        <v>#REF!</v>
      </c>
      <c r="EL41" t="e">
        <f>AND(#REF!,"AAAAAC23/o0=")</f>
        <v>#REF!</v>
      </c>
      <c r="EM41" t="e">
        <f>AND(#REF!,"AAAAAC23/o4=")</f>
        <v>#REF!</v>
      </c>
      <c r="EN41" t="e">
        <f>AND(#REF!,"AAAAAC23/o8=")</f>
        <v>#REF!</v>
      </c>
      <c r="EO41" t="e">
        <f>AND(#REF!,"AAAAAC23/pA=")</f>
        <v>#REF!</v>
      </c>
      <c r="EP41" t="e">
        <f>AND(#REF!,"AAAAAC23/pE=")</f>
        <v>#REF!</v>
      </c>
      <c r="EQ41" t="e">
        <f>AND(#REF!,"AAAAAC23/pI=")</f>
        <v>#REF!</v>
      </c>
      <c r="ER41" t="e">
        <f>AND(#REF!,"AAAAAC23/pM=")</f>
        <v>#REF!</v>
      </c>
      <c r="ES41" t="e">
        <f>AND(#REF!,"AAAAAC23/pQ=")</f>
        <v>#REF!</v>
      </c>
      <c r="ET41" t="e">
        <f>AND(#REF!,"AAAAAC23/pU=")</f>
        <v>#REF!</v>
      </c>
      <c r="EU41" t="e">
        <f>AND(#REF!,"AAAAAC23/pY=")</f>
        <v>#REF!</v>
      </c>
      <c r="EV41" t="e">
        <f>AND(#REF!,"AAAAAC23/pc=")</f>
        <v>#REF!</v>
      </c>
      <c r="EW41" t="e">
        <f>AND(#REF!,"AAAAAC23/pg=")</f>
        <v>#REF!</v>
      </c>
      <c r="EX41" t="e">
        <f>AND(#REF!,"AAAAAC23/pk=")</f>
        <v>#REF!</v>
      </c>
      <c r="EY41" t="e">
        <f>AND(#REF!,"AAAAAC23/po=")</f>
        <v>#REF!</v>
      </c>
      <c r="EZ41" t="e">
        <f>AND(#REF!,"AAAAAC23/ps=")</f>
        <v>#REF!</v>
      </c>
      <c r="FA41" t="e">
        <f>AND(#REF!,"AAAAAC23/pw=")</f>
        <v>#REF!</v>
      </c>
      <c r="FB41" t="e">
        <f>AND(#REF!,"AAAAAC23/p0=")</f>
        <v>#REF!</v>
      </c>
      <c r="FC41" t="e">
        <f>AND(#REF!,"AAAAAC23/p4=")</f>
        <v>#REF!</v>
      </c>
      <c r="FD41" t="e">
        <f>AND(#REF!,"AAAAAC23/p8=")</f>
        <v>#REF!</v>
      </c>
      <c r="FE41" t="e">
        <f>IF(#REF!,"AAAAAC23/qA=",0)</f>
        <v>#REF!</v>
      </c>
      <c r="FF41" t="e">
        <f>AND(#REF!,"AAAAAC23/qE=")</f>
        <v>#REF!</v>
      </c>
      <c r="FG41" t="e">
        <f>AND(#REF!,"AAAAAC23/qI=")</f>
        <v>#REF!</v>
      </c>
      <c r="FH41" t="e">
        <f>AND(#REF!,"AAAAAC23/qM=")</f>
        <v>#REF!</v>
      </c>
      <c r="FI41" t="e">
        <f>AND(#REF!,"AAAAAC23/qQ=")</f>
        <v>#REF!</v>
      </c>
      <c r="FJ41" t="e">
        <f>AND(#REF!,"AAAAAC23/qU=")</f>
        <v>#REF!</v>
      </c>
      <c r="FK41" t="e">
        <f>AND(#REF!,"AAAAAC23/qY=")</f>
        <v>#REF!</v>
      </c>
      <c r="FL41" t="e">
        <f>AND(#REF!,"AAAAAC23/qc=")</f>
        <v>#REF!</v>
      </c>
      <c r="FM41" t="e">
        <f>AND(#REF!,"AAAAAC23/qg=")</f>
        <v>#REF!</v>
      </c>
      <c r="FN41" t="e">
        <f>AND(#REF!,"AAAAAC23/qk=")</f>
        <v>#REF!</v>
      </c>
      <c r="FO41" t="e">
        <f>AND(#REF!,"AAAAAC23/qo=")</f>
        <v>#REF!</v>
      </c>
      <c r="FP41" t="e">
        <f>AND(#REF!,"AAAAAC23/qs=")</f>
        <v>#REF!</v>
      </c>
      <c r="FQ41" t="e">
        <f>AND(#REF!,"AAAAAC23/qw=")</f>
        <v>#REF!</v>
      </c>
      <c r="FR41" t="e">
        <f>AND(#REF!,"AAAAAC23/q0=")</f>
        <v>#REF!</v>
      </c>
      <c r="FS41" t="e">
        <f>AND(#REF!,"AAAAAC23/q4=")</f>
        <v>#REF!</v>
      </c>
      <c r="FT41" t="e">
        <f>AND(#REF!,"AAAAAC23/q8=")</f>
        <v>#REF!</v>
      </c>
      <c r="FU41" t="e">
        <f>AND(#REF!,"AAAAAC23/rA=")</f>
        <v>#REF!</v>
      </c>
      <c r="FV41" t="e">
        <f>AND(#REF!,"AAAAAC23/rE=")</f>
        <v>#REF!</v>
      </c>
      <c r="FW41" t="e">
        <f>AND(#REF!,"AAAAAC23/rI=")</f>
        <v>#REF!</v>
      </c>
      <c r="FX41" t="e">
        <f>AND(#REF!,"AAAAAC23/rM=")</f>
        <v>#REF!</v>
      </c>
      <c r="FY41" t="e">
        <f>AND(#REF!,"AAAAAC23/rQ=")</f>
        <v>#REF!</v>
      </c>
      <c r="FZ41" t="e">
        <f>AND(#REF!,"AAAAAC23/rU=")</f>
        <v>#REF!</v>
      </c>
      <c r="GA41" t="e">
        <f>AND(#REF!,"AAAAAC23/rY=")</f>
        <v>#REF!</v>
      </c>
      <c r="GB41" t="e">
        <f>AND(#REF!,"AAAAAC23/rc=")</f>
        <v>#REF!</v>
      </c>
      <c r="GC41" t="e">
        <f>AND(#REF!,"AAAAAC23/rg=")</f>
        <v>#REF!</v>
      </c>
      <c r="GD41" t="e">
        <f>AND(#REF!,"AAAAAC23/rk=")</f>
        <v>#REF!</v>
      </c>
      <c r="GE41" t="e">
        <f>AND(#REF!,"AAAAAC23/ro=")</f>
        <v>#REF!</v>
      </c>
      <c r="GF41" t="e">
        <f>AND(#REF!,"AAAAAC23/rs=")</f>
        <v>#REF!</v>
      </c>
      <c r="GG41" t="e">
        <f>AND(#REF!,"AAAAAC23/rw=")</f>
        <v>#REF!</v>
      </c>
      <c r="GH41" t="e">
        <f>AND(#REF!,"AAAAAC23/r0=")</f>
        <v>#REF!</v>
      </c>
      <c r="GI41" t="e">
        <f>AND(#REF!,"AAAAAC23/r4=")</f>
        <v>#REF!</v>
      </c>
      <c r="GJ41" t="e">
        <f>AND(#REF!,"AAAAAC23/r8=")</f>
        <v>#REF!</v>
      </c>
      <c r="GK41" t="e">
        <f>AND(#REF!,"AAAAAC23/sA=")</f>
        <v>#REF!</v>
      </c>
      <c r="GL41" t="e">
        <f>AND(#REF!,"AAAAAC23/sE=")</f>
        <v>#REF!</v>
      </c>
      <c r="GM41" t="e">
        <f>AND(#REF!,"AAAAAC23/sI=")</f>
        <v>#REF!</v>
      </c>
      <c r="GN41" t="e">
        <f>AND(#REF!,"AAAAAC23/sM=")</f>
        <v>#REF!</v>
      </c>
      <c r="GO41" t="e">
        <f>AND(#REF!,"AAAAAC23/sQ=")</f>
        <v>#REF!</v>
      </c>
      <c r="GP41" t="e">
        <f>AND(#REF!,"AAAAAC23/sU=")</f>
        <v>#REF!</v>
      </c>
      <c r="GQ41" t="e">
        <f>AND(#REF!,"AAAAAC23/sY=")</f>
        <v>#REF!</v>
      </c>
      <c r="GR41" t="e">
        <f>AND(#REF!,"AAAAAC23/sc=")</f>
        <v>#REF!</v>
      </c>
      <c r="GS41" t="e">
        <f>AND(#REF!,"AAAAAC23/sg=")</f>
        <v>#REF!</v>
      </c>
      <c r="GT41" t="e">
        <f>AND(#REF!,"AAAAAC23/sk=")</f>
        <v>#REF!</v>
      </c>
      <c r="GU41" t="e">
        <f>AND(#REF!,"AAAAAC23/so=")</f>
        <v>#REF!</v>
      </c>
      <c r="GV41" t="e">
        <f>AND(#REF!,"AAAAAC23/ss=")</f>
        <v>#REF!</v>
      </c>
      <c r="GW41" t="e">
        <f>AND(#REF!,"AAAAAC23/sw=")</f>
        <v>#REF!</v>
      </c>
      <c r="GX41" t="e">
        <f>AND(#REF!,"AAAAAC23/s0=")</f>
        <v>#REF!</v>
      </c>
      <c r="GY41" t="e">
        <f>AND(#REF!,"AAAAAC23/s4=")</f>
        <v>#REF!</v>
      </c>
      <c r="GZ41" t="e">
        <f>AND(#REF!,"AAAAAC23/s8=")</f>
        <v>#REF!</v>
      </c>
      <c r="HA41" t="e">
        <f>AND(#REF!,"AAAAAC23/tA=")</f>
        <v>#REF!</v>
      </c>
      <c r="HB41" t="e">
        <f>AND(#REF!,"AAAAAC23/tE=")</f>
        <v>#REF!</v>
      </c>
      <c r="HC41" t="e">
        <f>AND(#REF!,"AAAAAC23/tI=")</f>
        <v>#REF!</v>
      </c>
      <c r="HD41" t="e">
        <f>AND(#REF!,"AAAAAC23/tM=")</f>
        <v>#REF!</v>
      </c>
      <c r="HE41" t="e">
        <f>AND(#REF!,"AAAAAC23/tQ=")</f>
        <v>#REF!</v>
      </c>
      <c r="HF41" t="e">
        <f>AND(#REF!,"AAAAAC23/tU=")</f>
        <v>#REF!</v>
      </c>
      <c r="HG41" t="e">
        <f>AND(#REF!,"AAAAAC23/tY=")</f>
        <v>#REF!</v>
      </c>
      <c r="HH41" t="e">
        <f>AND(#REF!,"AAAAAC23/tc=")</f>
        <v>#REF!</v>
      </c>
      <c r="HI41" t="e">
        <f>AND(#REF!,"AAAAAC23/tg=")</f>
        <v>#REF!</v>
      </c>
      <c r="HJ41" t="e">
        <f>AND(#REF!,"AAAAAC23/tk=")</f>
        <v>#REF!</v>
      </c>
      <c r="HK41" t="e">
        <f>AND(#REF!,"AAAAAC23/to=")</f>
        <v>#REF!</v>
      </c>
      <c r="HL41" t="e">
        <f>AND(#REF!,"AAAAAC23/ts=")</f>
        <v>#REF!</v>
      </c>
      <c r="HM41" t="e">
        <f>AND(#REF!,"AAAAAC23/tw=")</f>
        <v>#REF!</v>
      </c>
      <c r="HN41" t="e">
        <f>AND(#REF!,"AAAAAC23/t0=")</f>
        <v>#REF!</v>
      </c>
      <c r="HO41" t="e">
        <f>AND(#REF!,"AAAAAC23/t4=")</f>
        <v>#REF!</v>
      </c>
      <c r="HP41" t="e">
        <f>AND(#REF!,"AAAAAC23/t8=")</f>
        <v>#REF!</v>
      </c>
      <c r="HQ41" t="e">
        <f>AND(#REF!,"AAAAAC23/uA=")</f>
        <v>#REF!</v>
      </c>
      <c r="HR41" t="e">
        <f>AND(#REF!,"AAAAAC23/uE=")</f>
        <v>#REF!</v>
      </c>
      <c r="HS41" t="e">
        <f>AND(#REF!,"AAAAAC23/uI=")</f>
        <v>#REF!</v>
      </c>
      <c r="HT41" t="e">
        <f>AND(#REF!,"AAAAAC23/uM=")</f>
        <v>#REF!</v>
      </c>
      <c r="HU41" t="e">
        <f>AND(#REF!,"AAAAAC23/uQ=")</f>
        <v>#REF!</v>
      </c>
      <c r="HV41" t="e">
        <f>AND(#REF!,"AAAAAC23/uU=")</f>
        <v>#REF!</v>
      </c>
      <c r="HW41" t="e">
        <f>AND(#REF!,"AAAAAC23/uY=")</f>
        <v>#REF!</v>
      </c>
      <c r="HX41" t="e">
        <f>AND(#REF!,"AAAAAC23/uc=")</f>
        <v>#REF!</v>
      </c>
      <c r="HY41" t="e">
        <f>AND(#REF!,"AAAAAC23/ug=")</f>
        <v>#REF!</v>
      </c>
      <c r="HZ41" t="e">
        <f>AND(#REF!,"AAAAAC23/uk=")</f>
        <v>#REF!</v>
      </c>
      <c r="IA41" t="e">
        <f>AND(#REF!,"AAAAAC23/uo=")</f>
        <v>#REF!</v>
      </c>
      <c r="IB41" t="e">
        <f>AND(#REF!,"AAAAAC23/us=")</f>
        <v>#REF!</v>
      </c>
      <c r="IC41" t="e">
        <f>AND(#REF!,"AAAAAC23/uw=")</f>
        <v>#REF!</v>
      </c>
      <c r="ID41" t="e">
        <f>AND(#REF!,"AAAAAC23/u0=")</f>
        <v>#REF!</v>
      </c>
      <c r="IE41" t="e">
        <f>AND(#REF!,"AAAAAC23/u4=")</f>
        <v>#REF!</v>
      </c>
      <c r="IF41" t="e">
        <f>AND(#REF!,"AAAAAC23/u8=")</f>
        <v>#REF!</v>
      </c>
      <c r="IG41" t="e">
        <f>AND(#REF!,"AAAAAC23/vA=")</f>
        <v>#REF!</v>
      </c>
      <c r="IH41" t="e">
        <f>AND(#REF!,"AAAAAC23/vE=")</f>
        <v>#REF!</v>
      </c>
      <c r="II41" t="e">
        <f>AND(#REF!,"AAAAAC23/vI=")</f>
        <v>#REF!</v>
      </c>
      <c r="IJ41" t="e">
        <f>AND(#REF!,"AAAAAC23/vM=")</f>
        <v>#REF!</v>
      </c>
      <c r="IK41" t="e">
        <f>AND(#REF!,"AAAAAC23/vQ=")</f>
        <v>#REF!</v>
      </c>
      <c r="IL41" t="e">
        <f>AND(#REF!,"AAAAAC23/vU=")</f>
        <v>#REF!</v>
      </c>
      <c r="IM41" t="e">
        <f>AND(#REF!,"AAAAAC23/vY=")</f>
        <v>#REF!</v>
      </c>
      <c r="IN41" t="e">
        <f>AND(#REF!,"AAAAAC23/vc=")</f>
        <v>#REF!</v>
      </c>
      <c r="IO41" t="e">
        <f>AND(#REF!,"AAAAAC23/vg=")</f>
        <v>#REF!</v>
      </c>
      <c r="IP41" t="e">
        <f>AND(#REF!,"AAAAAC23/vk=")</f>
        <v>#REF!</v>
      </c>
      <c r="IQ41" t="e">
        <f>AND(#REF!,"AAAAAC23/vo=")</f>
        <v>#REF!</v>
      </c>
      <c r="IR41" t="e">
        <f>AND(#REF!,"AAAAAC23/vs=")</f>
        <v>#REF!</v>
      </c>
      <c r="IS41" t="e">
        <f>AND(#REF!,"AAAAAC23/vw=")</f>
        <v>#REF!</v>
      </c>
      <c r="IT41" t="e">
        <f>AND(#REF!,"AAAAAC23/v0=")</f>
        <v>#REF!</v>
      </c>
      <c r="IU41" t="e">
        <f>AND(#REF!,"AAAAAC23/v4=")</f>
        <v>#REF!</v>
      </c>
      <c r="IV41" t="e">
        <f>AND(#REF!,"AAAAAC23/v8=")</f>
        <v>#REF!</v>
      </c>
    </row>
    <row r="42" spans="1:256" x14ac:dyDescent="0.25">
      <c r="A42" t="e">
        <f>AND(#REF!,"AAAAAHJ+9wA=")</f>
        <v>#REF!</v>
      </c>
      <c r="B42" t="e">
        <f>AND(#REF!,"AAAAAHJ+9wE=")</f>
        <v>#REF!</v>
      </c>
      <c r="C42" t="e">
        <f>AND(#REF!,"AAAAAHJ+9wI=")</f>
        <v>#REF!</v>
      </c>
      <c r="D42" t="e">
        <f>AND(#REF!,"AAAAAHJ+9wM=")</f>
        <v>#REF!</v>
      </c>
      <c r="E42" t="e">
        <f>AND(#REF!,"AAAAAHJ+9wQ=")</f>
        <v>#REF!</v>
      </c>
      <c r="F42" t="e">
        <f>AND(#REF!,"AAAAAHJ+9wU=")</f>
        <v>#REF!</v>
      </c>
      <c r="G42" t="e">
        <f>AND(#REF!,"AAAAAHJ+9wY=")</f>
        <v>#REF!</v>
      </c>
      <c r="H42" t="e">
        <f>AND(#REF!,"AAAAAHJ+9wc=")</f>
        <v>#REF!</v>
      </c>
      <c r="I42" t="e">
        <f>AND(#REF!,"AAAAAHJ+9wg=")</f>
        <v>#REF!</v>
      </c>
      <c r="J42" t="e">
        <f>IF(#REF!,"AAAAAHJ+9wk=",0)</f>
        <v>#REF!</v>
      </c>
      <c r="K42" t="e">
        <f>AND(#REF!,"AAAAAHJ+9wo=")</f>
        <v>#REF!</v>
      </c>
      <c r="L42" t="e">
        <f>AND(#REF!,"AAAAAHJ+9ws=")</f>
        <v>#REF!</v>
      </c>
      <c r="M42" t="e">
        <f>AND(#REF!,"AAAAAHJ+9ww=")</f>
        <v>#REF!</v>
      </c>
      <c r="N42" t="e">
        <f>AND(#REF!,"AAAAAHJ+9w0=")</f>
        <v>#REF!</v>
      </c>
      <c r="O42" t="e">
        <f>AND(#REF!,"AAAAAHJ+9w4=")</f>
        <v>#REF!</v>
      </c>
      <c r="P42" t="e">
        <f>AND(#REF!,"AAAAAHJ+9w8=")</f>
        <v>#REF!</v>
      </c>
      <c r="Q42" t="e">
        <f>AND(#REF!,"AAAAAHJ+9xA=")</f>
        <v>#REF!</v>
      </c>
      <c r="R42" t="e">
        <f>AND(#REF!,"AAAAAHJ+9xE=")</f>
        <v>#REF!</v>
      </c>
      <c r="S42" t="e">
        <f>AND(#REF!,"AAAAAHJ+9xI=")</f>
        <v>#REF!</v>
      </c>
      <c r="T42" t="e">
        <f>AND(#REF!,"AAAAAHJ+9xM=")</f>
        <v>#REF!</v>
      </c>
      <c r="U42" t="e">
        <f>AND(#REF!,"AAAAAHJ+9xQ=")</f>
        <v>#REF!</v>
      </c>
      <c r="V42" t="e">
        <f>AND(#REF!,"AAAAAHJ+9xU=")</f>
        <v>#REF!</v>
      </c>
      <c r="W42" t="e">
        <f>AND(#REF!,"AAAAAHJ+9xY=")</f>
        <v>#REF!</v>
      </c>
      <c r="X42" t="e">
        <f>AND(#REF!,"AAAAAHJ+9xc=")</f>
        <v>#REF!</v>
      </c>
      <c r="Y42" t="e">
        <f>AND(#REF!,"AAAAAHJ+9xg=")</f>
        <v>#REF!</v>
      </c>
      <c r="Z42" t="e">
        <f>AND(#REF!,"AAAAAHJ+9xk=")</f>
        <v>#REF!</v>
      </c>
      <c r="AA42" t="e">
        <f>AND(#REF!,"AAAAAHJ+9xo=")</f>
        <v>#REF!</v>
      </c>
      <c r="AB42" t="e">
        <f>AND(#REF!,"AAAAAHJ+9xs=")</f>
        <v>#REF!</v>
      </c>
      <c r="AC42" t="e">
        <f>AND(#REF!,"AAAAAHJ+9xw=")</f>
        <v>#REF!</v>
      </c>
      <c r="AD42" t="e">
        <f>AND(#REF!,"AAAAAHJ+9x0=")</f>
        <v>#REF!</v>
      </c>
      <c r="AE42" t="e">
        <f>AND(#REF!,"AAAAAHJ+9x4=")</f>
        <v>#REF!</v>
      </c>
      <c r="AF42" t="e">
        <f>AND(#REF!,"AAAAAHJ+9x8=")</f>
        <v>#REF!</v>
      </c>
      <c r="AG42" t="e">
        <f>AND(#REF!,"AAAAAHJ+9yA=")</f>
        <v>#REF!</v>
      </c>
      <c r="AH42" t="e">
        <f>AND(#REF!,"AAAAAHJ+9yE=")</f>
        <v>#REF!</v>
      </c>
      <c r="AI42" t="e">
        <f>AND(#REF!,"AAAAAHJ+9yI=")</f>
        <v>#REF!</v>
      </c>
      <c r="AJ42" t="e">
        <f>AND(#REF!,"AAAAAHJ+9yM=")</f>
        <v>#REF!</v>
      </c>
      <c r="AK42" t="e">
        <f>AND(#REF!,"AAAAAHJ+9yQ=")</f>
        <v>#REF!</v>
      </c>
      <c r="AL42" t="e">
        <f>AND(#REF!,"AAAAAHJ+9yU=")</f>
        <v>#REF!</v>
      </c>
      <c r="AM42" t="e">
        <f>AND(#REF!,"AAAAAHJ+9yY=")</f>
        <v>#REF!</v>
      </c>
      <c r="AN42" t="e">
        <f>AND(#REF!,"AAAAAHJ+9yc=")</f>
        <v>#REF!</v>
      </c>
      <c r="AO42" t="e">
        <f>AND(#REF!,"AAAAAHJ+9yg=")</f>
        <v>#REF!</v>
      </c>
      <c r="AP42" t="e">
        <f>AND(#REF!,"AAAAAHJ+9yk=")</f>
        <v>#REF!</v>
      </c>
      <c r="AQ42" t="e">
        <f>AND(#REF!,"AAAAAHJ+9yo=")</f>
        <v>#REF!</v>
      </c>
      <c r="AR42" t="e">
        <f>AND(#REF!,"AAAAAHJ+9ys=")</f>
        <v>#REF!</v>
      </c>
      <c r="AS42" t="e">
        <f>AND(#REF!,"AAAAAHJ+9yw=")</f>
        <v>#REF!</v>
      </c>
      <c r="AT42" t="e">
        <f>AND(#REF!,"AAAAAHJ+9y0=")</f>
        <v>#REF!</v>
      </c>
      <c r="AU42" t="e">
        <f>AND(#REF!,"AAAAAHJ+9y4=")</f>
        <v>#REF!</v>
      </c>
      <c r="AV42" t="e">
        <f>AND(#REF!,"AAAAAHJ+9y8=")</f>
        <v>#REF!</v>
      </c>
      <c r="AW42" t="e">
        <f>AND(#REF!,"AAAAAHJ+9zA=")</f>
        <v>#REF!</v>
      </c>
      <c r="AX42" t="e">
        <f>AND(#REF!,"AAAAAHJ+9zE=")</f>
        <v>#REF!</v>
      </c>
      <c r="AY42" t="e">
        <f>AND(#REF!,"AAAAAHJ+9zI=")</f>
        <v>#REF!</v>
      </c>
      <c r="AZ42" t="e">
        <f>AND(#REF!,"AAAAAHJ+9zM=")</f>
        <v>#REF!</v>
      </c>
      <c r="BA42" t="e">
        <f>AND(#REF!,"AAAAAHJ+9zQ=")</f>
        <v>#REF!</v>
      </c>
      <c r="BB42" t="e">
        <f>AND(#REF!,"AAAAAHJ+9zU=")</f>
        <v>#REF!</v>
      </c>
      <c r="BC42" t="e">
        <f>AND(#REF!,"AAAAAHJ+9zY=")</f>
        <v>#REF!</v>
      </c>
      <c r="BD42" t="e">
        <f>AND(#REF!,"AAAAAHJ+9zc=")</f>
        <v>#REF!</v>
      </c>
      <c r="BE42" t="e">
        <f>AND(#REF!,"AAAAAHJ+9zg=")</f>
        <v>#REF!</v>
      </c>
      <c r="BF42" t="e">
        <f>AND(#REF!,"AAAAAHJ+9zk=")</f>
        <v>#REF!</v>
      </c>
      <c r="BG42" t="e">
        <f>AND(#REF!,"AAAAAHJ+9zo=")</f>
        <v>#REF!</v>
      </c>
      <c r="BH42" t="e">
        <f>AND(#REF!,"AAAAAHJ+9zs=")</f>
        <v>#REF!</v>
      </c>
      <c r="BI42" t="e">
        <f>AND(#REF!,"AAAAAHJ+9zw=")</f>
        <v>#REF!</v>
      </c>
      <c r="BJ42" t="e">
        <f>AND(#REF!,"AAAAAHJ+9z0=")</f>
        <v>#REF!</v>
      </c>
      <c r="BK42" t="e">
        <f>AND(#REF!,"AAAAAHJ+9z4=")</f>
        <v>#REF!</v>
      </c>
      <c r="BL42" t="e">
        <f>AND(#REF!,"AAAAAHJ+9z8=")</f>
        <v>#REF!</v>
      </c>
      <c r="BM42" t="e">
        <f>AND(#REF!,"AAAAAHJ+90A=")</f>
        <v>#REF!</v>
      </c>
      <c r="BN42" t="e">
        <f>AND(#REF!,"AAAAAHJ+90E=")</f>
        <v>#REF!</v>
      </c>
      <c r="BO42" t="e">
        <f>AND(#REF!,"AAAAAHJ+90I=")</f>
        <v>#REF!</v>
      </c>
      <c r="BP42" t="e">
        <f>AND(#REF!,"AAAAAHJ+90M=")</f>
        <v>#REF!</v>
      </c>
      <c r="BQ42" t="e">
        <f>AND(#REF!,"AAAAAHJ+90Q=")</f>
        <v>#REF!</v>
      </c>
      <c r="BR42" t="e">
        <f>AND(#REF!,"AAAAAHJ+90U=")</f>
        <v>#REF!</v>
      </c>
      <c r="BS42" t="e">
        <f>AND(#REF!,"AAAAAHJ+90Y=")</f>
        <v>#REF!</v>
      </c>
      <c r="BT42" t="e">
        <f>AND(#REF!,"AAAAAHJ+90c=")</f>
        <v>#REF!</v>
      </c>
      <c r="BU42" t="e">
        <f>AND(#REF!,"AAAAAHJ+90g=")</f>
        <v>#REF!</v>
      </c>
      <c r="BV42" t="e">
        <f>AND(#REF!,"AAAAAHJ+90k=")</f>
        <v>#REF!</v>
      </c>
      <c r="BW42" t="e">
        <f>AND(#REF!,"AAAAAHJ+90o=")</f>
        <v>#REF!</v>
      </c>
      <c r="BX42" t="e">
        <f>AND(#REF!,"AAAAAHJ+90s=")</f>
        <v>#REF!</v>
      </c>
      <c r="BY42" t="e">
        <f>AND(#REF!,"AAAAAHJ+90w=")</f>
        <v>#REF!</v>
      </c>
      <c r="BZ42" t="e">
        <f>AND(#REF!,"AAAAAHJ+900=")</f>
        <v>#REF!</v>
      </c>
      <c r="CA42" t="e">
        <f>AND(#REF!,"AAAAAHJ+904=")</f>
        <v>#REF!</v>
      </c>
      <c r="CB42" t="e">
        <f>AND(#REF!,"AAAAAHJ+908=")</f>
        <v>#REF!</v>
      </c>
      <c r="CC42" t="e">
        <f>AND(#REF!,"AAAAAHJ+91A=")</f>
        <v>#REF!</v>
      </c>
      <c r="CD42" t="e">
        <f>AND(#REF!,"AAAAAHJ+91E=")</f>
        <v>#REF!</v>
      </c>
      <c r="CE42" t="e">
        <f>AND(#REF!,"AAAAAHJ+91I=")</f>
        <v>#REF!</v>
      </c>
      <c r="CF42" t="e">
        <f>AND(#REF!,"AAAAAHJ+91M=")</f>
        <v>#REF!</v>
      </c>
      <c r="CG42" t="e">
        <f>AND(#REF!,"AAAAAHJ+91Q=")</f>
        <v>#REF!</v>
      </c>
      <c r="CH42" t="e">
        <f>AND(#REF!,"AAAAAHJ+91U=")</f>
        <v>#REF!</v>
      </c>
      <c r="CI42" t="e">
        <f>AND(#REF!,"AAAAAHJ+91Y=")</f>
        <v>#REF!</v>
      </c>
      <c r="CJ42" t="e">
        <f>AND(#REF!,"AAAAAHJ+91c=")</f>
        <v>#REF!</v>
      </c>
      <c r="CK42" t="e">
        <f>AND(#REF!,"AAAAAHJ+91g=")</f>
        <v>#REF!</v>
      </c>
      <c r="CL42" t="e">
        <f>AND(#REF!,"AAAAAHJ+91k=")</f>
        <v>#REF!</v>
      </c>
      <c r="CM42" t="e">
        <f>AND(#REF!,"AAAAAHJ+91o=")</f>
        <v>#REF!</v>
      </c>
      <c r="CN42" t="e">
        <f>AND(#REF!,"AAAAAHJ+91s=")</f>
        <v>#REF!</v>
      </c>
      <c r="CO42" t="e">
        <f>AND(#REF!,"AAAAAHJ+91w=")</f>
        <v>#REF!</v>
      </c>
      <c r="CP42" t="e">
        <f>AND(#REF!,"AAAAAHJ+910=")</f>
        <v>#REF!</v>
      </c>
      <c r="CQ42" t="e">
        <f>AND(#REF!,"AAAAAHJ+914=")</f>
        <v>#REF!</v>
      </c>
      <c r="CR42" t="e">
        <f>AND(#REF!,"AAAAAHJ+918=")</f>
        <v>#REF!</v>
      </c>
      <c r="CS42" t="e">
        <f>AND(#REF!,"AAAAAHJ+92A=")</f>
        <v>#REF!</v>
      </c>
      <c r="CT42" t="e">
        <f>AND(#REF!,"AAAAAHJ+92E=")</f>
        <v>#REF!</v>
      </c>
      <c r="CU42" t="e">
        <f>AND(#REF!,"AAAAAHJ+92I=")</f>
        <v>#REF!</v>
      </c>
      <c r="CV42" t="e">
        <f>AND(#REF!,"AAAAAHJ+92M=")</f>
        <v>#REF!</v>
      </c>
      <c r="CW42" t="e">
        <f>AND(#REF!,"AAAAAHJ+92Q=")</f>
        <v>#REF!</v>
      </c>
      <c r="CX42" t="e">
        <f>AND(#REF!,"AAAAAHJ+92U=")</f>
        <v>#REF!</v>
      </c>
      <c r="CY42" t="e">
        <f>AND(#REF!,"AAAAAHJ+92Y=")</f>
        <v>#REF!</v>
      </c>
      <c r="CZ42" t="e">
        <f>AND(#REF!,"AAAAAHJ+92c=")</f>
        <v>#REF!</v>
      </c>
      <c r="DA42" t="e">
        <f>AND(#REF!,"AAAAAHJ+92g=")</f>
        <v>#REF!</v>
      </c>
      <c r="DB42" t="e">
        <f>AND(#REF!,"AAAAAHJ+92k=")</f>
        <v>#REF!</v>
      </c>
      <c r="DC42" t="e">
        <f>AND(#REF!,"AAAAAHJ+92o=")</f>
        <v>#REF!</v>
      </c>
      <c r="DD42" t="e">
        <f>AND(#REF!,"AAAAAHJ+92s=")</f>
        <v>#REF!</v>
      </c>
      <c r="DE42" t="e">
        <f>AND(#REF!,"AAAAAHJ+92w=")</f>
        <v>#REF!</v>
      </c>
      <c r="DF42" t="e">
        <f>AND(#REF!,"AAAAAHJ+920=")</f>
        <v>#REF!</v>
      </c>
      <c r="DG42" t="e">
        <f>AND(#REF!,"AAAAAHJ+924=")</f>
        <v>#REF!</v>
      </c>
      <c r="DH42" t="e">
        <f>AND(#REF!,"AAAAAHJ+928=")</f>
        <v>#REF!</v>
      </c>
      <c r="DI42" t="e">
        <f>AND(#REF!,"AAAAAHJ+93A=")</f>
        <v>#REF!</v>
      </c>
      <c r="DJ42" t="e">
        <f>AND(#REF!,"AAAAAHJ+93E=")</f>
        <v>#REF!</v>
      </c>
      <c r="DK42" t="e">
        <f>IF(#REF!,"AAAAAHJ+93I=",0)</f>
        <v>#REF!</v>
      </c>
      <c r="DL42" t="e">
        <f>AND(#REF!,"AAAAAHJ+93M=")</f>
        <v>#REF!</v>
      </c>
      <c r="DM42" t="e">
        <f>AND(#REF!,"AAAAAHJ+93Q=")</f>
        <v>#REF!</v>
      </c>
      <c r="DN42" t="e">
        <f>AND(#REF!,"AAAAAHJ+93U=")</f>
        <v>#REF!</v>
      </c>
      <c r="DO42" t="e">
        <f>AND(#REF!,"AAAAAHJ+93Y=")</f>
        <v>#REF!</v>
      </c>
      <c r="DP42" t="e">
        <f>AND(#REF!,"AAAAAHJ+93c=")</f>
        <v>#REF!</v>
      </c>
      <c r="DQ42" t="e">
        <f>AND(#REF!,"AAAAAHJ+93g=")</f>
        <v>#REF!</v>
      </c>
      <c r="DR42" t="e">
        <f>AND(#REF!,"AAAAAHJ+93k=")</f>
        <v>#REF!</v>
      </c>
      <c r="DS42" t="e">
        <f>AND(#REF!,"AAAAAHJ+93o=")</f>
        <v>#REF!</v>
      </c>
      <c r="DT42" t="e">
        <f>AND(#REF!,"AAAAAHJ+93s=")</f>
        <v>#REF!</v>
      </c>
      <c r="DU42" t="e">
        <f>AND(#REF!,"AAAAAHJ+93w=")</f>
        <v>#REF!</v>
      </c>
      <c r="DV42" t="e">
        <f>AND(#REF!,"AAAAAHJ+930=")</f>
        <v>#REF!</v>
      </c>
      <c r="DW42" t="e">
        <f>AND(#REF!,"AAAAAHJ+934=")</f>
        <v>#REF!</v>
      </c>
      <c r="DX42" t="e">
        <f>AND(#REF!,"AAAAAHJ+938=")</f>
        <v>#REF!</v>
      </c>
      <c r="DY42" t="e">
        <f>AND(#REF!,"AAAAAHJ+94A=")</f>
        <v>#REF!</v>
      </c>
      <c r="DZ42" t="e">
        <f>AND(#REF!,"AAAAAHJ+94E=")</f>
        <v>#REF!</v>
      </c>
      <c r="EA42" t="e">
        <f>AND(#REF!,"AAAAAHJ+94I=")</f>
        <v>#REF!</v>
      </c>
      <c r="EB42" t="e">
        <f>AND(#REF!,"AAAAAHJ+94M=")</f>
        <v>#REF!</v>
      </c>
      <c r="EC42" t="e">
        <f>AND(#REF!,"AAAAAHJ+94Q=")</f>
        <v>#REF!</v>
      </c>
      <c r="ED42" t="e">
        <f>AND(#REF!,"AAAAAHJ+94U=")</f>
        <v>#REF!</v>
      </c>
      <c r="EE42" t="e">
        <f>AND(#REF!,"AAAAAHJ+94Y=")</f>
        <v>#REF!</v>
      </c>
      <c r="EF42" t="e">
        <f>AND(#REF!,"AAAAAHJ+94c=")</f>
        <v>#REF!</v>
      </c>
      <c r="EG42" t="e">
        <f>AND(#REF!,"AAAAAHJ+94g=")</f>
        <v>#REF!</v>
      </c>
      <c r="EH42" t="e">
        <f>AND(#REF!,"AAAAAHJ+94k=")</f>
        <v>#REF!</v>
      </c>
      <c r="EI42" t="e">
        <f>AND(#REF!,"AAAAAHJ+94o=")</f>
        <v>#REF!</v>
      </c>
      <c r="EJ42" t="e">
        <f>AND(#REF!,"AAAAAHJ+94s=")</f>
        <v>#REF!</v>
      </c>
      <c r="EK42" t="e">
        <f>AND(#REF!,"AAAAAHJ+94w=")</f>
        <v>#REF!</v>
      </c>
      <c r="EL42" t="e">
        <f>AND(#REF!,"AAAAAHJ+940=")</f>
        <v>#REF!</v>
      </c>
      <c r="EM42" t="e">
        <f>AND(#REF!,"AAAAAHJ+944=")</f>
        <v>#REF!</v>
      </c>
      <c r="EN42" t="e">
        <f>AND(#REF!,"AAAAAHJ+948=")</f>
        <v>#REF!</v>
      </c>
      <c r="EO42" t="e">
        <f>AND(#REF!,"AAAAAHJ+95A=")</f>
        <v>#REF!</v>
      </c>
      <c r="EP42" t="e">
        <f>AND(#REF!,"AAAAAHJ+95E=")</f>
        <v>#REF!</v>
      </c>
      <c r="EQ42" t="e">
        <f>AND(#REF!,"AAAAAHJ+95I=")</f>
        <v>#REF!</v>
      </c>
      <c r="ER42" t="e">
        <f>AND(#REF!,"AAAAAHJ+95M=")</f>
        <v>#REF!</v>
      </c>
      <c r="ES42" t="e">
        <f>AND(#REF!,"AAAAAHJ+95Q=")</f>
        <v>#REF!</v>
      </c>
      <c r="ET42" t="e">
        <f>AND(#REF!,"AAAAAHJ+95U=")</f>
        <v>#REF!</v>
      </c>
      <c r="EU42" t="e">
        <f>AND(#REF!,"AAAAAHJ+95Y=")</f>
        <v>#REF!</v>
      </c>
      <c r="EV42" t="e">
        <f>AND(#REF!,"AAAAAHJ+95c=")</f>
        <v>#REF!</v>
      </c>
      <c r="EW42" t="e">
        <f>AND(#REF!,"AAAAAHJ+95g=")</f>
        <v>#REF!</v>
      </c>
      <c r="EX42" t="e">
        <f>AND(#REF!,"AAAAAHJ+95k=")</f>
        <v>#REF!</v>
      </c>
      <c r="EY42" t="e">
        <f>AND(#REF!,"AAAAAHJ+95o=")</f>
        <v>#REF!</v>
      </c>
      <c r="EZ42" t="e">
        <f>AND(#REF!,"AAAAAHJ+95s=")</f>
        <v>#REF!</v>
      </c>
      <c r="FA42" t="e">
        <f>AND(#REF!,"AAAAAHJ+95w=")</f>
        <v>#REF!</v>
      </c>
      <c r="FB42" t="e">
        <f>AND(#REF!,"AAAAAHJ+950=")</f>
        <v>#REF!</v>
      </c>
      <c r="FC42" t="e">
        <f>AND(#REF!,"AAAAAHJ+954=")</f>
        <v>#REF!</v>
      </c>
      <c r="FD42" t="e">
        <f>AND(#REF!,"AAAAAHJ+958=")</f>
        <v>#REF!</v>
      </c>
      <c r="FE42" t="e">
        <f>AND(#REF!,"AAAAAHJ+96A=")</f>
        <v>#REF!</v>
      </c>
      <c r="FF42" t="e">
        <f>AND(#REF!,"AAAAAHJ+96E=")</f>
        <v>#REF!</v>
      </c>
      <c r="FG42" t="e">
        <f>AND(#REF!,"AAAAAHJ+96I=")</f>
        <v>#REF!</v>
      </c>
      <c r="FH42" t="e">
        <f>AND(#REF!,"AAAAAHJ+96M=")</f>
        <v>#REF!</v>
      </c>
      <c r="FI42" t="e">
        <f>AND(#REF!,"AAAAAHJ+96Q=")</f>
        <v>#REF!</v>
      </c>
      <c r="FJ42" t="e">
        <f>AND(#REF!,"AAAAAHJ+96U=")</f>
        <v>#REF!</v>
      </c>
      <c r="FK42" t="e">
        <f>AND(#REF!,"AAAAAHJ+96Y=")</f>
        <v>#REF!</v>
      </c>
      <c r="FL42" t="e">
        <f>AND(#REF!,"AAAAAHJ+96c=")</f>
        <v>#REF!</v>
      </c>
      <c r="FM42" t="e">
        <f>AND(#REF!,"AAAAAHJ+96g=")</f>
        <v>#REF!</v>
      </c>
      <c r="FN42" t="e">
        <f>AND(#REF!,"AAAAAHJ+96k=")</f>
        <v>#REF!</v>
      </c>
      <c r="FO42" t="e">
        <f>AND(#REF!,"AAAAAHJ+96o=")</f>
        <v>#REF!</v>
      </c>
      <c r="FP42" t="e">
        <f>AND(#REF!,"AAAAAHJ+96s=")</f>
        <v>#REF!</v>
      </c>
      <c r="FQ42" t="e">
        <f>AND(#REF!,"AAAAAHJ+96w=")</f>
        <v>#REF!</v>
      </c>
      <c r="FR42" t="e">
        <f>AND(#REF!,"AAAAAHJ+960=")</f>
        <v>#REF!</v>
      </c>
      <c r="FS42" t="e">
        <f>AND(#REF!,"AAAAAHJ+964=")</f>
        <v>#REF!</v>
      </c>
      <c r="FT42" t="e">
        <f>AND(#REF!,"AAAAAHJ+968=")</f>
        <v>#REF!</v>
      </c>
      <c r="FU42" t="e">
        <f>AND(#REF!,"AAAAAHJ+97A=")</f>
        <v>#REF!</v>
      </c>
      <c r="FV42" t="e">
        <f>AND(#REF!,"AAAAAHJ+97E=")</f>
        <v>#REF!</v>
      </c>
      <c r="FW42" t="e">
        <f>AND(#REF!,"AAAAAHJ+97I=")</f>
        <v>#REF!</v>
      </c>
      <c r="FX42" t="e">
        <f>AND(#REF!,"AAAAAHJ+97M=")</f>
        <v>#REF!</v>
      </c>
      <c r="FY42" t="e">
        <f>AND(#REF!,"AAAAAHJ+97Q=")</f>
        <v>#REF!</v>
      </c>
      <c r="FZ42" t="e">
        <f>AND(#REF!,"AAAAAHJ+97U=")</f>
        <v>#REF!</v>
      </c>
      <c r="GA42" t="e">
        <f>AND(#REF!,"AAAAAHJ+97Y=")</f>
        <v>#REF!</v>
      </c>
      <c r="GB42" t="e">
        <f>AND(#REF!,"AAAAAHJ+97c=")</f>
        <v>#REF!</v>
      </c>
      <c r="GC42" t="e">
        <f>AND(#REF!,"AAAAAHJ+97g=")</f>
        <v>#REF!</v>
      </c>
      <c r="GD42" t="e">
        <f>AND(#REF!,"AAAAAHJ+97k=")</f>
        <v>#REF!</v>
      </c>
      <c r="GE42" t="e">
        <f>AND(#REF!,"AAAAAHJ+97o=")</f>
        <v>#REF!</v>
      </c>
      <c r="GF42" t="e">
        <f>AND(#REF!,"AAAAAHJ+97s=")</f>
        <v>#REF!</v>
      </c>
      <c r="GG42" t="e">
        <f>AND(#REF!,"AAAAAHJ+97w=")</f>
        <v>#REF!</v>
      </c>
      <c r="GH42" t="e">
        <f>AND(#REF!,"AAAAAHJ+970=")</f>
        <v>#REF!</v>
      </c>
      <c r="GI42" t="e">
        <f>AND(#REF!,"AAAAAHJ+974=")</f>
        <v>#REF!</v>
      </c>
      <c r="GJ42" t="e">
        <f>AND(#REF!,"AAAAAHJ+978=")</f>
        <v>#REF!</v>
      </c>
      <c r="GK42" t="e">
        <f>AND(#REF!,"AAAAAHJ+98A=")</f>
        <v>#REF!</v>
      </c>
      <c r="GL42" t="e">
        <f>AND(#REF!,"AAAAAHJ+98E=")</f>
        <v>#REF!</v>
      </c>
      <c r="GM42" t="e">
        <f>AND(#REF!,"AAAAAHJ+98I=")</f>
        <v>#REF!</v>
      </c>
      <c r="GN42" t="e">
        <f>AND(#REF!,"AAAAAHJ+98M=")</f>
        <v>#REF!</v>
      </c>
      <c r="GO42" t="e">
        <f>AND(#REF!,"AAAAAHJ+98Q=")</f>
        <v>#REF!</v>
      </c>
      <c r="GP42" t="e">
        <f>AND(#REF!,"AAAAAHJ+98U=")</f>
        <v>#REF!</v>
      </c>
      <c r="GQ42" t="e">
        <f>AND(#REF!,"AAAAAHJ+98Y=")</f>
        <v>#REF!</v>
      </c>
      <c r="GR42" t="e">
        <f>AND(#REF!,"AAAAAHJ+98c=")</f>
        <v>#REF!</v>
      </c>
      <c r="GS42" t="e">
        <f>AND(#REF!,"AAAAAHJ+98g=")</f>
        <v>#REF!</v>
      </c>
      <c r="GT42" t="e">
        <f>AND(#REF!,"AAAAAHJ+98k=")</f>
        <v>#REF!</v>
      </c>
      <c r="GU42" t="e">
        <f>AND(#REF!,"AAAAAHJ+98o=")</f>
        <v>#REF!</v>
      </c>
      <c r="GV42" t="e">
        <f>AND(#REF!,"AAAAAHJ+98s=")</f>
        <v>#REF!</v>
      </c>
      <c r="GW42" t="e">
        <f>AND(#REF!,"AAAAAHJ+98w=")</f>
        <v>#REF!</v>
      </c>
      <c r="GX42" t="e">
        <f>AND(#REF!,"AAAAAHJ+980=")</f>
        <v>#REF!</v>
      </c>
      <c r="GY42" t="e">
        <f>AND(#REF!,"AAAAAHJ+984=")</f>
        <v>#REF!</v>
      </c>
      <c r="GZ42" t="e">
        <f>AND(#REF!,"AAAAAHJ+988=")</f>
        <v>#REF!</v>
      </c>
      <c r="HA42" t="e">
        <f>AND(#REF!,"AAAAAHJ+99A=")</f>
        <v>#REF!</v>
      </c>
      <c r="HB42" t="e">
        <f>AND(#REF!,"AAAAAHJ+99E=")</f>
        <v>#REF!</v>
      </c>
      <c r="HC42" t="e">
        <f>AND(#REF!,"AAAAAHJ+99I=")</f>
        <v>#REF!</v>
      </c>
      <c r="HD42" t="e">
        <f>AND(#REF!,"AAAAAHJ+99M=")</f>
        <v>#REF!</v>
      </c>
      <c r="HE42" t="e">
        <f>AND(#REF!,"AAAAAHJ+99Q=")</f>
        <v>#REF!</v>
      </c>
      <c r="HF42" t="e">
        <f>AND(#REF!,"AAAAAHJ+99U=")</f>
        <v>#REF!</v>
      </c>
      <c r="HG42" t="e">
        <f>AND(#REF!,"AAAAAHJ+99Y=")</f>
        <v>#REF!</v>
      </c>
      <c r="HH42" t="e">
        <f>AND(#REF!,"AAAAAHJ+99c=")</f>
        <v>#REF!</v>
      </c>
      <c r="HI42" t="e">
        <f>AND(#REF!,"AAAAAHJ+99g=")</f>
        <v>#REF!</v>
      </c>
      <c r="HJ42" t="e">
        <f>AND(#REF!,"AAAAAHJ+99k=")</f>
        <v>#REF!</v>
      </c>
      <c r="HK42" t="e">
        <f>AND(#REF!,"AAAAAHJ+99o=")</f>
        <v>#REF!</v>
      </c>
      <c r="HL42" t="e">
        <f>IF(#REF!,"AAAAAHJ+99s=",0)</f>
        <v>#REF!</v>
      </c>
      <c r="HM42" t="e">
        <f>AND(#REF!,"AAAAAHJ+99w=")</f>
        <v>#REF!</v>
      </c>
      <c r="HN42" t="e">
        <f>AND(#REF!,"AAAAAHJ+990=")</f>
        <v>#REF!</v>
      </c>
      <c r="HO42" t="e">
        <f>AND(#REF!,"AAAAAHJ+994=")</f>
        <v>#REF!</v>
      </c>
      <c r="HP42" t="e">
        <f>AND(#REF!,"AAAAAHJ+998=")</f>
        <v>#REF!</v>
      </c>
      <c r="HQ42" t="e">
        <f>AND(#REF!,"AAAAAHJ+9+A=")</f>
        <v>#REF!</v>
      </c>
      <c r="HR42" t="e">
        <f>AND(#REF!,"AAAAAHJ+9+E=")</f>
        <v>#REF!</v>
      </c>
      <c r="HS42" t="e">
        <f>AND(#REF!,"AAAAAHJ+9+I=")</f>
        <v>#REF!</v>
      </c>
      <c r="HT42" t="e">
        <f>AND(#REF!,"AAAAAHJ+9+M=")</f>
        <v>#REF!</v>
      </c>
      <c r="HU42" t="e">
        <f>AND(#REF!,"AAAAAHJ+9+Q=")</f>
        <v>#REF!</v>
      </c>
      <c r="HV42" t="e">
        <f>AND(#REF!,"AAAAAHJ+9+U=")</f>
        <v>#REF!</v>
      </c>
      <c r="HW42" t="e">
        <f>AND(#REF!,"AAAAAHJ+9+Y=")</f>
        <v>#REF!</v>
      </c>
      <c r="HX42" t="e">
        <f>AND(#REF!,"AAAAAHJ+9+c=")</f>
        <v>#REF!</v>
      </c>
      <c r="HY42" t="e">
        <f>AND(#REF!,"AAAAAHJ+9+g=")</f>
        <v>#REF!</v>
      </c>
      <c r="HZ42" t="e">
        <f>AND(#REF!,"AAAAAHJ+9+k=")</f>
        <v>#REF!</v>
      </c>
      <c r="IA42" t="e">
        <f>AND(#REF!,"AAAAAHJ+9+o=")</f>
        <v>#REF!</v>
      </c>
      <c r="IB42" t="e">
        <f>AND(#REF!,"AAAAAHJ+9+s=")</f>
        <v>#REF!</v>
      </c>
      <c r="IC42" t="e">
        <f>AND(#REF!,"AAAAAHJ+9+w=")</f>
        <v>#REF!</v>
      </c>
      <c r="ID42" t="e">
        <f>AND(#REF!,"AAAAAHJ+9+0=")</f>
        <v>#REF!</v>
      </c>
      <c r="IE42" t="e">
        <f>AND(#REF!,"AAAAAHJ+9+4=")</f>
        <v>#REF!</v>
      </c>
      <c r="IF42" t="e">
        <f>AND(#REF!,"AAAAAHJ+9+8=")</f>
        <v>#REF!</v>
      </c>
      <c r="IG42" t="e">
        <f>AND(#REF!,"AAAAAHJ+9/A=")</f>
        <v>#REF!</v>
      </c>
      <c r="IH42" t="e">
        <f>AND(#REF!,"AAAAAHJ+9/E=")</f>
        <v>#REF!</v>
      </c>
      <c r="II42" t="e">
        <f>AND(#REF!,"AAAAAHJ+9/I=")</f>
        <v>#REF!</v>
      </c>
      <c r="IJ42" t="e">
        <f>AND(#REF!,"AAAAAHJ+9/M=")</f>
        <v>#REF!</v>
      </c>
      <c r="IK42" t="e">
        <f>AND(#REF!,"AAAAAHJ+9/Q=")</f>
        <v>#REF!</v>
      </c>
      <c r="IL42" t="e">
        <f>AND(#REF!,"AAAAAHJ+9/U=")</f>
        <v>#REF!</v>
      </c>
      <c r="IM42" t="e">
        <f>AND(#REF!,"AAAAAHJ+9/Y=")</f>
        <v>#REF!</v>
      </c>
      <c r="IN42" t="e">
        <f>AND(#REF!,"AAAAAHJ+9/c=")</f>
        <v>#REF!</v>
      </c>
      <c r="IO42" t="e">
        <f>AND(#REF!,"AAAAAHJ+9/g=")</f>
        <v>#REF!</v>
      </c>
      <c r="IP42" t="e">
        <f>AND(#REF!,"AAAAAHJ+9/k=")</f>
        <v>#REF!</v>
      </c>
      <c r="IQ42" t="e">
        <f>AND(#REF!,"AAAAAHJ+9/o=")</f>
        <v>#REF!</v>
      </c>
      <c r="IR42" t="e">
        <f>AND(#REF!,"AAAAAHJ+9/s=")</f>
        <v>#REF!</v>
      </c>
      <c r="IS42" t="e">
        <f>AND(#REF!,"AAAAAHJ+9/w=")</f>
        <v>#REF!</v>
      </c>
      <c r="IT42" t="e">
        <f>AND(#REF!,"AAAAAHJ+9/0=")</f>
        <v>#REF!</v>
      </c>
      <c r="IU42" t="e">
        <f>AND(#REF!,"AAAAAHJ+9/4=")</f>
        <v>#REF!</v>
      </c>
      <c r="IV42" t="e">
        <f>AND(#REF!,"AAAAAHJ+9/8=")</f>
        <v>#REF!</v>
      </c>
    </row>
    <row r="43" spans="1:256" x14ac:dyDescent="0.25">
      <c r="A43" t="e">
        <f>AND(#REF!,"AAAAAG/j7gA=")</f>
        <v>#REF!</v>
      </c>
      <c r="B43" t="e">
        <f>AND(#REF!,"AAAAAG/j7gE=")</f>
        <v>#REF!</v>
      </c>
      <c r="C43" t="e">
        <f>AND(#REF!,"AAAAAG/j7gI=")</f>
        <v>#REF!</v>
      </c>
      <c r="D43" t="e">
        <f>AND(#REF!,"AAAAAG/j7gM=")</f>
        <v>#REF!</v>
      </c>
      <c r="E43" t="e">
        <f>AND(#REF!,"AAAAAG/j7gQ=")</f>
        <v>#REF!</v>
      </c>
      <c r="F43" t="e">
        <f>AND(#REF!,"AAAAAG/j7gU=")</f>
        <v>#REF!</v>
      </c>
      <c r="G43" t="e">
        <f>AND(#REF!,"AAAAAG/j7gY=")</f>
        <v>#REF!</v>
      </c>
      <c r="H43" t="e">
        <f>AND(#REF!,"AAAAAG/j7gc=")</f>
        <v>#REF!</v>
      </c>
      <c r="I43" t="e">
        <f>AND(#REF!,"AAAAAG/j7gg=")</f>
        <v>#REF!</v>
      </c>
      <c r="J43" t="e">
        <f>AND(#REF!,"AAAAAG/j7gk=")</f>
        <v>#REF!</v>
      </c>
      <c r="K43" t="e">
        <f>AND(#REF!,"AAAAAG/j7go=")</f>
        <v>#REF!</v>
      </c>
      <c r="L43" t="e">
        <f>AND(#REF!,"AAAAAG/j7gs=")</f>
        <v>#REF!</v>
      </c>
      <c r="M43" t="e">
        <f>AND(#REF!,"AAAAAG/j7gw=")</f>
        <v>#REF!</v>
      </c>
      <c r="N43" t="e">
        <f>AND(#REF!,"AAAAAG/j7g0=")</f>
        <v>#REF!</v>
      </c>
      <c r="O43" t="e">
        <f>AND(#REF!,"AAAAAG/j7g4=")</f>
        <v>#REF!</v>
      </c>
      <c r="P43" t="e">
        <f>AND(#REF!,"AAAAAG/j7g8=")</f>
        <v>#REF!</v>
      </c>
      <c r="Q43" t="e">
        <f>AND(#REF!,"AAAAAG/j7hA=")</f>
        <v>#REF!</v>
      </c>
      <c r="R43" t="e">
        <f>AND(#REF!,"AAAAAG/j7hE=")</f>
        <v>#REF!</v>
      </c>
      <c r="S43" t="e">
        <f>AND(#REF!,"AAAAAG/j7hI=")</f>
        <v>#REF!</v>
      </c>
      <c r="T43" t="e">
        <f>AND(#REF!,"AAAAAG/j7hM=")</f>
        <v>#REF!</v>
      </c>
      <c r="U43" t="e">
        <f>AND(#REF!,"AAAAAG/j7hQ=")</f>
        <v>#REF!</v>
      </c>
      <c r="V43" t="e">
        <f>AND(#REF!,"AAAAAG/j7hU=")</f>
        <v>#REF!</v>
      </c>
      <c r="W43" t="e">
        <f>AND(#REF!,"AAAAAG/j7hY=")</f>
        <v>#REF!</v>
      </c>
      <c r="X43" t="e">
        <f>AND(#REF!,"AAAAAG/j7hc=")</f>
        <v>#REF!</v>
      </c>
      <c r="Y43" t="e">
        <f>AND(#REF!,"AAAAAG/j7hg=")</f>
        <v>#REF!</v>
      </c>
      <c r="Z43" t="e">
        <f>AND(#REF!,"AAAAAG/j7hk=")</f>
        <v>#REF!</v>
      </c>
      <c r="AA43" t="e">
        <f>AND(#REF!,"AAAAAG/j7ho=")</f>
        <v>#REF!</v>
      </c>
      <c r="AB43" t="e">
        <f>AND(#REF!,"AAAAAG/j7hs=")</f>
        <v>#REF!</v>
      </c>
      <c r="AC43" t="e">
        <f>AND(#REF!,"AAAAAG/j7hw=")</f>
        <v>#REF!</v>
      </c>
      <c r="AD43" t="e">
        <f>AND(#REF!,"AAAAAG/j7h0=")</f>
        <v>#REF!</v>
      </c>
      <c r="AE43" t="e">
        <f>AND(#REF!,"AAAAAG/j7h4=")</f>
        <v>#REF!</v>
      </c>
      <c r="AF43" t="e">
        <f>AND(#REF!,"AAAAAG/j7h8=")</f>
        <v>#REF!</v>
      </c>
      <c r="AG43" t="e">
        <f>AND(#REF!,"AAAAAG/j7iA=")</f>
        <v>#REF!</v>
      </c>
      <c r="AH43" t="e">
        <f>AND(#REF!,"AAAAAG/j7iE=")</f>
        <v>#REF!</v>
      </c>
      <c r="AI43" t="e">
        <f>AND(#REF!,"AAAAAG/j7iI=")</f>
        <v>#REF!</v>
      </c>
      <c r="AJ43" t="e">
        <f>AND(#REF!,"AAAAAG/j7iM=")</f>
        <v>#REF!</v>
      </c>
      <c r="AK43" t="e">
        <f>AND(#REF!,"AAAAAG/j7iQ=")</f>
        <v>#REF!</v>
      </c>
      <c r="AL43" t="e">
        <f>AND(#REF!,"AAAAAG/j7iU=")</f>
        <v>#REF!</v>
      </c>
      <c r="AM43" t="e">
        <f>AND(#REF!,"AAAAAG/j7iY=")</f>
        <v>#REF!</v>
      </c>
      <c r="AN43" t="e">
        <f>AND(#REF!,"AAAAAG/j7ic=")</f>
        <v>#REF!</v>
      </c>
      <c r="AO43" t="e">
        <f>AND(#REF!,"AAAAAG/j7ig=")</f>
        <v>#REF!</v>
      </c>
      <c r="AP43" t="e">
        <f>AND(#REF!,"AAAAAG/j7ik=")</f>
        <v>#REF!</v>
      </c>
      <c r="AQ43" t="e">
        <f>AND(#REF!,"AAAAAG/j7io=")</f>
        <v>#REF!</v>
      </c>
      <c r="AR43" t="e">
        <f>AND(#REF!,"AAAAAG/j7is=")</f>
        <v>#REF!</v>
      </c>
      <c r="AS43" t="e">
        <f>AND(#REF!,"AAAAAG/j7iw=")</f>
        <v>#REF!</v>
      </c>
      <c r="AT43" t="e">
        <f>AND(#REF!,"AAAAAG/j7i0=")</f>
        <v>#REF!</v>
      </c>
      <c r="AU43" t="e">
        <f>AND(#REF!,"AAAAAG/j7i4=")</f>
        <v>#REF!</v>
      </c>
      <c r="AV43" t="e">
        <f>AND(#REF!,"AAAAAG/j7i8=")</f>
        <v>#REF!</v>
      </c>
      <c r="AW43" t="e">
        <f>AND(#REF!,"AAAAAG/j7jA=")</f>
        <v>#REF!</v>
      </c>
      <c r="AX43" t="e">
        <f>AND(#REF!,"AAAAAG/j7jE=")</f>
        <v>#REF!</v>
      </c>
      <c r="AY43" t="e">
        <f>AND(#REF!,"AAAAAG/j7jI=")</f>
        <v>#REF!</v>
      </c>
      <c r="AZ43" t="e">
        <f>AND(#REF!,"AAAAAG/j7jM=")</f>
        <v>#REF!</v>
      </c>
      <c r="BA43" t="e">
        <f>AND(#REF!,"AAAAAG/j7jQ=")</f>
        <v>#REF!</v>
      </c>
      <c r="BB43" t="e">
        <f>AND(#REF!,"AAAAAG/j7jU=")</f>
        <v>#REF!</v>
      </c>
      <c r="BC43" t="e">
        <f>AND(#REF!,"AAAAAG/j7jY=")</f>
        <v>#REF!</v>
      </c>
      <c r="BD43" t="e">
        <f>AND(#REF!,"AAAAAG/j7jc=")</f>
        <v>#REF!</v>
      </c>
      <c r="BE43" t="e">
        <f>AND(#REF!,"AAAAAG/j7jg=")</f>
        <v>#REF!</v>
      </c>
      <c r="BF43" t="e">
        <f>AND(#REF!,"AAAAAG/j7jk=")</f>
        <v>#REF!</v>
      </c>
      <c r="BG43" t="e">
        <f>AND(#REF!,"AAAAAG/j7jo=")</f>
        <v>#REF!</v>
      </c>
      <c r="BH43" t="e">
        <f>AND(#REF!,"AAAAAG/j7js=")</f>
        <v>#REF!</v>
      </c>
      <c r="BI43" t="e">
        <f>AND(#REF!,"AAAAAG/j7jw=")</f>
        <v>#REF!</v>
      </c>
      <c r="BJ43" t="e">
        <f>AND(#REF!,"AAAAAG/j7j0=")</f>
        <v>#REF!</v>
      </c>
      <c r="BK43" t="e">
        <f>AND(#REF!,"AAAAAG/j7j4=")</f>
        <v>#REF!</v>
      </c>
      <c r="BL43" t="e">
        <f>AND(#REF!,"AAAAAG/j7j8=")</f>
        <v>#REF!</v>
      </c>
      <c r="BM43" t="e">
        <f>AND(#REF!,"AAAAAG/j7kA=")</f>
        <v>#REF!</v>
      </c>
      <c r="BN43" t="e">
        <f>AND(#REF!,"AAAAAG/j7kE=")</f>
        <v>#REF!</v>
      </c>
      <c r="BO43" t="e">
        <f>AND(#REF!,"AAAAAG/j7kI=")</f>
        <v>#REF!</v>
      </c>
      <c r="BP43" t="e">
        <f>AND(#REF!,"AAAAAG/j7kM=")</f>
        <v>#REF!</v>
      </c>
      <c r="BQ43" t="e">
        <f>IF(#REF!,"AAAAAG/j7kQ=",0)</f>
        <v>#REF!</v>
      </c>
      <c r="BR43" t="e">
        <f>AND(#REF!,"AAAAAG/j7kU=")</f>
        <v>#REF!</v>
      </c>
      <c r="BS43" t="e">
        <f>AND(#REF!,"AAAAAG/j7kY=")</f>
        <v>#REF!</v>
      </c>
      <c r="BT43" t="e">
        <f>AND(#REF!,"AAAAAG/j7kc=")</f>
        <v>#REF!</v>
      </c>
      <c r="BU43" t="e">
        <f>AND(#REF!,"AAAAAG/j7kg=")</f>
        <v>#REF!</v>
      </c>
      <c r="BV43" t="e">
        <f>AND(#REF!,"AAAAAG/j7kk=")</f>
        <v>#REF!</v>
      </c>
      <c r="BW43" t="e">
        <f>AND(#REF!,"AAAAAG/j7ko=")</f>
        <v>#REF!</v>
      </c>
      <c r="BX43" t="e">
        <f>AND(#REF!,"AAAAAG/j7ks=")</f>
        <v>#REF!</v>
      </c>
      <c r="BY43" t="e">
        <f>AND(#REF!,"AAAAAG/j7kw=")</f>
        <v>#REF!</v>
      </c>
      <c r="BZ43" t="e">
        <f>AND(#REF!,"AAAAAG/j7k0=")</f>
        <v>#REF!</v>
      </c>
      <c r="CA43" t="e">
        <f>AND(#REF!,"AAAAAG/j7k4=")</f>
        <v>#REF!</v>
      </c>
      <c r="CB43" t="e">
        <f>AND(#REF!,"AAAAAG/j7k8=")</f>
        <v>#REF!</v>
      </c>
      <c r="CC43" t="e">
        <f>AND(#REF!,"AAAAAG/j7lA=")</f>
        <v>#REF!</v>
      </c>
      <c r="CD43" t="e">
        <f>AND(#REF!,"AAAAAG/j7lE=")</f>
        <v>#REF!</v>
      </c>
      <c r="CE43" t="e">
        <f>AND(#REF!,"AAAAAG/j7lI=")</f>
        <v>#REF!</v>
      </c>
      <c r="CF43" t="e">
        <f>AND(#REF!,"AAAAAG/j7lM=")</f>
        <v>#REF!</v>
      </c>
      <c r="CG43" t="e">
        <f>AND(#REF!,"AAAAAG/j7lQ=")</f>
        <v>#REF!</v>
      </c>
      <c r="CH43" t="e">
        <f>AND(#REF!,"AAAAAG/j7lU=")</f>
        <v>#REF!</v>
      </c>
      <c r="CI43" t="e">
        <f>AND(#REF!,"AAAAAG/j7lY=")</f>
        <v>#REF!</v>
      </c>
      <c r="CJ43" t="e">
        <f>AND(#REF!,"AAAAAG/j7lc=")</f>
        <v>#REF!</v>
      </c>
      <c r="CK43" t="e">
        <f>AND(#REF!,"AAAAAG/j7lg=")</f>
        <v>#REF!</v>
      </c>
      <c r="CL43" t="e">
        <f>AND(#REF!,"AAAAAG/j7lk=")</f>
        <v>#REF!</v>
      </c>
      <c r="CM43" t="e">
        <f>AND(#REF!,"AAAAAG/j7lo=")</f>
        <v>#REF!</v>
      </c>
      <c r="CN43" t="e">
        <f>AND(#REF!,"AAAAAG/j7ls=")</f>
        <v>#REF!</v>
      </c>
      <c r="CO43" t="e">
        <f>AND(#REF!,"AAAAAG/j7lw=")</f>
        <v>#REF!</v>
      </c>
      <c r="CP43" t="e">
        <f>AND(#REF!,"AAAAAG/j7l0=")</f>
        <v>#REF!</v>
      </c>
      <c r="CQ43" t="e">
        <f>AND(#REF!,"AAAAAG/j7l4=")</f>
        <v>#REF!</v>
      </c>
      <c r="CR43" t="e">
        <f>AND(#REF!,"AAAAAG/j7l8=")</f>
        <v>#REF!</v>
      </c>
      <c r="CS43" t="e">
        <f>AND(#REF!,"AAAAAG/j7mA=")</f>
        <v>#REF!</v>
      </c>
      <c r="CT43" t="e">
        <f>AND(#REF!,"AAAAAG/j7mE=")</f>
        <v>#REF!</v>
      </c>
      <c r="CU43" t="e">
        <f>AND(#REF!,"AAAAAG/j7mI=")</f>
        <v>#REF!</v>
      </c>
      <c r="CV43" t="e">
        <f>AND(#REF!,"AAAAAG/j7mM=")</f>
        <v>#REF!</v>
      </c>
      <c r="CW43" t="e">
        <f>AND(#REF!,"AAAAAG/j7mQ=")</f>
        <v>#REF!</v>
      </c>
      <c r="CX43" t="e">
        <f>AND(#REF!,"AAAAAG/j7mU=")</f>
        <v>#REF!</v>
      </c>
      <c r="CY43" t="e">
        <f>AND(#REF!,"AAAAAG/j7mY=")</f>
        <v>#REF!</v>
      </c>
      <c r="CZ43" t="e">
        <f>AND(#REF!,"AAAAAG/j7mc=")</f>
        <v>#REF!</v>
      </c>
      <c r="DA43" t="e">
        <f>AND(#REF!,"AAAAAG/j7mg=")</f>
        <v>#REF!</v>
      </c>
      <c r="DB43" t="e">
        <f>AND(#REF!,"AAAAAG/j7mk=")</f>
        <v>#REF!</v>
      </c>
      <c r="DC43" t="e">
        <f>AND(#REF!,"AAAAAG/j7mo=")</f>
        <v>#REF!</v>
      </c>
      <c r="DD43" t="e">
        <f>AND(#REF!,"AAAAAG/j7ms=")</f>
        <v>#REF!</v>
      </c>
      <c r="DE43" t="e">
        <f>AND(#REF!,"AAAAAG/j7mw=")</f>
        <v>#REF!</v>
      </c>
      <c r="DF43" t="e">
        <f>AND(#REF!,"AAAAAG/j7m0=")</f>
        <v>#REF!</v>
      </c>
      <c r="DG43" t="e">
        <f>AND(#REF!,"AAAAAG/j7m4=")</f>
        <v>#REF!</v>
      </c>
      <c r="DH43" t="e">
        <f>AND(#REF!,"AAAAAG/j7m8=")</f>
        <v>#REF!</v>
      </c>
      <c r="DI43" t="e">
        <f>AND(#REF!,"AAAAAG/j7nA=")</f>
        <v>#REF!</v>
      </c>
      <c r="DJ43" t="e">
        <f>AND(#REF!,"AAAAAG/j7nE=")</f>
        <v>#REF!</v>
      </c>
      <c r="DK43" t="e">
        <f>AND(#REF!,"AAAAAG/j7nI=")</f>
        <v>#REF!</v>
      </c>
      <c r="DL43" t="e">
        <f>AND(#REF!,"AAAAAG/j7nM=")</f>
        <v>#REF!</v>
      </c>
      <c r="DM43" t="e">
        <f>AND(#REF!,"AAAAAG/j7nQ=")</f>
        <v>#REF!</v>
      </c>
      <c r="DN43" t="e">
        <f>AND(#REF!,"AAAAAG/j7nU=")</f>
        <v>#REF!</v>
      </c>
      <c r="DO43" t="e">
        <f>AND(#REF!,"AAAAAG/j7nY=")</f>
        <v>#REF!</v>
      </c>
      <c r="DP43" t="e">
        <f>AND(#REF!,"AAAAAG/j7nc=")</f>
        <v>#REF!</v>
      </c>
      <c r="DQ43" t="e">
        <f>AND(#REF!,"AAAAAG/j7ng=")</f>
        <v>#REF!</v>
      </c>
      <c r="DR43" t="e">
        <f>AND(#REF!,"AAAAAG/j7nk=")</f>
        <v>#REF!</v>
      </c>
      <c r="DS43" t="e">
        <f>AND(#REF!,"AAAAAG/j7no=")</f>
        <v>#REF!</v>
      </c>
      <c r="DT43" t="e">
        <f>AND(#REF!,"AAAAAG/j7ns=")</f>
        <v>#REF!</v>
      </c>
      <c r="DU43" t="e">
        <f>AND(#REF!,"AAAAAG/j7nw=")</f>
        <v>#REF!</v>
      </c>
      <c r="DV43" t="e">
        <f>AND(#REF!,"AAAAAG/j7n0=")</f>
        <v>#REF!</v>
      </c>
      <c r="DW43" t="e">
        <f>AND(#REF!,"AAAAAG/j7n4=")</f>
        <v>#REF!</v>
      </c>
      <c r="DX43" t="e">
        <f>AND(#REF!,"AAAAAG/j7n8=")</f>
        <v>#REF!</v>
      </c>
      <c r="DY43" t="e">
        <f>AND(#REF!,"AAAAAG/j7oA=")</f>
        <v>#REF!</v>
      </c>
      <c r="DZ43" t="e">
        <f>AND(#REF!,"AAAAAG/j7oE=")</f>
        <v>#REF!</v>
      </c>
      <c r="EA43" t="e">
        <f>AND(#REF!,"AAAAAG/j7oI=")</f>
        <v>#REF!</v>
      </c>
      <c r="EB43" t="e">
        <f>AND(#REF!,"AAAAAG/j7oM=")</f>
        <v>#REF!</v>
      </c>
      <c r="EC43" t="e">
        <f>AND(#REF!,"AAAAAG/j7oQ=")</f>
        <v>#REF!</v>
      </c>
      <c r="ED43" t="e">
        <f>AND(#REF!,"AAAAAG/j7oU=")</f>
        <v>#REF!</v>
      </c>
      <c r="EE43" t="e">
        <f>AND(#REF!,"AAAAAG/j7oY=")</f>
        <v>#REF!</v>
      </c>
      <c r="EF43" t="e">
        <f>AND(#REF!,"AAAAAG/j7oc=")</f>
        <v>#REF!</v>
      </c>
      <c r="EG43" t="e">
        <f>AND(#REF!,"AAAAAG/j7og=")</f>
        <v>#REF!</v>
      </c>
      <c r="EH43" t="e">
        <f>AND(#REF!,"AAAAAG/j7ok=")</f>
        <v>#REF!</v>
      </c>
      <c r="EI43" t="e">
        <f>AND(#REF!,"AAAAAG/j7oo=")</f>
        <v>#REF!</v>
      </c>
      <c r="EJ43" t="e">
        <f>AND(#REF!,"AAAAAG/j7os=")</f>
        <v>#REF!</v>
      </c>
      <c r="EK43" t="e">
        <f>AND(#REF!,"AAAAAG/j7ow=")</f>
        <v>#REF!</v>
      </c>
      <c r="EL43" t="e">
        <f>AND(#REF!,"AAAAAG/j7o0=")</f>
        <v>#REF!</v>
      </c>
      <c r="EM43" t="e">
        <f>AND(#REF!,"AAAAAG/j7o4=")</f>
        <v>#REF!</v>
      </c>
      <c r="EN43" t="e">
        <f>AND(#REF!,"AAAAAG/j7o8=")</f>
        <v>#REF!</v>
      </c>
      <c r="EO43" t="e">
        <f>AND(#REF!,"AAAAAG/j7pA=")</f>
        <v>#REF!</v>
      </c>
      <c r="EP43" t="e">
        <f>AND(#REF!,"AAAAAG/j7pE=")</f>
        <v>#REF!</v>
      </c>
      <c r="EQ43" t="e">
        <f>AND(#REF!,"AAAAAG/j7pI=")</f>
        <v>#REF!</v>
      </c>
      <c r="ER43" t="e">
        <f>AND(#REF!,"AAAAAG/j7pM=")</f>
        <v>#REF!</v>
      </c>
      <c r="ES43" t="e">
        <f>AND(#REF!,"AAAAAG/j7pQ=")</f>
        <v>#REF!</v>
      </c>
      <c r="ET43" t="e">
        <f>AND(#REF!,"AAAAAG/j7pU=")</f>
        <v>#REF!</v>
      </c>
      <c r="EU43" t="e">
        <f>AND(#REF!,"AAAAAG/j7pY=")</f>
        <v>#REF!</v>
      </c>
      <c r="EV43" t="e">
        <f>AND(#REF!,"AAAAAG/j7pc=")</f>
        <v>#REF!</v>
      </c>
      <c r="EW43" t="e">
        <f>AND(#REF!,"AAAAAG/j7pg=")</f>
        <v>#REF!</v>
      </c>
      <c r="EX43" t="e">
        <f>AND(#REF!,"AAAAAG/j7pk=")</f>
        <v>#REF!</v>
      </c>
      <c r="EY43" t="e">
        <f>AND(#REF!,"AAAAAG/j7po=")</f>
        <v>#REF!</v>
      </c>
      <c r="EZ43" t="e">
        <f>AND(#REF!,"AAAAAG/j7ps=")</f>
        <v>#REF!</v>
      </c>
      <c r="FA43" t="e">
        <f>AND(#REF!,"AAAAAG/j7pw=")</f>
        <v>#REF!</v>
      </c>
      <c r="FB43" t="e">
        <f>AND(#REF!,"AAAAAG/j7p0=")</f>
        <v>#REF!</v>
      </c>
      <c r="FC43" t="e">
        <f>AND(#REF!,"AAAAAG/j7p4=")</f>
        <v>#REF!</v>
      </c>
      <c r="FD43" t="e">
        <f>AND(#REF!,"AAAAAG/j7p8=")</f>
        <v>#REF!</v>
      </c>
      <c r="FE43" t="e">
        <f>AND(#REF!,"AAAAAG/j7qA=")</f>
        <v>#REF!</v>
      </c>
      <c r="FF43" t="e">
        <f>AND(#REF!,"AAAAAG/j7qE=")</f>
        <v>#REF!</v>
      </c>
      <c r="FG43" t="e">
        <f>AND(#REF!,"AAAAAG/j7qI=")</f>
        <v>#REF!</v>
      </c>
      <c r="FH43" t="e">
        <f>AND(#REF!,"AAAAAG/j7qM=")</f>
        <v>#REF!</v>
      </c>
      <c r="FI43" t="e">
        <f>AND(#REF!,"AAAAAG/j7qQ=")</f>
        <v>#REF!</v>
      </c>
      <c r="FJ43" t="e">
        <f>AND(#REF!,"AAAAAG/j7qU=")</f>
        <v>#REF!</v>
      </c>
      <c r="FK43" t="e">
        <f>AND(#REF!,"AAAAAG/j7qY=")</f>
        <v>#REF!</v>
      </c>
      <c r="FL43" t="e">
        <f>AND(#REF!,"AAAAAG/j7qc=")</f>
        <v>#REF!</v>
      </c>
      <c r="FM43" t="e">
        <f>AND(#REF!,"AAAAAG/j7qg=")</f>
        <v>#REF!</v>
      </c>
      <c r="FN43" t="e">
        <f>AND(#REF!,"AAAAAG/j7qk=")</f>
        <v>#REF!</v>
      </c>
      <c r="FO43" t="e">
        <f>AND(#REF!,"AAAAAG/j7qo=")</f>
        <v>#REF!</v>
      </c>
      <c r="FP43" t="e">
        <f>AND(#REF!,"AAAAAG/j7qs=")</f>
        <v>#REF!</v>
      </c>
      <c r="FQ43" t="e">
        <f>AND(#REF!,"AAAAAG/j7qw=")</f>
        <v>#REF!</v>
      </c>
      <c r="FR43" t="e">
        <f>IF(#REF!,"AAAAAG/j7q0=",0)</f>
        <v>#REF!</v>
      </c>
      <c r="FS43" t="e">
        <f>AND(#REF!,"AAAAAG/j7q4=")</f>
        <v>#REF!</v>
      </c>
      <c r="FT43" t="e">
        <f>AND(#REF!,"AAAAAG/j7q8=")</f>
        <v>#REF!</v>
      </c>
      <c r="FU43" t="e">
        <f>AND(#REF!,"AAAAAG/j7rA=")</f>
        <v>#REF!</v>
      </c>
      <c r="FV43" t="e">
        <f>AND(#REF!,"AAAAAG/j7rE=")</f>
        <v>#REF!</v>
      </c>
      <c r="FW43" t="e">
        <f>AND(#REF!,"AAAAAG/j7rI=")</f>
        <v>#REF!</v>
      </c>
      <c r="FX43" t="e">
        <f>AND(#REF!,"AAAAAG/j7rM=")</f>
        <v>#REF!</v>
      </c>
      <c r="FY43" t="e">
        <f>AND(#REF!,"AAAAAG/j7rQ=")</f>
        <v>#REF!</v>
      </c>
      <c r="FZ43" t="e">
        <f>AND(#REF!,"AAAAAG/j7rU=")</f>
        <v>#REF!</v>
      </c>
      <c r="GA43" t="e">
        <f>AND(#REF!,"AAAAAG/j7rY=")</f>
        <v>#REF!</v>
      </c>
      <c r="GB43" t="e">
        <f>AND(#REF!,"AAAAAG/j7rc=")</f>
        <v>#REF!</v>
      </c>
      <c r="GC43" t="e">
        <f>AND(#REF!,"AAAAAG/j7rg=")</f>
        <v>#REF!</v>
      </c>
      <c r="GD43" t="e">
        <f>AND(#REF!,"AAAAAG/j7rk=")</f>
        <v>#REF!</v>
      </c>
      <c r="GE43" t="e">
        <f>AND(#REF!,"AAAAAG/j7ro=")</f>
        <v>#REF!</v>
      </c>
      <c r="GF43" t="e">
        <f>AND(#REF!,"AAAAAG/j7rs=")</f>
        <v>#REF!</v>
      </c>
      <c r="GG43" t="e">
        <f>AND(#REF!,"AAAAAG/j7rw=")</f>
        <v>#REF!</v>
      </c>
      <c r="GH43" t="e">
        <f>AND(#REF!,"AAAAAG/j7r0=")</f>
        <v>#REF!</v>
      </c>
      <c r="GI43" t="e">
        <f>AND(#REF!,"AAAAAG/j7r4=")</f>
        <v>#REF!</v>
      </c>
      <c r="GJ43" t="e">
        <f>AND(#REF!,"AAAAAG/j7r8=")</f>
        <v>#REF!</v>
      </c>
      <c r="GK43" t="e">
        <f>AND(#REF!,"AAAAAG/j7sA=")</f>
        <v>#REF!</v>
      </c>
      <c r="GL43" t="e">
        <f>AND(#REF!,"AAAAAG/j7sE=")</f>
        <v>#REF!</v>
      </c>
      <c r="GM43" t="e">
        <f>AND(#REF!,"AAAAAG/j7sI=")</f>
        <v>#REF!</v>
      </c>
      <c r="GN43" t="e">
        <f>AND(#REF!,"AAAAAG/j7sM=")</f>
        <v>#REF!</v>
      </c>
      <c r="GO43" t="e">
        <f>AND(#REF!,"AAAAAG/j7sQ=")</f>
        <v>#REF!</v>
      </c>
      <c r="GP43" t="e">
        <f>AND(#REF!,"AAAAAG/j7sU=")</f>
        <v>#REF!</v>
      </c>
      <c r="GQ43" t="e">
        <f>AND(#REF!,"AAAAAG/j7sY=")</f>
        <v>#REF!</v>
      </c>
      <c r="GR43" t="e">
        <f>AND(#REF!,"AAAAAG/j7sc=")</f>
        <v>#REF!</v>
      </c>
      <c r="GS43" t="e">
        <f>AND(#REF!,"AAAAAG/j7sg=")</f>
        <v>#REF!</v>
      </c>
      <c r="GT43" t="e">
        <f>AND(#REF!,"AAAAAG/j7sk=")</f>
        <v>#REF!</v>
      </c>
      <c r="GU43" t="e">
        <f>AND(#REF!,"AAAAAG/j7so=")</f>
        <v>#REF!</v>
      </c>
      <c r="GV43" t="e">
        <f>AND(#REF!,"AAAAAG/j7ss=")</f>
        <v>#REF!</v>
      </c>
      <c r="GW43" t="e">
        <f>AND(#REF!,"AAAAAG/j7sw=")</f>
        <v>#REF!</v>
      </c>
      <c r="GX43" t="e">
        <f>AND(#REF!,"AAAAAG/j7s0=")</f>
        <v>#REF!</v>
      </c>
      <c r="GY43" t="e">
        <f>AND(#REF!,"AAAAAG/j7s4=")</f>
        <v>#REF!</v>
      </c>
      <c r="GZ43" t="e">
        <f>AND(#REF!,"AAAAAG/j7s8=")</f>
        <v>#REF!</v>
      </c>
      <c r="HA43" t="e">
        <f>AND(#REF!,"AAAAAG/j7tA=")</f>
        <v>#REF!</v>
      </c>
      <c r="HB43" t="e">
        <f>AND(#REF!,"AAAAAG/j7tE=")</f>
        <v>#REF!</v>
      </c>
      <c r="HC43" t="e">
        <f>AND(#REF!,"AAAAAG/j7tI=")</f>
        <v>#REF!</v>
      </c>
      <c r="HD43" t="e">
        <f>AND(#REF!,"AAAAAG/j7tM=")</f>
        <v>#REF!</v>
      </c>
      <c r="HE43" t="e">
        <f>AND(#REF!,"AAAAAG/j7tQ=")</f>
        <v>#REF!</v>
      </c>
      <c r="HF43" t="e">
        <f>AND(#REF!,"AAAAAG/j7tU=")</f>
        <v>#REF!</v>
      </c>
      <c r="HG43" t="e">
        <f>AND(#REF!,"AAAAAG/j7tY=")</f>
        <v>#REF!</v>
      </c>
      <c r="HH43" t="e">
        <f>AND(#REF!,"AAAAAG/j7tc=")</f>
        <v>#REF!</v>
      </c>
      <c r="HI43" t="e">
        <f>AND(#REF!,"AAAAAG/j7tg=")</f>
        <v>#REF!</v>
      </c>
      <c r="HJ43" t="e">
        <f>AND(#REF!,"AAAAAG/j7tk=")</f>
        <v>#REF!</v>
      </c>
      <c r="HK43" t="e">
        <f>AND(#REF!,"AAAAAG/j7to=")</f>
        <v>#REF!</v>
      </c>
      <c r="HL43" t="e">
        <f>AND(#REF!,"AAAAAG/j7ts=")</f>
        <v>#REF!</v>
      </c>
      <c r="HM43" t="e">
        <f>AND(#REF!,"AAAAAG/j7tw=")</f>
        <v>#REF!</v>
      </c>
      <c r="HN43" t="e">
        <f>AND(#REF!,"AAAAAG/j7t0=")</f>
        <v>#REF!</v>
      </c>
      <c r="HO43" t="e">
        <f>AND(#REF!,"AAAAAG/j7t4=")</f>
        <v>#REF!</v>
      </c>
      <c r="HP43" t="e">
        <f>AND(#REF!,"AAAAAG/j7t8=")</f>
        <v>#REF!</v>
      </c>
      <c r="HQ43" t="e">
        <f>AND(#REF!,"AAAAAG/j7uA=")</f>
        <v>#REF!</v>
      </c>
      <c r="HR43" t="e">
        <f>AND(#REF!,"AAAAAG/j7uE=")</f>
        <v>#REF!</v>
      </c>
      <c r="HS43" t="e">
        <f>AND(#REF!,"AAAAAG/j7uI=")</f>
        <v>#REF!</v>
      </c>
      <c r="HT43" t="e">
        <f>AND(#REF!,"AAAAAG/j7uM=")</f>
        <v>#REF!</v>
      </c>
      <c r="HU43" t="e">
        <f>AND(#REF!,"AAAAAG/j7uQ=")</f>
        <v>#REF!</v>
      </c>
      <c r="HV43" t="e">
        <f>AND(#REF!,"AAAAAG/j7uU=")</f>
        <v>#REF!</v>
      </c>
      <c r="HW43" t="e">
        <f>AND(#REF!,"AAAAAG/j7uY=")</f>
        <v>#REF!</v>
      </c>
      <c r="HX43" t="e">
        <f>AND(#REF!,"AAAAAG/j7uc=")</f>
        <v>#REF!</v>
      </c>
      <c r="HY43" t="e">
        <f>AND(#REF!,"AAAAAG/j7ug=")</f>
        <v>#REF!</v>
      </c>
      <c r="HZ43" t="e">
        <f>AND(#REF!,"AAAAAG/j7uk=")</f>
        <v>#REF!</v>
      </c>
      <c r="IA43" t="e">
        <f>AND(#REF!,"AAAAAG/j7uo=")</f>
        <v>#REF!</v>
      </c>
      <c r="IB43" t="e">
        <f>AND(#REF!,"AAAAAG/j7us=")</f>
        <v>#REF!</v>
      </c>
      <c r="IC43" t="e">
        <f>AND(#REF!,"AAAAAG/j7uw=")</f>
        <v>#REF!</v>
      </c>
      <c r="ID43" t="e">
        <f>AND(#REF!,"AAAAAG/j7u0=")</f>
        <v>#REF!</v>
      </c>
      <c r="IE43" t="e">
        <f>AND(#REF!,"AAAAAG/j7u4=")</f>
        <v>#REF!</v>
      </c>
      <c r="IF43" t="e">
        <f>AND(#REF!,"AAAAAG/j7u8=")</f>
        <v>#REF!</v>
      </c>
      <c r="IG43" t="e">
        <f>AND(#REF!,"AAAAAG/j7vA=")</f>
        <v>#REF!</v>
      </c>
      <c r="IH43" t="e">
        <f>AND(#REF!,"AAAAAG/j7vE=")</f>
        <v>#REF!</v>
      </c>
      <c r="II43" t="e">
        <f>AND(#REF!,"AAAAAG/j7vI=")</f>
        <v>#REF!</v>
      </c>
      <c r="IJ43" t="e">
        <f>AND(#REF!,"AAAAAG/j7vM=")</f>
        <v>#REF!</v>
      </c>
      <c r="IK43" t="e">
        <f>AND(#REF!,"AAAAAG/j7vQ=")</f>
        <v>#REF!</v>
      </c>
      <c r="IL43" t="e">
        <f>AND(#REF!,"AAAAAG/j7vU=")</f>
        <v>#REF!</v>
      </c>
      <c r="IM43" t="e">
        <f>AND(#REF!,"AAAAAG/j7vY=")</f>
        <v>#REF!</v>
      </c>
      <c r="IN43" t="e">
        <f>AND(#REF!,"AAAAAG/j7vc=")</f>
        <v>#REF!</v>
      </c>
      <c r="IO43" t="e">
        <f>AND(#REF!,"AAAAAG/j7vg=")</f>
        <v>#REF!</v>
      </c>
      <c r="IP43" t="e">
        <f>AND(#REF!,"AAAAAG/j7vk=")</f>
        <v>#REF!</v>
      </c>
      <c r="IQ43" t="e">
        <f>AND(#REF!,"AAAAAG/j7vo=")</f>
        <v>#REF!</v>
      </c>
      <c r="IR43" t="e">
        <f>AND(#REF!,"AAAAAG/j7vs=")</f>
        <v>#REF!</v>
      </c>
      <c r="IS43" t="e">
        <f>AND(#REF!,"AAAAAG/j7vw=")</f>
        <v>#REF!</v>
      </c>
      <c r="IT43" t="e">
        <f>AND(#REF!,"AAAAAG/j7v0=")</f>
        <v>#REF!</v>
      </c>
      <c r="IU43" t="e">
        <f>AND(#REF!,"AAAAAG/j7v4=")</f>
        <v>#REF!</v>
      </c>
      <c r="IV43" t="e">
        <f>AND(#REF!,"AAAAAG/j7v8=")</f>
        <v>#REF!</v>
      </c>
    </row>
    <row r="44" spans="1:256" x14ac:dyDescent="0.25">
      <c r="A44" t="e">
        <f>AND(#REF!,"AAAAAF+n/gA=")</f>
        <v>#REF!</v>
      </c>
      <c r="B44" t="e">
        <f>AND(#REF!,"AAAAAF+n/gE=")</f>
        <v>#REF!</v>
      </c>
      <c r="C44" t="e">
        <f>AND(#REF!,"AAAAAF+n/gI=")</f>
        <v>#REF!</v>
      </c>
      <c r="D44" t="e">
        <f>AND(#REF!,"AAAAAF+n/gM=")</f>
        <v>#REF!</v>
      </c>
      <c r="E44" t="e">
        <f>AND(#REF!,"AAAAAF+n/gQ=")</f>
        <v>#REF!</v>
      </c>
      <c r="F44" t="e">
        <f>AND(#REF!,"AAAAAF+n/gU=")</f>
        <v>#REF!</v>
      </c>
      <c r="G44" t="e">
        <f>AND(#REF!,"AAAAAF+n/gY=")</f>
        <v>#REF!</v>
      </c>
      <c r="H44" t="e">
        <f>AND(#REF!,"AAAAAF+n/gc=")</f>
        <v>#REF!</v>
      </c>
      <c r="I44" t="e">
        <f>AND(#REF!,"AAAAAF+n/gg=")</f>
        <v>#REF!</v>
      </c>
      <c r="J44" t="e">
        <f>AND(#REF!,"AAAAAF+n/gk=")</f>
        <v>#REF!</v>
      </c>
      <c r="K44" t="e">
        <f>AND(#REF!,"AAAAAF+n/go=")</f>
        <v>#REF!</v>
      </c>
      <c r="L44" t="e">
        <f>AND(#REF!,"AAAAAF+n/gs=")</f>
        <v>#REF!</v>
      </c>
      <c r="M44" t="e">
        <f>AND(#REF!,"AAAAAF+n/gw=")</f>
        <v>#REF!</v>
      </c>
      <c r="N44" t="e">
        <f>AND(#REF!,"AAAAAF+n/g0=")</f>
        <v>#REF!</v>
      </c>
      <c r="O44" t="e">
        <f>AND(#REF!,"AAAAAF+n/g4=")</f>
        <v>#REF!</v>
      </c>
      <c r="P44" t="e">
        <f>AND(#REF!,"AAAAAF+n/g8=")</f>
        <v>#REF!</v>
      </c>
      <c r="Q44" t="e">
        <f>AND(#REF!,"AAAAAF+n/hA=")</f>
        <v>#REF!</v>
      </c>
      <c r="R44" t="e">
        <f>AND(#REF!,"AAAAAF+n/hE=")</f>
        <v>#REF!</v>
      </c>
      <c r="S44" t="e">
        <f>AND(#REF!,"AAAAAF+n/hI=")</f>
        <v>#REF!</v>
      </c>
      <c r="T44" t="e">
        <f>AND(#REF!,"AAAAAF+n/hM=")</f>
        <v>#REF!</v>
      </c>
      <c r="U44" t="e">
        <f>AND(#REF!,"AAAAAF+n/hQ=")</f>
        <v>#REF!</v>
      </c>
      <c r="V44" t="e">
        <f>AND(#REF!,"AAAAAF+n/hU=")</f>
        <v>#REF!</v>
      </c>
      <c r="W44" t="e">
        <f>IF(#REF!,"AAAAAF+n/hY=",0)</f>
        <v>#REF!</v>
      </c>
      <c r="X44" t="e">
        <f>AND(#REF!,"AAAAAF+n/hc=")</f>
        <v>#REF!</v>
      </c>
      <c r="Y44" t="e">
        <f>AND(#REF!,"AAAAAF+n/hg=")</f>
        <v>#REF!</v>
      </c>
      <c r="Z44" t="e">
        <f>AND(#REF!,"AAAAAF+n/hk=")</f>
        <v>#REF!</v>
      </c>
      <c r="AA44" t="e">
        <f>AND(#REF!,"AAAAAF+n/ho=")</f>
        <v>#REF!</v>
      </c>
      <c r="AB44" t="e">
        <f>AND(#REF!,"AAAAAF+n/hs=")</f>
        <v>#REF!</v>
      </c>
      <c r="AC44" t="e">
        <f>AND(#REF!,"AAAAAF+n/hw=")</f>
        <v>#REF!</v>
      </c>
      <c r="AD44" t="e">
        <f>AND(#REF!,"AAAAAF+n/h0=")</f>
        <v>#REF!</v>
      </c>
      <c r="AE44" t="e">
        <f>AND(#REF!,"AAAAAF+n/h4=")</f>
        <v>#REF!</v>
      </c>
      <c r="AF44" t="e">
        <f>AND(#REF!,"AAAAAF+n/h8=")</f>
        <v>#REF!</v>
      </c>
      <c r="AG44" t="e">
        <f>AND(#REF!,"AAAAAF+n/iA=")</f>
        <v>#REF!</v>
      </c>
      <c r="AH44" t="e">
        <f>AND(#REF!,"AAAAAF+n/iE=")</f>
        <v>#REF!</v>
      </c>
      <c r="AI44" t="e">
        <f>AND(#REF!,"AAAAAF+n/iI=")</f>
        <v>#REF!</v>
      </c>
      <c r="AJ44" t="e">
        <f>AND(#REF!,"AAAAAF+n/iM=")</f>
        <v>#REF!</v>
      </c>
      <c r="AK44" t="e">
        <f>AND(#REF!,"AAAAAF+n/iQ=")</f>
        <v>#REF!</v>
      </c>
      <c r="AL44" t="e">
        <f>AND(#REF!,"AAAAAF+n/iU=")</f>
        <v>#REF!</v>
      </c>
      <c r="AM44" t="e">
        <f>AND(#REF!,"AAAAAF+n/iY=")</f>
        <v>#REF!</v>
      </c>
      <c r="AN44" t="e">
        <f>AND(#REF!,"AAAAAF+n/ic=")</f>
        <v>#REF!</v>
      </c>
      <c r="AO44" t="e">
        <f>AND(#REF!,"AAAAAF+n/ig=")</f>
        <v>#REF!</v>
      </c>
      <c r="AP44" t="e">
        <f>AND(#REF!,"AAAAAF+n/ik=")</f>
        <v>#REF!</v>
      </c>
      <c r="AQ44" t="e">
        <f>AND(#REF!,"AAAAAF+n/io=")</f>
        <v>#REF!</v>
      </c>
      <c r="AR44" t="e">
        <f>AND(#REF!,"AAAAAF+n/is=")</f>
        <v>#REF!</v>
      </c>
      <c r="AS44" t="e">
        <f>AND(#REF!,"AAAAAF+n/iw=")</f>
        <v>#REF!</v>
      </c>
      <c r="AT44" t="e">
        <f>AND(#REF!,"AAAAAF+n/i0=")</f>
        <v>#REF!</v>
      </c>
      <c r="AU44" t="e">
        <f>AND(#REF!,"AAAAAF+n/i4=")</f>
        <v>#REF!</v>
      </c>
      <c r="AV44" t="e">
        <f>AND(#REF!,"AAAAAF+n/i8=")</f>
        <v>#REF!</v>
      </c>
      <c r="AW44" t="e">
        <f>AND(#REF!,"AAAAAF+n/jA=")</f>
        <v>#REF!</v>
      </c>
      <c r="AX44" t="e">
        <f>AND(#REF!,"AAAAAF+n/jE=")</f>
        <v>#REF!</v>
      </c>
      <c r="AY44" t="e">
        <f>AND(#REF!,"AAAAAF+n/jI=")</f>
        <v>#REF!</v>
      </c>
      <c r="AZ44" t="e">
        <f>AND(#REF!,"AAAAAF+n/jM=")</f>
        <v>#REF!</v>
      </c>
      <c r="BA44" t="e">
        <f>AND(#REF!,"AAAAAF+n/jQ=")</f>
        <v>#REF!</v>
      </c>
      <c r="BB44" t="e">
        <f>AND(#REF!,"AAAAAF+n/jU=")</f>
        <v>#REF!</v>
      </c>
      <c r="BC44" t="e">
        <f>AND(#REF!,"AAAAAF+n/jY=")</f>
        <v>#REF!</v>
      </c>
      <c r="BD44" t="e">
        <f>AND(#REF!,"AAAAAF+n/jc=")</f>
        <v>#REF!</v>
      </c>
      <c r="BE44" t="e">
        <f>AND(#REF!,"AAAAAF+n/jg=")</f>
        <v>#REF!</v>
      </c>
      <c r="BF44" t="e">
        <f>AND(#REF!,"AAAAAF+n/jk=")</f>
        <v>#REF!</v>
      </c>
      <c r="BG44" t="e">
        <f>AND(#REF!,"AAAAAF+n/jo=")</f>
        <v>#REF!</v>
      </c>
      <c r="BH44" t="e">
        <f>AND(#REF!,"AAAAAF+n/js=")</f>
        <v>#REF!</v>
      </c>
      <c r="BI44" t="e">
        <f>AND(#REF!,"AAAAAF+n/jw=")</f>
        <v>#REF!</v>
      </c>
      <c r="BJ44" t="e">
        <f>AND(#REF!,"AAAAAF+n/j0=")</f>
        <v>#REF!</v>
      </c>
      <c r="BK44" t="e">
        <f>AND(#REF!,"AAAAAF+n/j4=")</f>
        <v>#REF!</v>
      </c>
      <c r="BL44" t="e">
        <f>AND(#REF!,"AAAAAF+n/j8=")</f>
        <v>#REF!</v>
      </c>
      <c r="BM44" t="e">
        <f>AND(#REF!,"AAAAAF+n/kA=")</f>
        <v>#REF!</v>
      </c>
      <c r="BN44" t="e">
        <f>AND(#REF!,"AAAAAF+n/kE=")</f>
        <v>#REF!</v>
      </c>
      <c r="BO44" t="e">
        <f>AND(#REF!,"AAAAAF+n/kI=")</f>
        <v>#REF!</v>
      </c>
      <c r="BP44" t="e">
        <f>AND(#REF!,"AAAAAF+n/kM=")</f>
        <v>#REF!</v>
      </c>
      <c r="BQ44" t="e">
        <f>AND(#REF!,"AAAAAF+n/kQ=")</f>
        <v>#REF!</v>
      </c>
      <c r="BR44" t="e">
        <f>AND(#REF!,"AAAAAF+n/kU=")</f>
        <v>#REF!</v>
      </c>
      <c r="BS44" t="e">
        <f>AND(#REF!,"AAAAAF+n/kY=")</f>
        <v>#REF!</v>
      </c>
      <c r="BT44" t="e">
        <f>AND(#REF!,"AAAAAF+n/kc=")</f>
        <v>#REF!</v>
      </c>
      <c r="BU44" t="e">
        <f>AND(#REF!,"AAAAAF+n/kg=")</f>
        <v>#REF!</v>
      </c>
      <c r="BV44" t="e">
        <f>AND(#REF!,"AAAAAF+n/kk=")</f>
        <v>#REF!</v>
      </c>
      <c r="BW44" t="e">
        <f>AND(#REF!,"AAAAAF+n/ko=")</f>
        <v>#REF!</v>
      </c>
      <c r="BX44" t="e">
        <f>AND(#REF!,"AAAAAF+n/ks=")</f>
        <v>#REF!</v>
      </c>
      <c r="BY44" t="e">
        <f>AND(#REF!,"AAAAAF+n/kw=")</f>
        <v>#REF!</v>
      </c>
      <c r="BZ44" t="e">
        <f>AND(#REF!,"AAAAAF+n/k0=")</f>
        <v>#REF!</v>
      </c>
      <c r="CA44" t="e">
        <f>AND(#REF!,"AAAAAF+n/k4=")</f>
        <v>#REF!</v>
      </c>
      <c r="CB44" t="e">
        <f>AND(#REF!,"AAAAAF+n/k8=")</f>
        <v>#REF!</v>
      </c>
      <c r="CC44" t="e">
        <f>AND(#REF!,"AAAAAF+n/lA=")</f>
        <v>#REF!</v>
      </c>
      <c r="CD44" t="e">
        <f>AND(#REF!,"AAAAAF+n/lE=")</f>
        <v>#REF!</v>
      </c>
      <c r="CE44" t="e">
        <f>AND(#REF!,"AAAAAF+n/lI=")</f>
        <v>#REF!</v>
      </c>
      <c r="CF44" t="e">
        <f>AND(#REF!,"AAAAAF+n/lM=")</f>
        <v>#REF!</v>
      </c>
      <c r="CG44" t="e">
        <f>AND(#REF!,"AAAAAF+n/lQ=")</f>
        <v>#REF!</v>
      </c>
      <c r="CH44" t="e">
        <f>AND(#REF!,"AAAAAF+n/lU=")</f>
        <v>#REF!</v>
      </c>
      <c r="CI44" t="e">
        <f>AND(#REF!,"AAAAAF+n/lY=")</f>
        <v>#REF!</v>
      </c>
      <c r="CJ44" t="e">
        <f>AND(#REF!,"AAAAAF+n/lc=")</f>
        <v>#REF!</v>
      </c>
      <c r="CK44" t="e">
        <f>AND(#REF!,"AAAAAF+n/lg=")</f>
        <v>#REF!</v>
      </c>
      <c r="CL44" t="e">
        <f>AND(#REF!,"AAAAAF+n/lk=")</f>
        <v>#REF!</v>
      </c>
      <c r="CM44" t="e">
        <f>AND(#REF!,"AAAAAF+n/lo=")</f>
        <v>#REF!</v>
      </c>
      <c r="CN44" t="e">
        <f>AND(#REF!,"AAAAAF+n/ls=")</f>
        <v>#REF!</v>
      </c>
      <c r="CO44" t="e">
        <f>AND(#REF!,"AAAAAF+n/lw=")</f>
        <v>#REF!</v>
      </c>
      <c r="CP44" t="e">
        <f>AND(#REF!,"AAAAAF+n/l0=")</f>
        <v>#REF!</v>
      </c>
      <c r="CQ44" t="e">
        <f>AND(#REF!,"AAAAAF+n/l4=")</f>
        <v>#REF!</v>
      </c>
      <c r="CR44" t="e">
        <f>AND(#REF!,"AAAAAF+n/l8=")</f>
        <v>#REF!</v>
      </c>
      <c r="CS44" t="e">
        <f>AND(#REF!,"AAAAAF+n/mA=")</f>
        <v>#REF!</v>
      </c>
      <c r="CT44" t="e">
        <f>AND(#REF!,"AAAAAF+n/mE=")</f>
        <v>#REF!</v>
      </c>
      <c r="CU44" t="e">
        <f>AND(#REF!,"AAAAAF+n/mI=")</f>
        <v>#REF!</v>
      </c>
      <c r="CV44" t="e">
        <f>AND(#REF!,"AAAAAF+n/mM=")</f>
        <v>#REF!</v>
      </c>
      <c r="CW44" t="e">
        <f>AND(#REF!,"AAAAAF+n/mQ=")</f>
        <v>#REF!</v>
      </c>
      <c r="CX44" t="e">
        <f>AND(#REF!,"AAAAAF+n/mU=")</f>
        <v>#REF!</v>
      </c>
      <c r="CY44" t="e">
        <f>AND(#REF!,"AAAAAF+n/mY=")</f>
        <v>#REF!</v>
      </c>
      <c r="CZ44" t="e">
        <f>AND(#REF!,"AAAAAF+n/mc=")</f>
        <v>#REF!</v>
      </c>
      <c r="DA44" t="e">
        <f>AND(#REF!,"AAAAAF+n/mg=")</f>
        <v>#REF!</v>
      </c>
      <c r="DB44" t="e">
        <f>AND(#REF!,"AAAAAF+n/mk=")</f>
        <v>#REF!</v>
      </c>
      <c r="DC44" t="e">
        <f>AND(#REF!,"AAAAAF+n/mo=")</f>
        <v>#REF!</v>
      </c>
      <c r="DD44" t="e">
        <f>AND(#REF!,"AAAAAF+n/ms=")</f>
        <v>#REF!</v>
      </c>
      <c r="DE44" t="e">
        <f>AND(#REF!,"AAAAAF+n/mw=")</f>
        <v>#REF!</v>
      </c>
      <c r="DF44" t="e">
        <f>AND(#REF!,"AAAAAF+n/m0=")</f>
        <v>#REF!</v>
      </c>
      <c r="DG44" t="e">
        <f>AND(#REF!,"AAAAAF+n/m4=")</f>
        <v>#REF!</v>
      </c>
      <c r="DH44" t="e">
        <f>AND(#REF!,"AAAAAF+n/m8=")</f>
        <v>#REF!</v>
      </c>
      <c r="DI44" t="e">
        <f>AND(#REF!,"AAAAAF+n/nA=")</f>
        <v>#REF!</v>
      </c>
      <c r="DJ44" t="e">
        <f>AND(#REF!,"AAAAAF+n/nE=")</f>
        <v>#REF!</v>
      </c>
      <c r="DK44" t="e">
        <f>AND(#REF!,"AAAAAF+n/nI=")</f>
        <v>#REF!</v>
      </c>
      <c r="DL44" t="e">
        <f>AND(#REF!,"AAAAAF+n/nM=")</f>
        <v>#REF!</v>
      </c>
      <c r="DM44" t="e">
        <f>AND(#REF!,"AAAAAF+n/nQ=")</f>
        <v>#REF!</v>
      </c>
      <c r="DN44" t="e">
        <f>AND(#REF!,"AAAAAF+n/nU=")</f>
        <v>#REF!</v>
      </c>
      <c r="DO44" t="e">
        <f>AND(#REF!,"AAAAAF+n/nY=")</f>
        <v>#REF!</v>
      </c>
      <c r="DP44" t="e">
        <f>AND(#REF!,"AAAAAF+n/nc=")</f>
        <v>#REF!</v>
      </c>
      <c r="DQ44" t="e">
        <f>AND(#REF!,"AAAAAF+n/ng=")</f>
        <v>#REF!</v>
      </c>
      <c r="DR44" t="e">
        <f>AND(#REF!,"AAAAAF+n/nk=")</f>
        <v>#REF!</v>
      </c>
      <c r="DS44" t="e">
        <f>AND(#REF!,"AAAAAF+n/no=")</f>
        <v>#REF!</v>
      </c>
      <c r="DT44" t="e">
        <f>AND(#REF!,"AAAAAF+n/ns=")</f>
        <v>#REF!</v>
      </c>
      <c r="DU44" t="e">
        <f>AND(#REF!,"AAAAAF+n/nw=")</f>
        <v>#REF!</v>
      </c>
      <c r="DV44" t="e">
        <f>AND(#REF!,"AAAAAF+n/n0=")</f>
        <v>#REF!</v>
      </c>
      <c r="DW44" t="e">
        <f>AND(#REF!,"AAAAAF+n/n4=")</f>
        <v>#REF!</v>
      </c>
      <c r="DX44" t="e">
        <f>IF(#REF!,"AAAAAF+n/n8=",0)</f>
        <v>#REF!</v>
      </c>
      <c r="DY44" t="e">
        <f>AND(#REF!,"AAAAAF+n/oA=")</f>
        <v>#REF!</v>
      </c>
      <c r="DZ44" t="e">
        <f>AND(#REF!,"AAAAAF+n/oE=")</f>
        <v>#REF!</v>
      </c>
      <c r="EA44" t="e">
        <f>AND(#REF!,"AAAAAF+n/oI=")</f>
        <v>#REF!</v>
      </c>
      <c r="EB44" t="e">
        <f>AND(#REF!,"AAAAAF+n/oM=")</f>
        <v>#REF!</v>
      </c>
      <c r="EC44" t="e">
        <f>AND(#REF!,"AAAAAF+n/oQ=")</f>
        <v>#REF!</v>
      </c>
      <c r="ED44" t="e">
        <f>AND(#REF!,"AAAAAF+n/oU=")</f>
        <v>#REF!</v>
      </c>
      <c r="EE44" t="e">
        <f>AND(#REF!,"AAAAAF+n/oY=")</f>
        <v>#REF!</v>
      </c>
      <c r="EF44" t="e">
        <f>AND(#REF!,"AAAAAF+n/oc=")</f>
        <v>#REF!</v>
      </c>
      <c r="EG44" t="e">
        <f>AND(#REF!,"AAAAAF+n/og=")</f>
        <v>#REF!</v>
      </c>
      <c r="EH44" t="e">
        <f>AND(#REF!,"AAAAAF+n/ok=")</f>
        <v>#REF!</v>
      </c>
      <c r="EI44" t="e">
        <f>AND(#REF!,"AAAAAF+n/oo=")</f>
        <v>#REF!</v>
      </c>
      <c r="EJ44" t="e">
        <f>AND(#REF!,"AAAAAF+n/os=")</f>
        <v>#REF!</v>
      </c>
      <c r="EK44" t="e">
        <f>AND(#REF!,"AAAAAF+n/ow=")</f>
        <v>#REF!</v>
      </c>
      <c r="EL44" t="e">
        <f>AND(#REF!,"AAAAAF+n/o0=")</f>
        <v>#REF!</v>
      </c>
      <c r="EM44" t="e">
        <f>AND(#REF!,"AAAAAF+n/o4=")</f>
        <v>#REF!</v>
      </c>
      <c r="EN44" t="e">
        <f>AND(#REF!,"AAAAAF+n/o8=")</f>
        <v>#REF!</v>
      </c>
      <c r="EO44" t="e">
        <f>AND(#REF!,"AAAAAF+n/pA=")</f>
        <v>#REF!</v>
      </c>
      <c r="EP44" t="e">
        <f>AND(#REF!,"AAAAAF+n/pE=")</f>
        <v>#REF!</v>
      </c>
      <c r="EQ44" t="e">
        <f>AND(#REF!,"AAAAAF+n/pI=")</f>
        <v>#REF!</v>
      </c>
      <c r="ER44" t="e">
        <f>AND(#REF!,"AAAAAF+n/pM=")</f>
        <v>#REF!</v>
      </c>
      <c r="ES44" t="e">
        <f>AND(#REF!,"AAAAAF+n/pQ=")</f>
        <v>#REF!</v>
      </c>
      <c r="ET44" t="e">
        <f>AND(#REF!,"AAAAAF+n/pU=")</f>
        <v>#REF!</v>
      </c>
      <c r="EU44" t="e">
        <f>AND(#REF!,"AAAAAF+n/pY=")</f>
        <v>#REF!</v>
      </c>
      <c r="EV44" t="e">
        <f>AND(#REF!,"AAAAAF+n/pc=")</f>
        <v>#REF!</v>
      </c>
      <c r="EW44" t="e">
        <f>AND(#REF!,"AAAAAF+n/pg=")</f>
        <v>#REF!</v>
      </c>
      <c r="EX44" t="e">
        <f>AND(#REF!,"AAAAAF+n/pk=")</f>
        <v>#REF!</v>
      </c>
      <c r="EY44" t="e">
        <f>AND(#REF!,"AAAAAF+n/po=")</f>
        <v>#REF!</v>
      </c>
      <c r="EZ44" t="e">
        <f>AND(#REF!,"AAAAAF+n/ps=")</f>
        <v>#REF!</v>
      </c>
      <c r="FA44" t="e">
        <f>AND(#REF!,"AAAAAF+n/pw=")</f>
        <v>#REF!</v>
      </c>
      <c r="FB44" t="e">
        <f>AND(#REF!,"AAAAAF+n/p0=")</f>
        <v>#REF!</v>
      </c>
      <c r="FC44" t="e">
        <f>AND(#REF!,"AAAAAF+n/p4=")</f>
        <v>#REF!</v>
      </c>
      <c r="FD44" t="e">
        <f>AND(#REF!,"AAAAAF+n/p8=")</f>
        <v>#REF!</v>
      </c>
      <c r="FE44" t="e">
        <f>AND(#REF!,"AAAAAF+n/qA=")</f>
        <v>#REF!</v>
      </c>
      <c r="FF44" t="e">
        <f>AND(#REF!,"AAAAAF+n/qE=")</f>
        <v>#REF!</v>
      </c>
      <c r="FG44" t="e">
        <f>AND(#REF!,"AAAAAF+n/qI=")</f>
        <v>#REF!</v>
      </c>
      <c r="FH44" t="e">
        <f>AND(#REF!,"AAAAAF+n/qM=")</f>
        <v>#REF!</v>
      </c>
      <c r="FI44" t="e">
        <f>AND(#REF!,"AAAAAF+n/qQ=")</f>
        <v>#REF!</v>
      </c>
      <c r="FJ44" t="e">
        <f>AND(#REF!,"AAAAAF+n/qU=")</f>
        <v>#REF!</v>
      </c>
      <c r="FK44" t="e">
        <f>AND(#REF!,"AAAAAF+n/qY=")</f>
        <v>#REF!</v>
      </c>
      <c r="FL44" t="e">
        <f>AND(#REF!,"AAAAAF+n/qc=")</f>
        <v>#REF!</v>
      </c>
      <c r="FM44" t="e">
        <f>AND(#REF!,"AAAAAF+n/qg=")</f>
        <v>#REF!</v>
      </c>
      <c r="FN44" t="e">
        <f>AND(#REF!,"AAAAAF+n/qk=")</f>
        <v>#REF!</v>
      </c>
      <c r="FO44" t="e">
        <f>AND(#REF!,"AAAAAF+n/qo=")</f>
        <v>#REF!</v>
      </c>
      <c r="FP44" t="e">
        <f>AND(#REF!,"AAAAAF+n/qs=")</f>
        <v>#REF!</v>
      </c>
      <c r="FQ44" t="e">
        <f>AND(#REF!,"AAAAAF+n/qw=")</f>
        <v>#REF!</v>
      </c>
      <c r="FR44" t="e">
        <f>AND(#REF!,"AAAAAF+n/q0=")</f>
        <v>#REF!</v>
      </c>
      <c r="FS44" t="e">
        <f>AND(#REF!,"AAAAAF+n/q4=")</f>
        <v>#REF!</v>
      </c>
      <c r="FT44" t="e">
        <f>AND(#REF!,"AAAAAF+n/q8=")</f>
        <v>#REF!</v>
      </c>
      <c r="FU44" t="e">
        <f>AND(#REF!,"AAAAAF+n/rA=")</f>
        <v>#REF!</v>
      </c>
      <c r="FV44" t="e">
        <f>AND(#REF!,"AAAAAF+n/rE=")</f>
        <v>#REF!</v>
      </c>
      <c r="FW44" t="e">
        <f>AND(#REF!,"AAAAAF+n/rI=")</f>
        <v>#REF!</v>
      </c>
      <c r="FX44" t="e">
        <f>AND(#REF!,"AAAAAF+n/rM=")</f>
        <v>#REF!</v>
      </c>
      <c r="FY44" t="e">
        <f>AND(#REF!,"AAAAAF+n/rQ=")</f>
        <v>#REF!</v>
      </c>
      <c r="FZ44" t="e">
        <f>AND(#REF!,"AAAAAF+n/rU=")</f>
        <v>#REF!</v>
      </c>
      <c r="GA44" t="e">
        <f>AND(#REF!,"AAAAAF+n/rY=")</f>
        <v>#REF!</v>
      </c>
      <c r="GB44" t="e">
        <f>AND(#REF!,"AAAAAF+n/rc=")</f>
        <v>#REF!</v>
      </c>
      <c r="GC44" t="e">
        <f>AND(#REF!,"AAAAAF+n/rg=")</f>
        <v>#REF!</v>
      </c>
      <c r="GD44" t="e">
        <f>AND(#REF!,"AAAAAF+n/rk=")</f>
        <v>#REF!</v>
      </c>
      <c r="GE44" t="e">
        <f>AND(#REF!,"AAAAAF+n/ro=")</f>
        <v>#REF!</v>
      </c>
      <c r="GF44" t="e">
        <f>AND(#REF!,"AAAAAF+n/rs=")</f>
        <v>#REF!</v>
      </c>
      <c r="GG44" t="e">
        <f>AND(#REF!,"AAAAAF+n/rw=")</f>
        <v>#REF!</v>
      </c>
      <c r="GH44" t="e">
        <f>AND(#REF!,"AAAAAF+n/r0=")</f>
        <v>#REF!</v>
      </c>
      <c r="GI44" t="e">
        <f>AND(#REF!,"AAAAAF+n/r4=")</f>
        <v>#REF!</v>
      </c>
      <c r="GJ44" t="e">
        <f>AND(#REF!,"AAAAAF+n/r8=")</f>
        <v>#REF!</v>
      </c>
      <c r="GK44" t="e">
        <f>AND(#REF!,"AAAAAF+n/sA=")</f>
        <v>#REF!</v>
      </c>
      <c r="GL44" t="e">
        <f>AND(#REF!,"AAAAAF+n/sE=")</f>
        <v>#REF!</v>
      </c>
      <c r="GM44" t="e">
        <f>AND(#REF!,"AAAAAF+n/sI=")</f>
        <v>#REF!</v>
      </c>
      <c r="GN44" t="e">
        <f>AND(#REF!,"AAAAAF+n/sM=")</f>
        <v>#REF!</v>
      </c>
      <c r="GO44" t="e">
        <f>AND(#REF!,"AAAAAF+n/sQ=")</f>
        <v>#REF!</v>
      </c>
      <c r="GP44" t="e">
        <f>AND(#REF!,"AAAAAF+n/sU=")</f>
        <v>#REF!</v>
      </c>
      <c r="GQ44" t="e">
        <f>AND(#REF!,"AAAAAF+n/sY=")</f>
        <v>#REF!</v>
      </c>
      <c r="GR44" t="e">
        <f>AND(#REF!,"AAAAAF+n/sc=")</f>
        <v>#REF!</v>
      </c>
      <c r="GS44" t="e">
        <f>AND(#REF!,"AAAAAF+n/sg=")</f>
        <v>#REF!</v>
      </c>
      <c r="GT44" t="e">
        <f>AND(#REF!,"AAAAAF+n/sk=")</f>
        <v>#REF!</v>
      </c>
      <c r="GU44" t="e">
        <f>AND(#REF!,"AAAAAF+n/so=")</f>
        <v>#REF!</v>
      </c>
      <c r="GV44" t="e">
        <f>AND(#REF!,"AAAAAF+n/ss=")</f>
        <v>#REF!</v>
      </c>
      <c r="GW44" t="e">
        <f>AND(#REF!,"AAAAAF+n/sw=")</f>
        <v>#REF!</v>
      </c>
      <c r="GX44" t="e">
        <f>AND(#REF!,"AAAAAF+n/s0=")</f>
        <v>#REF!</v>
      </c>
      <c r="GY44" t="e">
        <f>AND(#REF!,"AAAAAF+n/s4=")</f>
        <v>#REF!</v>
      </c>
      <c r="GZ44" t="e">
        <f>AND(#REF!,"AAAAAF+n/s8=")</f>
        <v>#REF!</v>
      </c>
      <c r="HA44" t="e">
        <f>AND(#REF!,"AAAAAF+n/tA=")</f>
        <v>#REF!</v>
      </c>
      <c r="HB44" t="e">
        <f>AND(#REF!,"AAAAAF+n/tE=")</f>
        <v>#REF!</v>
      </c>
      <c r="HC44" t="e">
        <f>AND(#REF!,"AAAAAF+n/tI=")</f>
        <v>#REF!</v>
      </c>
      <c r="HD44" t="e">
        <f>AND(#REF!,"AAAAAF+n/tM=")</f>
        <v>#REF!</v>
      </c>
      <c r="HE44" t="e">
        <f>AND(#REF!,"AAAAAF+n/tQ=")</f>
        <v>#REF!</v>
      </c>
      <c r="HF44" t="e">
        <f>AND(#REF!,"AAAAAF+n/tU=")</f>
        <v>#REF!</v>
      </c>
      <c r="HG44" t="e">
        <f>AND(#REF!,"AAAAAF+n/tY=")</f>
        <v>#REF!</v>
      </c>
      <c r="HH44" t="e">
        <f>AND(#REF!,"AAAAAF+n/tc=")</f>
        <v>#REF!</v>
      </c>
      <c r="HI44" t="e">
        <f>AND(#REF!,"AAAAAF+n/tg=")</f>
        <v>#REF!</v>
      </c>
      <c r="HJ44" t="e">
        <f>AND(#REF!,"AAAAAF+n/tk=")</f>
        <v>#REF!</v>
      </c>
      <c r="HK44" t="e">
        <f>AND(#REF!,"AAAAAF+n/to=")</f>
        <v>#REF!</v>
      </c>
      <c r="HL44" t="e">
        <f>AND(#REF!,"AAAAAF+n/ts=")</f>
        <v>#REF!</v>
      </c>
      <c r="HM44" t="e">
        <f>AND(#REF!,"AAAAAF+n/tw=")</f>
        <v>#REF!</v>
      </c>
      <c r="HN44" t="e">
        <f>AND(#REF!,"AAAAAF+n/t0=")</f>
        <v>#REF!</v>
      </c>
      <c r="HO44" t="e">
        <f>AND(#REF!,"AAAAAF+n/t4=")</f>
        <v>#REF!</v>
      </c>
      <c r="HP44" t="e">
        <f>AND(#REF!,"AAAAAF+n/t8=")</f>
        <v>#REF!</v>
      </c>
      <c r="HQ44" t="e">
        <f>AND(#REF!,"AAAAAF+n/uA=")</f>
        <v>#REF!</v>
      </c>
      <c r="HR44" t="e">
        <f>AND(#REF!,"AAAAAF+n/uE=")</f>
        <v>#REF!</v>
      </c>
      <c r="HS44" t="e">
        <f>AND(#REF!,"AAAAAF+n/uI=")</f>
        <v>#REF!</v>
      </c>
      <c r="HT44" t="e">
        <f>AND(#REF!,"AAAAAF+n/uM=")</f>
        <v>#REF!</v>
      </c>
      <c r="HU44" t="e">
        <f>AND(#REF!,"AAAAAF+n/uQ=")</f>
        <v>#REF!</v>
      </c>
      <c r="HV44" t="e">
        <f>AND(#REF!,"AAAAAF+n/uU=")</f>
        <v>#REF!</v>
      </c>
      <c r="HW44" t="e">
        <f>AND(#REF!,"AAAAAF+n/uY=")</f>
        <v>#REF!</v>
      </c>
      <c r="HX44" t="e">
        <f>AND(#REF!,"AAAAAF+n/uc=")</f>
        <v>#REF!</v>
      </c>
      <c r="HY44" t="e">
        <f>IF(#REF!,"AAAAAF+n/ug=",0)</f>
        <v>#REF!</v>
      </c>
      <c r="HZ44" t="e">
        <f>AND(#REF!,"AAAAAF+n/uk=")</f>
        <v>#REF!</v>
      </c>
      <c r="IA44" t="e">
        <f>AND(#REF!,"AAAAAF+n/uo=")</f>
        <v>#REF!</v>
      </c>
      <c r="IB44" t="e">
        <f>AND(#REF!,"AAAAAF+n/us=")</f>
        <v>#REF!</v>
      </c>
      <c r="IC44" t="e">
        <f>AND(#REF!,"AAAAAF+n/uw=")</f>
        <v>#REF!</v>
      </c>
      <c r="ID44" t="e">
        <f>AND(#REF!,"AAAAAF+n/u0=")</f>
        <v>#REF!</v>
      </c>
      <c r="IE44" t="e">
        <f>AND(#REF!,"AAAAAF+n/u4=")</f>
        <v>#REF!</v>
      </c>
      <c r="IF44" t="e">
        <f>AND(#REF!,"AAAAAF+n/u8=")</f>
        <v>#REF!</v>
      </c>
      <c r="IG44" t="e">
        <f>AND(#REF!,"AAAAAF+n/vA=")</f>
        <v>#REF!</v>
      </c>
      <c r="IH44" t="e">
        <f>AND(#REF!,"AAAAAF+n/vE=")</f>
        <v>#REF!</v>
      </c>
      <c r="II44" t="e">
        <f>AND(#REF!,"AAAAAF+n/vI=")</f>
        <v>#REF!</v>
      </c>
      <c r="IJ44" t="e">
        <f>AND(#REF!,"AAAAAF+n/vM=")</f>
        <v>#REF!</v>
      </c>
      <c r="IK44" t="e">
        <f>AND(#REF!,"AAAAAF+n/vQ=")</f>
        <v>#REF!</v>
      </c>
      <c r="IL44" t="e">
        <f>AND(#REF!,"AAAAAF+n/vU=")</f>
        <v>#REF!</v>
      </c>
      <c r="IM44" t="e">
        <f>AND(#REF!,"AAAAAF+n/vY=")</f>
        <v>#REF!</v>
      </c>
      <c r="IN44" t="e">
        <f>AND(#REF!,"AAAAAF+n/vc=")</f>
        <v>#REF!</v>
      </c>
      <c r="IO44" t="e">
        <f>AND(#REF!,"AAAAAF+n/vg=")</f>
        <v>#REF!</v>
      </c>
      <c r="IP44" t="e">
        <f>AND(#REF!,"AAAAAF+n/vk=")</f>
        <v>#REF!</v>
      </c>
      <c r="IQ44" t="e">
        <f>AND(#REF!,"AAAAAF+n/vo=")</f>
        <v>#REF!</v>
      </c>
      <c r="IR44" t="e">
        <f>AND(#REF!,"AAAAAF+n/vs=")</f>
        <v>#REF!</v>
      </c>
      <c r="IS44" t="e">
        <f>AND(#REF!,"AAAAAF+n/vw=")</f>
        <v>#REF!</v>
      </c>
      <c r="IT44" t="e">
        <f>AND(#REF!,"AAAAAF+n/v0=")</f>
        <v>#REF!</v>
      </c>
      <c r="IU44" t="e">
        <f>AND(#REF!,"AAAAAF+n/v4=")</f>
        <v>#REF!</v>
      </c>
      <c r="IV44" t="e">
        <f>AND(#REF!,"AAAAAF+n/v8=")</f>
        <v>#REF!</v>
      </c>
    </row>
    <row r="45" spans="1:256" x14ac:dyDescent="0.25">
      <c r="A45" t="e">
        <f>AND(#REF!,"AAAAAH3aPwA=")</f>
        <v>#REF!</v>
      </c>
      <c r="B45" t="e">
        <f>AND(#REF!,"AAAAAH3aPwE=")</f>
        <v>#REF!</v>
      </c>
      <c r="C45" t="e">
        <f>AND(#REF!,"AAAAAH3aPwI=")</f>
        <v>#REF!</v>
      </c>
      <c r="D45" t="e">
        <f>AND(#REF!,"AAAAAH3aPwM=")</f>
        <v>#REF!</v>
      </c>
      <c r="E45" t="e">
        <f>AND(#REF!,"AAAAAH3aPwQ=")</f>
        <v>#REF!</v>
      </c>
      <c r="F45" t="e">
        <f>AND(#REF!,"AAAAAH3aPwU=")</f>
        <v>#REF!</v>
      </c>
      <c r="G45" t="e">
        <f>AND(#REF!,"AAAAAH3aPwY=")</f>
        <v>#REF!</v>
      </c>
      <c r="H45" t="e">
        <f>AND(#REF!,"AAAAAH3aPwc=")</f>
        <v>#REF!</v>
      </c>
      <c r="I45" t="e">
        <f>AND(#REF!,"AAAAAH3aPwg=")</f>
        <v>#REF!</v>
      </c>
      <c r="J45" t="e">
        <f>AND(#REF!,"AAAAAH3aPwk=")</f>
        <v>#REF!</v>
      </c>
      <c r="K45" t="e">
        <f>AND(#REF!,"AAAAAH3aPwo=")</f>
        <v>#REF!</v>
      </c>
      <c r="L45" t="e">
        <f>AND(#REF!,"AAAAAH3aPws=")</f>
        <v>#REF!</v>
      </c>
      <c r="M45" t="e">
        <f>AND(#REF!,"AAAAAH3aPww=")</f>
        <v>#REF!</v>
      </c>
      <c r="N45" t="e">
        <f>AND(#REF!,"AAAAAH3aPw0=")</f>
        <v>#REF!</v>
      </c>
      <c r="O45" t="e">
        <f>AND(#REF!,"AAAAAH3aPw4=")</f>
        <v>#REF!</v>
      </c>
      <c r="P45" t="e">
        <f>AND(#REF!,"AAAAAH3aPw8=")</f>
        <v>#REF!</v>
      </c>
      <c r="Q45" t="e">
        <f>AND(#REF!,"AAAAAH3aPxA=")</f>
        <v>#REF!</v>
      </c>
      <c r="R45" t="e">
        <f>AND(#REF!,"AAAAAH3aPxE=")</f>
        <v>#REF!</v>
      </c>
      <c r="S45" t="e">
        <f>AND(#REF!,"AAAAAH3aPxI=")</f>
        <v>#REF!</v>
      </c>
      <c r="T45" t="e">
        <f>AND(#REF!,"AAAAAH3aPxM=")</f>
        <v>#REF!</v>
      </c>
      <c r="U45" t="e">
        <f>AND(#REF!,"AAAAAH3aPxQ=")</f>
        <v>#REF!</v>
      </c>
      <c r="V45" t="e">
        <f>AND(#REF!,"AAAAAH3aPxU=")</f>
        <v>#REF!</v>
      </c>
      <c r="W45" t="e">
        <f>AND(#REF!,"AAAAAH3aPxY=")</f>
        <v>#REF!</v>
      </c>
      <c r="X45" t="e">
        <f>AND(#REF!,"AAAAAH3aPxc=")</f>
        <v>#REF!</v>
      </c>
      <c r="Y45" t="e">
        <f>AND(#REF!,"AAAAAH3aPxg=")</f>
        <v>#REF!</v>
      </c>
      <c r="Z45" t="e">
        <f>AND(#REF!,"AAAAAH3aPxk=")</f>
        <v>#REF!</v>
      </c>
      <c r="AA45" t="e">
        <f>AND(#REF!,"AAAAAH3aPxo=")</f>
        <v>#REF!</v>
      </c>
      <c r="AB45" t="e">
        <f>AND(#REF!,"AAAAAH3aPxs=")</f>
        <v>#REF!</v>
      </c>
      <c r="AC45" t="e">
        <f>AND(#REF!,"AAAAAH3aPxw=")</f>
        <v>#REF!</v>
      </c>
      <c r="AD45" t="e">
        <f>AND(#REF!,"AAAAAH3aPx0=")</f>
        <v>#REF!</v>
      </c>
      <c r="AE45" t="e">
        <f>AND(#REF!,"AAAAAH3aPx4=")</f>
        <v>#REF!</v>
      </c>
      <c r="AF45" t="e">
        <f>AND(#REF!,"AAAAAH3aPx8=")</f>
        <v>#REF!</v>
      </c>
      <c r="AG45" t="e">
        <f>AND(#REF!,"AAAAAH3aPyA=")</f>
        <v>#REF!</v>
      </c>
      <c r="AH45" t="e">
        <f>AND(#REF!,"AAAAAH3aPyE=")</f>
        <v>#REF!</v>
      </c>
      <c r="AI45" t="e">
        <f>AND(#REF!,"AAAAAH3aPyI=")</f>
        <v>#REF!</v>
      </c>
      <c r="AJ45" t="e">
        <f>AND(#REF!,"AAAAAH3aPyM=")</f>
        <v>#REF!</v>
      </c>
      <c r="AK45" t="e">
        <f>AND(#REF!,"AAAAAH3aPyQ=")</f>
        <v>#REF!</v>
      </c>
      <c r="AL45" t="e">
        <f>AND(#REF!,"AAAAAH3aPyU=")</f>
        <v>#REF!</v>
      </c>
      <c r="AM45" t="e">
        <f>AND(#REF!,"AAAAAH3aPyY=")</f>
        <v>#REF!</v>
      </c>
      <c r="AN45" t="e">
        <f>AND(#REF!,"AAAAAH3aPyc=")</f>
        <v>#REF!</v>
      </c>
      <c r="AO45" t="e">
        <f>AND(#REF!,"AAAAAH3aPyg=")</f>
        <v>#REF!</v>
      </c>
      <c r="AP45" t="e">
        <f>AND(#REF!,"AAAAAH3aPyk=")</f>
        <v>#REF!</v>
      </c>
      <c r="AQ45" t="e">
        <f>AND(#REF!,"AAAAAH3aPyo=")</f>
        <v>#REF!</v>
      </c>
      <c r="AR45" t="e">
        <f>AND(#REF!,"AAAAAH3aPys=")</f>
        <v>#REF!</v>
      </c>
      <c r="AS45" t="e">
        <f>AND(#REF!,"AAAAAH3aPyw=")</f>
        <v>#REF!</v>
      </c>
      <c r="AT45" t="e">
        <f>AND(#REF!,"AAAAAH3aPy0=")</f>
        <v>#REF!</v>
      </c>
      <c r="AU45" t="e">
        <f>AND(#REF!,"AAAAAH3aPy4=")</f>
        <v>#REF!</v>
      </c>
      <c r="AV45" t="e">
        <f>AND(#REF!,"AAAAAH3aPy8=")</f>
        <v>#REF!</v>
      </c>
      <c r="AW45" t="e">
        <f>AND(#REF!,"AAAAAH3aPzA=")</f>
        <v>#REF!</v>
      </c>
      <c r="AX45" t="e">
        <f>AND(#REF!,"AAAAAH3aPzE=")</f>
        <v>#REF!</v>
      </c>
      <c r="AY45" t="e">
        <f>AND(#REF!,"AAAAAH3aPzI=")</f>
        <v>#REF!</v>
      </c>
      <c r="AZ45" t="e">
        <f>AND(#REF!,"AAAAAH3aPzM=")</f>
        <v>#REF!</v>
      </c>
      <c r="BA45" t="e">
        <f>AND(#REF!,"AAAAAH3aPzQ=")</f>
        <v>#REF!</v>
      </c>
      <c r="BB45" t="e">
        <f>AND(#REF!,"AAAAAH3aPzU=")</f>
        <v>#REF!</v>
      </c>
      <c r="BC45" t="e">
        <f>AND(#REF!,"AAAAAH3aPzY=")</f>
        <v>#REF!</v>
      </c>
      <c r="BD45" t="e">
        <f>AND(#REF!,"AAAAAH3aPzc=")</f>
        <v>#REF!</v>
      </c>
      <c r="BE45" t="e">
        <f>AND(#REF!,"AAAAAH3aPzg=")</f>
        <v>#REF!</v>
      </c>
      <c r="BF45" t="e">
        <f>AND(#REF!,"AAAAAH3aPzk=")</f>
        <v>#REF!</v>
      </c>
      <c r="BG45" t="e">
        <f>AND(#REF!,"AAAAAH3aPzo=")</f>
        <v>#REF!</v>
      </c>
      <c r="BH45" t="e">
        <f>AND(#REF!,"AAAAAH3aPzs=")</f>
        <v>#REF!</v>
      </c>
      <c r="BI45" t="e">
        <f>AND(#REF!,"AAAAAH3aPzw=")</f>
        <v>#REF!</v>
      </c>
      <c r="BJ45" t="e">
        <f>AND(#REF!,"AAAAAH3aPz0=")</f>
        <v>#REF!</v>
      </c>
      <c r="BK45" t="e">
        <f>AND(#REF!,"AAAAAH3aPz4=")</f>
        <v>#REF!</v>
      </c>
      <c r="BL45" t="e">
        <f>AND(#REF!,"AAAAAH3aPz8=")</f>
        <v>#REF!</v>
      </c>
      <c r="BM45" t="e">
        <f>AND(#REF!,"AAAAAH3aP0A=")</f>
        <v>#REF!</v>
      </c>
      <c r="BN45" t="e">
        <f>AND(#REF!,"AAAAAH3aP0E=")</f>
        <v>#REF!</v>
      </c>
      <c r="BO45" t="e">
        <f>AND(#REF!,"AAAAAH3aP0I=")</f>
        <v>#REF!</v>
      </c>
      <c r="BP45" t="e">
        <f>AND(#REF!,"AAAAAH3aP0M=")</f>
        <v>#REF!</v>
      </c>
      <c r="BQ45" t="e">
        <f>AND(#REF!,"AAAAAH3aP0Q=")</f>
        <v>#REF!</v>
      </c>
      <c r="BR45" t="e">
        <f>AND(#REF!,"AAAAAH3aP0U=")</f>
        <v>#REF!</v>
      </c>
      <c r="BS45" t="e">
        <f>AND(#REF!,"AAAAAH3aP0Y=")</f>
        <v>#REF!</v>
      </c>
      <c r="BT45" t="e">
        <f>AND(#REF!,"AAAAAH3aP0c=")</f>
        <v>#REF!</v>
      </c>
      <c r="BU45" t="e">
        <f>AND(#REF!,"AAAAAH3aP0g=")</f>
        <v>#REF!</v>
      </c>
      <c r="BV45" t="e">
        <f>AND(#REF!,"AAAAAH3aP0k=")</f>
        <v>#REF!</v>
      </c>
      <c r="BW45" t="e">
        <f>AND(#REF!,"AAAAAH3aP0o=")</f>
        <v>#REF!</v>
      </c>
      <c r="BX45" t="e">
        <f>AND(#REF!,"AAAAAH3aP0s=")</f>
        <v>#REF!</v>
      </c>
      <c r="BY45" t="e">
        <f>AND(#REF!,"AAAAAH3aP0w=")</f>
        <v>#REF!</v>
      </c>
      <c r="BZ45" t="e">
        <f>AND(#REF!,"AAAAAH3aP00=")</f>
        <v>#REF!</v>
      </c>
      <c r="CA45" t="e">
        <f>AND(#REF!,"AAAAAH3aP04=")</f>
        <v>#REF!</v>
      </c>
      <c r="CB45" t="e">
        <f>AND(#REF!,"AAAAAH3aP08=")</f>
        <v>#REF!</v>
      </c>
      <c r="CC45" t="e">
        <f>AND(#REF!,"AAAAAH3aP1A=")</f>
        <v>#REF!</v>
      </c>
      <c r="CD45" t="e">
        <f>IF(#REF!,"AAAAAH3aP1E=",0)</f>
        <v>#REF!</v>
      </c>
      <c r="CE45" t="e">
        <f>AND(#REF!,"AAAAAH3aP1I=")</f>
        <v>#REF!</v>
      </c>
      <c r="CF45" t="e">
        <f>AND(#REF!,"AAAAAH3aP1M=")</f>
        <v>#REF!</v>
      </c>
      <c r="CG45" t="e">
        <f>AND(#REF!,"AAAAAH3aP1Q=")</f>
        <v>#REF!</v>
      </c>
      <c r="CH45" t="e">
        <f>AND(#REF!,"AAAAAH3aP1U=")</f>
        <v>#REF!</v>
      </c>
      <c r="CI45" t="e">
        <f>AND(#REF!,"AAAAAH3aP1Y=")</f>
        <v>#REF!</v>
      </c>
      <c r="CJ45" t="e">
        <f>AND(#REF!,"AAAAAH3aP1c=")</f>
        <v>#REF!</v>
      </c>
      <c r="CK45" t="e">
        <f>AND(#REF!,"AAAAAH3aP1g=")</f>
        <v>#REF!</v>
      </c>
      <c r="CL45" t="e">
        <f>AND(#REF!,"AAAAAH3aP1k=")</f>
        <v>#REF!</v>
      </c>
      <c r="CM45" t="e">
        <f>AND(#REF!,"AAAAAH3aP1o=")</f>
        <v>#REF!</v>
      </c>
      <c r="CN45" t="e">
        <f>AND(#REF!,"AAAAAH3aP1s=")</f>
        <v>#REF!</v>
      </c>
      <c r="CO45" t="e">
        <f>AND(#REF!,"AAAAAH3aP1w=")</f>
        <v>#REF!</v>
      </c>
      <c r="CP45" t="e">
        <f>AND(#REF!,"AAAAAH3aP10=")</f>
        <v>#REF!</v>
      </c>
      <c r="CQ45" t="e">
        <f>AND(#REF!,"AAAAAH3aP14=")</f>
        <v>#REF!</v>
      </c>
      <c r="CR45" t="e">
        <f>AND(#REF!,"AAAAAH3aP18=")</f>
        <v>#REF!</v>
      </c>
      <c r="CS45" t="e">
        <f>AND(#REF!,"AAAAAH3aP2A=")</f>
        <v>#REF!</v>
      </c>
      <c r="CT45" t="e">
        <f>AND(#REF!,"AAAAAH3aP2E=")</f>
        <v>#REF!</v>
      </c>
      <c r="CU45" t="e">
        <f>AND(#REF!,"AAAAAH3aP2I=")</f>
        <v>#REF!</v>
      </c>
      <c r="CV45" t="e">
        <f>AND(#REF!,"AAAAAH3aP2M=")</f>
        <v>#REF!</v>
      </c>
      <c r="CW45" t="e">
        <f>AND(#REF!,"AAAAAH3aP2Q=")</f>
        <v>#REF!</v>
      </c>
      <c r="CX45" t="e">
        <f>AND(#REF!,"AAAAAH3aP2U=")</f>
        <v>#REF!</v>
      </c>
      <c r="CY45" t="e">
        <f>AND(#REF!,"AAAAAH3aP2Y=")</f>
        <v>#REF!</v>
      </c>
      <c r="CZ45" t="e">
        <f>AND(#REF!,"AAAAAH3aP2c=")</f>
        <v>#REF!</v>
      </c>
      <c r="DA45" t="e">
        <f>AND(#REF!,"AAAAAH3aP2g=")</f>
        <v>#REF!</v>
      </c>
      <c r="DB45" t="e">
        <f>AND(#REF!,"AAAAAH3aP2k=")</f>
        <v>#REF!</v>
      </c>
      <c r="DC45" t="e">
        <f>AND(#REF!,"AAAAAH3aP2o=")</f>
        <v>#REF!</v>
      </c>
      <c r="DD45" t="e">
        <f>AND(#REF!,"AAAAAH3aP2s=")</f>
        <v>#REF!</v>
      </c>
      <c r="DE45" t="e">
        <f>AND(#REF!,"AAAAAH3aP2w=")</f>
        <v>#REF!</v>
      </c>
      <c r="DF45" t="e">
        <f>AND(#REF!,"AAAAAH3aP20=")</f>
        <v>#REF!</v>
      </c>
      <c r="DG45" t="e">
        <f>AND(#REF!,"AAAAAH3aP24=")</f>
        <v>#REF!</v>
      </c>
      <c r="DH45" t="e">
        <f>AND(#REF!,"AAAAAH3aP28=")</f>
        <v>#REF!</v>
      </c>
      <c r="DI45" t="e">
        <f>AND(#REF!,"AAAAAH3aP3A=")</f>
        <v>#REF!</v>
      </c>
      <c r="DJ45" t="e">
        <f>AND(#REF!,"AAAAAH3aP3E=")</f>
        <v>#REF!</v>
      </c>
      <c r="DK45" t="e">
        <f>AND(#REF!,"AAAAAH3aP3I=")</f>
        <v>#REF!</v>
      </c>
      <c r="DL45" t="e">
        <f>AND(#REF!,"AAAAAH3aP3M=")</f>
        <v>#REF!</v>
      </c>
      <c r="DM45" t="e">
        <f>AND(#REF!,"AAAAAH3aP3Q=")</f>
        <v>#REF!</v>
      </c>
      <c r="DN45" t="e">
        <f>AND(#REF!,"AAAAAH3aP3U=")</f>
        <v>#REF!</v>
      </c>
      <c r="DO45" t="e">
        <f>AND(#REF!,"AAAAAH3aP3Y=")</f>
        <v>#REF!</v>
      </c>
      <c r="DP45" t="e">
        <f>AND(#REF!,"AAAAAH3aP3c=")</f>
        <v>#REF!</v>
      </c>
      <c r="DQ45" t="e">
        <f>AND(#REF!,"AAAAAH3aP3g=")</f>
        <v>#REF!</v>
      </c>
      <c r="DR45" t="e">
        <f>AND(#REF!,"AAAAAH3aP3k=")</f>
        <v>#REF!</v>
      </c>
      <c r="DS45" t="e">
        <f>AND(#REF!,"AAAAAH3aP3o=")</f>
        <v>#REF!</v>
      </c>
      <c r="DT45" t="e">
        <f>AND(#REF!,"AAAAAH3aP3s=")</f>
        <v>#REF!</v>
      </c>
      <c r="DU45" t="e">
        <f>AND(#REF!,"AAAAAH3aP3w=")</f>
        <v>#REF!</v>
      </c>
      <c r="DV45" t="e">
        <f>AND(#REF!,"AAAAAH3aP30=")</f>
        <v>#REF!</v>
      </c>
      <c r="DW45" t="e">
        <f>AND(#REF!,"AAAAAH3aP34=")</f>
        <v>#REF!</v>
      </c>
      <c r="DX45" t="e">
        <f>AND(#REF!,"AAAAAH3aP38=")</f>
        <v>#REF!</v>
      </c>
      <c r="DY45" t="e">
        <f>AND(#REF!,"AAAAAH3aP4A=")</f>
        <v>#REF!</v>
      </c>
      <c r="DZ45" t="e">
        <f>AND(#REF!,"AAAAAH3aP4E=")</f>
        <v>#REF!</v>
      </c>
      <c r="EA45" t="e">
        <f>AND(#REF!,"AAAAAH3aP4I=")</f>
        <v>#REF!</v>
      </c>
      <c r="EB45" t="e">
        <f>AND(#REF!,"AAAAAH3aP4M=")</f>
        <v>#REF!</v>
      </c>
      <c r="EC45" t="e">
        <f>AND(#REF!,"AAAAAH3aP4Q=")</f>
        <v>#REF!</v>
      </c>
      <c r="ED45" t="e">
        <f>AND(#REF!,"AAAAAH3aP4U=")</f>
        <v>#REF!</v>
      </c>
      <c r="EE45" t="e">
        <f>AND(#REF!,"AAAAAH3aP4Y=")</f>
        <v>#REF!</v>
      </c>
      <c r="EF45" t="e">
        <f>AND(#REF!,"AAAAAH3aP4c=")</f>
        <v>#REF!</v>
      </c>
      <c r="EG45" t="e">
        <f>AND(#REF!,"AAAAAH3aP4g=")</f>
        <v>#REF!</v>
      </c>
      <c r="EH45" t="e">
        <f>AND(#REF!,"AAAAAH3aP4k=")</f>
        <v>#REF!</v>
      </c>
      <c r="EI45" t="e">
        <f>AND(#REF!,"AAAAAH3aP4o=")</f>
        <v>#REF!</v>
      </c>
      <c r="EJ45" t="e">
        <f>AND(#REF!,"AAAAAH3aP4s=")</f>
        <v>#REF!</v>
      </c>
      <c r="EK45" t="e">
        <f>AND(#REF!,"AAAAAH3aP4w=")</f>
        <v>#REF!</v>
      </c>
      <c r="EL45" t="e">
        <f>AND(#REF!,"AAAAAH3aP40=")</f>
        <v>#REF!</v>
      </c>
      <c r="EM45" t="e">
        <f>AND(#REF!,"AAAAAH3aP44=")</f>
        <v>#REF!</v>
      </c>
      <c r="EN45" t="e">
        <f>AND(#REF!,"AAAAAH3aP48=")</f>
        <v>#REF!</v>
      </c>
      <c r="EO45" t="e">
        <f>AND(#REF!,"AAAAAH3aP5A=")</f>
        <v>#REF!</v>
      </c>
      <c r="EP45" t="e">
        <f>AND(#REF!,"AAAAAH3aP5E=")</f>
        <v>#REF!</v>
      </c>
      <c r="EQ45" t="e">
        <f>AND(#REF!,"AAAAAH3aP5I=")</f>
        <v>#REF!</v>
      </c>
      <c r="ER45" t="e">
        <f>AND(#REF!,"AAAAAH3aP5M=")</f>
        <v>#REF!</v>
      </c>
      <c r="ES45" t="e">
        <f>AND(#REF!,"AAAAAH3aP5Q=")</f>
        <v>#REF!</v>
      </c>
      <c r="ET45" t="e">
        <f>AND(#REF!,"AAAAAH3aP5U=")</f>
        <v>#REF!</v>
      </c>
      <c r="EU45" t="e">
        <f>AND(#REF!,"AAAAAH3aP5Y=")</f>
        <v>#REF!</v>
      </c>
      <c r="EV45" t="e">
        <f>AND(#REF!,"AAAAAH3aP5c=")</f>
        <v>#REF!</v>
      </c>
      <c r="EW45" t="e">
        <f>AND(#REF!,"AAAAAH3aP5g=")</f>
        <v>#REF!</v>
      </c>
      <c r="EX45" t="e">
        <f>AND(#REF!,"AAAAAH3aP5k=")</f>
        <v>#REF!</v>
      </c>
      <c r="EY45" t="e">
        <f>AND(#REF!,"AAAAAH3aP5o=")</f>
        <v>#REF!</v>
      </c>
      <c r="EZ45" t="e">
        <f>AND(#REF!,"AAAAAH3aP5s=")</f>
        <v>#REF!</v>
      </c>
      <c r="FA45" t="e">
        <f>AND(#REF!,"AAAAAH3aP5w=")</f>
        <v>#REF!</v>
      </c>
      <c r="FB45" t="e">
        <f>AND(#REF!,"AAAAAH3aP50=")</f>
        <v>#REF!</v>
      </c>
      <c r="FC45" t="e">
        <f>AND(#REF!,"AAAAAH3aP54=")</f>
        <v>#REF!</v>
      </c>
      <c r="FD45" t="e">
        <f>AND(#REF!,"AAAAAH3aP58=")</f>
        <v>#REF!</v>
      </c>
      <c r="FE45" t="e">
        <f>AND(#REF!,"AAAAAH3aP6A=")</f>
        <v>#REF!</v>
      </c>
      <c r="FF45" t="e">
        <f>AND(#REF!,"AAAAAH3aP6E=")</f>
        <v>#REF!</v>
      </c>
      <c r="FG45" t="e">
        <f>AND(#REF!,"AAAAAH3aP6I=")</f>
        <v>#REF!</v>
      </c>
      <c r="FH45" t="e">
        <f>AND(#REF!,"AAAAAH3aP6M=")</f>
        <v>#REF!</v>
      </c>
      <c r="FI45" t="e">
        <f>AND(#REF!,"AAAAAH3aP6Q=")</f>
        <v>#REF!</v>
      </c>
      <c r="FJ45" t="e">
        <f>AND(#REF!,"AAAAAH3aP6U=")</f>
        <v>#REF!</v>
      </c>
      <c r="FK45" t="e">
        <f>AND(#REF!,"AAAAAH3aP6Y=")</f>
        <v>#REF!</v>
      </c>
      <c r="FL45" t="e">
        <f>AND(#REF!,"AAAAAH3aP6c=")</f>
        <v>#REF!</v>
      </c>
      <c r="FM45" t="e">
        <f>AND(#REF!,"AAAAAH3aP6g=")</f>
        <v>#REF!</v>
      </c>
      <c r="FN45" t="e">
        <f>AND(#REF!,"AAAAAH3aP6k=")</f>
        <v>#REF!</v>
      </c>
      <c r="FO45" t="e">
        <f>AND(#REF!,"AAAAAH3aP6o=")</f>
        <v>#REF!</v>
      </c>
      <c r="FP45" t="e">
        <f>AND(#REF!,"AAAAAH3aP6s=")</f>
        <v>#REF!</v>
      </c>
      <c r="FQ45" t="e">
        <f>AND(#REF!,"AAAAAH3aP6w=")</f>
        <v>#REF!</v>
      </c>
      <c r="FR45" t="e">
        <f>AND(#REF!,"AAAAAH3aP60=")</f>
        <v>#REF!</v>
      </c>
      <c r="FS45" t="e">
        <f>AND(#REF!,"AAAAAH3aP64=")</f>
        <v>#REF!</v>
      </c>
      <c r="FT45" t="e">
        <f>AND(#REF!,"AAAAAH3aP68=")</f>
        <v>#REF!</v>
      </c>
      <c r="FU45" t="e">
        <f>AND(#REF!,"AAAAAH3aP7A=")</f>
        <v>#REF!</v>
      </c>
      <c r="FV45" t="e">
        <f>AND(#REF!,"AAAAAH3aP7E=")</f>
        <v>#REF!</v>
      </c>
      <c r="FW45" t="e">
        <f>AND(#REF!,"AAAAAH3aP7I=")</f>
        <v>#REF!</v>
      </c>
      <c r="FX45" t="e">
        <f>AND(#REF!,"AAAAAH3aP7M=")</f>
        <v>#REF!</v>
      </c>
      <c r="FY45" t="e">
        <f>AND(#REF!,"AAAAAH3aP7Q=")</f>
        <v>#REF!</v>
      </c>
      <c r="FZ45" t="e">
        <f>AND(#REF!,"AAAAAH3aP7U=")</f>
        <v>#REF!</v>
      </c>
      <c r="GA45" t="e">
        <f>AND(#REF!,"AAAAAH3aP7Y=")</f>
        <v>#REF!</v>
      </c>
      <c r="GB45" t="e">
        <f>AND(#REF!,"AAAAAH3aP7c=")</f>
        <v>#REF!</v>
      </c>
      <c r="GC45" t="e">
        <f>AND(#REF!,"AAAAAH3aP7g=")</f>
        <v>#REF!</v>
      </c>
      <c r="GD45" t="e">
        <f>AND(#REF!,"AAAAAH3aP7k=")</f>
        <v>#REF!</v>
      </c>
      <c r="GE45" t="e">
        <f>IF(#REF!,"AAAAAH3aP7o=",0)</f>
        <v>#REF!</v>
      </c>
      <c r="GF45" t="e">
        <f>AND(#REF!,"AAAAAH3aP7s=")</f>
        <v>#REF!</v>
      </c>
      <c r="GG45" t="e">
        <f>AND(#REF!,"AAAAAH3aP7w=")</f>
        <v>#REF!</v>
      </c>
      <c r="GH45" t="e">
        <f>AND(#REF!,"AAAAAH3aP70=")</f>
        <v>#REF!</v>
      </c>
      <c r="GI45" t="e">
        <f>AND(#REF!,"AAAAAH3aP74=")</f>
        <v>#REF!</v>
      </c>
      <c r="GJ45" t="e">
        <f>AND(#REF!,"AAAAAH3aP78=")</f>
        <v>#REF!</v>
      </c>
      <c r="GK45" t="e">
        <f>AND(#REF!,"AAAAAH3aP8A=")</f>
        <v>#REF!</v>
      </c>
      <c r="GL45" t="e">
        <f>AND(#REF!,"AAAAAH3aP8E=")</f>
        <v>#REF!</v>
      </c>
      <c r="GM45" t="e">
        <f>AND(#REF!,"AAAAAH3aP8I=")</f>
        <v>#REF!</v>
      </c>
      <c r="GN45" t="e">
        <f>AND(#REF!,"AAAAAH3aP8M=")</f>
        <v>#REF!</v>
      </c>
      <c r="GO45" t="e">
        <f>AND(#REF!,"AAAAAH3aP8Q=")</f>
        <v>#REF!</v>
      </c>
      <c r="GP45" t="e">
        <f>AND(#REF!,"AAAAAH3aP8U=")</f>
        <v>#REF!</v>
      </c>
      <c r="GQ45" t="e">
        <f>AND(#REF!,"AAAAAH3aP8Y=")</f>
        <v>#REF!</v>
      </c>
      <c r="GR45" t="e">
        <f>AND(#REF!,"AAAAAH3aP8c=")</f>
        <v>#REF!</v>
      </c>
      <c r="GS45" t="e">
        <f>AND(#REF!,"AAAAAH3aP8g=")</f>
        <v>#REF!</v>
      </c>
      <c r="GT45" t="e">
        <f>AND(#REF!,"AAAAAH3aP8k=")</f>
        <v>#REF!</v>
      </c>
      <c r="GU45" t="e">
        <f>AND(#REF!,"AAAAAH3aP8o=")</f>
        <v>#REF!</v>
      </c>
      <c r="GV45" t="e">
        <f>AND(#REF!,"AAAAAH3aP8s=")</f>
        <v>#REF!</v>
      </c>
      <c r="GW45" t="e">
        <f>AND(#REF!,"AAAAAH3aP8w=")</f>
        <v>#REF!</v>
      </c>
      <c r="GX45" t="e">
        <f>AND(#REF!,"AAAAAH3aP80=")</f>
        <v>#REF!</v>
      </c>
      <c r="GY45" t="e">
        <f>AND(#REF!,"AAAAAH3aP84=")</f>
        <v>#REF!</v>
      </c>
      <c r="GZ45" t="e">
        <f>AND(#REF!,"AAAAAH3aP88=")</f>
        <v>#REF!</v>
      </c>
      <c r="HA45" t="e">
        <f>AND(#REF!,"AAAAAH3aP9A=")</f>
        <v>#REF!</v>
      </c>
      <c r="HB45" t="e">
        <f>AND(#REF!,"AAAAAH3aP9E=")</f>
        <v>#REF!</v>
      </c>
      <c r="HC45" t="e">
        <f>AND(#REF!,"AAAAAH3aP9I=")</f>
        <v>#REF!</v>
      </c>
      <c r="HD45" t="e">
        <f>AND(#REF!,"AAAAAH3aP9M=")</f>
        <v>#REF!</v>
      </c>
      <c r="HE45" t="e">
        <f>AND(#REF!,"AAAAAH3aP9Q=")</f>
        <v>#REF!</v>
      </c>
      <c r="HF45" t="e">
        <f>AND(#REF!,"AAAAAH3aP9U=")</f>
        <v>#REF!</v>
      </c>
      <c r="HG45" t="e">
        <f>AND(#REF!,"AAAAAH3aP9Y=")</f>
        <v>#REF!</v>
      </c>
      <c r="HH45" t="e">
        <f>AND(#REF!,"AAAAAH3aP9c=")</f>
        <v>#REF!</v>
      </c>
      <c r="HI45" t="e">
        <f>AND(#REF!,"AAAAAH3aP9g=")</f>
        <v>#REF!</v>
      </c>
      <c r="HJ45" t="e">
        <f>AND(#REF!,"AAAAAH3aP9k=")</f>
        <v>#REF!</v>
      </c>
      <c r="HK45" t="e">
        <f>AND(#REF!,"AAAAAH3aP9o=")</f>
        <v>#REF!</v>
      </c>
      <c r="HL45" t="e">
        <f>AND(#REF!,"AAAAAH3aP9s=")</f>
        <v>#REF!</v>
      </c>
      <c r="HM45" t="e">
        <f>AND(#REF!,"AAAAAH3aP9w=")</f>
        <v>#REF!</v>
      </c>
      <c r="HN45" t="e">
        <f>AND(#REF!,"AAAAAH3aP90=")</f>
        <v>#REF!</v>
      </c>
      <c r="HO45" t="e">
        <f>AND(#REF!,"AAAAAH3aP94=")</f>
        <v>#REF!</v>
      </c>
      <c r="HP45" t="e">
        <f>AND(#REF!,"AAAAAH3aP98=")</f>
        <v>#REF!</v>
      </c>
      <c r="HQ45" t="e">
        <f>AND(#REF!,"AAAAAH3aP+A=")</f>
        <v>#REF!</v>
      </c>
      <c r="HR45" t="e">
        <f>AND(#REF!,"AAAAAH3aP+E=")</f>
        <v>#REF!</v>
      </c>
      <c r="HS45" t="e">
        <f>AND(#REF!,"AAAAAH3aP+I=")</f>
        <v>#REF!</v>
      </c>
      <c r="HT45" t="e">
        <f>AND(#REF!,"AAAAAH3aP+M=")</f>
        <v>#REF!</v>
      </c>
      <c r="HU45" t="e">
        <f>AND(#REF!,"AAAAAH3aP+Q=")</f>
        <v>#REF!</v>
      </c>
      <c r="HV45" t="e">
        <f>AND(#REF!,"AAAAAH3aP+U=")</f>
        <v>#REF!</v>
      </c>
      <c r="HW45" t="e">
        <f>AND(#REF!,"AAAAAH3aP+Y=")</f>
        <v>#REF!</v>
      </c>
      <c r="HX45" t="e">
        <f>AND(#REF!,"AAAAAH3aP+c=")</f>
        <v>#REF!</v>
      </c>
      <c r="HY45" t="e">
        <f>AND(#REF!,"AAAAAH3aP+g=")</f>
        <v>#REF!</v>
      </c>
      <c r="HZ45" t="e">
        <f>AND(#REF!,"AAAAAH3aP+k=")</f>
        <v>#REF!</v>
      </c>
      <c r="IA45" t="e">
        <f>AND(#REF!,"AAAAAH3aP+o=")</f>
        <v>#REF!</v>
      </c>
      <c r="IB45" t="e">
        <f>AND(#REF!,"AAAAAH3aP+s=")</f>
        <v>#REF!</v>
      </c>
      <c r="IC45" t="e">
        <f>AND(#REF!,"AAAAAH3aP+w=")</f>
        <v>#REF!</v>
      </c>
      <c r="ID45" t="e">
        <f>AND(#REF!,"AAAAAH3aP+0=")</f>
        <v>#REF!</v>
      </c>
      <c r="IE45" t="e">
        <f>AND(#REF!,"AAAAAH3aP+4=")</f>
        <v>#REF!</v>
      </c>
      <c r="IF45" t="e">
        <f>AND(#REF!,"AAAAAH3aP+8=")</f>
        <v>#REF!</v>
      </c>
      <c r="IG45" t="e">
        <f>AND(#REF!,"AAAAAH3aP/A=")</f>
        <v>#REF!</v>
      </c>
      <c r="IH45" t="e">
        <f>AND(#REF!,"AAAAAH3aP/E=")</f>
        <v>#REF!</v>
      </c>
      <c r="II45" t="e">
        <f>AND(#REF!,"AAAAAH3aP/I=")</f>
        <v>#REF!</v>
      </c>
      <c r="IJ45" t="e">
        <f>AND(#REF!,"AAAAAH3aP/M=")</f>
        <v>#REF!</v>
      </c>
      <c r="IK45" t="e">
        <f>AND(#REF!,"AAAAAH3aP/Q=")</f>
        <v>#REF!</v>
      </c>
      <c r="IL45" t="e">
        <f>AND(#REF!,"AAAAAH3aP/U=")</f>
        <v>#REF!</v>
      </c>
      <c r="IM45" t="e">
        <f>AND(#REF!,"AAAAAH3aP/Y=")</f>
        <v>#REF!</v>
      </c>
      <c r="IN45" t="e">
        <f>AND(#REF!,"AAAAAH3aP/c=")</f>
        <v>#REF!</v>
      </c>
      <c r="IO45" t="e">
        <f>AND(#REF!,"AAAAAH3aP/g=")</f>
        <v>#REF!</v>
      </c>
      <c r="IP45" t="e">
        <f>AND(#REF!,"AAAAAH3aP/k=")</f>
        <v>#REF!</v>
      </c>
      <c r="IQ45" t="e">
        <f>AND(#REF!,"AAAAAH3aP/o=")</f>
        <v>#REF!</v>
      </c>
      <c r="IR45" t="e">
        <f>AND(#REF!,"AAAAAH3aP/s=")</f>
        <v>#REF!</v>
      </c>
      <c r="IS45" t="e">
        <f>AND(#REF!,"AAAAAH3aP/w=")</f>
        <v>#REF!</v>
      </c>
      <c r="IT45" t="e">
        <f>AND(#REF!,"AAAAAH3aP/0=")</f>
        <v>#REF!</v>
      </c>
      <c r="IU45" t="e">
        <f>AND(#REF!,"AAAAAH3aP/4=")</f>
        <v>#REF!</v>
      </c>
      <c r="IV45" t="e">
        <f>AND(#REF!,"AAAAAH3aP/8=")</f>
        <v>#REF!</v>
      </c>
    </row>
    <row r="46" spans="1:256" x14ac:dyDescent="0.25">
      <c r="A46" t="e">
        <f>AND(#REF!,"AAAAAHXf+wA=")</f>
        <v>#REF!</v>
      </c>
      <c r="B46" t="e">
        <f>AND(#REF!,"AAAAAHXf+wE=")</f>
        <v>#REF!</v>
      </c>
      <c r="C46" t="e">
        <f>AND(#REF!,"AAAAAHXf+wI=")</f>
        <v>#REF!</v>
      </c>
      <c r="D46" t="e">
        <f>AND(#REF!,"AAAAAHXf+wM=")</f>
        <v>#REF!</v>
      </c>
      <c r="E46" t="e">
        <f>AND(#REF!,"AAAAAHXf+wQ=")</f>
        <v>#REF!</v>
      </c>
      <c r="F46" t="e">
        <f>AND(#REF!,"AAAAAHXf+wU=")</f>
        <v>#REF!</v>
      </c>
      <c r="G46" t="e">
        <f>AND(#REF!,"AAAAAHXf+wY=")</f>
        <v>#REF!</v>
      </c>
      <c r="H46" t="e">
        <f>AND(#REF!,"AAAAAHXf+wc=")</f>
        <v>#REF!</v>
      </c>
      <c r="I46" t="e">
        <f>AND(#REF!,"AAAAAHXf+wg=")</f>
        <v>#REF!</v>
      </c>
      <c r="J46" t="e">
        <f>AND(#REF!,"AAAAAHXf+wk=")</f>
        <v>#REF!</v>
      </c>
      <c r="K46" t="e">
        <f>AND(#REF!,"AAAAAHXf+wo=")</f>
        <v>#REF!</v>
      </c>
      <c r="L46" t="e">
        <f>AND(#REF!,"AAAAAHXf+ws=")</f>
        <v>#REF!</v>
      </c>
      <c r="M46" t="e">
        <f>AND(#REF!,"AAAAAHXf+ww=")</f>
        <v>#REF!</v>
      </c>
      <c r="N46" t="e">
        <f>AND(#REF!,"AAAAAHXf+w0=")</f>
        <v>#REF!</v>
      </c>
      <c r="O46" t="e">
        <f>AND(#REF!,"AAAAAHXf+w4=")</f>
        <v>#REF!</v>
      </c>
      <c r="P46" t="e">
        <f>AND(#REF!,"AAAAAHXf+w8=")</f>
        <v>#REF!</v>
      </c>
      <c r="Q46" t="e">
        <f>AND(#REF!,"AAAAAHXf+xA=")</f>
        <v>#REF!</v>
      </c>
      <c r="R46" t="e">
        <f>AND(#REF!,"AAAAAHXf+xE=")</f>
        <v>#REF!</v>
      </c>
      <c r="S46" t="e">
        <f>AND(#REF!,"AAAAAHXf+xI=")</f>
        <v>#REF!</v>
      </c>
      <c r="T46" t="e">
        <f>AND(#REF!,"AAAAAHXf+xM=")</f>
        <v>#REF!</v>
      </c>
      <c r="U46" t="e">
        <f>AND(#REF!,"AAAAAHXf+xQ=")</f>
        <v>#REF!</v>
      </c>
      <c r="V46" t="e">
        <f>AND(#REF!,"AAAAAHXf+xU=")</f>
        <v>#REF!</v>
      </c>
      <c r="W46" t="e">
        <f>AND(#REF!,"AAAAAHXf+xY=")</f>
        <v>#REF!</v>
      </c>
      <c r="X46" t="e">
        <f>AND(#REF!,"AAAAAHXf+xc=")</f>
        <v>#REF!</v>
      </c>
      <c r="Y46" t="e">
        <f>AND(#REF!,"AAAAAHXf+xg=")</f>
        <v>#REF!</v>
      </c>
      <c r="Z46" t="e">
        <f>AND(#REF!,"AAAAAHXf+xk=")</f>
        <v>#REF!</v>
      </c>
      <c r="AA46" t="e">
        <f>AND(#REF!,"AAAAAHXf+xo=")</f>
        <v>#REF!</v>
      </c>
      <c r="AB46" t="e">
        <f>AND(#REF!,"AAAAAHXf+xs=")</f>
        <v>#REF!</v>
      </c>
      <c r="AC46" t="e">
        <f>AND(#REF!,"AAAAAHXf+xw=")</f>
        <v>#REF!</v>
      </c>
      <c r="AD46" t="e">
        <f>AND(#REF!,"AAAAAHXf+x0=")</f>
        <v>#REF!</v>
      </c>
      <c r="AE46" t="e">
        <f>AND(#REF!,"AAAAAHXf+x4=")</f>
        <v>#REF!</v>
      </c>
      <c r="AF46" t="e">
        <f>AND(#REF!,"AAAAAHXf+x8=")</f>
        <v>#REF!</v>
      </c>
      <c r="AG46" t="e">
        <f>AND(#REF!,"AAAAAHXf+yA=")</f>
        <v>#REF!</v>
      </c>
      <c r="AH46" t="e">
        <f>AND(#REF!,"AAAAAHXf+yE=")</f>
        <v>#REF!</v>
      </c>
      <c r="AI46" t="e">
        <f>AND(#REF!,"AAAAAHXf+yI=")</f>
        <v>#REF!</v>
      </c>
      <c r="AJ46" t="e">
        <f>IF(#REF!,"AAAAAHXf+yM=",0)</f>
        <v>#REF!</v>
      </c>
      <c r="AK46" t="e">
        <f>AND(#REF!,"AAAAAHXf+yQ=")</f>
        <v>#REF!</v>
      </c>
      <c r="AL46" t="e">
        <f>AND(#REF!,"AAAAAHXf+yU=")</f>
        <v>#REF!</v>
      </c>
      <c r="AM46" t="e">
        <f>AND(#REF!,"AAAAAHXf+yY=")</f>
        <v>#REF!</v>
      </c>
      <c r="AN46" t="e">
        <f>AND(#REF!,"AAAAAHXf+yc=")</f>
        <v>#REF!</v>
      </c>
      <c r="AO46" t="e">
        <f>AND(#REF!,"AAAAAHXf+yg=")</f>
        <v>#REF!</v>
      </c>
      <c r="AP46" t="e">
        <f>AND(#REF!,"AAAAAHXf+yk=")</f>
        <v>#REF!</v>
      </c>
      <c r="AQ46" t="e">
        <f>AND(#REF!,"AAAAAHXf+yo=")</f>
        <v>#REF!</v>
      </c>
      <c r="AR46" t="e">
        <f>AND(#REF!,"AAAAAHXf+ys=")</f>
        <v>#REF!</v>
      </c>
      <c r="AS46" t="e">
        <f>AND(#REF!,"AAAAAHXf+yw=")</f>
        <v>#REF!</v>
      </c>
      <c r="AT46" t="e">
        <f>AND(#REF!,"AAAAAHXf+y0=")</f>
        <v>#REF!</v>
      </c>
      <c r="AU46" t="e">
        <f>AND(#REF!,"AAAAAHXf+y4=")</f>
        <v>#REF!</v>
      </c>
      <c r="AV46" t="e">
        <f>AND(#REF!,"AAAAAHXf+y8=")</f>
        <v>#REF!</v>
      </c>
      <c r="AW46" t="e">
        <f>AND(#REF!,"AAAAAHXf+zA=")</f>
        <v>#REF!</v>
      </c>
      <c r="AX46" t="e">
        <f>AND(#REF!,"AAAAAHXf+zE=")</f>
        <v>#REF!</v>
      </c>
      <c r="AY46" t="e">
        <f>AND(#REF!,"AAAAAHXf+zI=")</f>
        <v>#REF!</v>
      </c>
      <c r="AZ46" t="e">
        <f>AND(#REF!,"AAAAAHXf+zM=")</f>
        <v>#REF!</v>
      </c>
      <c r="BA46" t="e">
        <f>AND(#REF!,"AAAAAHXf+zQ=")</f>
        <v>#REF!</v>
      </c>
      <c r="BB46" t="e">
        <f>AND(#REF!,"AAAAAHXf+zU=")</f>
        <v>#REF!</v>
      </c>
      <c r="BC46" t="e">
        <f>AND(#REF!,"AAAAAHXf+zY=")</f>
        <v>#REF!</v>
      </c>
      <c r="BD46" t="e">
        <f>AND(#REF!,"AAAAAHXf+zc=")</f>
        <v>#REF!</v>
      </c>
      <c r="BE46" t="e">
        <f>AND(#REF!,"AAAAAHXf+zg=")</f>
        <v>#REF!</v>
      </c>
      <c r="BF46" t="e">
        <f>AND(#REF!,"AAAAAHXf+zk=")</f>
        <v>#REF!</v>
      </c>
      <c r="BG46" t="e">
        <f>AND(#REF!,"AAAAAHXf+zo=")</f>
        <v>#REF!</v>
      </c>
      <c r="BH46" t="e">
        <f>AND(#REF!,"AAAAAHXf+zs=")</f>
        <v>#REF!</v>
      </c>
      <c r="BI46" t="e">
        <f>AND(#REF!,"AAAAAHXf+zw=")</f>
        <v>#REF!</v>
      </c>
      <c r="BJ46" t="e">
        <f>AND(#REF!,"AAAAAHXf+z0=")</f>
        <v>#REF!</v>
      </c>
      <c r="BK46" t="e">
        <f>AND(#REF!,"AAAAAHXf+z4=")</f>
        <v>#REF!</v>
      </c>
      <c r="BL46" t="e">
        <f>AND(#REF!,"AAAAAHXf+z8=")</f>
        <v>#REF!</v>
      </c>
      <c r="BM46" t="e">
        <f>AND(#REF!,"AAAAAHXf+0A=")</f>
        <v>#REF!</v>
      </c>
      <c r="BN46" t="e">
        <f>AND(#REF!,"AAAAAHXf+0E=")</f>
        <v>#REF!</v>
      </c>
      <c r="BO46" t="e">
        <f>AND(#REF!,"AAAAAHXf+0I=")</f>
        <v>#REF!</v>
      </c>
      <c r="BP46" t="e">
        <f>AND(#REF!,"AAAAAHXf+0M=")</f>
        <v>#REF!</v>
      </c>
      <c r="BQ46" t="e">
        <f>AND(#REF!,"AAAAAHXf+0Q=")</f>
        <v>#REF!</v>
      </c>
      <c r="BR46" t="e">
        <f>AND(#REF!,"AAAAAHXf+0U=")</f>
        <v>#REF!</v>
      </c>
      <c r="BS46" t="e">
        <f>AND(#REF!,"AAAAAHXf+0Y=")</f>
        <v>#REF!</v>
      </c>
      <c r="BT46" t="e">
        <f>AND(#REF!,"AAAAAHXf+0c=")</f>
        <v>#REF!</v>
      </c>
      <c r="BU46" t="e">
        <f>AND(#REF!,"AAAAAHXf+0g=")</f>
        <v>#REF!</v>
      </c>
      <c r="BV46" t="e">
        <f>AND(#REF!,"AAAAAHXf+0k=")</f>
        <v>#REF!</v>
      </c>
      <c r="BW46" t="e">
        <f>AND(#REF!,"AAAAAHXf+0o=")</f>
        <v>#REF!</v>
      </c>
      <c r="BX46" t="e">
        <f>AND(#REF!,"AAAAAHXf+0s=")</f>
        <v>#REF!</v>
      </c>
      <c r="BY46" t="e">
        <f>AND(#REF!,"AAAAAHXf+0w=")</f>
        <v>#REF!</v>
      </c>
      <c r="BZ46" t="e">
        <f>AND(#REF!,"AAAAAHXf+00=")</f>
        <v>#REF!</v>
      </c>
      <c r="CA46" t="e">
        <f>AND(#REF!,"AAAAAHXf+04=")</f>
        <v>#REF!</v>
      </c>
      <c r="CB46" t="e">
        <f>AND(#REF!,"AAAAAHXf+08=")</f>
        <v>#REF!</v>
      </c>
      <c r="CC46" t="e">
        <f>AND(#REF!,"AAAAAHXf+1A=")</f>
        <v>#REF!</v>
      </c>
      <c r="CD46" t="e">
        <f>AND(#REF!,"AAAAAHXf+1E=")</f>
        <v>#REF!</v>
      </c>
      <c r="CE46" t="e">
        <f>AND(#REF!,"AAAAAHXf+1I=")</f>
        <v>#REF!</v>
      </c>
      <c r="CF46" t="e">
        <f>AND(#REF!,"AAAAAHXf+1M=")</f>
        <v>#REF!</v>
      </c>
      <c r="CG46" t="e">
        <f>AND(#REF!,"AAAAAHXf+1Q=")</f>
        <v>#REF!</v>
      </c>
      <c r="CH46" t="e">
        <f>AND(#REF!,"AAAAAHXf+1U=")</f>
        <v>#REF!</v>
      </c>
      <c r="CI46" t="e">
        <f>AND(#REF!,"AAAAAHXf+1Y=")</f>
        <v>#REF!</v>
      </c>
      <c r="CJ46" t="e">
        <f>AND(#REF!,"AAAAAHXf+1c=")</f>
        <v>#REF!</v>
      </c>
      <c r="CK46" t="e">
        <f>AND(#REF!,"AAAAAHXf+1g=")</f>
        <v>#REF!</v>
      </c>
      <c r="CL46" t="e">
        <f>AND(#REF!,"AAAAAHXf+1k=")</f>
        <v>#REF!</v>
      </c>
      <c r="CM46" t="e">
        <f>AND(#REF!,"AAAAAHXf+1o=")</f>
        <v>#REF!</v>
      </c>
      <c r="CN46" t="e">
        <f>AND(#REF!,"AAAAAHXf+1s=")</f>
        <v>#REF!</v>
      </c>
      <c r="CO46" t="e">
        <f>AND(#REF!,"AAAAAHXf+1w=")</f>
        <v>#REF!</v>
      </c>
      <c r="CP46" t="e">
        <f>AND(#REF!,"AAAAAHXf+10=")</f>
        <v>#REF!</v>
      </c>
      <c r="CQ46" t="e">
        <f>AND(#REF!,"AAAAAHXf+14=")</f>
        <v>#REF!</v>
      </c>
      <c r="CR46" t="e">
        <f>AND(#REF!,"AAAAAHXf+18=")</f>
        <v>#REF!</v>
      </c>
      <c r="CS46" t="e">
        <f>AND(#REF!,"AAAAAHXf+2A=")</f>
        <v>#REF!</v>
      </c>
      <c r="CT46" t="e">
        <f>AND(#REF!,"AAAAAHXf+2E=")</f>
        <v>#REF!</v>
      </c>
      <c r="CU46" t="e">
        <f>AND(#REF!,"AAAAAHXf+2I=")</f>
        <v>#REF!</v>
      </c>
      <c r="CV46" t="e">
        <f>AND(#REF!,"AAAAAHXf+2M=")</f>
        <v>#REF!</v>
      </c>
      <c r="CW46" t="e">
        <f>AND(#REF!,"AAAAAHXf+2Q=")</f>
        <v>#REF!</v>
      </c>
      <c r="CX46" t="e">
        <f>AND(#REF!,"AAAAAHXf+2U=")</f>
        <v>#REF!</v>
      </c>
      <c r="CY46" t="e">
        <f>AND(#REF!,"AAAAAHXf+2Y=")</f>
        <v>#REF!</v>
      </c>
      <c r="CZ46" t="e">
        <f>AND(#REF!,"AAAAAHXf+2c=")</f>
        <v>#REF!</v>
      </c>
      <c r="DA46" t="e">
        <f>AND(#REF!,"AAAAAHXf+2g=")</f>
        <v>#REF!</v>
      </c>
      <c r="DB46" t="e">
        <f>AND(#REF!,"AAAAAHXf+2k=")</f>
        <v>#REF!</v>
      </c>
      <c r="DC46" t="e">
        <f>AND(#REF!,"AAAAAHXf+2o=")</f>
        <v>#REF!</v>
      </c>
      <c r="DD46" t="e">
        <f>AND(#REF!,"AAAAAHXf+2s=")</f>
        <v>#REF!</v>
      </c>
      <c r="DE46" t="e">
        <f>AND(#REF!,"AAAAAHXf+2w=")</f>
        <v>#REF!</v>
      </c>
      <c r="DF46" t="e">
        <f>AND(#REF!,"AAAAAHXf+20=")</f>
        <v>#REF!</v>
      </c>
      <c r="DG46" t="e">
        <f>AND(#REF!,"AAAAAHXf+24=")</f>
        <v>#REF!</v>
      </c>
      <c r="DH46" t="e">
        <f>AND(#REF!,"AAAAAHXf+28=")</f>
        <v>#REF!</v>
      </c>
      <c r="DI46" t="e">
        <f>AND(#REF!,"AAAAAHXf+3A=")</f>
        <v>#REF!</v>
      </c>
      <c r="DJ46" t="e">
        <f>AND(#REF!,"AAAAAHXf+3E=")</f>
        <v>#REF!</v>
      </c>
      <c r="DK46" t="e">
        <f>AND(#REF!,"AAAAAHXf+3I=")</f>
        <v>#REF!</v>
      </c>
      <c r="DL46" t="e">
        <f>AND(#REF!,"AAAAAHXf+3M=")</f>
        <v>#REF!</v>
      </c>
      <c r="DM46" t="e">
        <f>AND(#REF!,"AAAAAHXf+3Q=")</f>
        <v>#REF!</v>
      </c>
      <c r="DN46" t="e">
        <f>AND(#REF!,"AAAAAHXf+3U=")</f>
        <v>#REF!</v>
      </c>
      <c r="DO46" t="e">
        <f>AND(#REF!,"AAAAAHXf+3Y=")</f>
        <v>#REF!</v>
      </c>
      <c r="DP46" t="e">
        <f>AND(#REF!,"AAAAAHXf+3c=")</f>
        <v>#REF!</v>
      </c>
      <c r="DQ46" t="e">
        <f>AND(#REF!,"AAAAAHXf+3g=")</f>
        <v>#REF!</v>
      </c>
      <c r="DR46" t="e">
        <f>AND(#REF!,"AAAAAHXf+3k=")</f>
        <v>#REF!</v>
      </c>
      <c r="DS46" t="e">
        <f>AND(#REF!,"AAAAAHXf+3o=")</f>
        <v>#REF!</v>
      </c>
      <c r="DT46" t="e">
        <f>AND(#REF!,"AAAAAHXf+3s=")</f>
        <v>#REF!</v>
      </c>
      <c r="DU46" t="e">
        <f>AND(#REF!,"AAAAAHXf+3w=")</f>
        <v>#REF!</v>
      </c>
      <c r="DV46" t="e">
        <f>AND(#REF!,"AAAAAHXf+30=")</f>
        <v>#REF!</v>
      </c>
      <c r="DW46" t="e">
        <f>AND(#REF!,"AAAAAHXf+34=")</f>
        <v>#REF!</v>
      </c>
      <c r="DX46" t="e">
        <f>AND(#REF!,"AAAAAHXf+38=")</f>
        <v>#REF!</v>
      </c>
      <c r="DY46" t="e">
        <f>AND(#REF!,"AAAAAHXf+4A=")</f>
        <v>#REF!</v>
      </c>
      <c r="DZ46" t="e">
        <f>AND(#REF!,"AAAAAHXf+4E=")</f>
        <v>#REF!</v>
      </c>
      <c r="EA46" t="e">
        <f>AND(#REF!,"AAAAAHXf+4I=")</f>
        <v>#REF!</v>
      </c>
      <c r="EB46" t="e">
        <f>AND(#REF!,"AAAAAHXf+4M=")</f>
        <v>#REF!</v>
      </c>
      <c r="EC46" t="e">
        <f>AND(#REF!,"AAAAAHXf+4Q=")</f>
        <v>#REF!</v>
      </c>
      <c r="ED46" t="e">
        <f>AND(#REF!,"AAAAAHXf+4U=")</f>
        <v>#REF!</v>
      </c>
      <c r="EE46" t="e">
        <f>AND(#REF!,"AAAAAHXf+4Y=")</f>
        <v>#REF!</v>
      </c>
      <c r="EF46" t="e">
        <f>AND(#REF!,"AAAAAHXf+4c=")</f>
        <v>#REF!</v>
      </c>
      <c r="EG46" t="e">
        <f>AND(#REF!,"AAAAAHXf+4g=")</f>
        <v>#REF!</v>
      </c>
      <c r="EH46" t="e">
        <f>AND(#REF!,"AAAAAHXf+4k=")</f>
        <v>#REF!</v>
      </c>
      <c r="EI46" t="e">
        <f>AND(#REF!,"AAAAAHXf+4o=")</f>
        <v>#REF!</v>
      </c>
      <c r="EJ46" t="e">
        <f>AND(#REF!,"AAAAAHXf+4s=")</f>
        <v>#REF!</v>
      </c>
      <c r="EK46" t="e">
        <f>IF(#REF!,"AAAAAHXf+4w=",0)</f>
        <v>#REF!</v>
      </c>
      <c r="EL46" t="e">
        <f>AND(#REF!,"AAAAAHXf+40=")</f>
        <v>#REF!</v>
      </c>
      <c r="EM46" t="e">
        <f>AND(#REF!,"AAAAAHXf+44=")</f>
        <v>#REF!</v>
      </c>
      <c r="EN46" t="e">
        <f>AND(#REF!,"AAAAAHXf+48=")</f>
        <v>#REF!</v>
      </c>
      <c r="EO46" t="e">
        <f>AND(#REF!,"AAAAAHXf+5A=")</f>
        <v>#REF!</v>
      </c>
      <c r="EP46" t="e">
        <f>AND(#REF!,"AAAAAHXf+5E=")</f>
        <v>#REF!</v>
      </c>
      <c r="EQ46" t="e">
        <f>AND(#REF!,"AAAAAHXf+5I=")</f>
        <v>#REF!</v>
      </c>
      <c r="ER46" t="e">
        <f>AND(#REF!,"AAAAAHXf+5M=")</f>
        <v>#REF!</v>
      </c>
      <c r="ES46" t="e">
        <f>AND(#REF!,"AAAAAHXf+5Q=")</f>
        <v>#REF!</v>
      </c>
      <c r="ET46" t="e">
        <f>AND(#REF!,"AAAAAHXf+5U=")</f>
        <v>#REF!</v>
      </c>
      <c r="EU46" t="e">
        <f>AND(#REF!,"AAAAAHXf+5Y=")</f>
        <v>#REF!</v>
      </c>
      <c r="EV46" t="e">
        <f>AND(#REF!,"AAAAAHXf+5c=")</f>
        <v>#REF!</v>
      </c>
      <c r="EW46" t="e">
        <f>AND(#REF!,"AAAAAHXf+5g=")</f>
        <v>#REF!</v>
      </c>
      <c r="EX46" t="e">
        <f>AND(#REF!,"AAAAAHXf+5k=")</f>
        <v>#REF!</v>
      </c>
      <c r="EY46" t="e">
        <f>AND(#REF!,"AAAAAHXf+5o=")</f>
        <v>#REF!</v>
      </c>
      <c r="EZ46" t="e">
        <f>AND(#REF!,"AAAAAHXf+5s=")</f>
        <v>#REF!</v>
      </c>
      <c r="FA46" t="e">
        <f>AND(#REF!,"AAAAAHXf+5w=")</f>
        <v>#REF!</v>
      </c>
      <c r="FB46" t="e">
        <f>AND(#REF!,"AAAAAHXf+50=")</f>
        <v>#REF!</v>
      </c>
      <c r="FC46" t="e">
        <f>AND(#REF!,"AAAAAHXf+54=")</f>
        <v>#REF!</v>
      </c>
      <c r="FD46" t="e">
        <f>AND(#REF!,"AAAAAHXf+58=")</f>
        <v>#REF!</v>
      </c>
      <c r="FE46" t="e">
        <f>AND(#REF!,"AAAAAHXf+6A=")</f>
        <v>#REF!</v>
      </c>
      <c r="FF46" t="e">
        <f>AND(#REF!,"AAAAAHXf+6E=")</f>
        <v>#REF!</v>
      </c>
      <c r="FG46" t="e">
        <f>AND(#REF!,"AAAAAHXf+6I=")</f>
        <v>#REF!</v>
      </c>
      <c r="FH46" t="e">
        <f>AND(#REF!,"AAAAAHXf+6M=")</f>
        <v>#REF!</v>
      </c>
      <c r="FI46" t="e">
        <f>AND(#REF!,"AAAAAHXf+6Q=")</f>
        <v>#REF!</v>
      </c>
      <c r="FJ46" t="e">
        <f>AND(#REF!,"AAAAAHXf+6U=")</f>
        <v>#REF!</v>
      </c>
      <c r="FK46" t="e">
        <f>AND(#REF!,"AAAAAHXf+6Y=")</f>
        <v>#REF!</v>
      </c>
      <c r="FL46" t="e">
        <f>AND(#REF!,"AAAAAHXf+6c=")</f>
        <v>#REF!</v>
      </c>
      <c r="FM46" t="e">
        <f>AND(#REF!,"AAAAAHXf+6g=")</f>
        <v>#REF!</v>
      </c>
      <c r="FN46" t="e">
        <f>AND(#REF!,"AAAAAHXf+6k=")</f>
        <v>#REF!</v>
      </c>
      <c r="FO46" t="e">
        <f>AND(#REF!,"AAAAAHXf+6o=")</f>
        <v>#REF!</v>
      </c>
      <c r="FP46" t="e">
        <f>AND(#REF!,"AAAAAHXf+6s=")</f>
        <v>#REF!</v>
      </c>
      <c r="FQ46" t="e">
        <f>AND(#REF!,"AAAAAHXf+6w=")</f>
        <v>#REF!</v>
      </c>
      <c r="FR46" t="e">
        <f>AND(#REF!,"AAAAAHXf+60=")</f>
        <v>#REF!</v>
      </c>
      <c r="FS46" t="e">
        <f>AND(#REF!,"AAAAAHXf+64=")</f>
        <v>#REF!</v>
      </c>
      <c r="FT46" t="e">
        <f>AND(#REF!,"AAAAAHXf+68=")</f>
        <v>#REF!</v>
      </c>
      <c r="FU46" t="e">
        <f>AND(#REF!,"AAAAAHXf+7A=")</f>
        <v>#REF!</v>
      </c>
      <c r="FV46" t="e">
        <f>AND(#REF!,"AAAAAHXf+7E=")</f>
        <v>#REF!</v>
      </c>
      <c r="FW46" t="e">
        <f>AND(#REF!,"AAAAAHXf+7I=")</f>
        <v>#REF!</v>
      </c>
      <c r="FX46" t="e">
        <f>AND(#REF!,"AAAAAHXf+7M=")</f>
        <v>#REF!</v>
      </c>
      <c r="FY46" t="e">
        <f>AND(#REF!,"AAAAAHXf+7Q=")</f>
        <v>#REF!</v>
      </c>
      <c r="FZ46" t="e">
        <f>AND(#REF!,"AAAAAHXf+7U=")</f>
        <v>#REF!</v>
      </c>
      <c r="GA46" t="e">
        <f>AND(#REF!,"AAAAAHXf+7Y=")</f>
        <v>#REF!</v>
      </c>
      <c r="GB46" t="e">
        <f>AND(#REF!,"AAAAAHXf+7c=")</f>
        <v>#REF!</v>
      </c>
      <c r="GC46" t="e">
        <f>AND(#REF!,"AAAAAHXf+7g=")</f>
        <v>#REF!</v>
      </c>
      <c r="GD46" t="e">
        <f>AND(#REF!,"AAAAAHXf+7k=")</f>
        <v>#REF!</v>
      </c>
      <c r="GE46" t="e">
        <f>AND(#REF!,"AAAAAHXf+7o=")</f>
        <v>#REF!</v>
      </c>
      <c r="GF46" t="e">
        <f>AND(#REF!,"AAAAAHXf+7s=")</f>
        <v>#REF!</v>
      </c>
      <c r="GG46" t="e">
        <f>AND(#REF!,"AAAAAHXf+7w=")</f>
        <v>#REF!</v>
      </c>
      <c r="GH46" t="e">
        <f>AND(#REF!,"AAAAAHXf+70=")</f>
        <v>#REF!</v>
      </c>
      <c r="GI46" t="e">
        <f>AND(#REF!,"AAAAAHXf+74=")</f>
        <v>#REF!</v>
      </c>
      <c r="GJ46" t="e">
        <f>AND(#REF!,"AAAAAHXf+78=")</f>
        <v>#REF!</v>
      </c>
      <c r="GK46" t="e">
        <f>AND(#REF!,"AAAAAHXf+8A=")</f>
        <v>#REF!</v>
      </c>
      <c r="GL46" t="e">
        <f>AND(#REF!,"AAAAAHXf+8E=")</f>
        <v>#REF!</v>
      </c>
      <c r="GM46" t="e">
        <f>AND(#REF!,"AAAAAHXf+8I=")</f>
        <v>#REF!</v>
      </c>
      <c r="GN46" t="e">
        <f>AND(#REF!,"AAAAAHXf+8M=")</f>
        <v>#REF!</v>
      </c>
      <c r="GO46" t="e">
        <f>AND(#REF!,"AAAAAHXf+8Q=")</f>
        <v>#REF!</v>
      </c>
      <c r="GP46" t="e">
        <f>AND(#REF!,"AAAAAHXf+8U=")</f>
        <v>#REF!</v>
      </c>
      <c r="GQ46" t="e">
        <f>AND(#REF!,"AAAAAHXf+8Y=")</f>
        <v>#REF!</v>
      </c>
      <c r="GR46" t="e">
        <f>AND(#REF!,"AAAAAHXf+8c=")</f>
        <v>#REF!</v>
      </c>
      <c r="GS46" t="e">
        <f>AND(#REF!,"AAAAAHXf+8g=")</f>
        <v>#REF!</v>
      </c>
      <c r="GT46" t="e">
        <f>AND(#REF!,"AAAAAHXf+8k=")</f>
        <v>#REF!</v>
      </c>
      <c r="GU46" t="e">
        <f>AND(#REF!,"AAAAAHXf+8o=")</f>
        <v>#REF!</v>
      </c>
      <c r="GV46" t="e">
        <f>AND(#REF!,"AAAAAHXf+8s=")</f>
        <v>#REF!</v>
      </c>
      <c r="GW46" t="e">
        <f>AND(#REF!,"AAAAAHXf+8w=")</f>
        <v>#REF!</v>
      </c>
      <c r="GX46" t="e">
        <f>AND(#REF!,"AAAAAHXf+80=")</f>
        <v>#REF!</v>
      </c>
      <c r="GY46" t="e">
        <f>AND(#REF!,"AAAAAHXf+84=")</f>
        <v>#REF!</v>
      </c>
      <c r="GZ46" t="e">
        <f>AND(#REF!,"AAAAAHXf+88=")</f>
        <v>#REF!</v>
      </c>
      <c r="HA46" t="e">
        <f>AND(#REF!,"AAAAAHXf+9A=")</f>
        <v>#REF!</v>
      </c>
      <c r="HB46" t="e">
        <f>AND(#REF!,"AAAAAHXf+9E=")</f>
        <v>#REF!</v>
      </c>
      <c r="HC46" t="e">
        <f>AND(#REF!,"AAAAAHXf+9I=")</f>
        <v>#REF!</v>
      </c>
      <c r="HD46" t="e">
        <f>AND(#REF!,"AAAAAHXf+9M=")</f>
        <v>#REF!</v>
      </c>
      <c r="HE46" t="e">
        <f>AND(#REF!,"AAAAAHXf+9Q=")</f>
        <v>#REF!</v>
      </c>
      <c r="HF46" t="e">
        <f>AND(#REF!,"AAAAAHXf+9U=")</f>
        <v>#REF!</v>
      </c>
      <c r="HG46" t="e">
        <f>AND(#REF!,"AAAAAHXf+9Y=")</f>
        <v>#REF!</v>
      </c>
      <c r="HH46" t="e">
        <f>AND(#REF!,"AAAAAHXf+9c=")</f>
        <v>#REF!</v>
      </c>
      <c r="HI46" t="e">
        <f>AND(#REF!,"AAAAAHXf+9g=")</f>
        <v>#REF!</v>
      </c>
      <c r="HJ46" t="e">
        <f>AND(#REF!,"AAAAAHXf+9k=")</f>
        <v>#REF!</v>
      </c>
      <c r="HK46" t="e">
        <f>AND(#REF!,"AAAAAHXf+9o=")</f>
        <v>#REF!</v>
      </c>
      <c r="HL46" t="e">
        <f>AND(#REF!,"AAAAAHXf+9s=")</f>
        <v>#REF!</v>
      </c>
      <c r="HM46" t="e">
        <f>AND(#REF!,"AAAAAHXf+9w=")</f>
        <v>#REF!</v>
      </c>
      <c r="HN46" t="e">
        <f>AND(#REF!,"AAAAAHXf+90=")</f>
        <v>#REF!</v>
      </c>
      <c r="HO46" t="e">
        <f>AND(#REF!,"AAAAAHXf+94=")</f>
        <v>#REF!</v>
      </c>
      <c r="HP46" t="e">
        <f>AND(#REF!,"AAAAAHXf+98=")</f>
        <v>#REF!</v>
      </c>
      <c r="HQ46" t="e">
        <f>AND(#REF!,"AAAAAHXf++A=")</f>
        <v>#REF!</v>
      </c>
      <c r="HR46" t="e">
        <f>AND(#REF!,"AAAAAHXf++E=")</f>
        <v>#REF!</v>
      </c>
      <c r="HS46" t="e">
        <f>AND(#REF!,"AAAAAHXf++I=")</f>
        <v>#REF!</v>
      </c>
      <c r="HT46" t="e">
        <f>AND(#REF!,"AAAAAHXf++M=")</f>
        <v>#REF!</v>
      </c>
      <c r="HU46" t="e">
        <f>AND(#REF!,"AAAAAHXf++Q=")</f>
        <v>#REF!</v>
      </c>
      <c r="HV46" t="e">
        <f>AND(#REF!,"AAAAAHXf++U=")</f>
        <v>#REF!</v>
      </c>
      <c r="HW46" t="e">
        <f>AND(#REF!,"AAAAAHXf++Y=")</f>
        <v>#REF!</v>
      </c>
      <c r="HX46" t="e">
        <f>AND(#REF!,"AAAAAHXf++c=")</f>
        <v>#REF!</v>
      </c>
      <c r="HY46" t="e">
        <f>AND(#REF!,"AAAAAHXf++g=")</f>
        <v>#REF!</v>
      </c>
      <c r="HZ46" t="e">
        <f>AND(#REF!,"AAAAAHXf++k=")</f>
        <v>#REF!</v>
      </c>
      <c r="IA46" t="e">
        <f>AND(#REF!,"AAAAAHXf++o=")</f>
        <v>#REF!</v>
      </c>
      <c r="IB46" t="e">
        <f>AND(#REF!,"AAAAAHXf++s=")</f>
        <v>#REF!</v>
      </c>
      <c r="IC46" t="e">
        <f>AND(#REF!,"AAAAAHXf++w=")</f>
        <v>#REF!</v>
      </c>
      <c r="ID46" t="e">
        <f>AND(#REF!,"AAAAAHXf++0=")</f>
        <v>#REF!</v>
      </c>
      <c r="IE46" t="e">
        <f>AND(#REF!,"AAAAAHXf++4=")</f>
        <v>#REF!</v>
      </c>
      <c r="IF46" t="e">
        <f>AND(#REF!,"AAAAAHXf++8=")</f>
        <v>#REF!</v>
      </c>
      <c r="IG46" t="e">
        <f>AND(#REF!,"AAAAAHXf+/A=")</f>
        <v>#REF!</v>
      </c>
      <c r="IH46" t="e">
        <f>AND(#REF!,"AAAAAHXf+/E=")</f>
        <v>#REF!</v>
      </c>
      <c r="II46" t="e">
        <f>AND(#REF!,"AAAAAHXf+/I=")</f>
        <v>#REF!</v>
      </c>
      <c r="IJ46" t="e">
        <f>AND(#REF!,"AAAAAHXf+/M=")</f>
        <v>#REF!</v>
      </c>
      <c r="IK46" t="e">
        <f>AND(#REF!,"AAAAAHXf+/Q=")</f>
        <v>#REF!</v>
      </c>
      <c r="IL46" t="e">
        <f>IF(#REF!,"AAAAAHXf+/U=",0)</f>
        <v>#REF!</v>
      </c>
      <c r="IM46" t="e">
        <f>AND(#REF!,"AAAAAHXf+/Y=")</f>
        <v>#REF!</v>
      </c>
      <c r="IN46" t="e">
        <f>AND(#REF!,"AAAAAHXf+/c=")</f>
        <v>#REF!</v>
      </c>
      <c r="IO46" t="e">
        <f>AND(#REF!,"AAAAAHXf+/g=")</f>
        <v>#REF!</v>
      </c>
      <c r="IP46" t="e">
        <f>AND(#REF!,"AAAAAHXf+/k=")</f>
        <v>#REF!</v>
      </c>
      <c r="IQ46" t="e">
        <f>AND(#REF!,"AAAAAHXf+/o=")</f>
        <v>#REF!</v>
      </c>
      <c r="IR46" t="e">
        <f>AND(#REF!,"AAAAAHXf+/s=")</f>
        <v>#REF!</v>
      </c>
      <c r="IS46" t="e">
        <f>AND(#REF!,"AAAAAHXf+/w=")</f>
        <v>#REF!</v>
      </c>
      <c r="IT46" t="e">
        <f>AND(#REF!,"AAAAAHXf+/0=")</f>
        <v>#REF!</v>
      </c>
      <c r="IU46" t="e">
        <f>AND(#REF!,"AAAAAHXf+/4=")</f>
        <v>#REF!</v>
      </c>
      <c r="IV46" t="e">
        <f>AND(#REF!,"AAAAAHXf+/8=")</f>
        <v>#REF!</v>
      </c>
    </row>
    <row r="47" spans="1:256" x14ac:dyDescent="0.25">
      <c r="A47" t="e">
        <f>AND(#REF!,"AAAAAHFe7wA=")</f>
        <v>#REF!</v>
      </c>
      <c r="B47" t="e">
        <f>AND(#REF!,"AAAAAHFe7wE=")</f>
        <v>#REF!</v>
      </c>
      <c r="C47" t="e">
        <f>AND(#REF!,"AAAAAHFe7wI=")</f>
        <v>#REF!</v>
      </c>
      <c r="D47" t="e">
        <f>AND(#REF!,"AAAAAHFe7wM=")</f>
        <v>#REF!</v>
      </c>
      <c r="E47" t="e">
        <f>AND(#REF!,"AAAAAHFe7wQ=")</f>
        <v>#REF!</v>
      </c>
      <c r="F47" t="e">
        <f>AND(#REF!,"AAAAAHFe7wU=")</f>
        <v>#REF!</v>
      </c>
      <c r="G47" t="e">
        <f>AND(#REF!,"AAAAAHFe7wY=")</f>
        <v>#REF!</v>
      </c>
      <c r="H47" t="e">
        <f>AND(#REF!,"AAAAAHFe7wc=")</f>
        <v>#REF!</v>
      </c>
      <c r="I47" t="e">
        <f>AND(#REF!,"AAAAAHFe7wg=")</f>
        <v>#REF!</v>
      </c>
      <c r="J47" t="e">
        <f>AND(#REF!,"AAAAAHFe7wk=")</f>
        <v>#REF!</v>
      </c>
      <c r="K47" t="e">
        <f>AND(#REF!,"AAAAAHFe7wo=")</f>
        <v>#REF!</v>
      </c>
      <c r="L47" t="e">
        <f>AND(#REF!,"AAAAAHFe7ws=")</f>
        <v>#REF!</v>
      </c>
      <c r="M47" t="e">
        <f>AND(#REF!,"AAAAAHFe7ww=")</f>
        <v>#REF!</v>
      </c>
      <c r="N47" t="e">
        <f>AND(#REF!,"AAAAAHFe7w0=")</f>
        <v>#REF!</v>
      </c>
      <c r="O47" t="e">
        <f>AND(#REF!,"AAAAAHFe7w4=")</f>
        <v>#REF!</v>
      </c>
      <c r="P47" t="e">
        <f>AND(#REF!,"AAAAAHFe7w8=")</f>
        <v>#REF!</v>
      </c>
      <c r="Q47" t="e">
        <f>AND(#REF!,"AAAAAHFe7xA=")</f>
        <v>#REF!</v>
      </c>
      <c r="R47" t="e">
        <f>AND(#REF!,"AAAAAHFe7xE=")</f>
        <v>#REF!</v>
      </c>
      <c r="S47" t="e">
        <f>AND(#REF!,"AAAAAHFe7xI=")</f>
        <v>#REF!</v>
      </c>
      <c r="T47" t="e">
        <f>AND(#REF!,"AAAAAHFe7xM=")</f>
        <v>#REF!</v>
      </c>
      <c r="U47" t="e">
        <f>AND(#REF!,"AAAAAHFe7xQ=")</f>
        <v>#REF!</v>
      </c>
      <c r="V47" t="e">
        <f>AND(#REF!,"AAAAAHFe7xU=")</f>
        <v>#REF!</v>
      </c>
      <c r="W47" t="e">
        <f>AND(#REF!,"AAAAAHFe7xY=")</f>
        <v>#REF!</v>
      </c>
      <c r="X47" t="e">
        <f>AND(#REF!,"AAAAAHFe7xc=")</f>
        <v>#REF!</v>
      </c>
      <c r="Y47" t="e">
        <f>AND(#REF!,"AAAAAHFe7xg=")</f>
        <v>#REF!</v>
      </c>
      <c r="Z47" t="e">
        <f>AND(#REF!,"AAAAAHFe7xk=")</f>
        <v>#REF!</v>
      </c>
      <c r="AA47" t="e">
        <f>AND(#REF!,"AAAAAHFe7xo=")</f>
        <v>#REF!</v>
      </c>
      <c r="AB47" t="e">
        <f>AND(#REF!,"AAAAAHFe7xs=")</f>
        <v>#REF!</v>
      </c>
      <c r="AC47" t="e">
        <f>AND(#REF!,"AAAAAHFe7xw=")</f>
        <v>#REF!</v>
      </c>
      <c r="AD47" t="e">
        <f>AND(#REF!,"AAAAAHFe7x0=")</f>
        <v>#REF!</v>
      </c>
      <c r="AE47" t="e">
        <f>AND(#REF!,"AAAAAHFe7x4=")</f>
        <v>#REF!</v>
      </c>
      <c r="AF47" t="e">
        <f>AND(#REF!,"AAAAAHFe7x8=")</f>
        <v>#REF!</v>
      </c>
      <c r="AG47" t="e">
        <f>AND(#REF!,"AAAAAHFe7yA=")</f>
        <v>#REF!</v>
      </c>
      <c r="AH47" t="e">
        <f>AND(#REF!,"AAAAAHFe7yE=")</f>
        <v>#REF!</v>
      </c>
      <c r="AI47" t="e">
        <f>AND(#REF!,"AAAAAHFe7yI=")</f>
        <v>#REF!</v>
      </c>
      <c r="AJ47" t="e">
        <f>AND(#REF!,"AAAAAHFe7yM=")</f>
        <v>#REF!</v>
      </c>
      <c r="AK47" t="e">
        <f>AND(#REF!,"AAAAAHFe7yQ=")</f>
        <v>#REF!</v>
      </c>
      <c r="AL47" t="e">
        <f>AND(#REF!,"AAAAAHFe7yU=")</f>
        <v>#REF!</v>
      </c>
      <c r="AM47" t="e">
        <f>AND(#REF!,"AAAAAHFe7yY=")</f>
        <v>#REF!</v>
      </c>
      <c r="AN47" t="e">
        <f>AND(#REF!,"AAAAAHFe7yc=")</f>
        <v>#REF!</v>
      </c>
      <c r="AO47" t="e">
        <f>AND(#REF!,"AAAAAHFe7yg=")</f>
        <v>#REF!</v>
      </c>
      <c r="AP47" t="e">
        <f>AND(#REF!,"AAAAAHFe7yk=")</f>
        <v>#REF!</v>
      </c>
      <c r="AQ47" t="e">
        <f>AND(#REF!,"AAAAAHFe7yo=")</f>
        <v>#REF!</v>
      </c>
      <c r="AR47" t="e">
        <f>AND(#REF!,"AAAAAHFe7ys=")</f>
        <v>#REF!</v>
      </c>
      <c r="AS47" t="e">
        <f>AND(#REF!,"AAAAAHFe7yw=")</f>
        <v>#REF!</v>
      </c>
      <c r="AT47" t="e">
        <f>AND(#REF!,"AAAAAHFe7y0=")</f>
        <v>#REF!</v>
      </c>
      <c r="AU47" t="e">
        <f>AND(#REF!,"AAAAAHFe7y4=")</f>
        <v>#REF!</v>
      </c>
      <c r="AV47" t="e">
        <f>AND(#REF!,"AAAAAHFe7y8=")</f>
        <v>#REF!</v>
      </c>
      <c r="AW47" t="e">
        <f>AND(#REF!,"AAAAAHFe7zA=")</f>
        <v>#REF!</v>
      </c>
      <c r="AX47" t="e">
        <f>AND(#REF!,"AAAAAHFe7zE=")</f>
        <v>#REF!</v>
      </c>
      <c r="AY47" t="e">
        <f>AND(#REF!,"AAAAAHFe7zI=")</f>
        <v>#REF!</v>
      </c>
      <c r="AZ47" t="e">
        <f>AND(#REF!,"AAAAAHFe7zM=")</f>
        <v>#REF!</v>
      </c>
      <c r="BA47" t="e">
        <f>AND(#REF!,"AAAAAHFe7zQ=")</f>
        <v>#REF!</v>
      </c>
      <c r="BB47" t="e">
        <f>AND(#REF!,"AAAAAHFe7zU=")</f>
        <v>#REF!</v>
      </c>
      <c r="BC47" t="e">
        <f>AND(#REF!,"AAAAAHFe7zY=")</f>
        <v>#REF!</v>
      </c>
      <c r="BD47" t="e">
        <f>AND(#REF!,"AAAAAHFe7zc=")</f>
        <v>#REF!</v>
      </c>
      <c r="BE47" t="e">
        <f>AND(#REF!,"AAAAAHFe7zg=")</f>
        <v>#REF!</v>
      </c>
      <c r="BF47" t="e">
        <f>AND(#REF!,"AAAAAHFe7zk=")</f>
        <v>#REF!</v>
      </c>
      <c r="BG47" t="e">
        <f>AND(#REF!,"AAAAAHFe7zo=")</f>
        <v>#REF!</v>
      </c>
      <c r="BH47" t="e">
        <f>AND(#REF!,"AAAAAHFe7zs=")</f>
        <v>#REF!</v>
      </c>
      <c r="BI47" t="e">
        <f>AND(#REF!,"AAAAAHFe7zw=")</f>
        <v>#REF!</v>
      </c>
      <c r="BJ47" t="e">
        <f>AND(#REF!,"AAAAAHFe7z0=")</f>
        <v>#REF!</v>
      </c>
      <c r="BK47" t="e">
        <f>AND(#REF!,"AAAAAHFe7z4=")</f>
        <v>#REF!</v>
      </c>
      <c r="BL47" t="e">
        <f>AND(#REF!,"AAAAAHFe7z8=")</f>
        <v>#REF!</v>
      </c>
      <c r="BM47" t="e">
        <f>AND(#REF!,"AAAAAHFe70A=")</f>
        <v>#REF!</v>
      </c>
      <c r="BN47" t="e">
        <f>AND(#REF!,"AAAAAHFe70E=")</f>
        <v>#REF!</v>
      </c>
      <c r="BO47" t="e">
        <f>AND(#REF!,"AAAAAHFe70I=")</f>
        <v>#REF!</v>
      </c>
      <c r="BP47" t="e">
        <f>AND(#REF!,"AAAAAHFe70M=")</f>
        <v>#REF!</v>
      </c>
      <c r="BQ47" t="e">
        <f>AND(#REF!,"AAAAAHFe70Q=")</f>
        <v>#REF!</v>
      </c>
      <c r="BR47" t="e">
        <f>AND(#REF!,"AAAAAHFe70U=")</f>
        <v>#REF!</v>
      </c>
      <c r="BS47" t="e">
        <f>AND(#REF!,"AAAAAHFe70Y=")</f>
        <v>#REF!</v>
      </c>
      <c r="BT47" t="e">
        <f>AND(#REF!,"AAAAAHFe70c=")</f>
        <v>#REF!</v>
      </c>
      <c r="BU47" t="e">
        <f>AND(#REF!,"AAAAAHFe70g=")</f>
        <v>#REF!</v>
      </c>
      <c r="BV47" t="e">
        <f>AND(#REF!,"AAAAAHFe70k=")</f>
        <v>#REF!</v>
      </c>
      <c r="BW47" t="e">
        <f>AND(#REF!,"AAAAAHFe70o=")</f>
        <v>#REF!</v>
      </c>
      <c r="BX47" t="e">
        <f>AND(#REF!,"AAAAAHFe70s=")</f>
        <v>#REF!</v>
      </c>
      <c r="BY47" t="e">
        <f>AND(#REF!,"AAAAAHFe70w=")</f>
        <v>#REF!</v>
      </c>
      <c r="BZ47" t="e">
        <f>AND(#REF!,"AAAAAHFe700=")</f>
        <v>#REF!</v>
      </c>
      <c r="CA47" t="e">
        <f>AND(#REF!,"AAAAAHFe704=")</f>
        <v>#REF!</v>
      </c>
      <c r="CB47" t="e">
        <f>AND(#REF!,"AAAAAHFe708=")</f>
        <v>#REF!</v>
      </c>
      <c r="CC47" t="e">
        <f>AND(#REF!,"AAAAAHFe71A=")</f>
        <v>#REF!</v>
      </c>
      <c r="CD47" t="e">
        <f>AND(#REF!,"AAAAAHFe71E=")</f>
        <v>#REF!</v>
      </c>
      <c r="CE47" t="e">
        <f>AND(#REF!,"AAAAAHFe71I=")</f>
        <v>#REF!</v>
      </c>
      <c r="CF47" t="e">
        <f>AND(#REF!,"AAAAAHFe71M=")</f>
        <v>#REF!</v>
      </c>
      <c r="CG47" t="e">
        <f>AND(#REF!,"AAAAAHFe71Q=")</f>
        <v>#REF!</v>
      </c>
      <c r="CH47" t="e">
        <f>AND(#REF!,"AAAAAHFe71U=")</f>
        <v>#REF!</v>
      </c>
      <c r="CI47" t="e">
        <f>AND(#REF!,"AAAAAHFe71Y=")</f>
        <v>#REF!</v>
      </c>
      <c r="CJ47" t="e">
        <f>AND(#REF!,"AAAAAHFe71c=")</f>
        <v>#REF!</v>
      </c>
      <c r="CK47" t="e">
        <f>AND(#REF!,"AAAAAHFe71g=")</f>
        <v>#REF!</v>
      </c>
      <c r="CL47" t="e">
        <f>AND(#REF!,"AAAAAHFe71k=")</f>
        <v>#REF!</v>
      </c>
      <c r="CM47" t="e">
        <f>AND(#REF!,"AAAAAHFe71o=")</f>
        <v>#REF!</v>
      </c>
      <c r="CN47" t="e">
        <f>AND(#REF!,"AAAAAHFe71s=")</f>
        <v>#REF!</v>
      </c>
      <c r="CO47" t="e">
        <f>AND(#REF!,"AAAAAHFe71w=")</f>
        <v>#REF!</v>
      </c>
      <c r="CP47" t="e">
        <f>AND(#REF!,"AAAAAHFe710=")</f>
        <v>#REF!</v>
      </c>
      <c r="CQ47" t="e">
        <f>IF(#REF!,"AAAAAHFe714=",0)</f>
        <v>#REF!</v>
      </c>
      <c r="CR47" t="e">
        <f>AND(#REF!,"AAAAAHFe718=")</f>
        <v>#REF!</v>
      </c>
      <c r="CS47" t="e">
        <f>AND(#REF!,"AAAAAHFe72A=")</f>
        <v>#REF!</v>
      </c>
      <c r="CT47" t="e">
        <f>AND(#REF!,"AAAAAHFe72E=")</f>
        <v>#REF!</v>
      </c>
      <c r="CU47" t="e">
        <f>AND(#REF!,"AAAAAHFe72I=")</f>
        <v>#REF!</v>
      </c>
      <c r="CV47" t="e">
        <f>AND(#REF!,"AAAAAHFe72M=")</f>
        <v>#REF!</v>
      </c>
      <c r="CW47" t="e">
        <f>AND(#REF!,"AAAAAHFe72Q=")</f>
        <v>#REF!</v>
      </c>
      <c r="CX47" t="e">
        <f>AND(#REF!,"AAAAAHFe72U=")</f>
        <v>#REF!</v>
      </c>
      <c r="CY47" t="e">
        <f>AND(#REF!,"AAAAAHFe72Y=")</f>
        <v>#REF!</v>
      </c>
      <c r="CZ47" t="e">
        <f>AND(#REF!,"AAAAAHFe72c=")</f>
        <v>#REF!</v>
      </c>
      <c r="DA47" t="e">
        <f>AND(#REF!,"AAAAAHFe72g=")</f>
        <v>#REF!</v>
      </c>
      <c r="DB47" t="e">
        <f>AND(#REF!,"AAAAAHFe72k=")</f>
        <v>#REF!</v>
      </c>
      <c r="DC47" t="e">
        <f>AND(#REF!,"AAAAAHFe72o=")</f>
        <v>#REF!</v>
      </c>
      <c r="DD47" t="e">
        <f>AND(#REF!,"AAAAAHFe72s=")</f>
        <v>#REF!</v>
      </c>
      <c r="DE47" t="e">
        <f>AND(#REF!,"AAAAAHFe72w=")</f>
        <v>#REF!</v>
      </c>
      <c r="DF47" t="e">
        <f>AND(#REF!,"AAAAAHFe720=")</f>
        <v>#REF!</v>
      </c>
      <c r="DG47" t="e">
        <f>AND(#REF!,"AAAAAHFe724=")</f>
        <v>#REF!</v>
      </c>
      <c r="DH47" t="e">
        <f>AND(#REF!,"AAAAAHFe728=")</f>
        <v>#REF!</v>
      </c>
      <c r="DI47" t="e">
        <f>AND(#REF!,"AAAAAHFe73A=")</f>
        <v>#REF!</v>
      </c>
      <c r="DJ47" t="e">
        <f>AND(#REF!,"AAAAAHFe73E=")</f>
        <v>#REF!</v>
      </c>
      <c r="DK47" t="e">
        <f>AND(#REF!,"AAAAAHFe73I=")</f>
        <v>#REF!</v>
      </c>
      <c r="DL47" t="e">
        <f>AND(#REF!,"AAAAAHFe73M=")</f>
        <v>#REF!</v>
      </c>
      <c r="DM47" t="e">
        <f>AND(#REF!,"AAAAAHFe73Q=")</f>
        <v>#REF!</v>
      </c>
      <c r="DN47" t="e">
        <f>AND(#REF!,"AAAAAHFe73U=")</f>
        <v>#REF!</v>
      </c>
      <c r="DO47" t="e">
        <f>AND(#REF!,"AAAAAHFe73Y=")</f>
        <v>#REF!</v>
      </c>
      <c r="DP47" t="e">
        <f>AND(#REF!,"AAAAAHFe73c=")</f>
        <v>#REF!</v>
      </c>
      <c r="DQ47" t="e">
        <f>AND(#REF!,"AAAAAHFe73g=")</f>
        <v>#REF!</v>
      </c>
      <c r="DR47" t="e">
        <f>AND(#REF!,"AAAAAHFe73k=")</f>
        <v>#REF!</v>
      </c>
      <c r="DS47" t="e">
        <f>AND(#REF!,"AAAAAHFe73o=")</f>
        <v>#REF!</v>
      </c>
      <c r="DT47" t="e">
        <f>AND(#REF!,"AAAAAHFe73s=")</f>
        <v>#REF!</v>
      </c>
      <c r="DU47" t="e">
        <f>AND(#REF!,"AAAAAHFe73w=")</f>
        <v>#REF!</v>
      </c>
      <c r="DV47" t="e">
        <f>AND(#REF!,"AAAAAHFe730=")</f>
        <v>#REF!</v>
      </c>
      <c r="DW47" t="e">
        <f>AND(#REF!,"AAAAAHFe734=")</f>
        <v>#REF!</v>
      </c>
      <c r="DX47" t="e">
        <f>AND(#REF!,"AAAAAHFe738=")</f>
        <v>#REF!</v>
      </c>
      <c r="DY47" t="e">
        <f>AND(#REF!,"AAAAAHFe74A=")</f>
        <v>#REF!</v>
      </c>
      <c r="DZ47" t="e">
        <f>AND(#REF!,"AAAAAHFe74E=")</f>
        <v>#REF!</v>
      </c>
      <c r="EA47" t="e">
        <f>AND(#REF!,"AAAAAHFe74I=")</f>
        <v>#REF!</v>
      </c>
      <c r="EB47" t="e">
        <f>AND(#REF!,"AAAAAHFe74M=")</f>
        <v>#REF!</v>
      </c>
      <c r="EC47" t="e">
        <f>AND(#REF!,"AAAAAHFe74Q=")</f>
        <v>#REF!</v>
      </c>
      <c r="ED47" t="e">
        <f>AND(#REF!,"AAAAAHFe74U=")</f>
        <v>#REF!</v>
      </c>
      <c r="EE47" t="e">
        <f>AND(#REF!,"AAAAAHFe74Y=")</f>
        <v>#REF!</v>
      </c>
      <c r="EF47" t="e">
        <f>AND(#REF!,"AAAAAHFe74c=")</f>
        <v>#REF!</v>
      </c>
      <c r="EG47" t="e">
        <f>AND(#REF!,"AAAAAHFe74g=")</f>
        <v>#REF!</v>
      </c>
      <c r="EH47" t="e">
        <f>AND(#REF!,"AAAAAHFe74k=")</f>
        <v>#REF!</v>
      </c>
      <c r="EI47" t="e">
        <f>AND(#REF!,"AAAAAHFe74o=")</f>
        <v>#REF!</v>
      </c>
      <c r="EJ47" t="e">
        <f>AND(#REF!,"AAAAAHFe74s=")</f>
        <v>#REF!</v>
      </c>
      <c r="EK47" t="e">
        <f>AND(#REF!,"AAAAAHFe74w=")</f>
        <v>#REF!</v>
      </c>
      <c r="EL47" t="e">
        <f>AND(#REF!,"AAAAAHFe740=")</f>
        <v>#REF!</v>
      </c>
      <c r="EM47" t="e">
        <f>AND(#REF!,"AAAAAHFe744=")</f>
        <v>#REF!</v>
      </c>
      <c r="EN47" t="e">
        <f>AND(#REF!,"AAAAAHFe748=")</f>
        <v>#REF!</v>
      </c>
      <c r="EO47" t="e">
        <f>AND(#REF!,"AAAAAHFe75A=")</f>
        <v>#REF!</v>
      </c>
      <c r="EP47" t="e">
        <f>AND(#REF!,"AAAAAHFe75E=")</f>
        <v>#REF!</v>
      </c>
      <c r="EQ47" t="e">
        <f>AND(#REF!,"AAAAAHFe75I=")</f>
        <v>#REF!</v>
      </c>
      <c r="ER47" t="e">
        <f>AND(#REF!,"AAAAAHFe75M=")</f>
        <v>#REF!</v>
      </c>
      <c r="ES47" t="e">
        <f>AND(#REF!,"AAAAAHFe75Q=")</f>
        <v>#REF!</v>
      </c>
      <c r="ET47" t="e">
        <f>AND(#REF!,"AAAAAHFe75U=")</f>
        <v>#REF!</v>
      </c>
      <c r="EU47" t="e">
        <f>AND(#REF!,"AAAAAHFe75Y=")</f>
        <v>#REF!</v>
      </c>
      <c r="EV47" t="e">
        <f>AND(#REF!,"AAAAAHFe75c=")</f>
        <v>#REF!</v>
      </c>
      <c r="EW47" t="e">
        <f>AND(#REF!,"AAAAAHFe75g=")</f>
        <v>#REF!</v>
      </c>
      <c r="EX47" t="e">
        <f>AND(#REF!,"AAAAAHFe75k=")</f>
        <v>#REF!</v>
      </c>
      <c r="EY47" t="e">
        <f>AND(#REF!,"AAAAAHFe75o=")</f>
        <v>#REF!</v>
      </c>
      <c r="EZ47" t="e">
        <f>AND(#REF!,"AAAAAHFe75s=")</f>
        <v>#REF!</v>
      </c>
      <c r="FA47" t="e">
        <f>AND(#REF!,"AAAAAHFe75w=")</f>
        <v>#REF!</v>
      </c>
      <c r="FB47" t="e">
        <f>AND(#REF!,"AAAAAHFe750=")</f>
        <v>#REF!</v>
      </c>
      <c r="FC47" t="e">
        <f>AND(#REF!,"AAAAAHFe754=")</f>
        <v>#REF!</v>
      </c>
      <c r="FD47" t="e">
        <f>AND(#REF!,"AAAAAHFe758=")</f>
        <v>#REF!</v>
      </c>
      <c r="FE47" t="e">
        <f>AND(#REF!,"AAAAAHFe76A=")</f>
        <v>#REF!</v>
      </c>
      <c r="FF47" t="e">
        <f>AND(#REF!,"AAAAAHFe76E=")</f>
        <v>#REF!</v>
      </c>
      <c r="FG47" t="e">
        <f>AND(#REF!,"AAAAAHFe76I=")</f>
        <v>#REF!</v>
      </c>
      <c r="FH47" t="e">
        <f>AND(#REF!,"AAAAAHFe76M=")</f>
        <v>#REF!</v>
      </c>
      <c r="FI47" t="e">
        <f>AND(#REF!,"AAAAAHFe76Q=")</f>
        <v>#REF!</v>
      </c>
      <c r="FJ47" t="e">
        <f>AND(#REF!,"AAAAAHFe76U=")</f>
        <v>#REF!</v>
      </c>
      <c r="FK47" t="e">
        <f>AND(#REF!,"AAAAAHFe76Y=")</f>
        <v>#REF!</v>
      </c>
      <c r="FL47" t="e">
        <f>AND(#REF!,"AAAAAHFe76c=")</f>
        <v>#REF!</v>
      </c>
      <c r="FM47" t="e">
        <f>AND(#REF!,"AAAAAHFe76g=")</f>
        <v>#REF!</v>
      </c>
      <c r="FN47" t="e">
        <f>AND(#REF!,"AAAAAHFe76k=")</f>
        <v>#REF!</v>
      </c>
      <c r="FO47" t="e">
        <f>AND(#REF!,"AAAAAHFe76o=")</f>
        <v>#REF!</v>
      </c>
      <c r="FP47" t="e">
        <f>AND(#REF!,"AAAAAHFe76s=")</f>
        <v>#REF!</v>
      </c>
      <c r="FQ47" t="e">
        <f>AND(#REF!,"AAAAAHFe76w=")</f>
        <v>#REF!</v>
      </c>
      <c r="FR47" t="e">
        <f>AND(#REF!,"AAAAAHFe760=")</f>
        <v>#REF!</v>
      </c>
      <c r="FS47" t="e">
        <f>AND(#REF!,"AAAAAHFe764=")</f>
        <v>#REF!</v>
      </c>
      <c r="FT47" t="e">
        <f>AND(#REF!,"AAAAAHFe768=")</f>
        <v>#REF!</v>
      </c>
      <c r="FU47" t="e">
        <f>AND(#REF!,"AAAAAHFe77A=")</f>
        <v>#REF!</v>
      </c>
      <c r="FV47" t="e">
        <f>AND(#REF!,"AAAAAHFe77E=")</f>
        <v>#REF!</v>
      </c>
      <c r="FW47" t="e">
        <f>AND(#REF!,"AAAAAHFe77I=")</f>
        <v>#REF!</v>
      </c>
      <c r="FX47" t="e">
        <f>AND(#REF!,"AAAAAHFe77M=")</f>
        <v>#REF!</v>
      </c>
      <c r="FY47" t="e">
        <f>AND(#REF!,"AAAAAHFe77Q=")</f>
        <v>#REF!</v>
      </c>
      <c r="FZ47" t="e">
        <f>AND(#REF!,"AAAAAHFe77U=")</f>
        <v>#REF!</v>
      </c>
      <c r="GA47" t="e">
        <f>AND(#REF!,"AAAAAHFe77Y=")</f>
        <v>#REF!</v>
      </c>
      <c r="GB47" t="e">
        <f>AND(#REF!,"AAAAAHFe77c=")</f>
        <v>#REF!</v>
      </c>
      <c r="GC47" t="e">
        <f>AND(#REF!,"AAAAAHFe77g=")</f>
        <v>#REF!</v>
      </c>
      <c r="GD47" t="e">
        <f>AND(#REF!,"AAAAAHFe77k=")</f>
        <v>#REF!</v>
      </c>
      <c r="GE47" t="e">
        <f>AND(#REF!,"AAAAAHFe77o=")</f>
        <v>#REF!</v>
      </c>
      <c r="GF47" t="e">
        <f>AND(#REF!,"AAAAAHFe77s=")</f>
        <v>#REF!</v>
      </c>
      <c r="GG47" t="e">
        <f>AND(#REF!,"AAAAAHFe77w=")</f>
        <v>#REF!</v>
      </c>
      <c r="GH47" t="e">
        <f>AND(#REF!,"AAAAAHFe770=")</f>
        <v>#REF!</v>
      </c>
      <c r="GI47" t="e">
        <f>AND(#REF!,"AAAAAHFe774=")</f>
        <v>#REF!</v>
      </c>
      <c r="GJ47" t="e">
        <f>AND(#REF!,"AAAAAHFe778=")</f>
        <v>#REF!</v>
      </c>
      <c r="GK47" t="e">
        <f>AND(#REF!,"AAAAAHFe78A=")</f>
        <v>#REF!</v>
      </c>
      <c r="GL47" t="e">
        <f>AND(#REF!,"AAAAAHFe78E=")</f>
        <v>#REF!</v>
      </c>
      <c r="GM47" t="e">
        <f>AND(#REF!,"AAAAAHFe78I=")</f>
        <v>#REF!</v>
      </c>
      <c r="GN47" t="e">
        <f>AND(#REF!,"AAAAAHFe78M=")</f>
        <v>#REF!</v>
      </c>
      <c r="GO47" t="e">
        <f>AND(#REF!,"AAAAAHFe78Q=")</f>
        <v>#REF!</v>
      </c>
      <c r="GP47" t="e">
        <f>AND(#REF!,"AAAAAHFe78U=")</f>
        <v>#REF!</v>
      </c>
      <c r="GQ47" t="e">
        <f>AND(#REF!,"AAAAAHFe78Y=")</f>
        <v>#REF!</v>
      </c>
      <c r="GR47" t="e">
        <f>IF(#REF!,"AAAAAHFe78c=",0)</f>
        <v>#REF!</v>
      </c>
      <c r="GS47" t="e">
        <f>AND(#REF!,"AAAAAHFe78g=")</f>
        <v>#REF!</v>
      </c>
      <c r="GT47" t="e">
        <f>AND(#REF!,"AAAAAHFe78k=")</f>
        <v>#REF!</v>
      </c>
      <c r="GU47" t="e">
        <f>AND(#REF!,"AAAAAHFe78o=")</f>
        <v>#REF!</v>
      </c>
      <c r="GV47" t="e">
        <f>AND(#REF!,"AAAAAHFe78s=")</f>
        <v>#REF!</v>
      </c>
      <c r="GW47" t="e">
        <f>AND(#REF!,"AAAAAHFe78w=")</f>
        <v>#REF!</v>
      </c>
      <c r="GX47" t="e">
        <f>AND(#REF!,"AAAAAHFe780=")</f>
        <v>#REF!</v>
      </c>
      <c r="GY47" t="e">
        <f>AND(#REF!,"AAAAAHFe784=")</f>
        <v>#REF!</v>
      </c>
      <c r="GZ47" t="e">
        <f>AND(#REF!,"AAAAAHFe788=")</f>
        <v>#REF!</v>
      </c>
      <c r="HA47" t="e">
        <f>AND(#REF!,"AAAAAHFe79A=")</f>
        <v>#REF!</v>
      </c>
      <c r="HB47" t="e">
        <f>AND(#REF!,"AAAAAHFe79E=")</f>
        <v>#REF!</v>
      </c>
      <c r="HC47" t="e">
        <f>AND(#REF!,"AAAAAHFe79I=")</f>
        <v>#REF!</v>
      </c>
      <c r="HD47" t="e">
        <f>AND(#REF!,"AAAAAHFe79M=")</f>
        <v>#REF!</v>
      </c>
      <c r="HE47" t="e">
        <f>AND(#REF!,"AAAAAHFe79Q=")</f>
        <v>#REF!</v>
      </c>
      <c r="HF47" t="e">
        <f>AND(#REF!,"AAAAAHFe79U=")</f>
        <v>#REF!</v>
      </c>
      <c r="HG47" t="e">
        <f>AND(#REF!,"AAAAAHFe79Y=")</f>
        <v>#REF!</v>
      </c>
      <c r="HH47" t="e">
        <f>AND(#REF!,"AAAAAHFe79c=")</f>
        <v>#REF!</v>
      </c>
      <c r="HI47" t="e">
        <f>AND(#REF!,"AAAAAHFe79g=")</f>
        <v>#REF!</v>
      </c>
      <c r="HJ47" t="e">
        <f>AND(#REF!,"AAAAAHFe79k=")</f>
        <v>#REF!</v>
      </c>
      <c r="HK47" t="e">
        <f>AND(#REF!,"AAAAAHFe79o=")</f>
        <v>#REF!</v>
      </c>
      <c r="HL47" t="e">
        <f>AND(#REF!,"AAAAAHFe79s=")</f>
        <v>#REF!</v>
      </c>
      <c r="HM47" t="e">
        <f>AND(#REF!,"AAAAAHFe79w=")</f>
        <v>#REF!</v>
      </c>
      <c r="HN47" t="e">
        <f>AND(#REF!,"AAAAAHFe790=")</f>
        <v>#REF!</v>
      </c>
      <c r="HO47" t="e">
        <f>AND(#REF!,"AAAAAHFe794=")</f>
        <v>#REF!</v>
      </c>
      <c r="HP47" t="e">
        <f>AND(#REF!,"AAAAAHFe798=")</f>
        <v>#REF!</v>
      </c>
      <c r="HQ47" t="e">
        <f>AND(#REF!,"AAAAAHFe7+A=")</f>
        <v>#REF!</v>
      </c>
      <c r="HR47" t="e">
        <f>AND(#REF!,"AAAAAHFe7+E=")</f>
        <v>#REF!</v>
      </c>
      <c r="HS47" t="e">
        <f>AND(#REF!,"AAAAAHFe7+I=")</f>
        <v>#REF!</v>
      </c>
      <c r="HT47" t="e">
        <f>AND(#REF!,"AAAAAHFe7+M=")</f>
        <v>#REF!</v>
      </c>
      <c r="HU47" t="e">
        <f>AND(#REF!,"AAAAAHFe7+Q=")</f>
        <v>#REF!</v>
      </c>
      <c r="HV47" t="e">
        <f>AND(#REF!,"AAAAAHFe7+U=")</f>
        <v>#REF!</v>
      </c>
      <c r="HW47" t="e">
        <f>AND(#REF!,"AAAAAHFe7+Y=")</f>
        <v>#REF!</v>
      </c>
      <c r="HX47" t="e">
        <f>AND(#REF!,"AAAAAHFe7+c=")</f>
        <v>#REF!</v>
      </c>
      <c r="HY47" t="e">
        <f>AND(#REF!,"AAAAAHFe7+g=")</f>
        <v>#REF!</v>
      </c>
      <c r="HZ47" t="e">
        <f>AND(#REF!,"AAAAAHFe7+k=")</f>
        <v>#REF!</v>
      </c>
      <c r="IA47" t="e">
        <f>AND(#REF!,"AAAAAHFe7+o=")</f>
        <v>#REF!</v>
      </c>
      <c r="IB47" t="e">
        <f>AND(#REF!,"AAAAAHFe7+s=")</f>
        <v>#REF!</v>
      </c>
      <c r="IC47" t="e">
        <f>AND(#REF!,"AAAAAHFe7+w=")</f>
        <v>#REF!</v>
      </c>
      <c r="ID47" t="e">
        <f>AND(#REF!,"AAAAAHFe7+0=")</f>
        <v>#REF!</v>
      </c>
      <c r="IE47" t="e">
        <f>AND(#REF!,"AAAAAHFe7+4=")</f>
        <v>#REF!</v>
      </c>
      <c r="IF47" t="e">
        <f>AND(#REF!,"AAAAAHFe7+8=")</f>
        <v>#REF!</v>
      </c>
      <c r="IG47" t="e">
        <f>AND(#REF!,"AAAAAHFe7/A=")</f>
        <v>#REF!</v>
      </c>
      <c r="IH47" t="e">
        <f>AND(#REF!,"AAAAAHFe7/E=")</f>
        <v>#REF!</v>
      </c>
      <c r="II47" t="e">
        <f>AND(#REF!,"AAAAAHFe7/I=")</f>
        <v>#REF!</v>
      </c>
      <c r="IJ47" t="e">
        <f>AND(#REF!,"AAAAAHFe7/M=")</f>
        <v>#REF!</v>
      </c>
      <c r="IK47" t="e">
        <f>AND(#REF!,"AAAAAHFe7/Q=")</f>
        <v>#REF!</v>
      </c>
      <c r="IL47" t="e">
        <f>AND(#REF!,"AAAAAHFe7/U=")</f>
        <v>#REF!</v>
      </c>
      <c r="IM47" t="e">
        <f>AND(#REF!,"AAAAAHFe7/Y=")</f>
        <v>#REF!</v>
      </c>
      <c r="IN47" t="e">
        <f>AND(#REF!,"AAAAAHFe7/c=")</f>
        <v>#REF!</v>
      </c>
      <c r="IO47" t="e">
        <f>AND(#REF!,"AAAAAHFe7/g=")</f>
        <v>#REF!</v>
      </c>
      <c r="IP47" t="e">
        <f>AND(#REF!,"AAAAAHFe7/k=")</f>
        <v>#REF!</v>
      </c>
      <c r="IQ47" t="e">
        <f>AND(#REF!,"AAAAAHFe7/o=")</f>
        <v>#REF!</v>
      </c>
      <c r="IR47" t="e">
        <f>AND(#REF!,"AAAAAHFe7/s=")</f>
        <v>#REF!</v>
      </c>
      <c r="IS47" t="e">
        <f>AND(#REF!,"AAAAAHFe7/w=")</f>
        <v>#REF!</v>
      </c>
      <c r="IT47" t="e">
        <f>AND(#REF!,"AAAAAHFe7/0=")</f>
        <v>#REF!</v>
      </c>
      <c r="IU47" t="e">
        <f>AND(#REF!,"AAAAAHFe7/4=")</f>
        <v>#REF!</v>
      </c>
      <c r="IV47" t="e">
        <f>AND(#REF!,"AAAAAHFe7/8=")</f>
        <v>#REF!</v>
      </c>
    </row>
    <row r="48" spans="1:256" x14ac:dyDescent="0.25">
      <c r="A48" t="e">
        <f>AND(#REF!,"AAAAAG/6kwA=")</f>
        <v>#REF!</v>
      </c>
      <c r="B48" t="e">
        <f>AND(#REF!,"AAAAAG/6kwE=")</f>
        <v>#REF!</v>
      </c>
      <c r="C48" t="e">
        <f>AND(#REF!,"AAAAAG/6kwI=")</f>
        <v>#REF!</v>
      </c>
      <c r="D48" t="e">
        <f>AND(#REF!,"AAAAAG/6kwM=")</f>
        <v>#REF!</v>
      </c>
      <c r="E48" t="e">
        <f>AND(#REF!,"AAAAAG/6kwQ=")</f>
        <v>#REF!</v>
      </c>
      <c r="F48" t="e">
        <f>AND(#REF!,"AAAAAG/6kwU=")</f>
        <v>#REF!</v>
      </c>
      <c r="G48" t="e">
        <f>AND(#REF!,"AAAAAG/6kwY=")</f>
        <v>#REF!</v>
      </c>
      <c r="H48" t="e">
        <f>AND(#REF!,"AAAAAG/6kwc=")</f>
        <v>#REF!</v>
      </c>
      <c r="I48" t="e">
        <f>AND(#REF!,"AAAAAG/6kwg=")</f>
        <v>#REF!</v>
      </c>
      <c r="J48" t="e">
        <f>AND(#REF!,"AAAAAG/6kwk=")</f>
        <v>#REF!</v>
      </c>
      <c r="K48" t="e">
        <f>AND(#REF!,"AAAAAG/6kwo=")</f>
        <v>#REF!</v>
      </c>
      <c r="L48" t="e">
        <f>AND(#REF!,"AAAAAG/6kws=")</f>
        <v>#REF!</v>
      </c>
      <c r="M48" t="e">
        <f>AND(#REF!,"AAAAAG/6kww=")</f>
        <v>#REF!</v>
      </c>
      <c r="N48" t="e">
        <f>AND(#REF!,"AAAAAG/6kw0=")</f>
        <v>#REF!</v>
      </c>
      <c r="O48" t="e">
        <f>AND(#REF!,"AAAAAG/6kw4=")</f>
        <v>#REF!</v>
      </c>
      <c r="P48" t="e">
        <f>AND(#REF!,"AAAAAG/6kw8=")</f>
        <v>#REF!</v>
      </c>
      <c r="Q48" t="e">
        <f>AND(#REF!,"AAAAAG/6kxA=")</f>
        <v>#REF!</v>
      </c>
      <c r="R48" t="e">
        <f>AND(#REF!,"AAAAAG/6kxE=")</f>
        <v>#REF!</v>
      </c>
      <c r="S48" t="e">
        <f>AND(#REF!,"AAAAAG/6kxI=")</f>
        <v>#REF!</v>
      </c>
      <c r="T48" t="e">
        <f>AND(#REF!,"AAAAAG/6kxM=")</f>
        <v>#REF!</v>
      </c>
      <c r="U48" t="e">
        <f>AND(#REF!,"AAAAAG/6kxQ=")</f>
        <v>#REF!</v>
      </c>
      <c r="V48" t="e">
        <f>AND(#REF!,"AAAAAG/6kxU=")</f>
        <v>#REF!</v>
      </c>
      <c r="W48" t="e">
        <f>AND(#REF!,"AAAAAG/6kxY=")</f>
        <v>#REF!</v>
      </c>
      <c r="X48" t="e">
        <f>AND(#REF!,"AAAAAG/6kxc=")</f>
        <v>#REF!</v>
      </c>
      <c r="Y48" t="e">
        <f>AND(#REF!,"AAAAAG/6kxg=")</f>
        <v>#REF!</v>
      </c>
      <c r="Z48" t="e">
        <f>AND(#REF!,"AAAAAG/6kxk=")</f>
        <v>#REF!</v>
      </c>
      <c r="AA48" t="e">
        <f>AND(#REF!,"AAAAAG/6kxo=")</f>
        <v>#REF!</v>
      </c>
      <c r="AB48" t="e">
        <f>AND(#REF!,"AAAAAG/6kxs=")</f>
        <v>#REF!</v>
      </c>
      <c r="AC48" t="e">
        <f>AND(#REF!,"AAAAAG/6kxw=")</f>
        <v>#REF!</v>
      </c>
      <c r="AD48" t="e">
        <f>AND(#REF!,"AAAAAG/6kx0=")</f>
        <v>#REF!</v>
      </c>
      <c r="AE48" t="e">
        <f>AND(#REF!,"AAAAAG/6kx4=")</f>
        <v>#REF!</v>
      </c>
      <c r="AF48" t="e">
        <f>AND(#REF!,"AAAAAG/6kx8=")</f>
        <v>#REF!</v>
      </c>
      <c r="AG48" t="e">
        <f>AND(#REF!,"AAAAAG/6kyA=")</f>
        <v>#REF!</v>
      </c>
      <c r="AH48" t="e">
        <f>AND(#REF!,"AAAAAG/6kyE=")</f>
        <v>#REF!</v>
      </c>
      <c r="AI48" t="e">
        <f>AND(#REF!,"AAAAAG/6kyI=")</f>
        <v>#REF!</v>
      </c>
      <c r="AJ48" t="e">
        <f>AND(#REF!,"AAAAAG/6kyM=")</f>
        <v>#REF!</v>
      </c>
      <c r="AK48" t="e">
        <f>AND(#REF!,"AAAAAG/6kyQ=")</f>
        <v>#REF!</v>
      </c>
      <c r="AL48" t="e">
        <f>AND(#REF!,"AAAAAG/6kyU=")</f>
        <v>#REF!</v>
      </c>
      <c r="AM48" t="e">
        <f>AND(#REF!,"AAAAAG/6kyY=")</f>
        <v>#REF!</v>
      </c>
      <c r="AN48" t="e">
        <f>AND(#REF!,"AAAAAG/6kyc=")</f>
        <v>#REF!</v>
      </c>
      <c r="AO48" t="e">
        <f>AND(#REF!,"AAAAAG/6kyg=")</f>
        <v>#REF!</v>
      </c>
      <c r="AP48" t="e">
        <f>AND(#REF!,"AAAAAG/6kyk=")</f>
        <v>#REF!</v>
      </c>
      <c r="AQ48" t="e">
        <f>AND(#REF!,"AAAAAG/6kyo=")</f>
        <v>#REF!</v>
      </c>
      <c r="AR48" t="e">
        <f>AND(#REF!,"AAAAAG/6kys=")</f>
        <v>#REF!</v>
      </c>
      <c r="AS48" t="e">
        <f>AND(#REF!,"AAAAAG/6kyw=")</f>
        <v>#REF!</v>
      </c>
      <c r="AT48" t="e">
        <f>AND(#REF!,"AAAAAG/6ky0=")</f>
        <v>#REF!</v>
      </c>
      <c r="AU48" t="e">
        <f>AND(#REF!,"AAAAAG/6ky4=")</f>
        <v>#REF!</v>
      </c>
      <c r="AV48" t="e">
        <f>AND(#REF!,"AAAAAG/6ky8=")</f>
        <v>#REF!</v>
      </c>
      <c r="AW48" t="e">
        <f>IF(#REF!,"AAAAAG/6kzA=",0)</f>
        <v>#REF!</v>
      </c>
      <c r="AX48" t="e">
        <f>AND(#REF!,"AAAAAG/6kzE=")</f>
        <v>#REF!</v>
      </c>
      <c r="AY48" t="e">
        <f>AND(#REF!,"AAAAAG/6kzI=")</f>
        <v>#REF!</v>
      </c>
      <c r="AZ48" t="e">
        <f>AND(#REF!,"AAAAAG/6kzM=")</f>
        <v>#REF!</v>
      </c>
      <c r="BA48" t="e">
        <f>AND(#REF!,"AAAAAG/6kzQ=")</f>
        <v>#REF!</v>
      </c>
      <c r="BB48" t="e">
        <f>AND(#REF!,"AAAAAG/6kzU=")</f>
        <v>#REF!</v>
      </c>
      <c r="BC48" t="e">
        <f>AND(#REF!,"AAAAAG/6kzY=")</f>
        <v>#REF!</v>
      </c>
      <c r="BD48" t="e">
        <f>AND(#REF!,"AAAAAG/6kzc=")</f>
        <v>#REF!</v>
      </c>
      <c r="BE48" t="e">
        <f>AND(#REF!,"AAAAAG/6kzg=")</f>
        <v>#REF!</v>
      </c>
      <c r="BF48" t="e">
        <f>AND(#REF!,"AAAAAG/6kzk=")</f>
        <v>#REF!</v>
      </c>
      <c r="BG48" t="e">
        <f>AND(#REF!,"AAAAAG/6kzo=")</f>
        <v>#REF!</v>
      </c>
      <c r="BH48" t="e">
        <f>AND(#REF!,"AAAAAG/6kzs=")</f>
        <v>#REF!</v>
      </c>
      <c r="BI48" t="e">
        <f>AND(#REF!,"AAAAAG/6kzw=")</f>
        <v>#REF!</v>
      </c>
      <c r="BJ48" t="e">
        <f>AND(#REF!,"AAAAAG/6kz0=")</f>
        <v>#REF!</v>
      </c>
      <c r="BK48" t="e">
        <f>AND(#REF!,"AAAAAG/6kz4=")</f>
        <v>#REF!</v>
      </c>
      <c r="BL48" t="e">
        <f>AND(#REF!,"AAAAAG/6kz8=")</f>
        <v>#REF!</v>
      </c>
      <c r="BM48" t="e">
        <f>AND(#REF!,"AAAAAG/6k0A=")</f>
        <v>#REF!</v>
      </c>
      <c r="BN48" t="e">
        <f>AND(#REF!,"AAAAAG/6k0E=")</f>
        <v>#REF!</v>
      </c>
      <c r="BO48" t="e">
        <f>AND(#REF!,"AAAAAG/6k0I=")</f>
        <v>#REF!</v>
      </c>
      <c r="BP48" t="e">
        <f>AND(#REF!,"AAAAAG/6k0M=")</f>
        <v>#REF!</v>
      </c>
      <c r="BQ48" t="e">
        <f>AND(#REF!,"AAAAAG/6k0Q=")</f>
        <v>#REF!</v>
      </c>
      <c r="BR48" t="e">
        <f>AND(#REF!,"AAAAAG/6k0U=")</f>
        <v>#REF!</v>
      </c>
      <c r="BS48" t="e">
        <f>AND(#REF!,"AAAAAG/6k0Y=")</f>
        <v>#REF!</v>
      </c>
      <c r="BT48" t="e">
        <f>AND(#REF!,"AAAAAG/6k0c=")</f>
        <v>#REF!</v>
      </c>
      <c r="BU48" t="e">
        <f>AND(#REF!,"AAAAAG/6k0g=")</f>
        <v>#REF!</v>
      </c>
      <c r="BV48" t="e">
        <f>AND(#REF!,"AAAAAG/6k0k=")</f>
        <v>#REF!</v>
      </c>
      <c r="BW48" t="e">
        <f>AND(#REF!,"AAAAAG/6k0o=")</f>
        <v>#REF!</v>
      </c>
      <c r="BX48" t="e">
        <f>AND(#REF!,"AAAAAG/6k0s=")</f>
        <v>#REF!</v>
      </c>
      <c r="BY48" t="e">
        <f>AND(#REF!,"AAAAAG/6k0w=")</f>
        <v>#REF!</v>
      </c>
      <c r="BZ48" t="e">
        <f>AND(#REF!,"AAAAAG/6k00=")</f>
        <v>#REF!</v>
      </c>
      <c r="CA48" t="e">
        <f>AND(#REF!,"AAAAAG/6k04=")</f>
        <v>#REF!</v>
      </c>
      <c r="CB48" t="e">
        <f>AND(#REF!,"AAAAAG/6k08=")</f>
        <v>#REF!</v>
      </c>
      <c r="CC48" t="e">
        <f>AND(#REF!,"AAAAAG/6k1A=")</f>
        <v>#REF!</v>
      </c>
      <c r="CD48" t="e">
        <f>AND(#REF!,"AAAAAG/6k1E=")</f>
        <v>#REF!</v>
      </c>
      <c r="CE48" t="e">
        <f>AND(#REF!,"AAAAAG/6k1I=")</f>
        <v>#REF!</v>
      </c>
      <c r="CF48" t="e">
        <f>AND(#REF!,"AAAAAG/6k1M=")</f>
        <v>#REF!</v>
      </c>
      <c r="CG48" t="e">
        <f>AND(#REF!,"AAAAAG/6k1Q=")</f>
        <v>#REF!</v>
      </c>
      <c r="CH48" t="e">
        <f>AND(#REF!,"AAAAAG/6k1U=")</f>
        <v>#REF!</v>
      </c>
      <c r="CI48" t="e">
        <f>AND(#REF!,"AAAAAG/6k1Y=")</f>
        <v>#REF!</v>
      </c>
      <c r="CJ48" t="e">
        <f>AND(#REF!,"AAAAAG/6k1c=")</f>
        <v>#REF!</v>
      </c>
      <c r="CK48" t="e">
        <f>AND(#REF!,"AAAAAG/6k1g=")</f>
        <v>#REF!</v>
      </c>
      <c r="CL48" t="e">
        <f>AND(#REF!,"AAAAAG/6k1k=")</f>
        <v>#REF!</v>
      </c>
      <c r="CM48" t="e">
        <f>AND(#REF!,"AAAAAG/6k1o=")</f>
        <v>#REF!</v>
      </c>
      <c r="CN48" t="e">
        <f>AND(#REF!,"AAAAAG/6k1s=")</f>
        <v>#REF!</v>
      </c>
      <c r="CO48" t="e">
        <f>AND(#REF!,"AAAAAG/6k1w=")</f>
        <v>#REF!</v>
      </c>
      <c r="CP48" t="e">
        <f>AND(#REF!,"AAAAAG/6k10=")</f>
        <v>#REF!</v>
      </c>
      <c r="CQ48" t="e">
        <f>AND(#REF!,"AAAAAG/6k14=")</f>
        <v>#REF!</v>
      </c>
      <c r="CR48" t="e">
        <f>AND(#REF!,"AAAAAG/6k18=")</f>
        <v>#REF!</v>
      </c>
      <c r="CS48" t="e">
        <f>AND(#REF!,"AAAAAG/6k2A=")</f>
        <v>#REF!</v>
      </c>
      <c r="CT48" t="e">
        <f>AND(#REF!,"AAAAAG/6k2E=")</f>
        <v>#REF!</v>
      </c>
      <c r="CU48" t="e">
        <f>AND(#REF!,"AAAAAG/6k2I=")</f>
        <v>#REF!</v>
      </c>
      <c r="CV48" t="e">
        <f>AND(#REF!,"AAAAAG/6k2M=")</f>
        <v>#REF!</v>
      </c>
      <c r="CW48" t="e">
        <f>AND(#REF!,"AAAAAG/6k2Q=")</f>
        <v>#REF!</v>
      </c>
      <c r="CX48" t="e">
        <f>AND(#REF!,"AAAAAG/6k2U=")</f>
        <v>#REF!</v>
      </c>
      <c r="CY48" t="e">
        <f>AND(#REF!,"AAAAAG/6k2Y=")</f>
        <v>#REF!</v>
      </c>
      <c r="CZ48" t="e">
        <f>AND(#REF!,"AAAAAG/6k2c=")</f>
        <v>#REF!</v>
      </c>
      <c r="DA48" t="e">
        <f>AND(#REF!,"AAAAAG/6k2g=")</f>
        <v>#REF!</v>
      </c>
      <c r="DB48" t="e">
        <f>AND(#REF!,"AAAAAG/6k2k=")</f>
        <v>#REF!</v>
      </c>
      <c r="DC48" t="e">
        <f>AND(#REF!,"AAAAAG/6k2o=")</f>
        <v>#REF!</v>
      </c>
      <c r="DD48" t="e">
        <f>AND(#REF!,"AAAAAG/6k2s=")</f>
        <v>#REF!</v>
      </c>
      <c r="DE48" t="e">
        <f>AND(#REF!,"AAAAAG/6k2w=")</f>
        <v>#REF!</v>
      </c>
      <c r="DF48" t="e">
        <f>AND(#REF!,"AAAAAG/6k20=")</f>
        <v>#REF!</v>
      </c>
      <c r="DG48" t="e">
        <f>AND(#REF!,"AAAAAG/6k24=")</f>
        <v>#REF!</v>
      </c>
      <c r="DH48" t="e">
        <f>AND(#REF!,"AAAAAG/6k28=")</f>
        <v>#REF!</v>
      </c>
      <c r="DI48" t="e">
        <f>AND(#REF!,"AAAAAG/6k3A=")</f>
        <v>#REF!</v>
      </c>
      <c r="DJ48" t="e">
        <f>AND(#REF!,"AAAAAG/6k3E=")</f>
        <v>#REF!</v>
      </c>
      <c r="DK48" t="e">
        <f>AND(#REF!,"AAAAAG/6k3I=")</f>
        <v>#REF!</v>
      </c>
      <c r="DL48" t="e">
        <f>AND(#REF!,"AAAAAG/6k3M=")</f>
        <v>#REF!</v>
      </c>
      <c r="DM48" t="e">
        <f>AND(#REF!,"AAAAAG/6k3Q=")</f>
        <v>#REF!</v>
      </c>
      <c r="DN48" t="e">
        <f>AND(#REF!,"AAAAAG/6k3U=")</f>
        <v>#REF!</v>
      </c>
      <c r="DO48" t="e">
        <f>AND(#REF!,"AAAAAG/6k3Y=")</f>
        <v>#REF!</v>
      </c>
      <c r="DP48" t="e">
        <f>AND(#REF!,"AAAAAG/6k3c=")</f>
        <v>#REF!</v>
      </c>
      <c r="DQ48" t="e">
        <f>AND(#REF!,"AAAAAG/6k3g=")</f>
        <v>#REF!</v>
      </c>
      <c r="DR48" t="e">
        <f>AND(#REF!,"AAAAAG/6k3k=")</f>
        <v>#REF!</v>
      </c>
      <c r="DS48" t="e">
        <f>AND(#REF!,"AAAAAG/6k3o=")</f>
        <v>#REF!</v>
      </c>
      <c r="DT48" t="e">
        <f>AND(#REF!,"AAAAAG/6k3s=")</f>
        <v>#REF!</v>
      </c>
      <c r="DU48" t="e">
        <f>AND(#REF!,"AAAAAG/6k3w=")</f>
        <v>#REF!</v>
      </c>
      <c r="DV48" t="e">
        <f>AND(#REF!,"AAAAAG/6k30=")</f>
        <v>#REF!</v>
      </c>
      <c r="DW48" t="e">
        <f>AND(#REF!,"AAAAAG/6k34=")</f>
        <v>#REF!</v>
      </c>
      <c r="DX48" t="e">
        <f>AND(#REF!,"AAAAAG/6k38=")</f>
        <v>#REF!</v>
      </c>
      <c r="DY48" t="e">
        <f>AND(#REF!,"AAAAAG/6k4A=")</f>
        <v>#REF!</v>
      </c>
      <c r="DZ48" t="e">
        <f>AND(#REF!,"AAAAAG/6k4E=")</f>
        <v>#REF!</v>
      </c>
      <c r="EA48" t="e">
        <f>AND(#REF!,"AAAAAG/6k4I=")</f>
        <v>#REF!</v>
      </c>
      <c r="EB48" t="e">
        <f>AND(#REF!,"AAAAAG/6k4M=")</f>
        <v>#REF!</v>
      </c>
      <c r="EC48" t="e">
        <f>AND(#REF!,"AAAAAG/6k4Q=")</f>
        <v>#REF!</v>
      </c>
      <c r="ED48" t="e">
        <f>AND(#REF!,"AAAAAG/6k4U=")</f>
        <v>#REF!</v>
      </c>
      <c r="EE48" t="e">
        <f>AND(#REF!,"AAAAAG/6k4Y=")</f>
        <v>#REF!</v>
      </c>
      <c r="EF48" t="e">
        <f>AND(#REF!,"AAAAAG/6k4c=")</f>
        <v>#REF!</v>
      </c>
      <c r="EG48" t="e">
        <f>AND(#REF!,"AAAAAG/6k4g=")</f>
        <v>#REF!</v>
      </c>
      <c r="EH48" t="e">
        <f>AND(#REF!,"AAAAAG/6k4k=")</f>
        <v>#REF!</v>
      </c>
      <c r="EI48" t="e">
        <f>AND(#REF!,"AAAAAG/6k4o=")</f>
        <v>#REF!</v>
      </c>
      <c r="EJ48" t="e">
        <f>AND(#REF!,"AAAAAG/6k4s=")</f>
        <v>#REF!</v>
      </c>
      <c r="EK48" t="e">
        <f>AND(#REF!,"AAAAAG/6k4w=")</f>
        <v>#REF!</v>
      </c>
      <c r="EL48" t="e">
        <f>AND(#REF!,"AAAAAG/6k40=")</f>
        <v>#REF!</v>
      </c>
      <c r="EM48" t="e">
        <f>AND(#REF!,"AAAAAG/6k44=")</f>
        <v>#REF!</v>
      </c>
      <c r="EN48" t="e">
        <f>AND(#REF!,"AAAAAG/6k48=")</f>
        <v>#REF!</v>
      </c>
      <c r="EO48" t="e">
        <f>AND(#REF!,"AAAAAG/6k5A=")</f>
        <v>#REF!</v>
      </c>
      <c r="EP48" t="e">
        <f>AND(#REF!,"AAAAAG/6k5E=")</f>
        <v>#REF!</v>
      </c>
      <c r="EQ48" t="e">
        <f>AND(#REF!,"AAAAAG/6k5I=")</f>
        <v>#REF!</v>
      </c>
      <c r="ER48" t="e">
        <f>AND(#REF!,"AAAAAG/6k5M=")</f>
        <v>#REF!</v>
      </c>
      <c r="ES48" t="e">
        <f>AND(#REF!,"AAAAAG/6k5Q=")</f>
        <v>#REF!</v>
      </c>
      <c r="ET48" t="e">
        <f>AND(#REF!,"AAAAAG/6k5U=")</f>
        <v>#REF!</v>
      </c>
      <c r="EU48" t="e">
        <f>AND(#REF!,"AAAAAG/6k5Y=")</f>
        <v>#REF!</v>
      </c>
      <c r="EV48" t="e">
        <f>AND(#REF!,"AAAAAG/6k5c=")</f>
        <v>#REF!</v>
      </c>
      <c r="EW48" t="e">
        <f>AND(#REF!,"AAAAAG/6k5g=")</f>
        <v>#REF!</v>
      </c>
      <c r="EX48" t="e">
        <f>IF(#REF!,"AAAAAG/6k5k=",0)</f>
        <v>#REF!</v>
      </c>
      <c r="EY48" t="e">
        <f>IF(#REF!,"AAAAAG/6k5o=",0)</f>
        <v>#REF!</v>
      </c>
      <c r="EZ48" t="e">
        <f>IF(#REF!,"AAAAAG/6k5s=",0)</f>
        <v>#REF!</v>
      </c>
      <c r="FA48" t="e">
        <f>IF(#REF!,"AAAAAG/6k5w=",0)</f>
        <v>#REF!</v>
      </c>
      <c r="FB48" t="e">
        <f>IF(#REF!,"AAAAAG/6k50=",0)</f>
        <v>#REF!</v>
      </c>
      <c r="FC48" t="e">
        <f>IF(#REF!,"AAAAAG/6k54=",0)</f>
        <v>#REF!</v>
      </c>
      <c r="FD48" t="e">
        <f>IF(#REF!,"AAAAAG/6k58=",0)</f>
        <v>#REF!</v>
      </c>
      <c r="FE48" t="e">
        <f>IF(#REF!,"AAAAAG/6k6A=",0)</f>
        <v>#REF!</v>
      </c>
      <c r="FF48" t="e">
        <f>IF(#REF!,"AAAAAG/6k6E=",0)</f>
        <v>#REF!</v>
      </c>
      <c r="FG48" t="e">
        <f>IF(#REF!,"AAAAAG/6k6I=",0)</f>
        <v>#REF!</v>
      </c>
      <c r="FH48" t="e">
        <f>IF(#REF!,"AAAAAG/6k6M=",0)</f>
        <v>#REF!</v>
      </c>
      <c r="FI48" t="e">
        <f>IF(#REF!,"AAAAAG/6k6Q=",0)</f>
        <v>#REF!</v>
      </c>
      <c r="FJ48" t="e">
        <f>IF(#REF!,"AAAAAG/6k6U=",0)</f>
        <v>#REF!</v>
      </c>
      <c r="FK48" t="e">
        <f>IF(#REF!,"AAAAAG/6k6Y=",0)</f>
        <v>#REF!</v>
      </c>
      <c r="FL48" t="e">
        <f>IF(#REF!,"AAAAAG/6k6c=",0)</f>
        <v>#REF!</v>
      </c>
      <c r="FM48" t="e">
        <f>IF(#REF!,"AAAAAG/6k6g=",0)</f>
        <v>#REF!</v>
      </c>
      <c r="FN48" t="e">
        <f>IF(#REF!,"AAAAAG/6k6k=",0)</f>
        <v>#REF!</v>
      </c>
      <c r="FO48" t="e">
        <f>IF(#REF!,"AAAAAG/6k6o=",0)</f>
        <v>#REF!</v>
      </c>
      <c r="FP48" t="e">
        <f>IF(#REF!,"AAAAAG/6k6s=",0)</f>
        <v>#REF!</v>
      </c>
      <c r="FQ48" t="e">
        <f>IF(#REF!,"AAAAAG/6k6w=",0)</f>
        <v>#REF!</v>
      </c>
      <c r="FR48" t="e">
        <f>IF(#REF!,"AAAAAG/6k60=",0)</f>
        <v>#REF!</v>
      </c>
      <c r="FS48" t="e">
        <f>IF(#REF!,"AAAAAG/6k64=",0)</f>
        <v>#REF!</v>
      </c>
      <c r="FT48" t="e">
        <f>IF(#REF!,"AAAAAG/6k68=",0)</f>
        <v>#REF!</v>
      </c>
      <c r="FU48" t="e">
        <f>IF(#REF!,"AAAAAG/6k7A=",0)</f>
        <v>#REF!</v>
      </c>
      <c r="FV48" t="e">
        <f>IF(#REF!,"AAAAAG/6k7E=",0)</f>
        <v>#REF!</v>
      </c>
      <c r="FW48" t="e">
        <f>IF(#REF!,"AAAAAG/6k7I=",0)</f>
        <v>#REF!</v>
      </c>
      <c r="FX48" t="e">
        <f>IF(#REF!,"AAAAAG/6k7M=",0)</f>
        <v>#REF!</v>
      </c>
      <c r="FY48" t="e">
        <f>IF(#REF!,"AAAAAG/6k7Q=",0)</f>
        <v>#REF!</v>
      </c>
      <c r="FZ48" t="e">
        <f>IF(#REF!,"AAAAAG/6k7U=",0)</f>
        <v>#REF!</v>
      </c>
      <c r="GA48" t="e">
        <f>IF(#REF!,"AAAAAG/6k7Y=",0)</f>
        <v>#REF!</v>
      </c>
      <c r="GB48" t="e">
        <f>IF(#REF!,"AAAAAG/6k7c=",0)</f>
        <v>#REF!</v>
      </c>
      <c r="GC48" t="e">
        <f>IF(#REF!,"AAAAAG/6k7g=",0)</f>
        <v>#REF!</v>
      </c>
      <c r="GD48" t="e">
        <f>IF(#REF!,"AAAAAG/6k7k=",0)</f>
        <v>#REF!</v>
      </c>
      <c r="GE48" t="e">
        <f>IF(#REF!,"AAAAAG/6k7o=",0)</f>
        <v>#REF!</v>
      </c>
      <c r="GF48" t="e">
        <f>IF(#REF!,"AAAAAG/6k7s=",0)</f>
        <v>#REF!</v>
      </c>
      <c r="GG48" t="e">
        <f>IF(#REF!,"AAAAAG/6k7w=",0)</f>
        <v>#REF!</v>
      </c>
      <c r="GH48" t="e">
        <f>IF(#REF!,"AAAAAG/6k70=",0)</f>
        <v>#REF!</v>
      </c>
      <c r="GI48" t="e">
        <f>IF(#REF!,"AAAAAG/6k74=",0)</f>
        <v>#REF!</v>
      </c>
      <c r="GJ48" t="e">
        <f>IF(#REF!,"AAAAAG/6k78=",0)</f>
        <v>#REF!</v>
      </c>
      <c r="GK48" t="e">
        <f>IF(#REF!,"AAAAAG/6k8A=",0)</f>
        <v>#REF!</v>
      </c>
      <c r="GL48" t="e">
        <f>IF(#REF!,"AAAAAG/6k8E=",0)</f>
        <v>#REF!</v>
      </c>
      <c r="GM48" t="e">
        <f>IF(#REF!,"AAAAAG/6k8I=",0)</f>
        <v>#REF!</v>
      </c>
      <c r="GN48" t="e">
        <f>IF(#REF!,"AAAAAG/6k8M=",0)</f>
        <v>#REF!</v>
      </c>
      <c r="GO48" t="e">
        <f>IF(#REF!,"AAAAAG/6k8Q=",0)</f>
        <v>#REF!</v>
      </c>
      <c r="GP48" t="e">
        <f>IF(#REF!,"AAAAAG/6k8U=",0)</f>
        <v>#REF!</v>
      </c>
      <c r="GQ48" t="e">
        <f>IF(#REF!,"AAAAAG/6k8Y=",0)</f>
        <v>#REF!</v>
      </c>
      <c r="GR48" t="e">
        <f>IF(#REF!,"AAAAAG/6k8c=",0)</f>
        <v>#REF!</v>
      </c>
      <c r="GS48" t="e">
        <f>IF(#REF!,"AAAAAG/6k8g=",0)</f>
        <v>#REF!</v>
      </c>
      <c r="GT48" t="e">
        <f>IF(#REF!,"AAAAAG/6k8k=",0)</f>
        <v>#REF!</v>
      </c>
      <c r="GU48" t="e">
        <f>IF(#REF!,"AAAAAG/6k8o=",0)</f>
        <v>#REF!</v>
      </c>
      <c r="GV48" t="e">
        <f>IF(#REF!,"AAAAAG/6k8s=",0)</f>
        <v>#REF!</v>
      </c>
      <c r="GW48" t="e">
        <f>IF(#REF!,"AAAAAG/6k8w=",0)</f>
        <v>#REF!</v>
      </c>
      <c r="GX48" t="e">
        <f>IF(#REF!,"AAAAAG/6k80=",0)</f>
        <v>#REF!</v>
      </c>
      <c r="GY48" t="e">
        <f>IF(#REF!,"AAAAAG/6k84=",0)</f>
        <v>#REF!</v>
      </c>
      <c r="GZ48" t="e">
        <f>IF(#REF!,"AAAAAG/6k88=",0)</f>
        <v>#REF!</v>
      </c>
      <c r="HA48" t="e">
        <f>IF(#REF!,"AAAAAG/6k9A=",0)</f>
        <v>#REF!</v>
      </c>
      <c r="HB48" t="e">
        <f>IF(#REF!,"AAAAAG/6k9E=",0)</f>
        <v>#REF!</v>
      </c>
      <c r="HC48" t="e">
        <f>IF(#REF!,"AAAAAG/6k9I=",0)</f>
        <v>#REF!</v>
      </c>
      <c r="HD48" t="e">
        <f>IF(#REF!,"AAAAAG/6k9M=",0)</f>
        <v>#REF!</v>
      </c>
      <c r="HE48" t="e">
        <f>IF(#REF!,"AAAAAG/6k9Q=",0)</f>
        <v>#REF!</v>
      </c>
      <c r="HF48" t="e">
        <f>IF(#REF!,"AAAAAG/6k9U=",0)</f>
        <v>#REF!</v>
      </c>
      <c r="HG48" t="e">
        <f>IF(#REF!,"AAAAAG/6k9Y=",0)</f>
        <v>#REF!</v>
      </c>
      <c r="HH48" t="e">
        <f>IF(#REF!,"AAAAAG/6k9c=",0)</f>
        <v>#REF!</v>
      </c>
      <c r="HI48" t="e">
        <f>IF(#REF!,"AAAAAG/6k9g=",0)</f>
        <v>#REF!</v>
      </c>
      <c r="HJ48" t="e">
        <f>IF(#REF!,"AAAAAG/6k9k=",0)</f>
        <v>#REF!</v>
      </c>
      <c r="HK48" t="e">
        <f>IF(#REF!,"AAAAAG/6k9o=",0)</f>
        <v>#REF!</v>
      </c>
      <c r="HL48" t="e">
        <f>IF(#REF!,"AAAAAG/6k9s=",0)</f>
        <v>#REF!</v>
      </c>
      <c r="HM48" t="e">
        <f>IF(#REF!,"AAAAAG/6k9w=",0)</f>
        <v>#REF!</v>
      </c>
      <c r="HN48" t="e">
        <f>IF(#REF!,"AAAAAG/6k90=",0)</f>
        <v>#REF!</v>
      </c>
      <c r="HO48" t="e">
        <f>IF(#REF!,"AAAAAG/6k94=",0)</f>
        <v>#REF!</v>
      </c>
      <c r="HP48" t="e">
        <f>IF(#REF!,"AAAAAG/6k98=",0)</f>
        <v>#REF!</v>
      </c>
      <c r="HQ48" t="e">
        <f>IF(#REF!,"AAAAAG/6k+A=",0)</f>
        <v>#REF!</v>
      </c>
      <c r="HR48" t="e">
        <f>IF(#REF!,"AAAAAG/6k+E=",0)</f>
        <v>#REF!</v>
      </c>
      <c r="HS48" t="e">
        <f>IF(#REF!,"AAAAAG/6k+I=",0)</f>
        <v>#REF!</v>
      </c>
      <c r="HT48" t="e">
        <f>IF(#REF!,"AAAAAG/6k+M=",0)</f>
        <v>#REF!</v>
      </c>
      <c r="HU48" t="e">
        <f>IF(#REF!,"AAAAAG/6k+Q=",0)</f>
        <v>#REF!</v>
      </c>
      <c r="HV48" t="e">
        <f>IF(#REF!,"AAAAAG/6k+U=",0)</f>
        <v>#REF!</v>
      </c>
      <c r="HW48" t="e">
        <f>IF(#REF!,"AAAAAG/6k+Y=",0)</f>
        <v>#REF!</v>
      </c>
      <c r="HX48" t="e">
        <f>IF(#REF!,"AAAAAG/6k+c=",0)</f>
        <v>#REF!</v>
      </c>
      <c r="HY48" t="e">
        <f>IF(#REF!,"AAAAAG/6k+g=",0)</f>
        <v>#REF!</v>
      </c>
      <c r="HZ48" t="e">
        <f>IF(#REF!,"AAAAAG/6k+k=",0)</f>
        <v>#REF!</v>
      </c>
      <c r="IA48" t="e">
        <f>IF(#REF!,"AAAAAG/6k+o=",0)</f>
        <v>#REF!</v>
      </c>
      <c r="IB48" t="e">
        <f>IF(#REF!,"AAAAAG/6k+s=",0)</f>
        <v>#REF!</v>
      </c>
      <c r="IC48" t="e">
        <f>IF(#REF!,"AAAAAG/6k+w=",0)</f>
        <v>#REF!</v>
      </c>
      <c r="ID48" t="e">
        <f>IF(#REF!,"AAAAAG/6k+0=",0)</f>
        <v>#REF!</v>
      </c>
      <c r="IE48" t="e">
        <f>IF(#REF!,"AAAAAG/6k+4=",0)</f>
        <v>#REF!</v>
      </c>
      <c r="IF48" t="e">
        <f>IF(#REF!,"AAAAAG/6k+8=",0)</f>
        <v>#REF!</v>
      </c>
      <c r="IG48" t="e">
        <f>IF(#REF!,"AAAAAG/6k/A=",0)</f>
        <v>#REF!</v>
      </c>
      <c r="IH48" t="e">
        <f>IF(#REF!,"AAAAAG/6k/E=",0)</f>
        <v>#REF!</v>
      </c>
      <c r="II48" t="e">
        <f>IF(#REF!,"AAAAAG/6k/I=",0)</f>
        <v>#REF!</v>
      </c>
      <c r="IJ48" t="e">
        <f>IF(#REF!,"AAAAAG/6k/M=",0)</f>
        <v>#REF!</v>
      </c>
      <c r="IK48" t="e">
        <f>IF(#REF!,"AAAAAG/6k/Q=",0)</f>
        <v>#REF!</v>
      </c>
      <c r="IL48" t="e">
        <f>IF(#REF!,"AAAAAG/6k/U=",0)</f>
        <v>#REF!</v>
      </c>
      <c r="IM48" t="e">
        <f>IF(#REF!,"AAAAAG/6k/Y=",0)</f>
        <v>#REF!</v>
      </c>
      <c r="IN48" t="e">
        <f>IF(#REF!,"AAAAAG/6k/c=",0)</f>
        <v>#REF!</v>
      </c>
      <c r="IO48" t="e">
        <f>IF(#REF!,"AAAAAG/6k/g=",0)</f>
        <v>#REF!</v>
      </c>
      <c r="IP48" t="e">
        <f>IF(#REF!,"AAAAAG/6k/k=",0)</f>
        <v>#REF!</v>
      </c>
      <c r="IQ48" t="e">
        <f>IF(#REF!,"AAAAAG/6k/o=",0)</f>
        <v>#REF!</v>
      </c>
      <c r="IR48" t="e">
        <f>IF(#REF!,"AAAAAG/6k/s=",0)</f>
        <v>#REF!</v>
      </c>
      <c r="IS48" t="e">
        <f>IF(#REF!,"AAAAAG/6k/w=",0)</f>
        <v>#REF!</v>
      </c>
      <c r="IT48" t="e">
        <f>IF(#REF!,"AAAAAG/6k/0=",0)</f>
        <v>#REF!</v>
      </c>
      <c r="IU48" t="e">
        <f>IF(#REF!,"AAAAAG/6k/4=",0)</f>
        <v>#REF!</v>
      </c>
      <c r="IV48" t="e">
        <f>IF(#REF!,"AAAAAG/6k/8=",0)</f>
        <v>#REF!</v>
      </c>
    </row>
    <row r="49" spans="1:256" x14ac:dyDescent="0.25">
      <c r="A49" t="e">
        <f>IF(#REF!,"AAAAADf7/gA=",0)</f>
        <v>#REF!</v>
      </c>
      <c r="B49" t="e">
        <f>IF(#REF!,"AAAAADf7/gE=",0)</f>
        <v>#REF!</v>
      </c>
      <c r="C49" t="e">
        <f>IF(#REF!,"AAAAADf7/gI=",0)</f>
        <v>#REF!</v>
      </c>
      <c r="D49" t="e">
        <f>IF(#REF!,"AAAAADf7/gM=",0)</f>
        <v>#REF!</v>
      </c>
      <c r="E49" t="e">
        <f>IF(#REF!,"AAAAADf7/gQ=",0)</f>
        <v>#REF!</v>
      </c>
      <c r="F49" t="e">
        <f>IF(#REF!,"AAAAADf7/gU=",0)</f>
        <v>#REF!</v>
      </c>
      <c r="G49" t="e">
        <f>IF(#REF!,"AAAAADf7/gY=",0)</f>
        <v>#REF!</v>
      </c>
      <c r="H49" t="e">
        <f>IF(#REF!,"AAAAADf7/gc=",0)</f>
        <v>#REF!</v>
      </c>
      <c r="I49" t="e">
        <f>IF(#REF!,"AAAAADf7/gg=",0)</f>
        <v>#REF!</v>
      </c>
      <c r="J49" t="e">
        <f>IF(#REF!,"AAAAADf7/gk=",0)</f>
        <v>#REF!</v>
      </c>
      <c r="K49" t="e">
        <f>IF(#REF!,"AAAAADf7/go=",0)</f>
        <v>#REF!</v>
      </c>
      <c r="L49" t="e">
        <f>IF(#REF!,"AAAAADf7/gs=",0)</f>
        <v>#REF!</v>
      </c>
      <c r="M49" t="e">
        <f>IF(#REF!,"AAAAADf7/gw=",0)</f>
        <v>#REF!</v>
      </c>
      <c r="N49" t="e">
        <f>IF(#REF!,"AAAAADf7/g0=",0)</f>
        <v>#REF!</v>
      </c>
      <c r="O49" t="e">
        <f>IF(#REF!,"AAAAADf7/g4=",0)</f>
        <v>#REF!</v>
      </c>
      <c r="P49" t="e">
        <f>IF(#REF!,"AAAAADf7/g8=",0)</f>
        <v>#REF!</v>
      </c>
      <c r="Q49" t="e">
        <f>IF(#REF!,"AAAAADf7/hA=",0)</f>
        <v>#REF!</v>
      </c>
      <c r="R49" t="e">
        <f>IF(#REF!,"AAAAADf7/hE=",0)</f>
        <v>#REF!</v>
      </c>
      <c r="S49" t="e">
        <f>IF(#REF!,"AAAAADf7/hI=",0)</f>
        <v>#REF!</v>
      </c>
      <c r="T49" t="e">
        <f>IF(#REF!,"AAAAADf7/hM=",0)</f>
        <v>#REF!</v>
      </c>
      <c r="U49" t="e">
        <f>IF(#REF!,"AAAAADf7/hQ=",0)</f>
        <v>#REF!</v>
      </c>
      <c r="V49" t="e">
        <f>IF(#REF!,"AAAAADf7/hU=",0)</f>
        <v>#REF!</v>
      </c>
      <c r="W49" t="e">
        <f>IF(#REF!,"AAAAADf7/hY=",0)</f>
        <v>#REF!</v>
      </c>
      <c r="X49" t="e">
        <f>IF(#REF!,"AAAAADf7/hc=",0)</f>
        <v>#REF!</v>
      </c>
      <c r="Y49" t="e">
        <f>IF(#REF!,"AAAAADf7/hg=",0)</f>
        <v>#REF!</v>
      </c>
      <c r="Z49" t="e">
        <f>IF(#REF!,"AAAAADf7/hk=",0)</f>
        <v>#REF!</v>
      </c>
      <c r="AA49" t="e">
        <f>IF(#REF!,"AAAAADf7/ho=",0)</f>
        <v>#REF!</v>
      </c>
      <c r="AB49" t="e">
        <f>IF(#REF!,"AAAAADf7/hs=",0)</f>
        <v>#REF!</v>
      </c>
      <c r="AC49" t="e">
        <f>IF(#REF!,"AAAAADf7/hw=",0)</f>
        <v>#REF!</v>
      </c>
      <c r="AD49" t="e">
        <f>IF(#REF!,"AAAAADf7/h0=",0)</f>
        <v>#REF!</v>
      </c>
      <c r="AE49" t="e">
        <f>IF(#REF!,"AAAAADf7/h4=",0)</f>
        <v>#REF!</v>
      </c>
      <c r="AF49" t="e">
        <f>IF(#REF!,"AAAAADf7/h8=",0)</f>
        <v>#REF!</v>
      </c>
      <c r="AG49" t="e">
        <f>IF(#REF!,"AAAAADf7/iA=",0)</f>
        <v>#REF!</v>
      </c>
      <c r="AH49" t="e">
        <f>IF(#REF!,"AAAAADf7/iE=",0)</f>
        <v>#REF!</v>
      </c>
      <c r="AI49" t="e">
        <f>IF(#REF!,"AAAAADf7/iI=",0)</f>
        <v>#REF!</v>
      </c>
      <c r="AJ49" t="e">
        <f>IF(#REF!,"AAAAADf7/iM=",0)</f>
        <v>#REF!</v>
      </c>
      <c r="AK49" t="e">
        <f>IF(#REF!,"AAAAADf7/iQ=",0)</f>
        <v>#REF!</v>
      </c>
      <c r="AL49" t="e">
        <f>IF(#REF!,"AAAAADf7/iU=",0)</f>
        <v>#REF!</v>
      </c>
      <c r="AM49" t="e">
        <f>IF(#REF!,"AAAAADf7/iY=",0)</f>
        <v>#REF!</v>
      </c>
      <c r="AN49" t="e">
        <f>IF(#REF!,"AAAAADf7/ic=",0)</f>
        <v>#REF!</v>
      </c>
      <c r="AO49" t="e">
        <f>IF(#REF!,"AAAAADf7/ig=",0)</f>
        <v>#REF!</v>
      </c>
      <c r="AP49" t="e">
        <f>IF(#REF!,"AAAAADf7/ik=",0)</f>
        <v>#REF!</v>
      </c>
      <c r="AQ49" t="e">
        <f>IF(#REF!,"AAAAADf7/io=",0)</f>
        <v>#REF!</v>
      </c>
      <c r="AR49" t="e">
        <f>IF(#REF!,"AAAAADf7/is=",0)</f>
        <v>#REF!</v>
      </c>
      <c r="AS49" t="e">
        <f>IF(#REF!,"AAAAADf7/iw=",0)</f>
        <v>#REF!</v>
      </c>
      <c r="AT49" t="e">
        <f>IF(#REF!,"AAAAADf7/i0=",0)</f>
        <v>#REF!</v>
      </c>
      <c r="AU49" t="e">
        <f>IF(#REF!,"AAAAADf7/i4=",0)</f>
        <v>#REF!</v>
      </c>
      <c r="AV49" t="e">
        <f>IF(#REF!,"AAAAADf7/i8=",0)</f>
        <v>#REF!</v>
      </c>
      <c r="AW49" t="e">
        <f>IF(#REF!,"AAAAADf7/jA=",0)</f>
        <v>#REF!</v>
      </c>
      <c r="AX49" t="e">
        <f>IF(#REF!,"AAAAADf7/jE=",0)</f>
        <v>#REF!</v>
      </c>
      <c r="AY49" t="e">
        <f>IF(#REF!,"AAAAADf7/jI=",0)</f>
        <v>#REF!</v>
      </c>
      <c r="AZ49" t="e">
        <f>IF(#REF!,"AAAAADf7/jM=",0)</f>
        <v>#REF!</v>
      </c>
      <c r="BA49" t="e">
        <f>IF(#REF!,"AAAAADf7/jQ=",0)</f>
        <v>#REF!</v>
      </c>
      <c r="BB49" t="e">
        <f>IF(#REF!,"AAAAADf7/jU=",0)</f>
        <v>#REF!</v>
      </c>
      <c r="BC49" t="e">
        <f>IF(#REF!,"AAAAADf7/jY=",0)</f>
        <v>#REF!</v>
      </c>
      <c r="BD49" t="e">
        <f>IF(#REF!,"AAAAADf7/jc=",0)</f>
        <v>#REF!</v>
      </c>
      <c r="BE49" t="e">
        <f>IF(#REF!,"AAAAADf7/jg=",0)</f>
        <v>#REF!</v>
      </c>
      <c r="BF49" t="e">
        <f>IF(#REF!,"AAAAADf7/jk=",0)</f>
        <v>#REF!</v>
      </c>
      <c r="BG49" t="e">
        <f>IF(#REF!,"AAAAADf7/jo=",0)</f>
        <v>#REF!</v>
      </c>
      <c r="BH49" t="e">
        <f>IF(#REF!,"AAAAADf7/js=",0)</f>
        <v>#REF!</v>
      </c>
      <c r="BI49" t="e">
        <f>IF(#REF!,"AAAAADf7/jw=",0)</f>
        <v>#REF!</v>
      </c>
      <c r="BJ49" t="e">
        <f>IF(#REF!,"AAAAADf7/j0=",0)</f>
        <v>#REF!</v>
      </c>
      <c r="BK49" t="e">
        <f>IF(#REF!,"AAAAADf7/j4=",0)</f>
        <v>#REF!</v>
      </c>
      <c r="BL49" t="e">
        <f>IF(#REF!,"AAAAADf7/j8=",0)</f>
        <v>#REF!</v>
      </c>
      <c r="BM49" t="e">
        <f>IF(#REF!,"AAAAADf7/kA=",0)</f>
        <v>#REF!</v>
      </c>
      <c r="BN49" t="e">
        <f>IF(#REF!,"AAAAADf7/kE=",0)</f>
        <v>#REF!</v>
      </c>
      <c r="BO49" t="e">
        <f>IF(#REF!,"AAAAADf7/kI=",0)</f>
        <v>#REF!</v>
      </c>
      <c r="BP49" t="e">
        <f>IF(#REF!,"AAAAADf7/kM=",0)</f>
        <v>#REF!</v>
      </c>
      <c r="BQ49" t="e">
        <f>IF(#REF!,"AAAAADf7/kQ=",0)</f>
        <v>#REF!</v>
      </c>
      <c r="BR49" t="e">
        <f>IF(#REF!,"AAAAADf7/kU=",0)</f>
        <v>#REF!</v>
      </c>
      <c r="BS49" t="e">
        <f>IF(#REF!,"AAAAADf7/kY=",0)</f>
        <v>#REF!</v>
      </c>
      <c r="BT49" t="e">
        <f>IF(#REF!,"AAAAADf7/kc=",0)</f>
        <v>#REF!</v>
      </c>
      <c r="BU49" t="e">
        <f>IF(#REF!,"AAAAADf7/kg=",0)</f>
        <v>#REF!</v>
      </c>
      <c r="BV49">
        <f>IF('3-Lift'!1:1,"AAAAADf7/kk=",0)</f>
        <v>0</v>
      </c>
      <c r="BW49" t="e">
        <f>AND('3-Lift'!#REF!,"AAAAADf7/ko=")</f>
        <v>#REF!</v>
      </c>
      <c r="BX49">
        <f>IF('3-Lift'!2:2,"AAAAADf7/ks=",0)</f>
        <v>0</v>
      </c>
      <c r="BY49" t="e">
        <f>AND('3-Lift'!#REF!,"AAAAADf7/kw=")</f>
        <v>#REF!</v>
      </c>
      <c r="BZ49" t="e">
        <f>IF('3-Lift'!#REF!,"AAAAADf7/k0=",0)</f>
        <v>#REF!</v>
      </c>
      <c r="CA49" t="e">
        <f>IF(#REF!,"AAAAADf7/k4=",0)</f>
        <v>#REF!</v>
      </c>
      <c r="CB49" t="e">
        <f>AND(#REF!,"AAAAADf7/k8=")</f>
        <v>#REF!</v>
      </c>
      <c r="CC49" t="e">
        <f>IF(#REF!,"AAAAADf7/lA=",0)</f>
        <v>#REF!</v>
      </c>
      <c r="CD49" t="e">
        <f>AND(#REF!,"AAAAADf7/lE=")</f>
        <v>#REF!</v>
      </c>
      <c r="CE49" t="e">
        <f>IF(#REF!,"AAAAADf7/lI=",0)</f>
        <v>#REF!</v>
      </c>
      <c r="CF49" t="e">
        <f>IF(#REF!,"AAAAADf7/lM=",0)</f>
        <v>#REF!</v>
      </c>
      <c r="CG49" t="e">
        <f>AND(#REF!,"AAAAADf7/lQ=")</f>
        <v>#REF!</v>
      </c>
      <c r="CH49" t="e">
        <f>IF(#REF!,"AAAAADf7/lU=",0)</f>
        <v>#REF!</v>
      </c>
      <c r="CI49" t="e">
        <f>AND(#REF!,"AAAAADf7/lY=")</f>
        <v>#REF!</v>
      </c>
      <c r="CJ49" t="e">
        <f>IF(#REF!,"AAAAADf7/lc=",0)</f>
        <v>#REF!</v>
      </c>
      <c r="CK49" t="e">
        <f>AND(#REF!,"AAAAADf7/lg=")</f>
        <v>#REF!</v>
      </c>
      <c r="CL49" t="e">
        <f>IF(#REF!,"AAAAADf7/lk=",0)</f>
        <v>#REF!</v>
      </c>
      <c r="CM49" t="e">
        <f>AND(#REF!,"AAAAADf7/lo=")</f>
        <v>#REF!</v>
      </c>
      <c r="CN49" t="e">
        <f>IF(#REF!,"AAAAADf7/ls=",0)</f>
        <v>#REF!</v>
      </c>
      <c r="CO49" t="e">
        <f>AND(#REF!,"AAAAADf7/lw=")</f>
        <v>#REF!</v>
      </c>
      <c r="CP49" t="e">
        <f>IF(#REF!,"AAAAADf7/l0=",0)</f>
        <v>#REF!</v>
      </c>
      <c r="CQ49" t="e">
        <f>AND(#REF!,"AAAAADf7/l4=")</f>
        <v>#REF!</v>
      </c>
      <c r="CR49" t="e">
        <f>IF(#REF!,"AAAAADf7/l8=",0)</f>
        <v>#REF!</v>
      </c>
      <c r="CS49" t="e">
        <f>AND(#REF!,"AAAAADf7/mA=")</f>
        <v>#REF!</v>
      </c>
      <c r="CT49" t="e">
        <f>IF(#REF!,"AAAAADf7/mE=",0)</f>
        <v>#REF!</v>
      </c>
      <c r="CU49" t="e">
        <f>AND(#REF!,"AAAAADf7/mI=")</f>
        <v>#REF!</v>
      </c>
      <c r="CV49" t="e">
        <f>IF(#REF!,"AAAAADf7/mM=",0)</f>
        <v>#REF!</v>
      </c>
      <c r="CW49" t="e">
        <f>AND(#REF!,"AAAAADf7/mQ=")</f>
        <v>#REF!</v>
      </c>
      <c r="CX49" t="e">
        <f>IF(#REF!,"AAAAADf7/mU=",0)</f>
        <v>#REF!</v>
      </c>
      <c r="CY49" t="e">
        <f>AND(#REF!,"AAAAADf7/mY=")</f>
        <v>#REF!</v>
      </c>
      <c r="CZ49" t="e">
        <f>IF(#REF!,"AAAAADf7/mc=",0)</f>
        <v>#REF!</v>
      </c>
      <c r="DA49" t="e">
        <f>AND(#REF!,"AAAAADf7/mg=")</f>
        <v>#REF!</v>
      </c>
      <c r="DB49" t="e">
        <f>IF(#REF!,"AAAAADf7/mk=",0)</f>
        <v>#REF!</v>
      </c>
      <c r="DC49" t="e">
        <f>AND(#REF!,"AAAAADf7/mo=")</f>
        <v>#REF!</v>
      </c>
      <c r="DD49" t="e">
        <f>IF(#REF!,"AAAAADf7/ms=",0)</f>
        <v>#REF!</v>
      </c>
      <c r="DE49" t="e">
        <f>AND(#REF!,"AAAAADf7/mw=")</f>
        <v>#REF!</v>
      </c>
      <c r="DF49" t="e">
        <f>IF(#REF!,"AAAAADf7/m0=",0)</f>
        <v>#REF!</v>
      </c>
      <c r="DG49" t="e">
        <f>AND(#REF!,"AAAAADf7/m4=")</f>
        <v>#REF!</v>
      </c>
      <c r="DH49" t="e">
        <f>IF(#REF!,"AAAAADf7/m8=",0)</f>
        <v>#REF!</v>
      </c>
      <c r="DI49" t="e">
        <f>AND(#REF!,"AAAAADf7/nA=")</f>
        <v>#REF!</v>
      </c>
      <c r="DJ49" t="e">
        <f>IF(#REF!,"AAAAADf7/nE=",0)</f>
        <v>#REF!</v>
      </c>
      <c r="DK49" t="e">
        <f>AND(#REF!,"AAAAADf7/nI=")</f>
        <v>#REF!</v>
      </c>
      <c r="DL49" t="e">
        <f>IF(#REF!,"AAAAADf7/nM=",0)</f>
        <v>#REF!</v>
      </c>
      <c r="DM49" t="e">
        <f>AND(#REF!,"AAAAADf7/nQ=")</f>
        <v>#REF!</v>
      </c>
      <c r="DN49" t="e">
        <f>IF(#REF!,"AAAAADf7/nU=",0)</f>
        <v>#REF!</v>
      </c>
      <c r="DO49" t="e">
        <f>AND(#REF!,"AAAAADf7/nY=")</f>
        <v>#REF!</v>
      </c>
      <c r="DP49" t="e">
        <f>IF(#REF!,"AAAAADf7/nc=",0)</f>
        <v>#REF!</v>
      </c>
      <c r="DQ49" t="e">
        <f>AND(#REF!,"AAAAADf7/ng=")</f>
        <v>#REF!</v>
      </c>
      <c r="DR49" t="e">
        <f>IF(#REF!,"AAAAADf7/nk=",0)</f>
        <v>#REF!</v>
      </c>
      <c r="DS49" t="e">
        <f>AND(#REF!,"AAAAADf7/no=")</f>
        <v>#REF!</v>
      </c>
      <c r="DT49" t="e">
        <f>IF(#REF!,"AAAAADf7/ns=",0)</f>
        <v>#REF!</v>
      </c>
      <c r="DU49" t="e">
        <f>AND(#REF!,"AAAAADf7/nw=")</f>
        <v>#REF!</v>
      </c>
      <c r="DV49" t="e">
        <f>IF(#REF!,"AAAAADf7/n0=",0)</f>
        <v>#REF!</v>
      </c>
      <c r="DW49" t="e">
        <f>AND(#REF!,"AAAAADf7/n4=")</f>
        <v>#REF!</v>
      </c>
      <c r="DX49" t="e">
        <f>IF(#REF!,"AAAAADf7/n8=",0)</f>
        <v>#REF!</v>
      </c>
      <c r="DY49" t="e">
        <f>AND(#REF!,"AAAAADf7/oA=")</f>
        <v>#REF!</v>
      </c>
      <c r="DZ49" t="e">
        <f>IF(#REF!,"AAAAADf7/oE=",0)</f>
        <v>#REF!</v>
      </c>
      <c r="EA49" t="e">
        <f>AND(#REF!,"AAAAADf7/oI=")</f>
        <v>#REF!</v>
      </c>
      <c r="EB49" t="e">
        <f>IF(#REF!,"AAAAADf7/oM=",0)</f>
        <v>#REF!</v>
      </c>
      <c r="EC49" t="e">
        <f>AND(#REF!,"AAAAADf7/oQ=")</f>
        <v>#REF!</v>
      </c>
      <c r="ED49" t="e">
        <f>IF(#REF!,"AAAAADf7/oU=",0)</f>
        <v>#REF!</v>
      </c>
      <c r="EE49" t="e">
        <f>IF(#REF!,"AAAAADf7/oY=",0)</f>
        <v>#REF!</v>
      </c>
      <c r="EF49" t="e">
        <f>AND(#REF!,"AAAAADf7/oc=")</f>
        <v>#REF!</v>
      </c>
      <c r="EG49" t="e">
        <f>IF(#REF!,"AAAAADf7/og=",0)</f>
        <v>#REF!</v>
      </c>
      <c r="EH49" t="e">
        <f>AND(#REF!,"AAAAADf7/ok=")</f>
        <v>#REF!</v>
      </c>
      <c r="EI49" t="e">
        <f>IF(#REF!,"AAAAADf7/oo=",0)</f>
        <v>#REF!</v>
      </c>
      <c r="EJ49" t="e">
        <f>AND(#REF!,"AAAAADf7/os=")</f>
        <v>#REF!</v>
      </c>
      <c r="EK49" t="e">
        <f>IF(#REF!,"AAAAADf7/ow=",0)</f>
        <v>#REF!</v>
      </c>
      <c r="EL49" t="e">
        <f>AND(#REF!,"AAAAADf7/o0=")</f>
        <v>#REF!</v>
      </c>
      <c r="EM49" t="e">
        <f>IF(#REF!,"AAAAADf7/o4=",0)</f>
        <v>#REF!</v>
      </c>
      <c r="EN49" t="e">
        <f>AND(#REF!,"AAAAADf7/o8=")</f>
        <v>#REF!</v>
      </c>
      <c r="EO49" t="e">
        <f>IF(#REF!,"AAAAADf7/pA=",0)</f>
        <v>#REF!</v>
      </c>
      <c r="EP49" t="e">
        <f>AND(#REF!,"AAAAADf7/pE=")</f>
        <v>#REF!</v>
      </c>
      <c r="EQ49" t="e">
        <f>IF(#REF!,"AAAAADf7/pI=",0)</f>
        <v>#REF!</v>
      </c>
      <c r="ER49" t="e">
        <f>AND(#REF!,"AAAAADf7/pM=")</f>
        <v>#REF!</v>
      </c>
      <c r="ES49" t="e">
        <f>IF(#REF!,"AAAAADf7/pQ=",0)</f>
        <v>#REF!</v>
      </c>
      <c r="ET49" t="e">
        <f>AND(#REF!,"AAAAADf7/pU=")</f>
        <v>#REF!</v>
      </c>
      <c r="EU49" t="e">
        <f>IF(#REF!,"AAAAADf7/pY=",0)</f>
        <v>#REF!</v>
      </c>
      <c r="EV49" t="e">
        <f>AND(#REF!,"AAAAADf7/pc=")</f>
        <v>#REF!</v>
      </c>
      <c r="EW49" t="e">
        <f>IF(#REF!,"AAAAADf7/pg=",0)</f>
        <v>#REF!</v>
      </c>
      <c r="EX49" t="e">
        <f>AND(#REF!,"AAAAADf7/pk=")</f>
        <v>#REF!</v>
      </c>
      <c r="EY49" t="e">
        <f>IF(#REF!,"AAAAADf7/po=",0)</f>
        <v>#REF!</v>
      </c>
      <c r="EZ49" t="e">
        <f>AND(#REF!,"AAAAADf7/ps=")</f>
        <v>#REF!</v>
      </c>
      <c r="FA49" t="e">
        <f>IF(#REF!,"AAAAADf7/pw=",0)</f>
        <v>#REF!</v>
      </c>
      <c r="FB49" t="e">
        <f>AND(#REF!,"AAAAADf7/p0=")</f>
        <v>#REF!</v>
      </c>
      <c r="FC49" t="e">
        <f>IF(#REF!,"AAAAADf7/p4=",0)</f>
        <v>#REF!</v>
      </c>
      <c r="FD49" t="e">
        <f>AND(#REF!,"AAAAADf7/p8=")</f>
        <v>#REF!</v>
      </c>
      <c r="FE49" t="e">
        <f>IF(#REF!,"AAAAADf7/qA=",0)</f>
        <v>#REF!</v>
      </c>
      <c r="FF49" t="e">
        <f>IF(#REF!,"AAAAADf7/qE=",0)</f>
        <v>#REF!</v>
      </c>
      <c r="FG49" t="e">
        <f>AND(#REF!,"AAAAADf7/qI=")</f>
        <v>#REF!</v>
      </c>
      <c r="FH49" t="e">
        <f>IF(#REF!,"AAAAADf7/qM=",0)</f>
        <v>#REF!</v>
      </c>
      <c r="FI49" t="e">
        <f>AND(#REF!,"AAAAADf7/qQ=")</f>
        <v>#REF!</v>
      </c>
      <c r="FJ49" t="e">
        <f>IF(#REF!,"AAAAADf7/qU=",0)</f>
        <v>#REF!</v>
      </c>
      <c r="FK49" t="e">
        <f>AND(#REF!,"AAAAADf7/qY=")</f>
        <v>#REF!</v>
      </c>
      <c r="FL49" t="e">
        <f>IF(#REF!,"AAAAADf7/qc=",0)</f>
        <v>#REF!</v>
      </c>
      <c r="FM49" t="e">
        <f>AND(#REF!,"AAAAADf7/qg=")</f>
        <v>#REF!</v>
      </c>
      <c r="FN49" t="e">
        <f>IF(#REF!,"AAAAADf7/qk=",0)</f>
        <v>#REF!</v>
      </c>
      <c r="FO49" t="e">
        <f>AND(#REF!,"AAAAADf7/qo=")</f>
        <v>#REF!</v>
      </c>
      <c r="FP49" t="e">
        <f>IF(#REF!,"AAAAADf7/qs=",0)</f>
        <v>#REF!</v>
      </c>
      <c r="FQ49">
        <f>IF(DATA!1:1,"AAAAADf7/qw=",0)</f>
        <v>0</v>
      </c>
      <c r="FR49" t="e">
        <f>AND(DATA!A1,"AAAAADf7/q0=")</f>
        <v>#VALUE!</v>
      </c>
      <c r="FS49" t="e">
        <f>AND(DATA!B1,"AAAAADf7/q4=")</f>
        <v>#VALUE!</v>
      </c>
      <c r="FT49" t="e">
        <f>AND(DATA!C1,"AAAAADf7/q8=")</f>
        <v>#VALUE!</v>
      </c>
      <c r="FU49" t="e">
        <f>AND(DATA!D1,"AAAAADf7/rA=")</f>
        <v>#VALUE!</v>
      </c>
      <c r="FV49" t="e">
        <f>AND(DATA!E1,"AAAAADf7/rE=")</f>
        <v>#VALUE!</v>
      </c>
      <c r="FW49" t="e">
        <f>AND(DATA!F1,"AAAAADf7/rI=")</f>
        <v>#VALUE!</v>
      </c>
      <c r="FX49" t="e">
        <f>AND(DATA!G1,"AAAAADf7/rM=")</f>
        <v>#VALUE!</v>
      </c>
      <c r="FY49" t="e">
        <f>AND(DATA!H1,"AAAAADf7/rQ=")</f>
        <v>#VALUE!</v>
      </c>
      <c r="FZ49" t="e">
        <f>AND(DATA!I1,"AAAAADf7/rU=")</f>
        <v>#VALUE!</v>
      </c>
      <c r="GA49" t="e">
        <f>AND(DATA!J1,"AAAAADf7/rY=")</f>
        <v>#VALUE!</v>
      </c>
      <c r="GB49" t="e">
        <f>AND(DATA!K1,"AAAAADf7/rc=")</f>
        <v>#VALUE!</v>
      </c>
      <c r="GC49" t="e">
        <f>AND(DATA!L1,"AAAAADf7/rg=")</f>
        <v>#VALUE!</v>
      </c>
      <c r="GD49" t="e">
        <f>AND(DATA!M1,"AAAAADf7/rk=")</f>
        <v>#VALUE!</v>
      </c>
      <c r="GE49" t="e">
        <f>AND(DATA!N1,"AAAAADf7/ro=")</f>
        <v>#VALUE!</v>
      </c>
      <c r="GF49" t="e">
        <f>AND(DATA!O1,"AAAAADf7/rs=")</f>
        <v>#VALUE!</v>
      </c>
      <c r="GG49" t="e">
        <f>AND(DATA!P1,"AAAAADf7/rw=")</f>
        <v>#VALUE!</v>
      </c>
      <c r="GH49" t="e">
        <f>AND(DATA!Q1,"AAAAADf7/r0=")</f>
        <v>#VALUE!</v>
      </c>
      <c r="GI49" t="e">
        <f>AND(DATA!R1,"AAAAADf7/r4=")</f>
        <v>#VALUE!</v>
      </c>
      <c r="GJ49" t="e">
        <f>AND(DATA!S1,"AAAAADf7/r8=")</f>
        <v>#VALUE!</v>
      </c>
      <c r="GK49" t="e">
        <f>AND(DATA!T1,"AAAAADf7/sA=")</f>
        <v>#VALUE!</v>
      </c>
      <c r="GL49" t="e">
        <f>AND(DATA!U1,"AAAAADf7/sE=")</f>
        <v>#VALUE!</v>
      </c>
      <c r="GM49" t="e">
        <f>AND(DATA!V1,"AAAAADf7/sI=")</f>
        <v>#VALUE!</v>
      </c>
      <c r="GN49" t="e">
        <f>AND(DATA!W1,"AAAAADf7/sM=")</f>
        <v>#VALUE!</v>
      </c>
      <c r="GO49" t="e">
        <f>AND(DATA!X1,"AAAAADf7/sQ=")</f>
        <v>#VALUE!</v>
      </c>
      <c r="GP49" t="e">
        <f>AND(DATA!Y1,"AAAAADf7/sU=")</f>
        <v>#VALUE!</v>
      </c>
      <c r="GQ49">
        <f>IF(DATA!2:2,"AAAAADf7/sY=",0)</f>
        <v>0</v>
      </c>
      <c r="GR49" t="b">
        <f>AND(DATA!A2,"AAAAADf7/sc=")</f>
        <v>1</v>
      </c>
      <c r="GS49" t="b">
        <f>AND(DATA!B2,"AAAAADf7/sg=")</f>
        <v>1</v>
      </c>
      <c r="GT49" t="e">
        <f>AND(DATA!C2,"AAAAADf7/sk=")</f>
        <v>#VALUE!</v>
      </c>
      <c r="GU49" t="e">
        <f>AND(DATA!D2,"AAAAADf7/so=")</f>
        <v>#VALUE!</v>
      </c>
      <c r="GV49" t="e">
        <f>AND(DATA!E2,"AAAAADf7/ss=")</f>
        <v>#VALUE!</v>
      </c>
      <c r="GW49" t="e">
        <f>AND(DATA!F2,"AAAAADf7/sw=")</f>
        <v>#VALUE!</v>
      </c>
      <c r="GX49" t="e">
        <f>AND(DATA!G2,"AAAAADf7/s0=")</f>
        <v>#VALUE!</v>
      </c>
      <c r="GY49" t="e">
        <f>AND(DATA!H2,"AAAAADf7/s4=")</f>
        <v>#VALUE!</v>
      </c>
      <c r="GZ49" t="e">
        <f>AND(DATA!I2,"AAAAADf7/s8=")</f>
        <v>#VALUE!</v>
      </c>
      <c r="HA49" t="e">
        <f>AND(DATA!J2,"AAAAADf7/tA=")</f>
        <v>#VALUE!</v>
      </c>
      <c r="HB49" t="e">
        <f>AND(DATA!K2,"AAAAADf7/tE=")</f>
        <v>#VALUE!</v>
      </c>
      <c r="HC49" t="b">
        <f>AND(DATA!L2,"AAAAADf7/tI=")</f>
        <v>1</v>
      </c>
      <c r="HD49" t="b">
        <f>AND(DATA!M2,"AAAAADf7/tM=")</f>
        <v>1</v>
      </c>
      <c r="HE49" t="b">
        <f>AND(DATA!N2,"AAAAADf7/tQ=")</f>
        <v>1</v>
      </c>
      <c r="HF49" t="b">
        <f>AND(DATA!O2,"AAAAADf7/tU=")</f>
        <v>1</v>
      </c>
      <c r="HG49" t="b">
        <f>AND(DATA!P2,"AAAAADf7/tY=")</f>
        <v>1</v>
      </c>
      <c r="HH49" t="b">
        <f>AND(DATA!Q2,"AAAAADf7/tc=")</f>
        <v>1</v>
      </c>
      <c r="HI49" t="b">
        <f>AND(DATA!R2,"AAAAADf7/tg=")</f>
        <v>1</v>
      </c>
      <c r="HJ49" t="b">
        <f>AND(DATA!S2,"AAAAADf7/tk=")</f>
        <v>1</v>
      </c>
      <c r="HK49" t="b">
        <f>AND(DATA!T2,"AAAAADf7/to=")</f>
        <v>1</v>
      </c>
      <c r="HL49" t="e">
        <f>AND(DATA!U2,"AAAAADf7/ts=")</f>
        <v>#VALUE!</v>
      </c>
      <c r="HM49" t="b">
        <f>AND(DATA!V2,"AAAAADf7/tw=")</f>
        <v>1</v>
      </c>
      <c r="HN49" t="e">
        <f>AND(DATA!W2,"AAAAADf7/t0=")</f>
        <v>#VALUE!</v>
      </c>
      <c r="HO49" t="e">
        <f>AND(DATA!X2,"AAAAADf7/t4=")</f>
        <v>#VALUE!</v>
      </c>
      <c r="HP49" t="e">
        <f>AND(DATA!Y2,"AAAAADf7/t8=")</f>
        <v>#VALUE!</v>
      </c>
      <c r="HQ49">
        <f>IF(DATA!3:3,"AAAAADf7/uA=",0)</f>
        <v>0</v>
      </c>
      <c r="HR49" t="b">
        <f>AND(DATA!A3,"AAAAADf7/uE=")</f>
        <v>1</v>
      </c>
      <c r="HS49" t="b">
        <f>AND(DATA!B3,"AAAAADf7/uI=")</f>
        <v>1</v>
      </c>
      <c r="HT49" t="e">
        <f>AND(DATA!C3,"AAAAADf7/uM=")</f>
        <v>#VALUE!</v>
      </c>
      <c r="HU49" t="e">
        <f>AND(DATA!D3,"AAAAADf7/uQ=")</f>
        <v>#VALUE!</v>
      </c>
      <c r="HV49" t="e">
        <f>AND(DATA!E3,"AAAAADf7/uU=")</f>
        <v>#VALUE!</v>
      </c>
      <c r="HW49" t="e">
        <f>AND(DATA!F3,"AAAAADf7/uY=")</f>
        <v>#VALUE!</v>
      </c>
      <c r="HX49" t="e">
        <f>AND(DATA!G3,"AAAAADf7/uc=")</f>
        <v>#VALUE!</v>
      </c>
      <c r="HY49" t="e">
        <f>AND(DATA!H3,"AAAAADf7/ug=")</f>
        <v>#VALUE!</v>
      </c>
      <c r="HZ49" t="e">
        <f>AND(DATA!I3,"AAAAADf7/uk=")</f>
        <v>#VALUE!</v>
      </c>
      <c r="IA49" t="e">
        <f>AND(DATA!J3,"AAAAADf7/uo=")</f>
        <v>#VALUE!</v>
      </c>
      <c r="IB49" t="e">
        <f>AND(DATA!K3,"AAAAADf7/us=")</f>
        <v>#VALUE!</v>
      </c>
      <c r="IC49" t="b">
        <f>AND(DATA!L3,"AAAAADf7/uw=")</f>
        <v>1</v>
      </c>
      <c r="ID49" t="b">
        <f>AND(DATA!M3,"AAAAADf7/u0=")</f>
        <v>1</v>
      </c>
      <c r="IE49" t="b">
        <f>AND(DATA!N3,"AAAAADf7/u4=")</f>
        <v>1</v>
      </c>
      <c r="IF49" t="b">
        <f>AND(DATA!O3,"AAAAADf7/u8=")</f>
        <v>1</v>
      </c>
      <c r="IG49" t="b">
        <f>AND(DATA!P3,"AAAAADf7/vA=")</f>
        <v>1</v>
      </c>
      <c r="IH49" t="b">
        <f>AND(DATA!Q3,"AAAAADf7/vE=")</f>
        <v>1</v>
      </c>
      <c r="II49" t="b">
        <f>AND(DATA!R3,"AAAAADf7/vI=")</f>
        <v>1</v>
      </c>
      <c r="IJ49" t="b">
        <f>AND(DATA!S3,"AAAAADf7/vM=")</f>
        <v>1</v>
      </c>
      <c r="IK49" t="b">
        <f>AND(DATA!T3,"AAAAADf7/vQ=")</f>
        <v>1</v>
      </c>
      <c r="IL49" t="e">
        <f>AND(DATA!U3,"AAAAADf7/vU=")</f>
        <v>#VALUE!</v>
      </c>
      <c r="IM49" t="b">
        <f>AND(DATA!V3,"AAAAADf7/vY=")</f>
        <v>1</v>
      </c>
      <c r="IN49" t="e">
        <f>AND(DATA!W3,"AAAAADf7/vc=")</f>
        <v>#VALUE!</v>
      </c>
      <c r="IO49" t="e">
        <f>AND(DATA!X3,"AAAAADf7/vg=")</f>
        <v>#VALUE!</v>
      </c>
      <c r="IP49" t="e">
        <f>AND(DATA!Y3,"AAAAADf7/vk=")</f>
        <v>#VALUE!</v>
      </c>
      <c r="IQ49">
        <f>IF(DATA!4:4,"AAAAADf7/vo=",0)</f>
        <v>0</v>
      </c>
      <c r="IR49" t="b">
        <f>AND(DATA!A4,"AAAAADf7/vs=")</f>
        <v>1</v>
      </c>
      <c r="IS49" t="b">
        <f>AND(DATA!B4,"AAAAADf7/vw=")</f>
        <v>1</v>
      </c>
      <c r="IT49" t="e">
        <f>AND(DATA!C4,"AAAAADf7/v0=")</f>
        <v>#VALUE!</v>
      </c>
      <c r="IU49" t="e">
        <f>AND(DATA!D4,"AAAAADf7/v4=")</f>
        <v>#VALUE!</v>
      </c>
      <c r="IV49" t="e">
        <f>AND(DATA!E4,"AAAAADf7/v8=")</f>
        <v>#VALUE!</v>
      </c>
    </row>
    <row r="50" spans="1:256" x14ac:dyDescent="0.25">
      <c r="A50" t="e">
        <f>AND(DATA!F4,"AAAAAEs6/gA=")</f>
        <v>#VALUE!</v>
      </c>
      <c r="B50" t="e">
        <f>AND(DATA!G4,"AAAAAEs6/gE=")</f>
        <v>#VALUE!</v>
      </c>
      <c r="C50" t="e">
        <f>AND(DATA!H4,"AAAAAEs6/gI=")</f>
        <v>#VALUE!</v>
      </c>
      <c r="D50" t="e">
        <f>AND(DATA!I4,"AAAAAEs6/gM=")</f>
        <v>#VALUE!</v>
      </c>
      <c r="E50" t="e">
        <f>AND(DATA!J4,"AAAAAEs6/gQ=")</f>
        <v>#VALUE!</v>
      </c>
      <c r="F50" t="e">
        <f>AND(DATA!K4,"AAAAAEs6/gU=")</f>
        <v>#VALUE!</v>
      </c>
      <c r="G50" t="b">
        <f>AND(DATA!L4,"AAAAAEs6/gY=")</f>
        <v>1</v>
      </c>
      <c r="H50" t="b">
        <f>AND(DATA!M4,"AAAAAEs6/gc=")</f>
        <v>1</v>
      </c>
      <c r="I50" t="b">
        <f>AND(DATA!N4,"AAAAAEs6/gg=")</f>
        <v>1</v>
      </c>
      <c r="J50" t="b">
        <f>AND(DATA!O4,"AAAAAEs6/gk=")</f>
        <v>1</v>
      </c>
      <c r="K50" t="b">
        <f>AND(DATA!P4,"AAAAAEs6/go=")</f>
        <v>1</v>
      </c>
      <c r="L50" t="b">
        <f>AND(DATA!Q4,"AAAAAEs6/gs=")</f>
        <v>1</v>
      </c>
      <c r="M50" t="b">
        <f>AND(DATA!R4,"AAAAAEs6/gw=")</f>
        <v>1</v>
      </c>
      <c r="N50" t="b">
        <f>AND(DATA!S4,"AAAAAEs6/g0=")</f>
        <v>1</v>
      </c>
      <c r="O50" t="b">
        <f>AND(DATA!T4,"AAAAAEs6/g4=")</f>
        <v>1</v>
      </c>
      <c r="P50" t="e">
        <f>AND(DATA!U4,"AAAAAEs6/g8=")</f>
        <v>#VALUE!</v>
      </c>
      <c r="Q50" t="b">
        <f>AND(DATA!V4,"AAAAAEs6/hA=")</f>
        <v>1</v>
      </c>
      <c r="R50" t="e">
        <f>AND(DATA!W4,"AAAAAEs6/hE=")</f>
        <v>#VALUE!</v>
      </c>
      <c r="S50" t="e">
        <f>AND(DATA!X4,"AAAAAEs6/hI=")</f>
        <v>#VALUE!</v>
      </c>
      <c r="T50" t="e">
        <f>AND(DATA!Y4,"AAAAAEs6/hM=")</f>
        <v>#VALUE!</v>
      </c>
      <c r="U50">
        <f>IF(DATA!5:5,"AAAAAEs6/hQ=",0)</f>
        <v>0</v>
      </c>
      <c r="V50" t="b">
        <f>AND(DATA!A5,"AAAAAEs6/hU=")</f>
        <v>1</v>
      </c>
      <c r="W50" t="b">
        <f>AND(DATA!B5,"AAAAAEs6/hY=")</f>
        <v>1</v>
      </c>
      <c r="X50" t="e">
        <f>AND(DATA!C5,"AAAAAEs6/hc=")</f>
        <v>#VALUE!</v>
      </c>
      <c r="Y50" t="e">
        <f>AND(DATA!D5,"AAAAAEs6/hg=")</f>
        <v>#VALUE!</v>
      </c>
      <c r="Z50" t="e">
        <f>AND(DATA!E5,"AAAAAEs6/hk=")</f>
        <v>#VALUE!</v>
      </c>
      <c r="AA50" t="e">
        <f>AND(DATA!F5,"AAAAAEs6/ho=")</f>
        <v>#VALUE!</v>
      </c>
      <c r="AB50" t="e">
        <f>AND(DATA!G5,"AAAAAEs6/hs=")</f>
        <v>#VALUE!</v>
      </c>
      <c r="AC50" t="e">
        <f>AND(DATA!H5,"AAAAAEs6/hw=")</f>
        <v>#VALUE!</v>
      </c>
      <c r="AD50" t="e">
        <f>AND(DATA!I5,"AAAAAEs6/h0=")</f>
        <v>#VALUE!</v>
      </c>
      <c r="AE50" t="e">
        <f>AND(DATA!J5,"AAAAAEs6/h4=")</f>
        <v>#VALUE!</v>
      </c>
      <c r="AF50" t="e">
        <f>AND(DATA!K5,"AAAAAEs6/h8=")</f>
        <v>#VALUE!</v>
      </c>
      <c r="AG50" t="b">
        <f>AND(DATA!L5,"AAAAAEs6/iA=")</f>
        <v>1</v>
      </c>
      <c r="AH50" t="b">
        <f>AND(DATA!M5,"AAAAAEs6/iE=")</f>
        <v>1</v>
      </c>
      <c r="AI50" t="b">
        <f>AND(DATA!N5,"AAAAAEs6/iI=")</f>
        <v>1</v>
      </c>
      <c r="AJ50" t="b">
        <f>AND(DATA!O5,"AAAAAEs6/iM=")</f>
        <v>1</v>
      </c>
      <c r="AK50" t="b">
        <f>AND(DATA!P5,"AAAAAEs6/iQ=")</f>
        <v>1</v>
      </c>
      <c r="AL50" t="b">
        <f>AND(DATA!Q5,"AAAAAEs6/iU=")</f>
        <v>1</v>
      </c>
      <c r="AM50" t="b">
        <f>AND(DATA!R5,"AAAAAEs6/iY=")</f>
        <v>1</v>
      </c>
      <c r="AN50" t="b">
        <f>AND(DATA!S5,"AAAAAEs6/ic=")</f>
        <v>1</v>
      </c>
      <c r="AO50" t="b">
        <f>AND(DATA!T5,"AAAAAEs6/ig=")</f>
        <v>1</v>
      </c>
      <c r="AP50" t="e">
        <f>AND(DATA!U5,"AAAAAEs6/ik=")</f>
        <v>#VALUE!</v>
      </c>
      <c r="AQ50" t="b">
        <f>AND(DATA!V5,"AAAAAEs6/io=")</f>
        <v>1</v>
      </c>
      <c r="AR50" t="e">
        <f>AND(DATA!W5,"AAAAAEs6/is=")</f>
        <v>#VALUE!</v>
      </c>
      <c r="AS50" t="e">
        <f>AND(DATA!X5,"AAAAAEs6/iw=")</f>
        <v>#VALUE!</v>
      </c>
      <c r="AT50" t="e">
        <f>AND(DATA!Y5,"AAAAAEs6/i0=")</f>
        <v>#VALUE!</v>
      </c>
      <c r="AU50">
        <f>IF(DATA!6:6,"AAAAAEs6/i4=",0)</f>
        <v>0</v>
      </c>
      <c r="AV50" t="b">
        <f>AND(DATA!A6,"AAAAAEs6/i8=")</f>
        <v>1</v>
      </c>
      <c r="AW50" t="b">
        <f>AND(DATA!B6,"AAAAAEs6/jA=")</f>
        <v>1</v>
      </c>
      <c r="AX50" t="e">
        <f>AND(DATA!C6,"AAAAAEs6/jE=")</f>
        <v>#VALUE!</v>
      </c>
      <c r="AY50" t="e">
        <f>AND(DATA!D6,"AAAAAEs6/jI=")</f>
        <v>#VALUE!</v>
      </c>
      <c r="AZ50" t="e">
        <f>AND(DATA!E6,"AAAAAEs6/jM=")</f>
        <v>#VALUE!</v>
      </c>
      <c r="BA50" t="e">
        <f>AND(DATA!F6,"AAAAAEs6/jQ=")</f>
        <v>#VALUE!</v>
      </c>
      <c r="BB50" t="e">
        <f>AND(DATA!G6,"AAAAAEs6/jU=")</f>
        <v>#VALUE!</v>
      </c>
      <c r="BC50" t="e">
        <f>AND(DATA!H6,"AAAAAEs6/jY=")</f>
        <v>#VALUE!</v>
      </c>
      <c r="BD50" t="e">
        <f>AND(DATA!I6,"AAAAAEs6/jc=")</f>
        <v>#VALUE!</v>
      </c>
      <c r="BE50" t="e">
        <f>AND(DATA!J6,"AAAAAEs6/jg=")</f>
        <v>#VALUE!</v>
      </c>
      <c r="BF50" t="e">
        <f>AND(DATA!K6,"AAAAAEs6/jk=")</f>
        <v>#VALUE!</v>
      </c>
      <c r="BG50" t="b">
        <f>AND(DATA!L6,"AAAAAEs6/jo=")</f>
        <v>1</v>
      </c>
      <c r="BH50" t="b">
        <f>AND(DATA!M6,"AAAAAEs6/js=")</f>
        <v>1</v>
      </c>
      <c r="BI50" t="b">
        <f>AND(DATA!N6,"AAAAAEs6/jw=")</f>
        <v>1</v>
      </c>
      <c r="BJ50" t="b">
        <f>AND(DATA!O6,"AAAAAEs6/j0=")</f>
        <v>1</v>
      </c>
      <c r="BK50" t="b">
        <f>AND(DATA!P6,"AAAAAEs6/j4=")</f>
        <v>1</v>
      </c>
      <c r="BL50" t="b">
        <f>AND(DATA!Q6,"AAAAAEs6/j8=")</f>
        <v>1</v>
      </c>
      <c r="BM50" t="b">
        <f>AND(DATA!R6,"AAAAAEs6/kA=")</f>
        <v>1</v>
      </c>
      <c r="BN50" t="b">
        <f>AND(DATA!S6,"AAAAAEs6/kE=")</f>
        <v>1</v>
      </c>
      <c r="BO50" t="b">
        <f>AND(DATA!T6,"AAAAAEs6/kI=")</f>
        <v>1</v>
      </c>
      <c r="BP50" t="e">
        <f>AND(DATA!U6,"AAAAAEs6/kM=")</f>
        <v>#VALUE!</v>
      </c>
      <c r="BQ50" t="b">
        <f>AND(DATA!V6,"AAAAAEs6/kQ=")</f>
        <v>1</v>
      </c>
      <c r="BR50" t="e">
        <f>AND(DATA!W6,"AAAAAEs6/kU=")</f>
        <v>#VALUE!</v>
      </c>
      <c r="BS50" t="e">
        <f>AND(DATA!X6,"AAAAAEs6/kY=")</f>
        <v>#VALUE!</v>
      </c>
      <c r="BT50" t="e">
        <f>AND(DATA!Y6,"AAAAAEs6/kc=")</f>
        <v>#VALUE!</v>
      </c>
      <c r="BU50">
        <f>IF(DATA!7:7,"AAAAAEs6/kg=",0)</f>
        <v>0</v>
      </c>
      <c r="BV50" t="b">
        <f>AND(DATA!A7,"AAAAAEs6/kk=")</f>
        <v>1</v>
      </c>
      <c r="BW50" t="b">
        <f>AND(DATA!B7,"AAAAAEs6/ko=")</f>
        <v>1</v>
      </c>
      <c r="BX50" t="e">
        <f>AND(DATA!C7,"AAAAAEs6/ks=")</f>
        <v>#VALUE!</v>
      </c>
      <c r="BY50" t="e">
        <f>AND(DATA!D7,"AAAAAEs6/kw=")</f>
        <v>#VALUE!</v>
      </c>
      <c r="BZ50" t="e">
        <f>AND(DATA!E7,"AAAAAEs6/k0=")</f>
        <v>#VALUE!</v>
      </c>
      <c r="CA50" t="e">
        <f>AND(DATA!F7,"AAAAAEs6/k4=")</f>
        <v>#VALUE!</v>
      </c>
      <c r="CB50" t="e">
        <f>AND(DATA!G7,"AAAAAEs6/k8=")</f>
        <v>#VALUE!</v>
      </c>
      <c r="CC50" t="e">
        <f>AND(DATA!H7,"AAAAAEs6/lA=")</f>
        <v>#VALUE!</v>
      </c>
      <c r="CD50" t="e">
        <f>AND(DATA!I7,"AAAAAEs6/lE=")</f>
        <v>#VALUE!</v>
      </c>
      <c r="CE50" t="e">
        <f>AND(DATA!J7,"AAAAAEs6/lI=")</f>
        <v>#VALUE!</v>
      </c>
      <c r="CF50" t="e">
        <f>AND(DATA!K7,"AAAAAEs6/lM=")</f>
        <v>#VALUE!</v>
      </c>
      <c r="CG50" t="b">
        <f>AND(DATA!L7,"AAAAAEs6/lQ=")</f>
        <v>1</v>
      </c>
      <c r="CH50" t="b">
        <f>AND(DATA!M7,"AAAAAEs6/lU=")</f>
        <v>1</v>
      </c>
      <c r="CI50" t="b">
        <f>AND(DATA!N7,"AAAAAEs6/lY=")</f>
        <v>1</v>
      </c>
      <c r="CJ50" t="b">
        <f>AND(DATA!O7,"AAAAAEs6/lc=")</f>
        <v>1</v>
      </c>
      <c r="CK50" t="b">
        <f>AND(DATA!P7,"AAAAAEs6/lg=")</f>
        <v>1</v>
      </c>
      <c r="CL50" t="b">
        <f>AND(DATA!Q7,"AAAAAEs6/lk=")</f>
        <v>1</v>
      </c>
      <c r="CM50" t="b">
        <f>AND(DATA!R7,"AAAAAEs6/lo=")</f>
        <v>1</v>
      </c>
      <c r="CN50" t="b">
        <f>AND(DATA!S7,"AAAAAEs6/ls=")</f>
        <v>1</v>
      </c>
      <c r="CO50" t="b">
        <f>AND(DATA!T7,"AAAAAEs6/lw=")</f>
        <v>1</v>
      </c>
      <c r="CP50" t="e">
        <f>AND(DATA!U7,"AAAAAEs6/l0=")</f>
        <v>#VALUE!</v>
      </c>
      <c r="CQ50" t="b">
        <f>AND(DATA!V7,"AAAAAEs6/l4=")</f>
        <v>1</v>
      </c>
      <c r="CR50" t="e">
        <f>AND(DATA!W7,"AAAAAEs6/l8=")</f>
        <v>#VALUE!</v>
      </c>
      <c r="CS50" t="e">
        <f>AND(DATA!X7,"AAAAAEs6/mA=")</f>
        <v>#VALUE!</v>
      </c>
      <c r="CT50" t="e">
        <f>AND(DATA!Y7,"AAAAAEs6/mE=")</f>
        <v>#VALUE!</v>
      </c>
      <c r="CU50">
        <f>IF(DATA!8:8,"AAAAAEs6/mI=",0)</f>
        <v>0</v>
      </c>
      <c r="CV50" t="b">
        <f>AND(DATA!A8,"AAAAAEs6/mM=")</f>
        <v>1</v>
      </c>
      <c r="CW50" t="b">
        <f>AND(DATA!B8,"AAAAAEs6/mQ=")</f>
        <v>1</v>
      </c>
      <c r="CX50" t="e">
        <f>AND(DATA!C8,"AAAAAEs6/mU=")</f>
        <v>#VALUE!</v>
      </c>
      <c r="CY50" t="e">
        <f>AND(DATA!D8,"AAAAAEs6/mY=")</f>
        <v>#VALUE!</v>
      </c>
      <c r="CZ50" t="e">
        <f>AND(DATA!E8,"AAAAAEs6/mc=")</f>
        <v>#VALUE!</v>
      </c>
      <c r="DA50" t="e">
        <f>AND(DATA!F8,"AAAAAEs6/mg=")</f>
        <v>#VALUE!</v>
      </c>
      <c r="DB50" t="e">
        <f>AND(DATA!G8,"AAAAAEs6/mk=")</f>
        <v>#VALUE!</v>
      </c>
      <c r="DC50" t="e">
        <f>AND(DATA!H8,"AAAAAEs6/mo=")</f>
        <v>#VALUE!</v>
      </c>
      <c r="DD50" t="e">
        <f>AND(DATA!I8,"AAAAAEs6/ms=")</f>
        <v>#VALUE!</v>
      </c>
      <c r="DE50" t="e">
        <f>AND(DATA!J8,"AAAAAEs6/mw=")</f>
        <v>#VALUE!</v>
      </c>
      <c r="DF50" t="e">
        <f>AND(DATA!K8,"AAAAAEs6/m0=")</f>
        <v>#VALUE!</v>
      </c>
      <c r="DG50" t="b">
        <f>AND(DATA!L8,"AAAAAEs6/m4=")</f>
        <v>1</v>
      </c>
      <c r="DH50" t="b">
        <f>AND(DATA!M8,"AAAAAEs6/m8=")</f>
        <v>1</v>
      </c>
      <c r="DI50" t="b">
        <f>AND(DATA!N8,"AAAAAEs6/nA=")</f>
        <v>1</v>
      </c>
      <c r="DJ50" t="b">
        <f>AND(DATA!O8,"AAAAAEs6/nE=")</f>
        <v>1</v>
      </c>
      <c r="DK50" t="b">
        <f>AND(DATA!P8,"AAAAAEs6/nI=")</f>
        <v>1</v>
      </c>
      <c r="DL50" t="b">
        <f>AND(DATA!Q8,"AAAAAEs6/nM=")</f>
        <v>1</v>
      </c>
      <c r="DM50" t="b">
        <f>AND(DATA!R8,"AAAAAEs6/nQ=")</f>
        <v>1</v>
      </c>
      <c r="DN50" t="b">
        <f>AND(DATA!S8,"AAAAAEs6/nU=")</f>
        <v>1</v>
      </c>
      <c r="DO50" t="b">
        <f>AND(DATA!T8,"AAAAAEs6/nY=")</f>
        <v>1</v>
      </c>
      <c r="DP50" t="e">
        <f>AND(DATA!U8,"AAAAAEs6/nc=")</f>
        <v>#VALUE!</v>
      </c>
      <c r="DQ50" t="b">
        <f>AND(DATA!V8,"AAAAAEs6/ng=")</f>
        <v>1</v>
      </c>
      <c r="DR50" t="e">
        <f>AND(DATA!W8,"AAAAAEs6/nk=")</f>
        <v>#VALUE!</v>
      </c>
      <c r="DS50" t="e">
        <f>AND(DATA!X8,"AAAAAEs6/no=")</f>
        <v>#VALUE!</v>
      </c>
      <c r="DT50" t="e">
        <f>AND(DATA!Y8,"AAAAAEs6/ns=")</f>
        <v>#VALUE!</v>
      </c>
      <c r="DU50">
        <f>IF(DATA!9:9,"AAAAAEs6/nw=",0)</f>
        <v>0</v>
      </c>
      <c r="DV50" t="b">
        <f>AND(DATA!A9,"AAAAAEs6/n0=")</f>
        <v>1</v>
      </c>
      <c r="DW50" t="b">
        <f>AND(DATA!B9,"AAAAAEs6/n4=")</f>
        <v>1</v>
      </c>
      <c r="DX50" t="e">
        <f>AND(DATA!C9,"AAAAAEs6/n8=")</f>
        <v>#VALUE!</v>
      </c>
      <c r="DY50" t="e">
        <f>AND(DATA!D9,"AAAAAEs6/oA=")</f>
        <v>#VALUE!</v>
      </c>
      <c r="DZ50" t="e">
        <f>AND(DATA!E9,"AAAAAEs6/oE=")</f>
        <v>#VALUE!</v>
      </c>
      <c r="EA50" t="e">
        <f>AND(DATA!F9,"AAAAAEs6/oI=")</f>
        <v>#VALUE!</v>
      </c>
      <c r="EB50" t="e">
        <f>AND(DATA!G9,"AAAAAEs6/oM=")</f>
        <v>#VALUE!</v>
      </c>
      <c r="EC50" t="e">
        <f>AND(DATA!H9,"AAAAAEs6/oQ=")</f>
        <v>#VALUE!</v>
      </c>
      <c r="ED50" t="e">
        <f>AND(DATA!I9,"AAAAAEs6/oU=")</f>
        <v>#VALUE!</v>
      </c>
      <c r="EE50" t="e">
        <f>AND(DATA!J9,"AAAAAEs6/oY=")</f>
        <v>#VALUE!</v>
      </c>
      <c r="EF50" t="e">
        <f>AND(DATA!K9,"AAAAAEs6/oc=")</f>
        <v>#VALUE!</v>
      </c>
      <c r="EG50" t="b">
        <f>AND(DATA!L9,"AAAAAEs6/og=")</f>
        <v>1</v>
      </c>
      <c r="EH50" t="b">
        <f>AND(DATA!M9,"AAAAAEs6/ok=")</f>
        <v>1</v>
      </c>
      <c r="EI50" t="b">
        <f>AND(DATA!N9,"AAAAAEs6/oo=")</f>
        <v>1</v>
      </c>
      <c r="EJ50" t="b">
        <f>AND(DATA!O9,"AAAAAEs6/os=")</f>
        <v>1</v>
      </c>
      <c r="EK50" t="b">
        <f>AND(DATA!P9,"AAAAAEs6/ow=")</f>
        <v>1</v>
      </c>
      <c r="EL50" t="b">
        <f>AND(DATA!Q9,"AAAAAEs6/o0=")</f>
        <v>1</v>
      </c>
      <c r="EM50" t="b">
        <f>AND(DATA!R9,"AAAAAEs6/o4=")</f>
        <v>1</v>
      </c>
      <c r="EN50" t="b">
        <f>AND(DATA!S9,"AAAAAEs6/o8=")</f>
        <v>1</v>
      </c>
      <c r="EO50" t="b">
        <f>AND(DATA!T9,"AAAAAEs6/pA=")</f>
        <v>1</v>
      </c>
      <c r="EP50" t="e">
        <f>AND(DATA!U9,"AAAAAEs6/pE=")</f>
        <v>#VALUE!</v>
      </c>
      <c r="EQ50" t="b">
        <f>AND(DATA!V9,"AAAAAEs6/pI=")</f>
        <v>1</v>
      </c>
      <c r="ER50" t="e">
        <f>AND(DATA!W9,"AAAAAEs6/pM=")</f>
        <v>#VALUE!</v>
      </c>
      <c r="ES50" t="e">
        <f>AND(DATA!X9,"AAAAAEs6/pQ=")</f>
        <v>#VALUE!</v>
      </c>
      <c r="ET50" t="e">
        <f>AND(DATA!Y9,"AAAAAEs6/pU=")</f>
        <v>#VALUE!</v>
      </c>
      <c r="EU50">
        <f>IF(DATA!10:10,"AAAAAEs6/pY=",0)</f>
        <v>0</v>
      </c>
      <c r="EV50" t="b">
        <f>AND(DATA!A10,"AAAAAEs6/pc=")</f>
        <v>1</v>
      </c>
      <c r="EW50" t="b">
        <f>AND(DATA!B10,"AAAAAEs6/pg=")</f>
        <v>1</v>
      </c>
      <c r="EX50" t="e">
        <f>AND(DATA!C10,"AAAAAEs6/pk=")</f>
        <v>#VALUE!</v>
      </c>
      <c r="EY50" t="e">
        <f>AND(DATA!D10,"AAAAAEs6/po=")</f>
        <v>#VALUE!</v>
      </c>
      <c r="EZ50" t="e">
        <f>AND(DATA!E10,"AAAAAEs6/ps=")</f>
        <v>#VALUE!</v>
      </c>
      <c r="FA50" t="e">
        <f>AND(DATA!F10,"AAAAAEs6/pw=")</f>
        <v>#VALUE!</v>
      </c>
      <c r="FB50" t="e">
        <f>AND(DATA!G10,"AAAAAEs6/p0=")</f>
        <v>#VALUE!</v>
      </c>
      <c r="FC50" t="e">
        <f>AND(DATA!H10,"AAAAAEs6/p4=")</f>
        <v>#VALUE!</v>
      </c>
      <c r="FD50" t="e">
        <f>AND(DATA!I10,"AAAAAEs6/p8=")</f>
        <v>#VALUE!</v>
      </c>
      <c r="FE50" t="e">
        <f>AND(DATA!J10,"AAAAAEs6/qA=")</f>
        <v>#VALUE!</v>
      </c>
      <c r="FF50" t="e">
        <f>AND(DATA!K10,"AAAAAEs6/qE=")</f>
        <v>#VALUE!</v>
      </c>
      <c r="FG50" t="b">
        <f>AND(DATA!L10,"AAAAAEs6/qI=")</f>
        <v>1</v>
      </c>
      <c r="FH50" t="b">
        <f>AND(DATA!M10,"AAAAAEs6/qM=")</f>
        <v>1</v>
      </c>
      <c r="FI50" t="b">
        <f>AND(DATA!N10,"AAAAAEs6/qQ=")</f>
        <v>1</v>
      </c>
      <c r="FJ50" t="b">
        <f>AND(DATA!O10,"AAAAAEs6/qU=")</f>
        <v>1</v>
      </c>
      <c r="FK50" t="b">
        <f>AND(DATA!P10,"AAAAAEs6/qY=")</f>
        <v>1</v>
      </c>
      <c r="FL50" t="b">
        <f>AND(DATA!Q10,"AAAAAEs6/qc=")</f>
        <v>1</v>
      </c>
      <c r="FM50" t="b">
        <f>AND(DATA!R10,"AAAAAEs6/qg=")</f>
        <v>1</v>
      </c>
      <c r="FN50" t="b">
        <f>AND(DATA!S10,"AAAAAEs6/qk=")</f>
        <v>1</v>
      </c>
      <c r="FO50" t="b">
        <f>AND(DATA!T10,"AAAAAEs6/qo=")</f>
        <v>1</v>
      </c>
      <c r="FP50" t="e">
        <f>AND(DATA!U10,"AAAAAEs6/qs=")</f>
        <v>#VALUE!</v>
      </c>
      <c r="FQ50" t="b">
        <f>AND(DATA!V10,"AAAAAEs6/qw=")</f>
        <v>1</v>
      </c>
      <c r="FR50" t="e">
        <f>AND(DATA!W10,"AAAAAEs6/q0=")</f>
        <v>#VALUE!</v>
      </c>
      <c r="FS50" t="e">
        <f>AND(DATA!X10,"AAAAAEs6/q4=")</f>
        <v>#VALUE!</v>
      </c>
      <c r="FT50" t="e">
        <f>AND(DATA!Y10,"AAAAAEs6/q8=")</f>
        <v>#VALUE!</v>
      </c>
      <c r="FU50">
        <f>IF(DATA!11:11,"AAAAAEs6/rA=",0)</f>
        <v>0</v>
      </c>
      <c r="FV50" t="b">
        <f>AND(DATA!A11,"AAAAAEs6/rE=")</f>
        <v>1</v>
      </c>
      <c r="FW50" t="b">
        <f>AND(DATA!B11,"AAAAAEs6/rI=")</f>
        <v>1</v>
      </c>
      <c r="FX50" t="e">
        <f>AND(DATA!C11,"AAAAAEs6/rM=")</f>
        <v>#VALUE!</v>
      </c>
      <c r="FY50" t="e">
        <f>AND(DATA!D11,"AAAAAEs6/rQ=")</f>
        <v>#VALUE!</v>
      </c>
      <c r="FZ50" t="e">
        <f>AND(DATA!E11,"AAAAAEs6/rU=")</f>
        <v>#VALUE!</v>
      </c>
      <c r="GA50" t="e">
        <f>AND(DATA!F11,"AAAAAEs6/rY=")</f>
        <v>#VALUE!</v>
      </c>
      <c r="GB50" t="e">
        <f>AND(DATA!G11,"AAAAAEs6/rc=")</f>
        <v>#VALUE!</v>
      </c>
      <c r="GC50" t="e">
        <f>AND(DATA!H11,"AAAAAEs6/rg=")</f>
        <v>#VALUE!</v>
      </c>
      <c r="GD50" t="e">
        <f>AND(DATA!I11,"AAAAAEs6/rk=")</f>
        <v>#VALUE!</v>
      </c>
      <c r="GE50" t="e">
        <f>AND(DATA!J11,"AAAAAEs6/ro=")</f>
        <v>#VALUE!</v>
      </c>
      <c r="GF50" t="e">
        <f>AND(DATA!K11,"AAAAAEs6/rs=")</f>
        <v>#VALUE!</v>
      </c>
      <c r="GG50" t="b">
        <f>AND(DATA!L12,"AAAAAEs6/rw=")</f>
        <v>1</v>
      </c>
      <c r="GH50" t="b">
        <f>AND(DATA!M12,"AAAAAEs6/r0=")</f>
        <v>1</v>
      </c>
      <c r="GI50" t="b">
        <f>AND(DATA!N12,"AAAAAEs6/r4=")</f>
        <v>1</v>
      </c>
      <c r="GJ50" t="b">
        <f>AND(DATA!O12,"AAAAAEs6/r8=")</f>
        <v>1</v>
      </c>
      <c r="GK50" t="b">
        <f>AND(DATA!P12,"AAAAAEs6/sA=")</f>
        <v>1</v>
      </c>
      <c r="GL50" t="b">
        <f>AND(DATA!Q12,"AAAAAEs6/sE=")</f>
        <v>1</v>
      </c>
      <c r="GM50" t="b">
        <f>AND(DATA!R12,"AAAAAEs6/sI=")</f>
        <v>1</v>
      </c>
      <c r="GN50" t="b">
        <f>AND(DATA!S12,"AAAAAEs6/sM=")</f>
        <v>1</v>
      </c>
      <c r="GO50" t="b">
        <f>AND(DATA!T12,"AAAAAEs6/sQ=")</f>
        <v>1</v>
      </c>
      <c r="GP50" t="e">
        <f>AND(DATA!U12,"AAAAAEs6/sU=")</f>
        <v>#VALUE!</v>
      </c>
      <c r="GQ50" t="b">
        <f>AND(DATA!V12,"AAAAAEs6/sY=")</f>
        <v>1</v>
      </c>
      <c r="GR50" t="e">
        <f>AND(DATA!W11,"AAAAAEs6/sc=")</f>
        <v>#VALUE!</v>
      </c>
      <c r="GS50" t="e">
        <f>AND(DATA!X11,"AAAAAEs6/sg=")</f>
        <v>#VALUE!</v>
      </c>
      <c r="GT50" t="e">
        <f>AND(DATA!Y11,"AAAAAEs6/sk=")</f>
        <v>#VALUE!</v>
      </c>
      <c r="GU50">
        <f>IF(DATA!12:12,"AAAAAEs6/so=",0)</f>
        <v>0</v>
      </c>
      <c r="GV50" t="b">
        <f>AND(DATA!A12,"AAAAAEs6/ss=")</f>
        <v>1</v>
      </c>
      <c r="GW50" t="b">
        <f>AND(DATA!B12,"AAAAAEs6/sw=")</f>
        <v>1</v>
      </c>
      <c r="GX50" t="e">
        <f>AND(DATA!C12,"AAAAAEs6/s0=")</f>
        <v>#VALUE!</v>
      </c>
      <c r="GY50" t="e">
        <f>AND(DATA!D12,"AAAAAEs6/s4=")</f>
        <v>#VALUE!</v>
      </c>
      <c r="GZ50" t="e">
        <f>AND(DATA!E12,"AAAAAEs6/s8=")</f>
        <v>#VALUE!</v>
      </c>
      <c r="HA50" t="e">
        <f>AND(DATA!F12,"AAAAAEs6/tA=")</f>
        <v>#VALUE!</v>
      </c>
      <c r="HB50" t="e">
        <f>AND(DATA!G12,"AAAAAEs6/tE=")</f>
        <v>#VALUE!</v>
      </c>
      <c r="HC50" t="e">
        <f>AND(DATA!H12,"AAAAAEs6/tI=")</f>
        <v>#VALUE!</v>
      </c>
      <c r="HD50" t="e">
        <f>AND(DATA!I12,"AAAAAEs6/tM=")</f>
        <v>#VALUE!</v>
      </c>
      <c r="HE50" t="e">
        <f>AND(DATA!J12,"AAAAAEs6/tQ=")</f>
        <v>#VALUE!</v>
      </c>
      <c r="HF50" t="e">
        <f>AND(DATA!K12,"AAAAAEs6/tU=")</f>
        <v>#VALUE!</v>
      </c>
      <c r="HG50" t="b">
        <f>AND(DATA!L13,"AAAAAEs6/tY=")</f>
        <v>1</v>
      </c>
      <c r="HH50" t="b">
        <f>AND(DATA!M13,"AAAAAEs6/tc=")</f>
        <v>1</v>
      </c>
      <c r="HI50" t="b">
        <f>AND(DATA!N13,"AAAAAEs6/tg=")</f>
        <v>1</v>
      </c>
      <c r="HJ50" t="b">
        <f>AND(DATA!O13,"AAAAAEs6/tk=")</f>
        <v>1</v>
      </c>
      <c r="HK50" t="b">
        <f>AND(DATA!P13,"AAAAAEs6/to=")</f>
        <v>1</v>
      </c>
      <c r="HL50" t="b">
        <f>AND(DATA!Q13,"AAAAAEs6/ts=")</f>
        <v>1</v>
      </c>
      <c r="HM50" t="b">
        <f>AND(DATA!R13,"AAAAAEs6/tw=")</f>
        <v>1</v>
      </c>
      <c r="HN50" t="b">
        <f>AND(DATA!S13,"AAAAAEs6/t0=")</f>
        <v>1</v>
      </c>
      <c r="HO50" t="b">
        <f>AND(DATA!T13,"AAAAAEs6/t4=")</f>
        <v>1</v>
      </c>
      <c r="HP50" t="e">
        <f>AND(DATA!U13,"AAAAAEs6/t8=")</f>
        <v>#VALUE!</v>
      </c>
      <c r="HQ50" t="b">
        <f>AND(DATA!V13,"AAAAAEs6/uA=")</f>
        <v>1</v>
      </c>
      <c r="HR50" t="e">
        <f>AND(DATA!W12,"AAAAAEs6/uE=")</f>
        <v>#VALUE!</v>
      </c>
      <c r="HS50" t="e">
        <f>AND(DATA!X12,"AAAAAEs6/uI=")</f>
        <v>#VALUE!</v>
      </c>
      <c r="HT50" t="e">
        <f>AND(DATA!Y12,"AAAAAEs6/uM=")</f>
        <v>#VALUE!</v>
      </c>
      <c r="HU50">
        <f>IF(DATA!13:13,"AAAAAEs6/uQ=",0)</f>
        <v>0</v>
      </c>
      <c r="HV50" t="b">
        <f>AND(DATA!A13,"AAAAAEs6/uU=")</f>
        <v>1</v>
      </c>
      <c r="HW50" t="b">
        <f>AND(DATA!B13,"AAAAAEs6/uY=")</f>
        <v>1</v>
      </c>
      <c r="HX50" t="e">
        <f>AND(DATA!C13,"AAAAAEs6/uc=")</f>
        <v>#VALUE!</v>
      </c>
      <c r="HY50" t="e">
        <f>AND(DATA!D13,"AAAAAEs6/ug=")</f>
        <v>#VALUE!</v>
      </c>
      <c r="HZ50" t="e">
        <f>AND(DATA!E13,"AAAAAEs6/uk=")</f>
        <v>#VALUE!</v>
      </c>
      <c r="IA50" t="e">
        <f>AND(DATA!F13,"AAAAAEs6/uo=")</f>
        <v>#VALUE!</v>
      </c>
      <c r="IB50" t="e">
        <f>AND(DATA!G13,"AAAAAEs6/us=")</f>
        <v>#VALUE!</v>
      </c>
      <c r="IC50" t="e">
        <f>AND(DATA!H13,"AAAAAEs6/uw=")</f>
        <v>#VALUE!</v>
      </c>
      <c r="ID50" t="e">
        <f>AND(DATA!I13,"AAAAAEs6/u0=")</f>
        <v>#VALUE!</v>
      </c>
      <c r="IE50" t="e">
        <f>AND(DATA!J13,"AAAAAEs6/u4=")</f>
        <v>#VALUE!</v>
      </c>
      <c r="IF50" t="e">
        <f>AND(DATA!K13,"AAAAAEs6/u8=")</f>
        <v>#VALUE!</v>
      </c>
      <c r="IG50" t="b">
        <f>AND(DATA!L14,"AAAAAEs6/vA=")</f>
        <v>1</v>
      </c>
      <c r="IH50" t="b">
        <f>AND(DATA!M14,"AAAAAEs6/vE=")</f>
        <v>1</v>
      </c>
      <c r="II50" t="b">
        <f>AND(DATA!N14,"AAAAAEs6/vI=")</f>
        <v>1</v>
      </c>
      <c r="IJ50" t="b">
        <f>AND(DATA!O14,"AAAAAEs6/vM=")</f>
        <v>1</v>
      </c>
      <c r="IK50" t="b">
        <f>AND(DATA!P14,"AAAAAEs6/vQ=")</f>
        <v>1</v>
      </c>
      <c r="IL50" t="b">
        <f>AND(DATA!Q14,"AAAAAEs6/vU=")</f>
        <v>1</v>
      </c>
      <c r="IM50" t="b">
        <f>AND(DATA!R14,"AAAAAEs6/vY=")</f>
        <v>1</v>
      </c>
      <c r="IN50" t="b">
        <f>AND(DATA!S14,"AAAAAEs6/vc=")</f>
        <v>1</v>
      </c>
      <c r="IO50" t="b">
        <f>AND(DATA!T14,"AAAAAEs6/vg=")</f>
        <v>1</v>
      </c>
      <c r="IP50" t="e">
        <f>AND(DATA!U14,"AAAAAEs6/vk=")</f>
        <v>#VALUE!</v>
      </c>
      <c r="IQ50" t="b">
        <f>AND(DATA!V14,"AAAAAEs6/vo=")</f>
        <v>1</v>
      </c>
      <c r="IR50" t="e">
        <f>AND(DATA!W13,"AAAAAEs6/vs=")</f>
        <v>#VALUE!</v>
      </c>
      <c r="IS50" t="e">
        <f>AND(DATA!X13,"AAAAAEs6/vw=")</f>
        <v>#VALUE!</v>
      </c>
      <c r="IT50" t="e">
        <f>AND(DATA!Y13,"AAAAAEs6/v0=")</f>
        <v>#VALUE!</v>
      </c>
      <c r="IU50">
        <f>IF(DATA!14:14,"AAAAAEs6/v4=",0)</f>
        <v>0</v>
      </c>
      <c r="IV50" t="b">
        <f>AND(DATA!A14,"AAAAAEs6/v8=")</f>
        <v>1</v>
      </c>
    </row>
    <row r="51" spans="1:256" x14ac:dyDescent="0.25">
      <c r="A51" t="b">
        <f>AND(DATA!B14,"AAAAAHvf9QA=")</f>
        <v>1</v>
      </c>
      <c r="B51" t="e">
        <f>AND(DATA!C14,"AAAAAHvf9QE=")</f>
        <v>#VALUE!</v>
      </c>
      <c r="C51" t="e">
        <f>AND(DATA!D14,"AAAAAHvf9QI=")</f>
        <v>#VALUE!</v>
      </c>
      <c r="D51" t="b">
        <f>AND(DATA!E14,"AAAAAHvf9QM=")</f>
        <v>1</v>
      </c>
      <c r="E51" t="b">
        <f>AND(DATA!F14,"AAAAAHvf9QQ=")</f>
        <v>1</v>
      </c>
      <c r="F51" t="b">
        <f>AND(DATA!G14,"AAAAAHvf9QU=")</f>
        <v>1</v>
      </c>
      <c r="G51" t="e">
        <f>AND(DATA!H14,"AAAAAHvf9QY=")</f>
        <v>#VALUE!</v>
      </c>
      <c r="H51" t="e">
        <f>AND(DATA!I14,"AAAAAHvf9Qc=")</f>
        <v>#VALUE!</v>
      </c>
      <c r="I51" t="e">
        <f>AND(DATA!J14,"AAAAAHvf9Qg=")</f>
        <v>#VALUE!</v>
      </c>
      <c r="J51" t="e">
        <f>AND(DATA!K14,"AAAAAHvf9Qk=")</f>
        <v>#VALUE!</v>
      </c>
      <c r="K51" t="b">
        <f>AND(DATA!L15,"AAAAAHvf9Qo=")</f>
        <v>1</v>
      </c>
      <c r="L51" t="b">
        <f>AND(DATA!M15,"AAAAAHvf9Qs=")</f>
        <v>1</v>
      </c>
      <c r="M51" t="b">
        <f>AND(DATA!N15,"AAAAAHvf9Qw=")</f>
        <v>1</v>
      </c>
      <c r="N51" t="b">
        <f>AND(DATA!O15,"AAAAAHvf9Q0=")</f>
        <v>1</v>
      </c>
      <c r="O51" t="b">
        <f>AND(DATA!P15,"AAAAAHvf9Q4=")</f>
        <v>1</v>
      </c>
      <c r="P51" t="b">
        <f>AND(DATA!Q15,"AAAAAHvf9Q8=")</f>
        <v>1</v>
      </c>
      <c r="Q51" t="b">
        <f>AND(DATA!R15,"AAAAAHvf9RA=")</f>
        <v>1</v>
      </c>
      <c r="R51" t="b">
        <f>AND(DATA!S15,"AAAAAHvf9RE=")</f>
        <v>1</v>
      </c>
      <c r="S51" t="b">
        <f>AND(DATA!T15,"AAAAAHvf9RI=")</f>
        <v>1</v>
      </c>
      <c r="T51" t="e">
        <f>AND(DATA!U15,"AAAAAHvf9RM=")</f>
        <v>#VALUE!</v>
      </c>
      <c r="U51" t="b">
        <f>AND(DATA!V15,"AAAAAHvf9RQ=")</f>
        <v>1</v>
      </c>
      <c r="V51" t="e">
        <f>AND(DATA!W14,"AAAAAHvf9RU=")</f>
        <v>#VALUE!</v>
      </c>
      <c r="W51" t="e">
        <f>AND(DATA!X14,"AAAAAHvf9RY=")</f>
        <v>#VALUE!</v>
      </c>
      <c r="X51" t="e">
        <f>AND(DATA!Y14,"AAAAAHvf9Rc=")</f>
        <v>#VALUE!</v>
      </c>
      <c r="Y51">
        <f>IF(DATA!15:15,"AAAAAHvf9Rg=",0)</f>
        <v>0</v>
      </c>
      <c r="Z51" t="b">
        <f>AND(DATA!A15,"AAAAAHvf9Rk=")</f>
        <v>1</v>
      </c>
      <c r="AA51" t="b">
        <f>AND(DATA!B15,"AAAAAHvf9Ro=")</f>
        <v>1</v>
      </c>
      <c r="AB51" t="e">
        <f>AND(DATA!C15,"AAAAAHvf9Rs=")</f>
        <v>#VALUE!</v>
      </c>
      <c r="AC51" t="e">
        <f>AND(DATA!D15,"AAAAAHvf9Rw=")</f>
        <v>#VALUE!</v>
      </c>
      <c r="AD51" t="b">
        <f>AND(DATA!E15,"AAAAAHvf9R0=")</f>
        <v>1</v>
      </c>
      <c r="AE51" t="b">
        <f>AND(DATA!F15,"AAAAAHvf9R4=")</f>
        <v>1</v>
      </c>
      <c r="AF51" t="b">
        <f>AND(DATA!G15,"AAAAAHvf9R8=")</f>
        <v>1</v>
      </c>
      <c r="AG51" t="e">
        <f>AND(DATA!H15,"AAAAAHvf9SA=")</f>
        <v>#VALUE!</v>
      </c>
      <c r="AH51" t="e">
        <f>AND(DATA!I15,"AAAAAHvf9SE=")</f>
        <v>#VALUE!</v>
      </c>
      <c r="AI51" t="e">
        <f>AND(DATA!J15,"AAAAAHvf9SI=")</f>
        <v>#VALUE!</v>
      </c>
      <c r="AJ51" t="e">
        <f>AND(DATA!K15,"AAAAAHvf9SM=")</f>
        <v>#VALUE!</v>
      </c>
      <c r="AK51" t="b">
        <f>AND(DATA!L16,"AAAAAHvf9SQ=")</f>
        <v>1</v>
      </c>
      <c r="AL51" t="b">
        <f>AND(DATA!M16,"AAAAAHvf9SU=")</f>
        <v>1</v>
      </c>
      <c r="AM51" t="b">
        <f>AND(DATA!N16,"AAAAAHvf9SY=")</f>
        <v>1</v>
      </c>
      <c r="AN51" t="b">
        <f>AND(DATA!O16,"AAAAAHvf9Sc=")</f>
        <v>1</v>
      </c>
      <c r="AO51" t="b">
        <f>AND(DATA!P16,"AAAAAHvf9Sg=")</f>
        <v>1</v>
      </c>
      <c r="AP51" t="b">
        <f>AND(DATA!Q16,"AAAAAHvf9Sk=")</f>
        <v>1</v>
      </c>
      <c r="AQ51" t="b">
        <f>AND(DATA!R16,"AAAAAHvf9So=")</f>
        <v>1</v>
      </c>
      <c r="AR51" t="b">
        <f>AND(DATA!S16,"AAAAAHvf9Ss=")</f>
        <v>1</v>
      </c>
      <c r="AS51" t="b">
        <f>AND(DATA!T16,"AAAAAHvf9Sw=")</f>
        <v>1</v>
      </c>
      <c r="AT51" t="e">
        <f>AND(DATA!U16,"AAAAAHvf9S0=")</f>
        <v>#VALUE!</v>
      </c>
      <c r="AU51" t="b">
        <f>AND(DATA!V16,"AAAAAHvf9S4=")</f>
        <v>1</v>
      </c>
      <c r="AV51" t="e">
        <f>AND(DATA!W15,"AAAAAHvf9S8=")</f>
        <v>#VALUE!</v>
      </c>
      <c r="AW51" t="e">
        <f>AND(DATA!X15,"AAAAAHvf9TA=")</f>
        <v>#VALUE!</v>
      </c>
      <c r="AX51" t="e">
        <f>AND(DATA!Y15,"AAAAAHvf9TE=")</f>
        <v>#VALUE!</v>
      </c>
      <c r="AY51">
        <f>IF(DATA!16:16,"AAAAAHvf9TI=",0)</f>
        <v>0</v>
      </c>
      <c r="AZ51" t="b">
        <f>AND(DATA!A16,"AAAAAHvf9TM=")</f>
        <v>1</v>
      </c>
      <c r="BA51" t="b">
        <f>AND(DATA!B16,"AAAAAHvf9TQ=")</f>
        <v>1</v>
      </c>
      <c r="BB51" t="e">
        <f>AND(DATA!C16,"AAAAAHvf9TU=")</f>
        <v>#VALUE!</v>
      </c>
      <c r="BC51" t="e">
        <f>AND(DATA!D16,"AAAAAHvf9TY=")</f>
        <v>#VALUE!</v>
      </c>
      <c r="BD51" t="b">
        <f>AND(DATA!E16,"AAAAAHvf9Tc=")</f>
        <v>1</v>
      </c>
      <c r="BE51" t="b">
        <f>AND(DATA!F16,"AAAAAHvf9Tg=")</f>
        <v>1</v>
      </c>
      <c r="BF51" t="b">
        <f>AND(DATA!G16,"AAAAAHvf9Tk=")</f>
        <v>1</v>
      </c>
      <c r="BG51" t="e">
        <f>AND(DATA!H16,"AAAAAHvf9To=")</f>
        <v>#VALUE!</v>
      </c>
      <c r="BH51" t="e">
        <f>AND(DATA!I16,"AAAAAHvf9Ts=")</f>
        <v>#VALUE!</v>
      </c>
      <c r="BI51" t="e">
        <f>AND(DATA!J16,"AAAAAHvf9Tw=")</f>
        <v>#VALUE!</v>
      </c>
      <c r="BJ51" t="e">
        <f>AND(DATA!K16,"AAAAAHvf9T0=")</f>
        <v>#VALUE!</v>
      </c>
      <c r="BK51" t="b">
        <f>AND(DATA!L17,"AAAAAHvf9T4=")</f>
        <v>1</v>
      </c>
      <c r="BL51" t="b">
        <f>AND(DATA!M17,"AAAAAHvf9T8=")</f>
        <v>1</v>
      </c>
      <c r="BM51" t="b">
        <f>AND(DATA!N17,"AAAAAHvf9UA=")</f>
        <v>1</v>
      </c>
      <c r="BN51" t="b">
        <f>AND(DATA!O17,"AAAAAHvf9UE=")</f>
        <v>1</v>
      </c>
      <c r="BO51" t="b">
        <f>AND(DATA!P17,"AAAAAHvf9UI=")</f>
        <v>1</v>
      </c>
      <c r="BP51" t="b">
        <f>AND(DATA!Q17,"AAAAAHvf9UM=")</f>
        <v>1</v>
      </c>
      <c r="BQ51" t="b">
        <f>AND(DATA!R17,"AAAAAHvf9UQ=")</f>
        <v>1</v>
      </c>
      <c r="BR51" t="b">
        <f>AND(DATA!S17,"AAAAAHvf9UU=")</f>
        <v>1</v>
      </c>
      <c r="BS51" t="b">
        <f>AND(DATA!T17,"AAAAAHvf9UY=")</f>
        <v>1</v>
      </c>
      <c r="BT51" t="e">
        <f>AND(DATA!U17,"AAAAAHvf9Uc=")</f>
        <v>#VALUE!</v>
      </c>
      <c r="BU51" t="b">
        <f>AND(DATA!V17,"AAAAAHvf9Ug=")</f>
        <v>1</v>
      </c>
      <c r="BV51" t="e">
        <f>AND(DATA!W16,"AAAAAHvf9Uk=")</f>
        <v>#VALUE!</v>
      </c>
      <c r="BW51" t="e">
        <f>AND(DATA!X16,"AAAAAHvf9Uo=")</f>
        <v>#VALUE!</v>
      </c>
      <c r="BX51" t="e">
        <f>AND(DATA!Y16,"AAAAAHvf9Us=")</f>
        <v>#VALUE!</v>
      </c>
      <c r="BY51">
        <f>IF(DATA!17:17,"AAAAAHvf9Uw=",0)</f>
        <v>0</v>
      </c>
      <c r="BZ51" t="b">
        <f>AND(DATA!A17,"AAAAAHvf9U0=")</f>
        <v>1</v>
      </c>
      <c r="CA51" t="b">
        <f>AND(DATA!B17,"AAAAAHvf9U4=")</f>
        <v>1</v>
      </c>
      <c r="CB51" t="e">
        <f>AND(DATA!C17,"AAAAAHvf9U8=")</f>
        <v>#VALUE!</v>
      </c>
      <c r="CC51" t="e">
        <f>AND(DATA!D17,"AAAAAHvf9VA=")</f>
        <v>#VALUE!</v>
      </c>
      <c r="CD51" t="b">
        <f>AND(DATA!E17,"AAAAAHvf9VE=")</f>
        <v>1</v>
      </c>
      <c r="CE51" t="b">
        <f>AND(DATA!F17,"AAAAAHvf9VI=")</f>
        <v>1</v>
      </c>
      <c r="CF51" t="b">
        <f>AND(DATA!G17,"AAAAAHvf9VM=")</f>
        <v>1</v>
      </c>
      <c r="CG51" t="e">
        <f>AND(DATA!H17,"AAAAAHvf9VQ=")</f>
        <v>#VALUE!</v>
      </c>
      <c r="CH51" t="e">
        <f>AND(DATA!I17,"AAAAAHvf9VU=")</f>
        <v>#VALUE!</v>
      </c>
      <c r="CI51" t="e">
        <f>AND(DATA!J17,"AAAAAHvf9VY=")</f>
        <v>#VALUE!</v>
      </c>
      <c r="CJ51" t="e">
        <f>AND(DATA!K17,"AAAAAHvf9Vc=")</f>
        <v>#VALUE!</v>
      </c>
      <c r="CK51" t="b">
        <f>AND(DATA!L18,"AAAAAHvf9Vg=")</f>
        <v>1</v>
      </c>
      <c r="CL51" t="b">
        <f>AND(DATA!M18,"AAAAAHvf9Vk=")</f>
        <v>1</v>
      </c>
      <c r="CM51" t="b">
        <f>AND(DATA!N18,"AAAAAHvf9Vo=")</f>
        <v>1</v>
      </c>
      <c r="CN51" t="b">
        <f>AND(DATA!O18,"AAAAAHvf9Vs=")</f>
        <v>1</v>
      </c>
      <c r="CO51" t="b">
        <f>AND(DATA!P18,"AAAAAHvf9Vw=")</f>
        <v>1</v>
      </c>
      <c r="CP51" t="b">
        <f>AND(DATA!Q18,"AAAAAHvf9V0=")</f>
        <v>1</v>
      </c>
      <c r="CQ51" t="b">
        <f>AND(DATA!R18,"AAAAAHvf9V4=")</f>
        <v>1</v>
      </c>
      <c r="CR51" t="b">
        <f>AND(DATA!S18,"AAAAAHvf9V8=")</f>
        <v>1</v>
      </c>
      <c r="CS51" t="b">
        <f>AND(DATA!T18,"AAAAAHvf9WA=")</f>
        <v>1</v>
      </c>
      <c r="CT51" t="e">
        <f>AND(DATA!U18,"AAAAAHvf9WE=")</f>
        <v>#VALUE!</v>
      </c>
      <c r="CU51" t="b">
        <f>AND(DATA!V18,"AAAAAHvf9WI=")</f>
        <v>1</v>
      </c>
      <c r="CV51" t="e">
        <f>AND(DATA!W17,"AAAAAHvf9WM=")</f>
        <v>#VALUE!</v>
      </c>
      <c r="CW51" t="e">
        <f>AND(DATA!X17,"AAAAAHvf9WQ=")</f>
        <v>#VALUE!</v>
      </c>
      <c r="CX51" t="e">
        <f>AND(DATA!Y17,"AAAAAHvf9WU=")</f>
        <v>#VALUE!</v>
      </c>
      <c r="CY51">
        <f>IF(DATA!18:18,"AAAAAHvf9WY=",0)</f>
        <v>0</v>
      </c>
      <c r="CZ51" t="b">
        <f>AND(DATA!A18,"AAAAAHvf9Wc=")</f>
        <v>1</v>
      </c>
      <c r="DA51" t="b">
        <f>AND(DATA!B18,"AAAAAHvf9Wg=")</f>
        <v>1</v>
      </c>
      <c r="DB51" t="e">
        <f>AND(DATA!C18,"AAAAAHvf9Wk=")</f>
        <v>#VALUE!</v>
      </c>
      <c r="DC51" t="e">
        <f>AND(DATA!D18,"AAAAAHvf9Wo=")</f>
        <v>#VALUE!</v>
      </c>
      <c r="DD51" t="b">
        <f>AND(DATA!E18,"AAAAAHvf9Ws=")</f>
        <v>1</v>
      </c>
      <c r="DE51" t="b">
        <f>AND(DATA!F18,"AAAAAHvf9Ww=")</f>
        <v>1</v>
      </c>
      <c r="DF51" t="b">
        <f>AND(DATA!G18,"AAAAAHvf9W0=")</f>
        <v>1</v>
      </c>
      <c r="DG51" t="e">
        <f>AND(DATA!H18,"AAAAAHvf9W4=")</f>
        <v>#VALUE!</v>
      </c>
      <c r="DH51" t="e">
        <f>AND(DATA!I18,"AAAAAHvf9W8=")</f>
        <v>#VALUE!</v>
      </c>
      <c r="DI51" t="e">
        <f>AND(DATA!J18,"AAAAAHvf9XA=")</f>
        <v>#VALUE!</v>
      </c>
      <c r="DJ51" t="e">
        <f>AND(DATA!K18,"AAAAAHvf9XE=")</f>
        <v>#VALUE!</v>
      </c>
      <c r="DK51" t="b">
        <f>AND(DATA!L19,"AAAAAHvf9XI=")</f>
        <v>1</v>
      </c>
      <c r="DL51" t="b">
        <f>AND(DATA!M19,"AAAAAHvf9XM=")</f>
        <v>1</v>
      </c>
      <c r="DM51" t="b">
        <f>AND(DATA!N19,"AAAAAHvf9XQ=")</f>
        <v>1</v>
      </c>
      <c r="DN51" t="b">
        <f>AND(DATA!O19,"AAAAAHvf9XU=")</f>
        <v>1</v>
      </c>
      <c r="DO51" t="b">
        <f>AND(DATA!P19,"AAAAAHvf9XY=")</f>
        <v>1</v>
      </c>
      <c r="DP51" t="b">
        <f>AND(DATA!Q19,"AAAAAHvf9Xc=")</f>
        <v>1</v>
      </c>
      <c r="DQ51" t="b">
        <f>AND(DATA!R19,"AAAAAHvf9Xg=")</f>
        <v>1</v>
      </c>
      <c r="DR51" t="b">
        <f>AND(DATA!S19,"AAAAAHvf9Xk=")</f>
        <v>1</v>
      </c>
      <c r="DS51" t="b">
        <f>AND(DATA!T19,"AAAAAHvf9Xo=")</f>
        <v>1</v>
      </c>
      <c r="DT51" t="e">
        <f>AND(DATA!U19,"AAAAAHvf9Xs=")</f>
        <v>#VALUE!</v>
      </c>
      <c r="DU51" t="b">
        <f>AND(DATA!V19,"AAAAAHvf9Xw=")</f>
        <v>1</v>
      </c>
      <c r="DV51" t="e">
        <f>AND(DATA!W18,"AAAAAHvf9X0=")</f>
        <v>#VALUE!</v>
      </c>
      <c r="DW51" t="e">
        <f>AND(DATA!X18,"AAAAAHvf9X4=")</f>
        <v>#VALUE!</v>
      </c>
      <c r="DX51" t="e">
        <f>AND(DATA!Y18,"AAAAAHvf9X8=")</f>
        <v>#VALUE!</v>
      </c>
      <c r="DY51">
        <f>IF(DATA!19:19,"AAAAAHvf9YA=",0)</f>
        <v>0</v>
      </c>
      <c r="DZ51" t="b">
        <f>AND(DATA!A19,"AAAAAHvf9YE=")</f>
        <v>1</v>
      </c>
      <c r="EA51" t="b">
        <f>AND(DATA!B19,"AAAAAHvf9YI=")</f>
        <v>1</v>
      </c>
      <c r="EB51" t="e">
        <f>AND(DATA!C19,"AAAAAHvf9YM=")</f>
        <v>#VALUE!</v>
      </c>
      <c r="EC51" t="e">
        <f>AND(DATA!D19,"AAAAAHvf9YQ=")</f>
        <v>#VALUE!</v>
      </c>
      <c r="ED51" t="b">
        <f>AND(DATA!E19,"AAAAAHvf9YU=")</f>
        <v>1</v>
      </c>
      <c r="EE51" t="b">
        <f>AND(DATA!F19,"AAAAAHvf9YY=")</f>
        <v>1</v>
      </c>
      <c r="EF51" t="b">
        <f>AND(DATA!G19,"AAAAAHvf9Yc=")</f>
        <v>1</v>
      </c>
      <c r="EG51" t="e">
        <f>AND(DATA!H19,"AAAAAHvf9Yg=")</f>
        <v>#VALUE!</v>
      </c>
      <c r="EH51" t="e">
        <f>AND(DATA!I19,"AAAAAHvf9Yk=")</f>
        <v>#VALUE!</v>
      </c>
      <c r="EI51" t="e">
        <f>AND(DATA!J19,"AAAAAHvf9Yo=")</f>
        <v>#VALUE!</v>
      </c>
      <c r="EJ51" t="e">
        <f>AND(DATA!K19,"AAAAAHvf9Ys=")</f>
        <v>#VALUE!</v>
      </c>
      <c r="EK51" t="b">
        <f>AND(DATA!L20,"AAAAAHvf9Yw=")</f>
        <v>1</v>
      </c>
      <c r="EL51" t="b">
        <f>AND(DATA!M20,"AAAAAHvf9Y0=")</f>
        <v>1</v>
      </c>
      <c r="EM51" t="b">
        <f>AND(DATA!N20,"AAAAAHvf9Y4=")</f>
        <v>1</v>
      </c>
      <c r="EN51" t="b">
        <f>AND(DATA!O20,"AAAAAHvf9Y8=")</f>
        <v>1</v>
      </c>
      <c r="EO51" t="b">
        <f>AND(DATA!P20,"AAAAAHvf9ZA=")</f>
        <v>1</v>
      </c>
      <c r="EP51" t="b">
        <f>AND(DATA!Q20,"AAAAAHvf9ZE=")</f>
        <v>1</v>
      </c>
      <c r="EQ51" t="b">
        <f>AND(DATA!R20,"AAAAAHvf9ZI=")</f>
        <v>1</v>
      </c>
      <c r="ER51" t="b">
        <f>AND(DATA!S20,"AAAAAHvf9ZM=")</f>
        <v>1</v>
      </c>
      <c r="ES51" t="b">
        <f>AND(DATA!T20,"AAAAAHvf9ZQ=")</f>
        <v>1</v>
      </c>
      <c r="ET51" t="e">
        <f>AND(DATA!U20,"AAAAAHvf9ZU=")</f>
        <v>#VALUE!</v>
      </c>
      <c r="EU51" t="b">
        <f>AND(DATA!V20,"AAAAAHvf9ZY=")</f>
        <v>1</v>
      </c>
      <c r="EV51" t="e">
        <f>AND(DATA!W19,"AAAAAHvf9Zc=")</f>
        <v>#VALUE!</v>
      </c>
      <c r="EW51" t="e">
        <f>AND(DATA!X19,"AAAAAHvf9Zg=")</f>
        <v>#VALUE!</v>
      </c>
      <c r="EX51" t="e">
        <f>AND(DATA!Y19,"AAAAAHvf9Zk=")</f>
        <v>#VALUE!</v>
      </c>
      <c r="EY51">
        <f>IF(DATA!20:20,"AAAAAHvf9Zo=",0)</f>
        <v>0</v>
      </c>
      <c r="EZ51" t="b">
        <f>AND(DATA!A20,"AAAAAHvf9Zs=")</f>
        <v>1</v>
      </c>
      <c r="FA51" t="b">
        <f>AND(DATA!B20,"AAAAAHvf9Zw=")</f>
        <v>1</v>
      </c>
      <c r="FB51" t="e">
        <f>AND(DATA!C20,"AAAAAHvf9Z0=")</f>
        <v>#VALUE!</v>
      </c>
      <c r="FC51" t="e">
        <f>AND(DATA!D20,"AAAAAHvf9Z4=")</f>
        <v>#VALUE!</v>
      </c>
      <c r="FD51" t="b">
        <f>AND(DATA!E20,"AAAAAHvf9Z8=")</f>
        <v>1</v>
      </c>
      <c r="FE51" t="b">
        <f>AND(DATA!F20,"AAAAAHvf9aA=")</f>
        <v>1</v>
      </c>
      <c r="FF51" t="b">
        <f>AND(DATA!G20,"AAAAAHvf9aE=")</f>
        <v>1</v>
      </c>
      <c r="FG51" t="e">
        <f>AND(DATA!H20,"AAAAAHvf9aI=")</f>
        <v>#VALUE!</v>
      </c>
      <c r="FH51" t="e">
        <f>AND(DATA!I20,"AAAAAHvf9aM=")</f>
        <v>#VALUE!</v>
      </c>
      <c r="FI51" t="e">
        <f>AND(DATA!J20,"AAAAAHvf9aQ=")</f>
        <v>#VALUE!</v>
      </c>
      <c r="FJ51" t="e">
        <f>AND(DATA!K20,"AAAAAHvf9aU=")</f>
        <v>#VALUE!</v>
      </c>
      <c r="FK51" t="b">
        <f>AND(DATA!L21,"AAAAAHvf9aY=")</f>
        <v>1</v>
      </c>
      <c r="FL51" t="b">
        <f>AND(DATA!M21,"AAAAAHvf9ac=")</f>
        <v>1</v>
      </c>
      <c r="FM51" t="b">
        <f>AND(DATA!N21,"AAAAAHvf9ag=")</f>
        <v>1</v>
      </c>
      <c r="FN51" t="b">
        <f>AND(DATA!O21,"AAAAAHvf9ak=")</f>
        <v>1</v>
      </c>
      <c r="FO51" t="b">
        <f>AND(DATA!P21,"AAAAAHvf9ao=")</f>
        <v>1</v>
      </c>
      <c r="FP51" t="b">
        <f>AND(DATA!Q21,"AAAAAHvf9as=")</f>
        <v>1</v>
      </c>
      <c r="FQ51" t="b">
        <f>AND(DATA!R21,"AAAAAHvf9aw=")</f>
        <v>1</v>
      </c>
      <c r="FR51" t="b">
        <f>AND(DATA!S21,"AAAAAHvf9a0=")</f>
        <v>1</v>
      </c>
      <c r="FS51" t="b">
        <f>AND(DATA!T21,"AAAAAHvf9a4=")</f>
        <v>1</v>
      </c>
      <c r="FT51" t="e">
        <f>AND(DATA!U21,"AAAAAHvf9a8=")</f>
        <v>#VALUE!</v>
      </c>
      <c r="FU51" t="b">
        <f>AND(DATA!V21,"AAAAAHvf9bA=")</f>
        <v>1</v>
      </c>
      <c r="FV51" t="e">
        <f>AND(DATA!W20,"AAAAAHvf9bE=")</f>
        <v>#VALUE!</v>
      </c>
      <c r="FW51" t="e">
        <f>AND(DATA!X20,"AAAAAHvf9bI=")</f>
        <v>#VALUE!</v>
      </c>
      <c r="FX51" t="e">
        <f>AND(DATA!Y20,"AAAAAHvf9bM=")</f>
        <v>#VALUE!</v>
      </c>
      <c r="FY51">
        <f>IF(DATA!21:21,"AAAAAHvf9bQ=",0)</f>
        <v>0</v>
      </c>
      <c r="FZ51" t="b">
        <f>AND(DATA!A21,"AAAAAHvf9bU=")</f>
        <v>1</v>
      </c>
      <c r="GA51" t="b">
        <f>AND(DATA!B21,"AAAAAHvf9bY=")</f>
        <v>1</v>
      </c>
      <c r="GB51" t="e">
        <f>AND(DATA!C21,"AAAAAHvf9bc=")</f>
        <v>#VALUE!</v>
      </c>
      <c r="GC51" t="e">
        <f>AND(DATA!D21,"AAAAAHvf9bg=")</f>
        <v>#VALUE!</v>
      </c>
      <c r="GD51" t="b">
        <f>AND(DATA!E21,"AAAAAHvf9bk=")</f>
        <v>1</v>
      </c>
      <c r="GE51" t="b">
        <f>AND(DATA!F21,"AAAAAHvf9bo=")</f>
        <v>1</v>
      </c>
      <c r="GF51" t="b">
        <f>AND(DATA!G21,"AAAAAHvf9bs=")</f>
        <v>1</v>
      </c>
      <c r="GG51" t="e">
        <f>AND(DATA!H21,"AAAAAHvf9bw=")</f>
        <v>#VALUE!</v>
      </c>
      <c r="GH51" t="e">
        <f>AND(DATA!I21,"AAAAAHvf9b0=")</f>
        <v>#VALUE!</v>
      </c>
      <c r="GI51" t="e">
        <f>AND(DATA!J21,"AAAAAHvf9b4=")</f>
        <v>#VALUE!</v>
      </c>
      <c r="GJ51" t="e">
        <f>AND(DATA!K21,"AAAAAHvf9b8=")</f>
        <v>#VALUE!</v>
      </c>
      <c r="GK51" t="b">
        <f>AND(DATA!L22,"AAAAAHvf9cA=")</f>
        <v>1</v>
      </c>
      <c r="GL51" t="b">
        <f>AND(DATA!M22,"AAAAAHvf9cE=")</f>
        <v>1</v>
      </c>
      <c r="GM51" t="b">
        <f>AND(DATA!N22,"AAAAAHvf9cI=")</f>
        <v>1</v>
      </c>
      <c r="GN51" t="b">
        <f>AND(DATA!O22,"AAAAAHvf9cM=")</f>
        <v>1</v>
      </c>
      <c r="GO51" t="b">
        <f>AND(DATA!P22,"AAAAAHvf9cQ=")</f>
        <v>1</v>
      </c>
      <c r="GP51" t="b">
        <f>AND(DATA!Q22,"AAAAAHvf9cU=")</f>
        <v>1</v>
      </c>
      <c r="GQ51" t="b">
        <f>AND(DATA!R22,"AAAAAHvf9cY=")</f>
        <v>1</v>
      </c>
      <c r="GR51" t="b">
        <f>AND(DATA!S22,"AAAAAHvf9cc=")</f>
        <v>1</v>
      </c>
      <c r="GS51" t="b">
        <f>AND(DATA!T22,"AAAAAHvf9cg=")</f>
        <v>1</v>
      </c>
      <c r="GT51" t="e">
        <f>AND(DATA!U22,"AAAAAHvf9ck=")</f>
        <v>#VALUE!</v>
      </c>
      <c r="GU51" t="b">
        <f>AND(DATA!V22,"AAAAAHvf9co=")</f>
        <v>1</v>
      </c>
      <c r="GV51" t="e">
        <f>AND(DATA!W21,"AAAAAHvf9cs=")</f>
        <v>#VALUE!</v>
      </c>
      <c r="GW51" t="e">
        <f>AND(DATA!X21,"AAAAAHvf9cw=")</f>
        <v>#VALUE!</v>
      </c>
      <c r="GX51" t="e">
        <f>AND(DATA!Y21,"AAAAAHvf9c0=")</f>
        <v>#VALUE!</v>
      </c>
      <c r="GY51">
        <f>IF(DATA!22:22,"AAAAAHvf9c4=",0)</f>
        <v>0</v>
      </c>
      <c r="GZ51" t="b">
        <f>AND(DATA!A22,"AAAAAHvf9c8=")</f>
        <v>1</v>
      </c>
      <c r="HA51" t="b">
        <f>AND(DATA!B22,"AAAAAHvf9dA=")</f>
        <v>1</v>
      </c>
      <c r="HB51" t="e">
        <f>AND(DATA!C22,"AAAAAHvf9dE=")</f>
        <v>#VALUE!</v>
      </c>
      <c r="HC51" t="e">
        <f>AND(DATA!D22,"AAAAAHvf9dI=")</f>
        <v>#VALUE!</v>
      </c>
      <c r="HD51" t="b">
        <f>AND(DATA!E22,"AAAAAHvf9dM=")</f>
        <v>1</v>
      </c>
      <c r="HE51" t="b">
        <f>AND(DATA!F22,"AAAAAHvf9dQ=")</f>
        <v>1</v>
      </c>
      <c r="HF51" t="b">
        <f>AND(DATA!G22,"AAAAAHvf9dU=")</f>
        <v>1</v>
      </c>
      <c r="HG51" t="e">
        <f>AND(DATA!H22,"AAAAAHvf9dY=")</f>
        <v>#VALUE!</v>
      </c>
      <c r="HH51" t="e">
        <f>AND(DATA!I22,"AAAAAHvf9dc=")</f>
        <v>#VALUE!</v>
      </c>
      <c r="HI51" t="e">
        <f>AND(DATA!J22,"AAAAAHvf9dg=")</f>
        <v>#VALUE!</v>
      </c>
      <c r="HJ51" t="e">
        <f>AND(DATA!K22,"AAAAAHvf9dk=")</f>
        <v>#VALUE!</v>
      </c>
      <c r="HK51" t="b">
        <f>AND(DATA!L23,"AAAAAHvf9do=")</f>
        <v>1</v>
      </c>
      <c r="HL51" t="b">
        <f>AND(DATA!M23,"AAAAAHvf9ds=")</f>
        <v>1</v>
      </c>
      <c r="HM51" t="b">
        <f>AND(DATA!N23,"AAAAAHvf9dw=")</f>
        <v>1</v>
      </c>
      <c r="HN51" t="b">
        <f>AND(DATA!O23,"AAAAAHvf9d0=")</f>
        <v>1</v>
      </c>
      <c r="HO51" t="b">
        <f>AND(DATA!P23,"AAAAAHvf9d4=")</f>
        <v>1</v>
      </c>
      <c r="HP51" t="b">
        <f>AND(DATA!Q23,"AAAAAHvf9d8=")</f>
        <v>1</v>
      </c>
      <c r="HQ51" t="b">
        <f>AND(DATA!R23,"AAAAAHvf9eA=")</f>
        <v>1</v>
      </c>
      <c r="HR51" t="b">
        <f>AND(DATA!S23,"AAAAAHvf9eE=")</f>
        <v>1</v>
      </c>
      <c r="HS51" t="b">
        <f>AND(DATA!T23,"AAAAAHvf9eI=")</f>
        <v>1</v>
      </c>
      <c r="HT51" t="e">
        <f>AND(DATA!U23,"AAAAAHvf9eM=")</f>
        <v>#VALUE!</v>
      </c>
      <c r="HU51" t="b">
        <f>AND(DATA!V23,"AAAAAHvf9eQ=")</f>
        <v>1</v>
      </c>
      <c r="HV51" t="e">
        <f>AND(DATA!W22,"AAAAAHvf9eU=")</f>
        <v>#VALUE!</v>
      </c>
      <c r="HW51" t="e">
        <f>AND(DATA!X22,"AAAAAHvf9eY=")</f>
        <v>#VALUE!</v>
      </c>
      <c r="HX51" t="e">
        <f>AND(DATA!Y22,"AAAAAHvf9ec=")</f>
        <v>#VALUE!</v>
      </c>
      <c r="HY51">
        <f>IF(DATA!23:23,"AAAAAHvf9eg=",0)</f>
        <v>0</v>
      </c>
      <c r="HZ51" t="b">
        <f>AND(DATA!A23,"AAAAAHvf9ek=")</f>
        <v>1</v>
      </c>
      <c r="IA51" t="b">
        <f>AND(DATA!B23,"AAAAAHvf9eo=")</f>
        <v>1</v>
      </c>
      <c r="IB51" t="e">
        <f>AND(DATA!C23,"AAAAAHvf9es=")</f>
        <v>#VALUE!</v>
      </c>
      <c r="IC51" t="e">
        <f>AND(DATA!D23,"AAAAAHvf9ew=")</f>
        <v>#VALUE!</v>
      </c>
      <c r="ID51" t="b">
        <f>AND(DATA!E23,"AAAAAHvf9e0=")</f>
        <v>1</v>
      </c>
      <c r="IE51" t="b">
        <f>AND(DATA!F23,"AAAAAHvf9e4=")</f>
        <v>1</v>
      </c>
      <c r="IF51" t="b">
        <f>AND(DATA!G23,"AAAAAHvf9e8=")</f>
        <v>1</v>
      </c>
      <c r="IG51" t="e">
        <f>AND(DATA!H23,"AAAAAHvf9fA=")</f>
        <v>#VALUE!</v>
      </c>
      <c r="IH51" t="e">
        <f>AND(DATA!I23,"AAAAAHvf9fE=")</f>
        <v>#VALUE!</v>
      </c>
      <c r="II51" t="e">
        <f>AND(DATA!J23,"AAAAAHvf9fI=")</f>
        <v>#VALUE!</v>
      </c>
      <c r="IJ51" t="e">
        <f>AND(DATA!K23,"AAAAAHvf9fM=")</f>
        <v>#VALUE!</v>
      </c>
      <c r="IK51" t="b">
        <f>AND(DATA!L24,"AAAAAHvf9fQ=")</f>
        <v>1</v>
      </c>
      <c r="IL51" t="b">
        <f>AND(DATA!M24,"AAAAAHvf9fU=")</f>
        <v>1</v>
      </c>
      <c r="IM51" t="b">
        <f>AND(DATA!N24,"AAAAAHvf9fY=")</f>
        <v>1</v>
      </c>
      <c r="IN51" t="b">
        <f>AND(DATA!O24,"AAAAAHvf9fc=")</f>
        <v>1</v>
      </c>
      <c r="IO51" t="b">
        <f>AND(DATA!P24,"AAAAAHvf9fg=")</f>
        <v>1</v>
      </c>
      <c r="IP51" t="b">
        <f>AND(DATA!Q24,"AAAAAHvf9fk=")</f>
        <v>1</v>
      </c>
      <c r="IQ51" t="b">
        <f>AND(DATA!R24,"AAAAAHvf9fo=")</f>
        <v>1</v>
      </c>
      <c r="IR51" t="b">
        <f>AND(DATA!S24,"AAAAAHvf9fs=")</f>
        <v>1</v>
      </c>
      <c r="IS51" t="b">
        <f>AND(DATA!T24,"AAAAAHvf9fw=")</f>
        <v>1</v>
      </c>
      <c r="IT51" t="e">
        <f>AND(DATA!U24,"AAAAAHvf9f0=")</f>
        <v>#VALUE!</v>
      </c>
      <c r="IU51" t="b">
        <f>AND(DATA!V24,"AAAAAHvf9f4=")</f>
        <v>1</v>
      </c>
      <c r="IV51" t="e">
        <f>AND(DATA!W23,"AAAAAHvf9f8=")</f>
        <v>#VALUE!</v>
      </c>
    </row>
    <row r="52" spans="1:256" x14ac:dyDescent="0.25">
      <c r="A52" t="e">
        <f>AND(DATA!X23,"AAAAAGafxgA=")</f>
        <v>#VALUE!</v>
      </c>
      <c r="B52" t="e">
        <f>AND(DATA!Y23,"AAAAAGafxgE=")</f>
        <v>#VALUE!</v>
      </c>
      <c r="C52">
        <f>IF(DATA!24:24,"AAAAAGafxgI=",0)</f>
        <v>0</v>
      </c>
      <c r="D52" t="b">
        <f>AND(DATA!A24,"AAAAAGafxgM=")</f>
        <v>1</v>
      </c>
      <c r="E52" t="b">
        <f>AND(DATA!B24,"AAAAAGafxgQ=")</f>
        <v>1</v>
      </c>
      <c r="F52" t="e">
        <f>AND(DATA!C24,"AAAAAGafxgU=")</f>
        <v>#VALUE!</v>
      </c>
      <c r="G52" t="e">
        <f>AND(DATA!D24,"AAAAAGafxgY=")</f>
        <v>#VALUE!</v>
      </c>
      <c r="H52" t="b">
        <f>AND(DATA!E24,"AAAAAGafxgc=")</f>
        <v>1</v>
      </c>
      <c r="I52" t="b">
        <f>AND(DATA!F24,"AAAAAGafxgg=")</f>
        <v>1</v>
      </c>
      <c r="J52" t="b">
        <f>AND(DATA!G24,"AAAAAGafxgk=")</f>
        <v>1</v>
      </c>
      <c r="K52" t="e">
        <f>AND(DATA!H24,"AAAAAGafxgo=")</f>
        <v>#VALUE!</v>
      </c>
      <c r="L52" t="e">
        <f>AND(DATA!I24,"AAAAAGafxgs=")</f>
        <v>#VALUE!</v>
      </c>
      <c r="M52" t="e">
        <f>AND(DATA!J24,"AAAAAGafxgw=")</f>
        <v>#VALUE!</v>
      </c>
      <c r="N52" t="e">
        <f>AND(DATA!K24,"AAAAAGafxg0=")</f>
        <v>#VALUE!</v>
      </c>
      <c r="O52" t="b">
        <f>AND(DATA!L25,"AAAAAGafxg4=")</f>
        <v>1</v>
      </c>
      <c r="P52" t="b">
        <f>AND(DATA!M25,"AAAAAGafxg8=")</f>
        <v>1</v>
      </c>
      <c r="Q52" t="b">
        <f>AND(DATA!N25,"AAAAAGafxhA=")</f>
        <v>1</v>
      </c>
      <c r="R52" t="b">
        <f>AND(DATA!O25,"AAAAAGafxhE=")</f>
        <v>1</v>
      </c>
      <c r="S52" t="b">
        <f>AND(DATA!P25,"AAAAAGafxhI=")</f>
        <v>1</v>
      </c>
      <c r="T52" t="b">
        <f>AND(DATA!Q25,"AAAAAGafxhM=")</f>
        <v>1</v>
      </c>
      <c r="U52" t="b">
        <f>AND(DATA!R25,"AAAAAGafxhQ=")</f>
        <v>1</v>
      </c>
      <c r="V52" t="b">
        <f>AND(DATA!S25,"AAAAAGafxhU=")</f>
        <v>1</v>
      </c>
      <c r="W52" t="b">
        <f>AND(DATA!T25,"AAAAAGafxhY=")</f>
        <v>1</v>
      </c>
      <c r="X52" t="e">
        <f>AND(DATA!U25,"AAAAAGafxhc=")</f>
        <v>#VALUE!</v>
      </c>
      <c r="Y52" t="b">
        <f>AND(DATA!V25,"AAAAAGafxhg=")</f>
        <v>1</v>
      </c>
      <c r="Z52" t="e">
        <f>AND(DATA!W24,"AAAAAGafxhk=")</f>
        <v>#VALUE!</v>
      </c>
      <c r="AA52" t="e">
        <f>AND(DATA!X24,"AAAAAGafxho=")</f>
        <v>#VALUE!</v>
      </c>
      <c r="AB52" t="e">
        <f>AND(DATA!Y24,"AAAAAGafxhs=")</f>
        <v>#VALUE!</v>
      </c>
      <c r="AC52">
        <f>IF(DATA!25:25,"AAAAAGafxhw=",0)</f>
        <v>0</v>
      </c>
      <c r="AD52" t="b">
        <f>AND(DATA!A25,"AAAAAGafxh0=")</f>
        <v>1</v>
      </c>
      <c r="AE52" t="b">
        <f>AND(DATA!B25,"AAAAAGafxh4=")</f>
        <v>1</v>
      </c>
      <c r="AF52" t="e">
        <f>AND(DATA!C25,"AAAAAGafxh8=")</f>
        <v>#VALUE!</v>
      </c>
      <c r="AG52" t="e">
        <f>AND(DATA!D25,"AAAAAGafxiA=")</f>
        <v>#VALUE!</v>
      </c>
      <c r="AH52" t="b">
        <f>AND(DATA!E25,"AAAAAGafxiE=")</f>
        <v>1</v>
      </c>
      <c r="AI52" t="b">
        <f>AND(DATA!F25,"AAAAAGafxiI=")</f>
        <v>1</v>
      </c>
      <c r="AJ52" t="b">
        <f>AND(DATA!G25,"AAAAAGafxiM=")</f>
        <v>1</v>
      </c>
      <c r="AK52" t="e">
        <f>AND(DATA!H25,"AAAAAGafxiQ=")</f>
        <v>#VALUE!</v>
      </c>
      <c r="AL52" t="e">
        <f>AND(DATA!I25,"AAAAAGafxiU=")</f>
        <v>#VALUE!</v>
      </c>
      <c r="AM52" t="e">
        <f>AND(DATA!J25,"AAAAAGafxiY=")</f>
        <v>#VALUE!</v>
      </c>
      <c r="AN52" t="e">
        <f>AND(DATA!K25,"AAAAAGafxic=")</f>
        <v>#VALUE!</v>
      </c>
      <c r="AO52" t="b">
        <f>AND(DATA!L26,"AAAAAGafxig=")</f>
        <v>1</v>
      </c>
      <c r="AP52" t="b">
        <f>AND(DATA!M26,"AAAAAGafxik=")</f>
        <v>1</v>
      </c>
      <c r="AQ52" t="b">
        <f>AND(DATA!N26,"AAAAAGafxio=")</f>
        <v>1</v>
      </c>
      <c r="AR52" t="b">
        <f>AND(DATA!O26,"AAAAAGafxis=")</f>
        <v>1</v>
      </c>
      <c r="AS52" t="b">
        <f>AND(DATA!P26,"AAAAAGafxiw=")</f>
        <v>1</v>
      </c>
      <c r="AT52" t="b">
        <f>AND(DATA!Q26,"AAAAAGafxi0=")</f>
        <v>1</v>
      </c>
      <c r="AU52" t="b">
        <f>AND(DATA!R26,"AAAAAGafxi4=")</f>
        <v>1</v>
      </c>
      <c r="AV52" t="b">
        <f>AND(DATA!S26,"AAAAAGafxi8=")</f>
        <v>1</v>
      </c>
      <c r="AW52" t="b">
        <f>AND(DATA!T26,"AAAAAGafxjA=")</f>
        <v>1</v>
      </c>
      <c r="AX52" t="e">
        <f>AND(DATA!U26,"AAAAAGafxjE=")</f>
        <v>#VALUE!</v>
      </c>
      <c r="AY52" t="b">
        <f>AND(DATA!V26,"AAAAAGafxjI=")</f>
        <v>1</v>
      </c>
      <c r="AZ52" t="e">
        <f>AND(DATA!W25,"AAAAAGafxjM=")</f>
        <v>#VALUE!</v>
      </c>
      <c r="BA52" t="e">
        <f>AND(DATA!X25,"AAAAAGafxjQ=")</f>
        <v>#VALUE!</v>
      </c>
      <c r="BB52" t="e">
        <f>AND(DATA!Y25,"AAAAAGafxjU=")</f>
        <v>#VALUE!</v>
      </c>
      <c r="BC52">
        <f>IF(DATA!26:26,"AAAAAGafxjY=",0)</f>
        <v>0</v>
      </c>
      <c r="BD52" t="b">
        <f>AND(DATA!A26,"AAAAAGafxjc=")</f>
        <v>1</v>
      </c>
      <c r="BE52" t="b">
        <f>AND(DATA!B26,"AAAAAGafxjg=")</f>
        <v>1</v>
      </c>
      <c r="BF52" t="e">
        <f>AND(DATA!C26,"AAAAAGafxjk=")</f>
        <v>#VALUE!</v>
      </c>
      <c r="BG52" t="e">
        <f>AND(DATA!D26,"AAAAAGafxjo=")</f>
        <v>#VALUE!</v>
      </c>
      <c r="BH52" t="b">
        <f>AND(DATA!E26,"AAAAAGafxjs=")</f>
        <v>1</v>
      </c>
      <c r="BI52" t="b">
        <f>AND(DATA!F26,"AAAAAGafxjw=")</f>
        <v>1</v>
      </c>
      <c r="BJ52" t="b">
        <f>AND(DATA!G26,"AAAAAGafxj0=")</f>
        <v>1</v>
      </c>
      <c r="BK52" t="e">
        <f>AND(DATA!H26,"AAAAAGafxj4=")</f>
        <v>#VALUE!</v>
      </c>
      <c r="BL52" t="e">
        <f>AND(DATA!I26,"AAAAAGafxj8=")</f>
        <v>#VALUE!</v>
      </c>
      <c r="BM52" t="e">
        <f>AND(DATA!J26,"AAAAAGafxkA=")</f>
        <v>#VALUE!</v>
      </c>
      <c r="BN52" t="e">
        <f>AND(DATA!K26,"AAAAAGafxkE=")</f>
        <v>#VALUE!</v>
      </c>
      <c r="BO52" t="b">
        <f>AND(DATA!L27,"AAAAAGafxkI=")</f>
        <v>1</v>
      </c>
      <c r="BP52" t="b">
        <f>AND(DATA!M27,"AAAAAGafxkM=")</f>
        <v>1</v>
      </c>
      <c r="BQ52" t="b">
        <f>AND(DATA!N27,"AAAAAGafxkQ=")</f>
        <v>1</v>
      </c>
      <c r="BR52" t="b">
        <f>AND(DATA!O27,"AAAAAGafxkU=")</f>
        <v>1</v>
      </c>
      <c r="BS52" t="b">
        <f>AND(DATA!P27,"AAAAAGafxkY=")</f>
        <v>1</v>
      </c>
      <c r="BT52" t="b">
        <f>AND(DATA!Q27,"AAAAAGafxkc=")</f>
        <v>1</v>
      </c>
      <c r="BU52" t="b">
        <f>AND(DATA!R27,"AAAAAGafxkg=")</f>
        <v>1</v>
      </c>
      <c r="BV52" t="b">
        <f>AND(DATA!S27,"AAAAAGafxkk=")</f>
        <v>1</v>
      </c>
      <c r="BW52" t="b">
        <f>AND(DATA!T27,"AAAAAGafxko=")</f>
        <v>1</v>
      </c>
      <c r="BX52" t="e">
        <f>AND(DATA!U27,"AAAAAGafxks=")</f>
        <v>#VALUE!</v>
      </c>
      <c r="BY52" t="b">
        <f>AND(DATA!V27,"AAAAAGafxkw=")</f>
        <v>1</v>
      </c>
      <c r="BZ52" t="e">
        <f>AND(DATA!W26,"AAAAAGafxk0=")</f>
        <v>#VALUE!</v>
      </c>
      <c r="CA52" t="e">
        <f>AND(DATA!X26,"AAAAAGafxk4=")</f>
        <v>#VALUE!</v>
      </c>
      <c r="CB52" t="e">
        <f>AND(DATA!Y26,"AAAAAGafxk8=")</f>
        <v>#VALUE!</v>
      </c>
      <c r="CC52">
        <f>IF(DATA!27:27,"AAAAAGafxlA=",0)</f>
        <v>0</v>
      </c>
      <c r="CD52" t="b">
        <f>AND(DATA!A27,"AAAAAGafxlE=")</f>
        <v>1</v>
      </c>
      <c r="CE52" t="b">
        <f>AND(DATA!B27,"AAAAAGafxlI=")</f>
        <v>1</v>
      </c>
      <c r="CF52" t="e">
        <f>AND(DATA!C27,"AAAAAGafxlM=")</f>
        <v>#VALUE!</v>
      </c>
      <c r="CG52" t="e">
        <f>AND(DATA!D27,"AAAAAGafxlQ=")</f>
        <v>#VALUE!</v>
      </c>
      <c r="CH52" t="b">
        <f>AND(DATA!E27,"AAAAAGafxlU=")</f>
        <v>1</v>
      </c>
      <c r="CI52" t="b">
        <f>AND(DATA!F27,"AAAAAGafxlY=")</f>
        <v>1</v>
      </c>
      <c r="CJ52" t="b">
        <f>AND(DATA!G27,"AAAAAGafxlc=")</f>
        <v>1</v>
      </c>
      <c r="CK52" t="e">
        <f>AND(DATA!H27,"AAAAAGafxlg=")</f>
        <v>#VALUE!</v>
      </c>
      <c r="CL52" t="e">
        <f>AND(DATA!I27,"AAAAAGafxlk=")</f>
        <v>#VALUE!</v>
      </c>
      <c r="CM52" t="e">
        <f>AND(DATA!J27,"AAAAAGafxlo=")</f>
        <v>#VALUE!</v>
      </c>
      <c r="CN52" t="e">
        <f>AND(DATA!K27,"AAAAAGafxls=")</f>
        <v>#VALUE!</v>
      </c>
      <c r="CO52" t="b">
        <f>AND(DATA!L28,"AAAAAGafxlw=")</f>
        <v>1</v>
      </c>
      <c r="CP52" t="b">
        <f>AND(DATA!M28,"AAAAAGafxl0=")</f>
        <v>1</v>
      </c>
      <c r="CQ52" t="b">
        <f>AND(DATA!N28,"AAAAAGafxl4=")</f>
        <v>1</v>
      </c>
      <c r="CR52" t="b">
        <f>AND(DATA!O28,"AAAAAGafxl8=")</f>
        <v>1</v>
      </c>
      <c r="CS52" t="b">
        <f>AND(DATA!P28,"AAAAAGafxmA=")</f>
        <v>1</v>
      </c>
      <c r="CT52" t="b">
        <f>AND(DATA!Q28,"AAAAAGafxmE=")</f>
        <v>1</v>
      </c>
      <c r="CU52" t="b">
        <f>AND(DATA!R28,"AAAAAGafxmI=")</f>
        <v>1</v>
      </c>
      <c r="CV52" t="b">
        <f>AND(DATA!S28,"AAAAAGafxmM=")</f>
        <v>1</v>
      </c>
      <c r="CW52" t="b">
        <f>AND(DATA!T28,"AAAAAGafxmQ=")</f>
        <v>1</v>
      </c>
      <c r="CX52" t="e">
        <f>AND(DATA!U28,"AAAAAGafxmU=")</f>
        <v>#VALUE!</v>
      </c>
      <c r="CY52" t="b">
        <f>AND(DATA!V28,"AAAAAGafxmY=")</f>
        <v>1</v>
      </c>
      <c r="CZ52" t="e">
        <f>AND(DATA!W27,"AAAAAGafxmc=")</f>
        <v>#VALUE!</v>
      </c>
      <c r="DA52" t="e">
        <f>AND(DATA!X27,"AAAAAGafxmg=")</f>
        <v>#VALUE!</v>
      </c>
      <c r="DB52" t="e">
        <f>AND(DATA!Y27,"AAAAAGafxmk=")</f>
        <v>#VALUE!</v>
      </c>
      <c r="DC52">
        <f>IF(DATA!28:28,"AAAAAGafxmo=",0)</f>
        <v>0</v>
      </c>
      <c r="DD52" t="b">
        <f>AND(DATA!A28,"AAAAAGafxms=")</f>
        <v>1</v>
      </c>
      <c r="DE52" t="b">
        <f>AND(DATA!B28,"AAAAAGafxmw=")</f>
        <v>1</v>
      </c>
      <c r="DF52" t="e">
        <f>AND(DATA!C28,"AAAAAGafxm0=")</f>
        <v>#VALUE!</v>
      </c>
      <c r="DG52" t="e">
        <f>AND(DATA!D28,"AAAAAGafxm4=")</f>
        <v>#VALUE!</v>
      </c>
      <c r="DH52" t="e">
        <f>AND(DATA!E28,"AAAAAGafxm8=")</f>
        <v>#VALUE!</v>
      </c>
      <c r="DI52" t="e">
        <f>AND(DATA!F28,"AAAAAGafxnA=")</f>
        <v>#VALUE!</v>
      </c>
      <c r="DJ52" t="e">
        <f>AND(DATA!G28,"AAAAAGafxnE=")</f>
        <v>#VALUE!</v>
      </c>
      <c r="DK52" t="e">
        <f>AND(DATA!H28,"AAAAAGafxnI=")</f>
        <v>#VALUE!</v>
      </c>
      <c r="DL52" t="e">
        <f>AND(DATA!I28,"AAAAAGafxnM=")</f>
        <v>#VALUE!</v>
      </c>
      <c r="DM52" t="e">
        <f>AND(DATA!J28,"AAAAAGafxnQ=")</f>
        <v>#VALUE!</v>
      </c>
      <c r="DN52" t="e">
        <f>AND(DATA!K28,"AAAAAGafxnU=")</f>
        <v>#VALUE!</v>
      </c>
      <c r="DO52" t="b">
        <f>AND(DATA!L29,"AAAAAGafxnY=")</f>
        <v>1</v>
      </c>
      <c r="DP52" t="b">
        <f>AND(DATA!M29,"AAAAAGafxnc=")</f>
        <v>1</v>
      </c>
      <c r="DQ52" t="b">
        <f>AND(DATA!N29,"AAAAAGafxng=")</f>
        <v>1</v>
      </c>
      <c r="DR52" t="b">
        <f>AND(DATA!O29,"AAAAAGafxnk=")</f>
        <v>1</v>
      </c>
      <c r="DS52" t="b">
        <f>AND(DATA!P29,"AAAAAGafxno=")</f>
        <v>1</v>
      </c>
      <c r="DT52" t="b">
        <f>AND(DATA!Q29,"AAAAAGafxns=")</f>
        <v>1</v>
      </c>
      <c r="DU52" t="b">
        <f>AND(DATA!R29,"AAAAAGafxnw=")</f>
        <v>1</v>
      </c>
      <c r="DV52" t="b">
        <f>AND(DATA!S29,"AAAAAGafxn0=")</f>
        <v>1</v>
      </c>
      <c r="DW52" t="b">
        <f>AND(DATA!T29,"AAAAAGafxn4=")</f>
        <v>1</v>
      </c>
      <c r="DX52" t="e">
        <f>AND(DATA!U29,"AAAAAGafxn8=")</f>
        <v>#VALUE!</v>
      </c>
      <c r="DY52" t="b">
        <f>AND(DATA!V29,"AAAAAGafxoA=")</f>
        <v>1</v>
      </c>
      <c r="DZ52" t="e">
        <f>AND(DATA!W28,"AAAAAGafxoE=")</f>
        <v>#VALUE!</v>
      </c>
      <c r="EA52" t="e">
        <f>AND(DATA!X28,"AAAAAGafxoI=")</f>
        <v>#VALUE!</v>
      </c>
      <c r="EB52" t="e">
        <f>AND(DATA!Y28,"AAAAAGafxoM=")</f>
        <v>#VALUE!</v>
      </c>
      <c r="EC52">
        <f>IF(DATA!29:29,"AAAAAGafxoQ=",0)</f>
        <v>0</v>
      </c>
      <c r="ED52" t="b">
        <f>AND(DATA!A29,"AAAAAGafxoU=")</f>
        <v>1</v>
      </c>
      <c r="EE52" t="b">
        <f>AND(DATA!B29,"AAAAAGafxoY=")</f>
        <v>1</v>
      </c>
      <c r="EF52" t="e">
        <f>AND(DATA!C29,"AAAAAGafxoc=")</f>
        <v>#VALUE!</v>
      </c>
      <c r="EG52" t="e">
        <f>AND(DATA!D29,"AAAAAGafxog=")</f>
        <v>#VALUE!</v>
      </c>
      <c r="EH52" t="e">
        <f>AND(DATA!E29,"AAAAAGafxok=")</f>
        <v>#VALUE!</v>
      </c>
      <c r="EI52" t="e">
        <f>AND(DATA!F29,"AAAAAGafxoo=")</f>
        <v>#VALUE!</v>
      </c>
      <c r="EJ52" t="e">
        <f>AND(DATA!G29,"AAAAAGafxos=")</f>
        <v>#VALUE!</v>
      </c>
      <c r="EK52" t="e">
        <f>AND(DATA!H29,"AAAAAGafxow=")</f>
        <v>#VALUE!</v>
      </c>
      <c r="EL52" t="e">
        <f>AND(DATA!I29,"AAAAAGafxo0=")</f>
        <v>#VALUE!</v>
      </c>
      <c r="EM52" t="e">
        <f>AND(DATA!J29,"AAAAAGafxo4=")</f>
        <v>#VALUE!</v>
      </c>
      <c r="EN52" t="e">
        <f>AND(DATA!K29,"AAAAAGafxo8=")</f>
        <v>#VALUE!</v>
      </c>
      <c r="EO52" t="b">
        <f>AND(DATA!L30,"AAAAAGafxpA=")</f>
        <v>1</v>
      </c>
      <c r="EP52" t="b">
        <f>AND(DATA!M30,"AAAAAGafxpE=")</f>
        <v>1</v>
      </c>
      <c r="EQ52" t="b">
        <f>AND(DATA!N30,"AAAAAGafxpI=")</f>
        <v>1</v>
      </c>
      <c r="ER52" t="b">
        <f>AND(DATA!O30,"AAAAAGafxpM=")</f>
        <v>1</v>
      </c>
      <c r="ES52" t="b">
        <f>AND(DATA!P30,"AAAAAGafxpQ=")</f>
        <v>1</v>
      </c>
      <c r="ET52" t="b">
        <f>AND(DATA!Q30,"AAAAAGafxpU=")</f>
        <v>1</v>
      </c>
      <c r="EU52" t="b">
        <f>AND(DATA!R30,"AAAAAGafxpY=")</f>
        <v>1</v>
      </c>
      <c r="EV52" t="b">
        <f>AND(DATA!S30,"AAAAAGafxpc=")</f>
        <v>1</v>
      </c>
      <c r="EW52" t="b">
        <f>AND(DATA!T30,"AAAAAGafxpg=")</f>
        <v>1</v>
      </c>
      <c r="EX52" t="e">
        <f>AND(DATA!U30,"AAAAAGafxpk=")</f>
        <v>#VALUE!</v>
      </c>
      <c r="EY52" t="b">
        <f>AND(DATA!V30,"AAAAAGafxpo=")</f>
        <v>1</v>
      </c>
      <c r="EZ52" t="e">
        <f>AND(DATA!W29,"AAAAAGafxps=")</f>
        <v>#VALUE!</v>
      </c>
      <c r="FA52" t="e">
        <f>AND(DATA!X29,"AAAAAGafxpw=")</f>
        <v>#VALUE!</v>
      </c>
      <c r="FB52" t="e">
        <f>AND(DATA!Y29,"AAAAAGafxp0=")</f>
        <v>#VALUE!</v>
      </c>
      <c r="FC52">
        <f>IF(DATA!30:30,"AAAAAGafxp4=",0)</f>
        <v>0</v>
      </c>
      <c r="FD52" t="b">
        <f>AND(DATA!A30,"AAAAAGafxp8=")</f>
        <v>1</v>
      </c>
      <c r="FE52" t="b">
        <f>AND(DATA!B30,"AAAAAGafxqA=")</f>
        <v>1</v>
      </c>
      <c r="FF52" t="e">
        <f>AND(DATA!C30,"AAAAAGafxqE=")</f>
        <v>#VALUE!</v>
      </c>
      <c r="FG52" t="e">
        <f>AND(DATA!D30,"AAAAAGafxqI=")</f>
        <v>#VALUE!</v>
      </c>
      <c r="FH52" t="e">
        <f>AND(DATA!E30,"AAAAAGafxqM=")</f>
        <v>#VALUE!</v>
      </c>
      <c r="FI52" t="e">
        <f>AND(DATA!F30,"AAAAAGafxqQ=")</f>
        <v>#VALUE!</v>
      </c>
      <c r="FJ52" t="e">
        <f>AND(DATA!G30,"AAAAAGafxqU=")</f>
        <v>#VALUE!</v>
      </c>
      <c r="FK52" t="e">
        <f>AND(DATA!H30,"AAAAAGafxqY=")</f>
        <v>#VALUE!</v>
      </c>
      <c r="FL52" t="e">
        <f>AND(DATA!I30,"AAAAAGafxqc=")</f>
        <v>#VALUE!</v>
      </c>
      <c r="FM52" t="e">
        <f>AND(DATA!J30,"AAAAAGafxqg=")</f>
        <v>#VALUE!</v>
      </c>
      <c r="FN52" t="e">
        <f>AND(DATA!K30,"AAAAAGafxqk=")</f>
        <v>#VALUE!</v>
      </c>
      <c r="FO52" t="b">
        <f>AND(DATA!L31,"AAAAAGafxqo=")</f>
        <v>1</v>
      </c>
      <c r="FP52" t="b">
        <f>AND(DATA!M31,"AAAAAGafxqs=")</f>
        <v>1</v>
      </c>
      <c r="FQ52" t="b">
        <f>AND(DATA!N31,"AAAAAGafxqw=")</f>
        <v>1</v>
      </c>
      <c r="FR52" t="b">
        <f>AND(DATA!O31,"AAAAAGafxq0=")</f>
        <v>1</v>
      </c>
      <c r="FS52" t="b">
        <f>AND(DATA!P31,"AAAAAGafxq4=")</f>
        <v>1</v>
      </c>
      <c r="FT52" t="b">
        <f>AND(DATA!Q31,"AAAAAGafxq8=")</f>
        <v>1</v>
      </c>
      <c r="FU52" t="b">
        <f>AND(DATA!R31,"AAAAAGafxrA=")</f>
        <v>1</v>
      </c>
      <c r="FV52" t="b">
        <f>AND(DATA!S31,"AAAAAGafxrE=")</f>
        <v>1</v>
      </c>
      <c r="FW52" t="b">
        <f>AND(DATA!T31,"AAAAAGafxrI=")</f>
        <v>1</v>
      </c>
      <c r="FX52" t="e">
        <f>AND(DATA!U31,"AAAAAGafxrM=")</f>
        <v>#VALUE!</v>
      </c>
      <c r="FY52" t="b">
        <f>AND(DATA!V31,"AAAAAGafxrQ=")</f>
        <v>1</v>
      </c>
      <c r="FZ52" t="e">
        <f>AND(DATA!W30,"AAAAAGafxrU=")</f>
        <v>#VALUE!</v>
      </c>
      <c r="GA52" t="e">
        <f>AND(DATA!X30,"AAAAAGafxrY=")</f>
        <v>#VALUE!</v>
      </c>
      <c r="GB52" t="e">
        <f>AND(DATA!Y30,"AAAAAGafxrc=")</f>
        <v>#VALUE!</v>
      </c>
      <c r="GC52">
        <f>IF(DATA!31:31,"AAAAAGafxrg=",0)</f>
        <v>0</v>
      </c>
      <c r="GD52" t="b">
        <f>AND(DATA!A31,"AAAAAGafxrk=")</f>
        <v>1</v>
      </c>
      <c r="GE52" t="b">
        <f>AND(DATA!B31,"AAAAAGafxro=")</f>
        <v>1</v>
      </c>
      <c r="GF52" t="e">
        <f>AND(DATA!C31,"AAAAAGafxrs=")</f>
        <v>#VALUE!</v>
      </c>
      <c r="GG52" t="e">
        <f>AND(DATA!D31,"AAAAAGafxrw=")</f>
        <v>#VALUE!</v>
      </c>
      <c r="GH52" t="e">
        <f>AND(DATA!E31,"AAAAAGafxr0=")</f>
        <v>#VALUE!</v>
      </c>
      <c r="GI52" t="e">
        <f>AND(DATA!F31,"AAAAAGafxr4=")</f>
        <v>#VALUE!</v>
      </c>
      <c r="GJ52" t="e">
        <f>AND(DATA!G31,"AAAAAGafxr8=")</f>
        <v>#VALUE!</v>
      </c>
      <c r="GK52" t="e">
        <f>AND(DATA!H31,"AAAAAGafxsA=")</f>
        <v>#VALUE!</v>
      </c>
      <c r="GL52" t="e">
        <f>AND(DATA!I31,"AAAAAGafxsE=")</f>
        <v>#VALUE!</v>
      </c>
      <c r="GM52" t="e">
        <f>AND(DATA!J31,"AAAAAGafxsI=")</f>
        <v>#VALUE!</v>
      </c>
      <c r="GN52" t="e">
        <f>AND(DATA!K31,"AAAAAGafxsM=")</f>
        <v>#VALUE!</v>
      </c>
      <c r="GO52" t="b">
        <f>AND(DATA!L32,"AAAAAGafxsQ=")</f>
        <v>1</v>
      </c>
      <c r="GP52" t="b">
        <f>AND(DATA!M32,"AAAAAGafxsU=")</f>
        <v>1</v>
      </c>
      <c r="GQ52" t="b">
        <f>AND(DATA!N32,"AAAAAGafxsY=")</f>
        <v>1</v>
      </c>
      <c r="GR52" t="b">
        <f>AND(DATA!O32,"AAAAAGafxsc=")</f>
        <v>1</v>
      </c>
      <c r="GS52" t="b">
        <f>AND(DATA!P32,"AAAAAGafxsg=")</f>
        <v>1</v>
      </c>
      <c r="GT52" t="b">
        <f>AND(DATA!Q32,"AAAAAGafxsk=")</f>
        <v>1</v>
      </c>
      <c r="GU52" t="b">
        <f>AND(DATA!R32,"AAAAAGafxso=")</f>
        <v>1</v>
      </c>
      <c r="GV52" t="b">
        <f>AND(DATA!S32,"AAAAAGafxss=")</f>
        <v>1</v>
      </c>
      <c r="GW52" t="b">
        <f>AND(DATA!T32,"AAAAAGafxsw=")</f>
        <v>1</v>
      </c>
      <c r="GX52" t="e">
        <f>AND(DATA!U32,"AAAAAGafxs0=")</f>
        <v>#VALUE!</v>
      </c>
      <c r="GY52" t="b">
        <f>AND(DATA!V32,"AAAAAGafxs4=")</f>
        <v>1</v>
      </c>
      <c r="GZ52" t="e">
        <f>AND(DATA!W31,"AAAAAGafxs8=")</f>
        <v>#VALUE!</v>
      </c>
      <c r="HA52" t="e">
        <f>AND(DATA!X31,"AAAAAGafxtA=")</f>
        <v>#VALUE!</v>
      </c>
      <c r="HB52" t="e">
        <f>AND(DATA!Y31,"AAAAAGafxtE=")</f>
        <v>#VALUE!</v>
      </c>
      <c r="HC52">
        <f>IF(DATA!32:32,"AAAAAGafxtI=",0)</f>
        <v>0</v>
      </c>
      <c r="HD52" t="b">
        <f>AND(DATA!A32,"AAAAAGafxtM=")</f>
        <v>1</v>
      </c>
      <c r="HE52" t="b">
        <f>AND(DATA!B32,"AAAAAGafxtQ=")</f>
        <v>1</v>
      </c>
      <c r="HF52" t="e">
        <f>AND(DATA!C32,"AAAAAGafxtU=")</f>
        <v>#VALUE!</v>
      </c>
      <c r="HG52" t="e">
        <f>AND(DATA!D32,"AAAAAGafxtY=")</f>
        <v>#VALUE!</v>
      </c>
      <c r="HH52" t="e">
        <f>AND(DATA!E32,"AAAAAGafxtc=")</f>
        <v>#VALUE!</v>
      </c>
      <c r="HI52" t="b">
        <f>AND(DATA!F32,"AAAAAGafxtg=")</f>
        <v>1</v>
      </c>
      <c r="HJ52" t="b">
        <f>AND(DATA!G32,"AAAAAGafxtk=")</f>
        <v>1</v>
      </c>
      <c r="HK52" t="e">
        <f>AND(DATA!H32,"AAAAAGafxto=")</f>
        <v>#VALUE!</v>
      </c>
      <c r="HL52" t="e">
        <f>AND(DATA!I32,"AAAAAGafxts=")</f>
        <v>#VALUE!</v>
      </c>
      <c r="HM52" t="e">
        <f>AND(DATA!J32,"AAAAAGafxtw=")</f>
        <v>#VALUE!</v>
      </c>
      <c r="HN52" t="e">
        <f>AND(DATA!K32,"AAAAAGafxt0=")</f>
        <v>#VALUE!</v>
      </c>
      <c r="HO52" t="b">
        <f>AND(DATA!L33,"AAAAAGafxt4=")</f>
        <v>1</v>
      </c>
      <c r="HP52" t="b">
        <f>AND(DATA!M33,"AAAAAGafxt8=")</f>
        <v>1</v>
      </c>
      <c r="HQ52" t="b">
        <f>AND(DATA!N33,"AAAAAGafxuA=")</f>
        <v>1</v>
      </c>
      <c r="HR52" t="b">
        <f>AND(DATA!O33,"AAAAAGafxuE=")</f>
        <v>1</v>
      </c>
      <c r="HS52" t="b">
        <f>AND(DATA!P33,"AAAAAGafxuI=")</f>
        <v>1</v>
      </c>
      <c r="HT52" t="b">
        <f>AND(DATA!Q33,"AAAAAGafxuM=")</f>
        <v>1</v>
      </c>
      <c r="HU52" t="b">
        <f>AND(DATA!R33,"AAAAAGafxuQ=")</f>
        <v>1</v>
      </c>
      <c r="HV52" t="b">
        <f>AND(DATA!S33,"AAAAAGafxuU=")</f>
        <v>1</v>
      </c>
      <c r="HW52" t="b">
        <f>AND(DATA!T33,"AAAAAGafxuY=")</f>
        <v>1</v>
      </c>
      <c r="HX52" t="e">
        <f>AND(DATA!U33,"AAAAAGafxuc=")</f>
        <v>#VALUE!</v>
      </c>
      <c r="HY52" t="b">
        <f>AND(DATA!V33,"AAAAAGafxug=")</f>
        <v>1</v>
      </c>
      <c r="HZ52" t="e">
        <f>AND(DATA!W32,"AAAAAGafxuk=")</f>
        <v>#VALUE!</v>
      </c>
      <c r="IA52" t="e">
        <f>AND(DATA!X32,"AAAAAGafxuo=")</f>
        <v>#VALUE!</v>
      </c>
      <c r="IB52" t="e">
        <f>AND(DATA!Y32,"AAAAAGafxus=")</f>
        <v>#VALUE!</v>
      </c>
      <c r="IC52">
        <f>IF(DATA!33:33,"AAAAAGafxuw=",0)</f>
        <v>0</v>
      </c>
      <c r="ID52" t="b">
        <f>AND(DATA!A33,"AAAAAGafxu0=")</f>
        <v>1</v>
      </c>
      <c r="IE52" t="b">
        <f>AND(DATA!B33,"AAAAAGafxu4=")</f>
        <v>1</v>
      </c>
      <c r="IF52" t="e">
        <f>AND(DATA!C33,"AAAAAGafxu8=")</f>
        <v>#VALUE!</v>
      </c>
      <c r="IG52" t="e">
        <f>AND(DATA!D33,"AAAAAGafxvA=")</f>
        <v>#VALUE!</v>
      </c>
      <c r="IH52" t="e">
        <f>AND(DATA!E33,"AAAAAGafxvE=")</f>
        <v>#VALUE!</v>
      </c>
      <c r="II52" t="b">
        <f>AND(DATA!F33,"AAAAAGafxvI=")</f>
        <v>1</v>
      </c>
      <c r="IJ52" t="b">
        <f>AND(DATA!G33,"AAAAAGafxvM=")</f>
        <v>1</v>
      </c>
      <c r="IK52" t="e">
        <f>AND(DATA!H33,"AAAAAGafxvQ=")</f>
        <v>#VALUE!</v>
      </c>
      <c r="IL52" t="e">
        <f>AND(DATA!I33,"AAAAAGafxvU=")</f>
        <v>#VALUE!</v>
      </c>
      <c r="IM52" t="e">
        <f>AND(DATA!J33,"AAAAAGafxvY=")</f>
        <v>#VALUE!</v>
      </c>
      <c r="IN52" t="e">
        <f>AND(DATA!K33,"AAAAAGafxvc=")</f>
        <v>#VALUE!</v>
      </c>
      <c r="IO52" t="b">
        <f>AND(DATA!L34,"AAAAAGafxvg=")</f>
        <v>1</v>
      </c>
      <c r="IP52" t="b">
        <f>AND(DATA!M34,"AAAAAGafxvk=")</f>
        <v>1</v>
      </c>
      <c r="IQ52" t="b">
        <f>AND(DATA!N34,"AAAAAGafxvo=")</f>
        <v>1</v>
      </c>
      <c r="IR52" t="b">
        <f>AND(DATA!O34,"AAAAAGafxvs=")</f>
        <v>1</v>
      </c>
      <c r="IS52" t="b">
        <f>AND(DATA!P34,"AAAAAGafxvw=")</f>
        <v>1</v>
      </c>
      <c r="IT52" t="b">
        <f>AND(DATA!Q34,"AAAAAGafxv0=")</f>
        <v>1</v>
      </c>
      <c r="IU52" t="b">
        <f>AND(DATA!R34,"AAAAAGafxv4=")</f>
        <v>1</v>
      </c>
      <c r="IV52" t="b">
        <f>AND(DATA!S34,"AAAAAGafxv8=")</f>
        <v>1</v>
      </c>
    </row>
    <row r="53" spans="1:256" x14ac:dyDescent="0.25">
      <c r="A53" t="b">
        <f>AND(DATA!T34,"AAAAAHf/UQA=")</f>
        <v>1</v>
      </c>
      <c r="B53" t="e">
        <f>AND(DATA!U34,"AAAAAHf/UQE=")</f>
        <v>#VALUE!</v>
      </c>
      <c r="C53" t="b">
        <f>AND(DATA!V34,"AAAAAHf/UQI=")</f>
        <v>1</v>
      </c>
      <c r="D53" t="e">
        <f>AND(DATA!W33,"AAAAAHf/UQM=")</f>
        <v>#VALUE!</v>
      </c>
      <c r="E53" t="e">
        <f>AND(DATA!X33,"AAAAAHf/UQQ=")</f>
        <v>#VALUE!</v>
      </c>
      <c r="F53" t="e">
        <f>AND(DATA!Y33,"AAAAAHf/UQU=")</f>
        <v>#VALUE!</v>
      </c>
      <c r="G53" t="str">
        <f>IF(DATA!34:34,"AAAAAHf/UQY=",0)</f>
        <v>AAAAAHf/UQY=</v>
      </c>
      <c r="H53" t="b">
        <f>AND(DATA!A34,"AAAAAHf/UQc=")</f>
        <v>1</v>
      </c>
      <c r="I53" t="b">
        <f>AND(DATA!B34,"AAAAAHf/UQg=")</f>
        <v>1</v>
      </c>
      <c r="J53" t="e">
        <f>AND(DATA!C34,"AAAAAHf/UQk=")</f>
        <v>#VALUE!</v>
      </c>
      <c r="K53" t="e">
        <f>AND(DATA!D34,"AAAAAHf/UQo=")</f>
        <v>#VALUE!</v>
      </c>
      <c r="L53" t="e">
        <f>AND(DATA!E34,"AAAAAHf/UQs=")</f>
        <v>#VALUE!</v>
      </c>
      <c r="M53" t="b">
        <f>AND(DATA!F34,"AAAAAHf/UQw=")</f>
        <v>1</v>
      </c>
      <c r="N53" t="b">
        <f>AND(DATA!G34,"AAAAAHf/UQ0=")</f>
        <v>1</v>
      </c>
      <c r="O53" t="e">
        <f>AND(DATA!H34,"AAAAAHf/UQ4=")</f>
        <v>#VALUE!</v>
      </c>
      <c r="P53" t="e">
        <f>AND(DATA!I34,"AAAAAHf/UQ8=")</f>
        <v>#VALUE!</v>
      </c>
      <c r="Q53" t="e">
        <f>AND(DATA!J34,"AAAAAHf/URA=")</f>
        <v>#VALUE!</v>
      </c>
      <c r="R53" t="e">
        <f>AND(DATA!K34,"AAAAAHf/URE=")</f>
        <v>#VALUE!</v>
      </c>
      <c r="S53" t="b">
        <f>AND(DATA!L35,"AAAAAHf/URI=")</f>
        <v>1</v>
      </c>
      <c r="T53" t="b">
        <f>AND(DATA!M35,"AAAAAHf/URM=")</f>
        <v>1</v>
      </c>
      <c r="U53" t="b">
        <f>AND(DATA!N35,"AAAAAHf/URQ=")</f>
        <v>1</v>
      </c>
      <c r="V53" t="b">
        <f>AND(DATA!O35,"AAAAAHf/URU=")</f>
        <v>1</v>
      </c>
      <c r="W53" t="b">
        <f>AND(DATA!P35,"AAAAAHf/URY=")</f>
        <v>1</v>
      </c>
      <c r="X53" t="b">
        <f>AND(DATA!Q35,"AAAAAHf/URc=")</f>
        <v>1</v>
      </c>
      <c r="Y53" t="b">
        <f>AND(DATA!R35,"AAAAAHf/URg=")</f>
        <v>1</v>
      </c>
      <c r="Z53" t="b">
        <f>AND(DATA!S35,"AAAAAHf/URk=")</f>
        <v>1</v>
      </c>
      <c r="AA53" t="b">
        <f>AND(DATA!T35,"AAAAAHf/URo=")</f>
        <v>1</v>
      </c>
      <c r="AB53" t="e">
        <f>AND(DATA!U35,"AAAAAHf/URs=")</f>
        <v>#VALUE!</v>
      </c>
      <c r="AC53" t="b">
        <f>AND(DATA!V35,"AAAAAHf/URw=")</f>
        <v>1</v>
      </c>
      <c r="AD53" t="e">
        <f>AND(DATA!W34,"AAAAAHf/UR0=")</f>
        <v>#VALUE!</v>
      </c>
      <c r="AE53" t="e">
        <f>AND(DATA!X34,"AAAAAHf/UR4=")</f>
        <v>#VALUE!</v>
      </c>
      <c r="AF53" t="e">
        <f>AND(DATA!Y34,"AAAAAHf/UR8=")</f>
        <v>#VALUE!</v>
      </c>
      <c r="AG53">
        <f>IF(DATA!35:35,"AAAAAHf/USA=",0)</f>
        <v>0</v>
      </c>
      <c r="AH53" t="b">
        <f>AND(DATA!A35,"AAAAAHf/USE=")</f>
        <v>1</v>
      </c>
      <c r="AI53" t="b">
        <f>AND(DATA!B35,"AAAAAHf/USI=")</f>
        <v>1</v>
      </c>
      <c r="AJ53" t="e">
        <f>AND(DATA!C35,"AAAAAHf/USM=")</f>
        <v>#VALUE!</v>
      </c>
      <c r="AK53" t="e">
        <f>AND(DATA!D35,"AAAAAHf/USQ=")</f>
        <v>#VALUE!</v>
      </c>
      <c r="AL53" t="e">
        <f>AND(DATA!E35,"AAAAAHf/USU=")</f>
        <v>#VALUE!</v>
      </c>
      <c r="AM53" t="b">
        <f>AND(DATA!F35,"AAAAAHf/USY=")</f>
        <v>1</v>
      </c>
      <c r="AN53" t="b">
        <f>AND(DATA!G35,"AAAAAHf/USc=")</f>
        <v>1</v>
      </c>
      <c r="AO53" t="e">
        <f>AND(DATA!H35,"AAAAAHf/USg=")</f>
        <v>#VALUE!</v>
      </c>
      <c r="AP53" t="e">
        <f>AND(DATA!I35,"AAAAAHf/USk=")</f>
        <v>#VALUE!</v>
      </c>
      <c r="AQ53" t="e">
        <f>AND(DATA!J35,"AAAAAHf/USo=")</f>
        <v>#VALUE!</v>
      </c>
      <c r="AR53" t="e">
        <f>AND(DATA!K35,"AAAAAHf/USs=")</f>
        <v>#VALUE!</v>
      </c>
      <c r="AS53" t="b">
        <f>AND(DATA!L36,"AAAAAHf/USw=")</f>
        <v>1</v>
      </c>
      <c r="AT53" t="b">
        <f>AND(DATA!M36,"AAAAAHf/US0=")</f>
        <v>1</v>
      </c>
      <c r="AU53" t="b">
        <f>AND(DATA!N36,"AAAAAHf/US4=")</f>
        <v>1</v>
      </c>
      <c r="AV53" t="b">
        <f>AND(DATA!O36,"AAAAAHf/US8=")</f>
        <v>1</v>
      </c>
      <c r="AW53" t="b">
        <f>AND(DATA!P36,"AAAAAHf/UTA=")</f>
        <v>1</v>
      </c>
      <c r="AX53" t="b">
        <f>AND(DATA!Q36,"AAAAAHf/UTE=")</f>
        <v>1</v>
      </c>
      <c r="AY53" t="b">
        <f>AND(DATA!R36,"AAAAAHf/UTI=")</f>
        <v>1</v>
      </c>
      <c r="AZ53" t="b">
        <f>AND(DATA!S36,"AAAAAHf/UTM=")</f>
        <v>1</v>
      </c>
      <c r="BA53" t="b">
        <f>AND(DATA!T36,"AAAAAHf/UTQ=")</f>
        <v>1</v>
      </c>
      <c r="BB53" t="e">
        <f>AND(DATA!U36,"AAAAAHf/UTU=")</f>
        <v>#VALUE!</v>
      </c>
      <c r="BC53" t="b">
        <f>AND(DATA!V36,"AAAAAHf/UTY=")</f>
        <v>1</v>
      </c>
      <c r="BD53" t="e">
        <f>AND(DATA!W35,"AAAAAHf/UTc=")</f>
        <v>#VALUE!</v>
      </c>
      <c r="BE53" t="e">
        <f>AND(DATA!X35,"AAAAAHf/UTg=")</f>
        <v>#VALUE!</v>
      </c>
      <c r="BF53" t="e">
        <f>AND(DATA!Y35,"AAAAAHf/UTk=")</f>
        <v>#VALUE!</v>
      </c>
      <c r="BG53">
        <f>IF(DATA!36:36,"AAAAAHf/UTo=",0)</f>
        <v>0</v>
      </c>
      <c r="BH53" t="b">
        <f>AND(DATA!A36,"AAAAAHf/UTs=")</f>
        <v>1</v>
      </c>
      <c r="BI53" t="b">
        <f>AND(DATA!B36,"AAAAAHf/UTw=")</f>
        <v>1</v>
      </c>
      <c r="BJ53" t="e">
        <f>AND(DATA!C36,"AAAAAHf/UT0=")</f>
        <v>#VALUE!</v>
      </c>
      <c r="BK53" t="e">
        <f>AND(DATA!D36,"AAAAAHf/UT4=")</f>
        <v>#VALUE!</v>
      </c>
      <c r="BL53" t="e">
        <f>AND(DATA!E36,"AAAAAHf/UT8=")</f>
        <v>#VALUE!</v>
      </c>
      <c r="BM53" t="b">
        <f>AND(DATA!F36,"AAAAAHf/UUA=")</f>
        <v>1</v>
      </c>
      <c r="BN53" t="b">
        <f>AND(DATA!G36,"AAAAAHf/UUE=")</f>
        <v>1</v>
      </c>
      <c r="BO53" t="e">
        <f>AND(DATA!H36,"AAAAAHf/UUI=")</f>
        <v>#VALUE!</v>
      </c>
      <c r="BP53" t="e">
        <f>AND(DATA!I36,"AAAAAHf/UUM=")</f>
        <v>#VALUE!</v>
      </c>
      <c r="BQ53" t="e">
        <f>AND(DATA!J36,"AAAAAHf/UUQ=")</f>
        <v>#VALUE!</v>
      </c>
      <c r="BR53" t="e">
        <f>AND(DATA!K36,"AAAAAHf/UUU=")</f>
        <v>#VALUE!</v>
      </c>
      <c r="BS53" t="b">
        <f>AND(DATA!L37,"AAAAAHf/UUY=")</f>
        <v>1</v>
      </c>
      <c r="BT53" t="b">
        <f>AND(DATA!M37,"AAAAAHf/UUc=")</f>
        <v>1</v>
      </c>
      <c r="BU53" t="b">
        <f>AND(DATA!N37,"AAAAAHf/UUg=")</f>
        <v>1</v>
      </c>
      <c r="BV53" t="b">
        <f>AND(DATA!O37,"AAAAAHf/UUk=")</f>
        <v>1</v>
      </c>
      <c r="BW53" t="b">
        <f>AND(DATA!P37,"AAAAAHf/UUo=")</f>
        <v>1</v>
      </c>
      <c r="BX53" t="b">
        <f>AND(DATA!Q37,"AAAAAHf/UUs=")</f>
        <v>1</v>
      </c>
      <c r="BY53" t="b">
        <f>AND(DATA!R37,"AAAAAHf/UUw=")</f>
        <v>1</v>
      </c>
      <c r="BZ53" t="b">
        <f>AND(DATA!S37,"AAAAAHf/UU0=")</f>
        <v>1</v>
      </c>
      <c r="CA53" t="b">
        <f>AND(DATA!T37,"AAAAAHf/UU4=")</f>
        <v>1</v>
      </c>
      <c r="CB53" t="e">
        <f>AND(DATA!U37,"AAAAAHf/UU8=")</f>
        <v>#VALUE!</v>
      </c>
      <c r="CC53" t="b">
        <f>AND(DATA!V37,"AAAAAHf/UVA=")</f>
        <v>1</v>
      </c>
      <c r="CD53" t="e">
        <f>AND(DATA!W36,"AAAAAHf/UVE=")</f>
        <v>#VALUE!</v>
      </c>
      <c r="CE53" t="e">
        <f>AND(DATA!X36,"AAAAAHf/UVI=")</f>
        <v>#VALUE!</v>
      </c>
      <c r="CF53" t="e">
        <f>AND(DATA!Y36,"AAAAAHf/UVM=")</f>
        <v>#VALUE!</v>
      </c>
      <c r="CG53">
        <f>IF(DATA!37:37,"AAAAAHf/UVQ=",0)</f>
        <v>0</v>
      </c>
      <c r="CH53" t="b">
        <f>AND(DATA!A37,"AAAAAHf/UVU=")</f>
        <v>1</v>
      </c>
      <c r="CI53" t="b">
        <f>AND(DATA!B37,"AAAAAHf/UVY=")</f>
        <v>1</v>
      </c>
      <c r="CJ53" t="e">
        <f>AND(DATA!C37,"AAAAAHf/UVc=")</f>
        <v>#VALUE!</v>
      </c>
      <c r="CK53" t="e">
        <f>AND(DATA!D37,"AAAAAHf/UVg=")</f>
        <v>#VALUE!</v>
      </c>
      <c r="CL53" t="e">
        <f>AND(DATA!E37,"AAAAAHf/UVk=")</f>
        <v>#VALUE!</v>
      </c>
      <c r="CM53" t="b">
        <f>AND(DATA!F37,"AAAAAHf/UVo=")</f>
        <v>1</v>
      </c>
      <c r="CN53" t="b">
        <f>AND(DATA!G37,"AAAAAHf/UVs=")</f>
        <v>1</v>
      </c>
      <c r="CO53" t="e">
        <f>AND(DATA!H37,"AAAAAHf/UVw=")</f>
        <v>#VALUE!</v>
      </c>
      <c r="CP53" t="e">
        <f>AND(DATA!I37,"AAAAAHf/UV0=")</f>
        <v>#VALUE!</v>
      </c>
      <c r="CQ53" t="e">
        <f>AND(DATA!J37,"AAAAAHf/UV4=")</f>
        <v>#VALUE!</v>
      </c>
      <c r="CR53" t="e">
        <f>AND(DATA!K37,"AAAAAHf/UV8=")</f>
        <v>#VALUE!</v>
      </c>
      <c r="CS53" t="b">
        <f>AND(DATA!L38,"AAAAAHf/UWA=")</f>
        <v>1</v>
      </c>
      <c r="CT53" t="b">
        <f>AND(DATA!M38,"AAAAAHf/UWE=")</f>
        <v>1</v>
      </c>
      <c r="CU53" t="b">
        <f>AND(DATA!N38,"AAAAAHf/UWI=")</f>
        <v>1</v>
      </c>
      <c r="CV53" t="b">
        <f>AND(DATA!O38,"AAAAAHf/UWM=")</f>
        <v>1</v>
      </c>
      <c r="CW53" t="b">
        <f>AND(DATA!P38,"AAAAAHf/UWQ=")</f>
        <v>1</v>
      </c>
      <c r="CX53" t="b">
        <f>AND(DATA!Q38,"AAAAAHf/UWU=")</f>
        <v>1</v>
      </c>
      <c r="CY53" t="b">
        <f>AND(DATA!R38,"AAAAAHf/UWY=")</f>
        <v>1</v>
      </c>
      <c r="CZ53" t="b">
        <f>AND(DATA!S38,"AAAAAHf/UWc=")</f>
        <v>1</v>
      </c>
      <c r="DA53" t="b">
        <f>AND(DATA!T38,"AAAAAHf/UWg=")</f>
        <v>1</v>
      </c>
      <c r="DB53" t="e">
        <f>AND(DATA!U38,"AAAAAHf/UWk=")</f>
        <v>#VALUE!</v>
      </c>
      <c r="DC53" t="b">
        <f>AND(DATA!V38,"AAAAAHf/UWo=")</f>
        <v>1</v>
      </c>
      <c r="DD53" t="e">
        <f>AND(DATA!W37,"AAAAAHf/UWs=")</f>
        <v>#VALUE!</v>
      </c>
      <c r="DE53" t="e">
        <f>AND(DATA!X37,"AAAAAHf/UWw=")</f>
        <v>#VALUE!</v>
      </c>
      <c r="DF53" t="e">
        <f>AND(DATA!Y37,"AAAAAHf/UW0=")</f>
        <v>#VALUE!</v>
      </c>
      <c r="DG53">
        <f>IF(DATA!38:38,"AAAAAHf/UW4=",0)</f>
        <v>0</v>
      </c>
      <c r="DH53" t="b">
        <f>AND(DATA!A38,"AAAAAHf/UW8=")</f>
        <v>1</v>
      </c>
      <c r="DI53" t="b">
        <f>AND(DATA!B38,"AAAAAHf/UXA=")</f>
        <v>1</v>
      </c>
      <c r="DJ53" t="e">
        <f>AND(DATA!C38,"AAAAAHf/UXE=")</f>
        <v>#VALUE!</v>
      </c>
      <c r="DK53" t="e">
        <f>AND(DATA!D38,"AAAAAHf/UXI=")</f>
        <v>#VALUE!</v>
      </c>
      <c r="DL53" t="e">
        <f>AND(DATA!E38,"AAAAAHf/UXM=")</f>
        <v>#VALUE!</v>
      </c>
      <c r="DM53" t="b">
        <f>AND(DATA!F38,"AAAAAHf/UXQ=")</f>
        <v>1</v>
      </c>
      <c r="DN53" t="b">
        <f>AND(DATA!G38,"AAAAAHf/UXU=")</f>
        <v>1</v>
      </c>
      <c r="DO53" t="e">
        <f>AND(DATA!H38,"AAAAAHf/UXY=")</f>
        <v>#VALUE!</v>
      </c>
      <c r="DP53" t="e">
        <f>AND(DATA!I38,"AAAAAHf/UXc=")</f>
        <v>#VALUE!</v>
      </c>
      <c r="DQ53" t="e">
        <f>AND(DATA!J38,"AAAAAHf/UXg=")</f>
        <v>#VALUE!</v>
      </c>
      <c r="DR53" t="e">
        <f>AND(DATA!K38,"AAAAAHf/UXk=")</f>
        <v>#VALUE!</v>
      </c>
      <c r="DS53" t="b">
        <f>AND(DATA!L39,"AAAAAHf/UXo=")</f>
        <v>1</v>
      </c>
      <c r="DT53" t="b">
        <f>AND(DATA!M39,"AAAAAHf/UXs=")</f>
        <v>1</v>
      </c>
      <c r="DU53" t="b">
        <f>AND(DATA!N39,"AAAAAHf/UXw=")</f>
        <v>1</v>
      </c>
      <c r="DV53" t="b">
        <f>AND(DATA!O39,"AAAAAHf/UX0=")</f>
        <v>1</v>
      </c>
      <c r="DW53" t="b">
        <f>AND(DATA!P39,"AAAAAHf/UX4=")</f>
        <v>1</v>
      </c>
      <c r="DX53" t="b">
        <f>AND(DATA!Q39,"AAAAAHf/UX8=")</f>
        <v>1</v>
      </c>
      <c r="DY53" t="b">
        <f>AND(DATA!R39,"AAAAAHf/UYA=")</f>
        <v>1</v>
      </c>
      <c r="DZ53" t="b">
        <f>AND(DATA!S39,"AAAAAHf/UYE=")</f>
        <v>1</v>
      </c>
      <c r="EA53" t="b">
        <f>AND(DATA!T39,"AAAAAHf/UYI=")</f>
        <v>1</v>
      </c>
      <c r="EB53" t="e">
        <f>AND(DATA!U39,"AAAAAHf/UYM=")</f>
        <v>#VALUE!</v>
      </c>
      <c r="EC53" t="b">
        <f>AND(DATA!V39,"AAAAAHf/UYQ=")</f>
        <v>1</v>
      </c>
      <c r="ED53" t="e">
        <f>AND(DATA!W38,"AAAAAHf/UYU=")</f>
        <v>#VALUE!</v>
      </c>
      <c r="EE53" t="e">
        <f>AND(DATA!X38,"AAAAAHf/UYY=")</f>
        <v>#VALUE!</v>
      </c>
      <c r="EF53" t="e">
        <f>AND(DATA!Y38,"AAAAAHf/UYc=")</f>
        <v>#VALUE!</v>
      </c>
      <c r="EG53">
        <f>IF(DATA!39:39,"AAAAAHf/UYg=",0)</f>
        <v>0</v>
      </c>
      <c r="EH53" t="b">
        <f>AND(DATA!A39,"AAAAAHf/UYk=")</f>
        <v>1</v>
      </c>
      <c r="EI53" t="b">
        <f>AND(DATA!B39,"AAAAAHf/UYo=")</f>
        <v>1</v>
      </c>
      <c r="EJ53" t="e">
        <f>AND(DATA!C39,"AAAAAHf/UYs=")</f>
        <v>#VALUE!</v>
      </c>
      <c r="EK53" t="e">
        <f>AND(DATA!D39,"AAAAAHf/UYw=")</f>
        <v>#VALUE!</v>
      </c>
      <c r="EL53" t="e">
        <f>AND(DATA!E39,"AAAAAHf/UY0=")</f>
        <v>#VALUE!</v>
      </c>
      <c r="EM53" t="b">
        <f>AND(DATA!F39,"AAAAAHf/UY4=")</f>
        <v>1</v>
      </c>
      <c r="EN53" t="b">
        <f>AND(DATA!G39,"AAAAAHf/UY8=")</f>
        <v>1</v>
      </c>
      <c r="EO53" t="e">
        <f>AND(DATA!H39,"AAAAAHf/UZA=")</f>
        <v>#VALUE!</v>
      </c>
      <c r="EP53" t="e">
        <f>AND(DATA!I39,"AAAAAHf/UZE=")</f>
        <v>#VALUE!</v>
      </c>
      <c r="EQ53" t="e">
        <f>AND(DATA!J39,"AAAAAHf/UZI=")</f>
        <v>#VALUE!</v>
      </c>
      <c r="ER53" t="e">
        <f>AND(DATA!K39,"AAAAAHf/UZM=")</f>
        <v>#VALUE!</v>
      </c>
      <c r="ES53" t="b">
        <f>AND(DATA!L40,"AAAAAHf/UZQ=")</f>
        <v>1</v>
      </c>
      <c r="ET53" t="b">
        <f>AND(DATA!M40,"AAAAAHf/UZU=")</f>
        <v>1</v>
      </c>
      <c r="EU53" t="b">
        <f>AND(DATA!N40,"AAAAAHf/UZY=")</f>
        <v>1</v>
      </c>
      <c r="EV53" t="b">
        <f>AND(DATA!O40,"AAAAAHf/UZc=")</f>
        <v>1</v>
      </c>
      <c r="EW53" t="b">
        <f>AND(DATA!P40,"AAAAAHf/UZg=")</f>
        <v>1</v>
      </c>
      <c r="EX53" t="b">
        <f>AND(DATA!Q40,"AAAAAHf/UZk=")</f>
        <v>1</v>
      </c>
      <c r="EY53" t="b">
        <f>AND(DATA!R40,"AAAAAHf/UZo=")</f>
        <v>1</v>
      </c>
      <c r="EZ53" t="b">
        <f>AND(DATA!S40,"AAAAAHf/UZs=")</f>
        <v>1</v>
      </c>
      <c r="FA53" t="b">
        <f>AND(DATA!T40,"AAAAAHf/UZw=")</f>
        <v>1</v>
      </c>
      <c r="FB53" t="e">
        <f>AND(DATA!U40,"AAAAAHf/UZ0=")</f>
        <v>#VALUE!</v>
      </c>
      <c r="FC53" t="b">
        <f>AND(DATA!V40,"AAAAAHf/UZ4=")</f>
        <v>1</v>
      </c>
      <c r="FD53" t="e">
        <f>AND(DATA!W39,"AAAAAHf/UZ8=")</f>
        <v>#VALUE!</v>
      </c>
      <c r="FE53" t="e">
        <f>AND(DATA!X39,"AAAAAHf/UaA=")</f>
        <v>#VALUE!</v>
      </c>
      <c r="FF53" t="e">
        <f>AND(DATA!Y39,"AAAAAHf/UaE=")</f>
        <v>#VALUE!</v>
      </c>
      <c r="FG53">
        <f>IF(DATA!40:40,"AAAAAHf/UaI=",0)</f>
        <v>0</v>
      </c>
      <c r="FH53" t="b">
        <f>AND(DATA!A40,"AAAAAHf/UaM=")</f>
        <v>1</v>
      </c>
      <c r="FI53" t="b">
        <f>AND(DATA!B40,"AAAAAHf/UaQ=")</f>
        <v>1</v>
      </c>
      <c r="FJ53" t="e">
        <f>AND(DATA!C40,"AAAAAHf/UaU=")</f>
        <v>#VALUE!</v>
      </c>
      <c r="FK53" t="e">
        <f>AND(DATA!D40,"AAAAAHf/UaY=")</f>
        <v>#VALUE!</v>
      </c>
      <c r="FL53" t="e">
        <f>AND(DATA!E40,"AAAAAHf/Uac=")</f>
        <v>#VALUE!</v>
      </c>
      <c r="FM53" t="b">
        <f>AND(DATA!F40,"AAAAAHf/Uag=")</f>
        <v>1</v>
      </c>
      <c r="FN53" t="b">
        <f>AND(DATA!G40,"AAAAAHf/Uak=")</f>
        <v>1</v>
      </c>
      <c r="FO53" t="e">
        <f>AND(DATA!H40,"AAAAAHf/Uao=")</f>
        <v>#VALUE!</v>
      </c>
      <c r="FP53" t="e">
        <f>AND(DATA!I40,"AAAAAHf/Uas=")</f>
        <v>#VALUE!</v>
      </c>
      <c r="FQ53" t="e">
        <f>AND(DATA!J40,"AAAAAHf/Uaw=")</f>
        <v>#VALUE!</v>
      </c>
      <c r="FR53" t="e">
        <f>AND(DATA!K40,"AAAAAHf/Ua0=")</f>
        <v>#VALUE!</v>
      </c>
      <c r="FS53" t="b">
        <f>AND(DATA!L41,"AAAAAHf/Ua4=")</f>
        <v>1</v>
      </c>
      <c r="FT53" t="b">
        <f>AND(DATA!M41,"AAAAAHf/Ua8=")</f>
        <v>1</v>
      </c>
      <c r="FU53" t="b">
        <f>AND(DATA!N41,"AAAAAHf/UbA=")</f>
        <v>1</v>
      </c>
      <c r="FV53" t="b">
        <f>AND(DATA!O41,"AAAAAHf/UbE=")</f>
        <v>1</v>
      </c>
      <c r="FW53" t="b">
        <f>AND(DATA!P41,"AAAAAHf/UbI=")</f>
        <v>1</v>
      </c>
      <c r="FX53" t="b">
        <f>AND(DATA!Q41,"AAAAAHf/UbM=")</f>
        <v>1</v>
      </c>
      <c r="FY53" t="b">
        <f>AND(DATA!R41,"AAAAAHf/UbQ=")</f>
        <v>1</v>
      </c>
      <c r="FZ53" t="b">
        <f>AND(DATA!S41,"AAAAAHf/UbU=")</f>
        <v>1</v>
      </c>
      <c r="GA53" t="b">
        <f>AND(DATA!T41,"AAAAAHf/UbY=")</f>
        <v>1</v>
      </c>
      <c r="GB53" t="e">
        <f>AND(DATA!U41,"AAAAAHf/Ubc=")</f>
        <v>#VALUE!</v>
      </c>
      <c r="GC53" t="b">
        <f>AND(DATA!V41,"AAAAAHf/Ubg=")</f>
        <v>1</v>
      </c>
      <c r="GD53" t="e">
        <f>AND(DATA!W40,"AAAAAHf/Ubk=")</f>
        <v>#VALUE!</v>
      </c>
      <c r="GE53" t="e">
        <f>AND(DATA!X40,"AAAAAHf/Ubo=")</f>
        <v>#VALUE!</v>
      </c>
      <c r="GF53" t="e">
        <f>AND(DATA!Y40,"AAAAAHf/Ubs=")</f>
        <v>#VALUE!</v>
      </c>
      <c r="GG53">
        <f>IF(DATA!41:41,"AAAAAHf/Ubw=",0)</f>
        <v>0</v>
      </c>
      <c r="GH53" t="b">
        <f>AND(DATA!A41,"AAAAAHf/Ub0=")</f>
        <v>1</v>
      </c>
      <c r="GI53" t="b">
        <f>AND(DATA!B41,"AAAAAHf/Ub4=")</f>
        <v>1</v>
      </c>
      <c r="GJ53" t="e">
        <f>AND(DATA!C41,"AAAAAHf/Ub8=")</f>
        <v>#VALUE!</v>
      </c>
      <c r="GK53" t="e">
        <f>AND(DATA!D41,"AAAAAHf/UcA=")</f>
        <v>#VALUE!</v>
      </c>
      <c r="GL53" t="e">
        <f>AND(DATA!E41,"AAAAAHf/UcE=")</f>
        <v>#VALUE!</v>
      </c>
      <c r="GM53" t="b">
        <f>AND(DATA!F41,"AAAAAHf/UcI=")</f>
        <v>1</v>
      </c>
      <c r="GN53" t="b">
        <f>AND(DATA!G41,"AAAAAHf/UcM=")</f>
        <v>1</v>
      </c>
      <c r="GO53" t="e">
        <f>AND(DATA!H41,"AAAAAHf/UcQ=")</f>
        <v>#VALUE!</v>
      </c>
      <c r="GP53" t="e">
        <f>AND(DATA!I41,"AAAAAHf/UcU=")</f>
        <v>#VALUE!</v>
      </c>
      <c r="GQ53" t="e">
        <f>AND(DATA!J41,"AAAAAHf/UcY=")</f>
        <v>#VALUE!</v>
      </c>
      <c r="GR53" t="e">
        <f>AND(DATA!K41,"AAAAAHf/Ucc=")</f>
        <v>#VALUE!</v>
      </c>
      <c r="GS53" t="b">
        <f>AND(DATA!L42,"AAAAAHf/Ucg=")</f>
        <v>1</v>
      </c>
      <c r="GT53" t="b">
        <f>AND(DATA!M42,"AAAAAHf/Uck=")</f>
        <v>1</v>
      </c>
      <c r="GU53" t="b">
        <f>AND(DATA!N42,"AAAAAHf/Uco=")</f>
        <v>1</v>
      </c>
      <c r="GV53" t="b">
        <f>AND(DATA!O42,"AAAAAHf/Ucs=")</f>
        <v>1</v>
      </c>
      <c r="GW53" t="b">
        <f>AND(DATA!P42,"AAAAAHf/Ucw=")</f>
        <v>1</v>
      </c>
      <c r="GX53" t="b">
        <f>AND(DATA!Q42,"AAAAAHf/Uc0=")</f>
        <v>1</v>
      </c>
      <c r="GY53" t="b">
        <f>AND(DATA!R42,"AAAAAHf/Uc4=")</f>
        <v>1</v>
      </c>
      <c r="GZ53" t="b">
        <f>AND(DATA!S42,"AAAAAHf/Uc8=")</f>
        <v>1</v>
      </c>
      <c r="HA53" t="b">
        <f>AND(DATA!T42,"AAAAAHf/UdA=")</f>
        <v>1</v>
      </c>
      <c r="HB53" t="e">
        <f>AND(DATA!U42,"AAAAAHf/UdE=")</f>
        <v>#VALUE!</v>
      </c>
      <c r="HC53" t="b">
        <f>AND(DATA!V42,"AAAAAHf/UdI=")</f>
        <v>1</v>
      </c>
      <c r="HD53" t="e">
        <f>AND(DATA!W41,"AAAAAHf/UdM=")</f>
        <v>#VALUE!</v>
      </c>
      <c r="HE53" t="e">
        <f>AND(DATA!X41,"AAAAAHf/UdQ=")</f>
        <v>#VALUE!</v>
      </c>
      <c r="HF53" t="e">
        <f>AND(DATA!Y41,"AAAAAHf/UdU=")</f>
        <v>#VALUE!</v>
      </c>
      <c r="HG53">
        <f>IF(DATA!42:42,"AAAAAHf/UdY=",0)</f>
        <v>0</v>
      </c>
      <c r="HH53" t="b">
        <f>AND(DATA!A42,"AAAAAHf/Udc=")</f>
        <v>1</v>
      </c>
      <c r="HI53" t="b">
        <f>AND(DATA!B42,"AAAAAHf/Udg=")</f>
        <v>1</v>
      </c>
      <c r="HJ53" t="e">
        <f>AND(DATA!C42,"AAAAAHf/Udk=")</f>
        <v>#VALUE!</v>
      </c>
      <c r="HK53" t="e">
        <f>AND(DATA!D42,"AAAAAHf/Udo=")</f>
        <v>#VALUE!</v>
      </c>
      <c r="HL53" t="e">
        <f>AND(DATA!E42,"AAAAAHf/Uds=")</f>
        <v>#VALUE!</v>
      </c>
      <c r="HM53" t="b">
        <f>AND(DATA!F42,"AAAAAHf/Udw=")</f>
        <v>1</v>
      </c>
      <c r="HN53" t="b">
        <f>AND(DATA!G42,"AAAAAHf/Ud0=")</f>
        <v>1</v>
      </c>
      <c r="HO53" t="e">
        <f>AND(DATA!H42,"AAAAAHf/Ud4=")</f>
        <v>#VALUE!</v>
      </c>
      <c r="HP53" t="e">
        <f>AND(DATA!I42,"AAAAAHf/Ud8=")</f>
        <v>#VALUE!</v>
      </c>
      <c r="HQ53" t="e">
        <f>AND(DATA!J42,"AAAAAHf/UeA=")</f>
        <v>#VALUE!</v>
      </c>
      <c r="HR53" t="e">
        <f>AND(DATA!K42,"AAAAAHf/UeE=")</f>
        <v>#VALUE!</v>
      </c>
      <c r="HS53" t="b">
        <f>AND(DATA!L43,"AAAAAHf/UeI=")</f>
        <v>1</v>
      </c>
      <c r="HT53" t="b">
        <f>AND(DATA!M43,"AAAAAHf/UeM=")</f>
        <v>1</v>
      </c>
      <c r="HU53" t="b">
        <f>AND(DATA!N43,"AAAAAHf/UeQ=")</f>
        <v>1</v>
      </c>
      <c r="HV53" t="b">
        <f>AND(DATA!O43,"AAAAAHf/UeU=")</f>
        <v>1</v>
      </c>
      <c r="HW53" t="b">
        <f>AND(DATA!P43,"AAAAAHf/UeY=")</f>
        <v>1</v>
      </c>
      <c r="HX53" t="b">
        <f>AND(DATA!Q43,"AAAAAHf/Uec=")</f>
        <v>1</v>
      </c>
      <c r="HY53" t="b">
        <f>AND(DATA!R43,"AAAAAHf/Ueg=")</f>
        <v>1</v>
      </c>
      <c r="HZ53" t="b">
        <f>AND(DATA!S43,"AAAAAHf/Uek=")</f>
        <v>1</v>
      </c>
      <c r="IA53" t="b">
        <f>AND(DATA!T43,"AAAAAHf/Ueo=")</f>
        <v>1</v>
      </c>
      <c r="IB53" t="e">
        <f>AND(DATA!U43,"AAAAAHf/Ues=")</f>
        <v>#VALUE!</v>
      </c>
      <c r="IC53" t="b">
        <f>AND(DATA!V43,"AAAAAHf/Uew=")</f>
        <v>1</v>
      </c>
      <c r="ID53" t="e">
        <f>AND(DATA!W42,"AAAAAHf/Ue0=")</f>
        <v>#VALUE!</v>
      </c>
      <c r="IE53" t="e">
        <f>AND(DATA!X42,"AAAAAHf/Ue4=")</f>
        <v>#VALUE!</v>
      </c>
      <c r="IF53" t="e">
        <f>AND(DATA!Y42,"AAAAAHf/Ue8=")</f>
        <v>#VALUE!</v>
      </c>
      <c r="IG53">
        <f>IF(DATA!43:43,"AAAAAHf/UfA=",0)</f>
        <v>0</v>
      </c>
      <c r="IH53" t="b">
        <f>AND(DATA!A43,"AAAAAHf/UfE=")</f>
        <v>1</v>
      </c>
      <c r="II53" t="b">
        <f>AND(DATA!B43,"AAAAAHf/UfI=")</f>
        <v>1</v>
      </c>
      <c r="IJ53" t="e">
        <f>AND(DATA!C43,"AAAAAHf/UfM=")</f>
        <v>#VALUE!</v>
      </c>
      <c r="IK53" t="e">
        <f>AND(DATA!D43,"AAAAAHf/UfQ=")</f>
        <v>#VALUE!</v>
      </c>
      <c r="IL53" t="e">
        <f>AND(DATA!E43,"AAAAAHf/UfU=")</f>
        <v>#VALUE!</v>
      </c>
      <c r="IM53" t="b">
        <f>AND(DATA!F43,"AAAAAHf/UfY=")</f>
        <v>1</v>
      </c>
      <c r="IN53" t="b">
        <f>AND(DATA!G43,"AAAAAHf/Ufc=")</f>
        <v>1</v>
      </c>
      <c r="IO53" t="e">
        <f>AND(DATA!H43,"AAAAAHf/Ufg=")</f>
        <v>#VALUE!</v>
      </c>
      <c r="IP53" t="e">
        <f>AND(DATA!I43,"AAAAAHf/Ufk=")</f>
        <v>#VALUE!</v>
      </c>
      <c r="IQ53" t="e">
        <f>AND(DATA!J43,"AAAAAHf/Ufo=")</f>
        <v>#VALUE!</v>
      </c>
      <c r="IR53" t="e">
        <f>AND(DATA!K43,"AAAAAHf/Ufs=")</f>
        <v>#VALUE!</v>
      </c>
      <c r="IS53" t="b">
        <f>AND(DATA!L44,"AAAAAHf/Ufw=")</f>
        <v>1</v>
      </c>
      <c r="IT53" t="b">
        <f>AND(DATA!M44,"AAAAAHf/Uf0=")</f>
        <v>1</v>
      </c>
      <c r="IU53" t="b">
        <f>AND(DATA!N44,"AAAAAHf/Uf4=")</f>
        <v>1</v>
      </c>
      <c r="IV53" t="b">
        <f>AND(DATA!O44,"AAAAAHf/Uf8=")</f>
        <v>1</v>
      </c>
    </row>
    <row r="54" spans="1:256" x14ac:dyDescent="0.25">
      <c r="A54" t="b">
        <f>AND(DATA!P44,"AAAAAH279wA=")</f>
        <v>1</v>
      </c>
      <c r="B54" t="b">
        <f>AND(DATA!Q44,"AAAAAH279wE=")</f>
        <v>1</v>
      </c>
      <c r="C54" t="b">
        <f>AND(DATA!R44,"AAAAAH279wI=")</f>
        <v>1</v>
      </c>
      <c r="D54" t="b">
        <f>AND(DATA!S44,"AAAAAH279wM=")</f>
        <v>1</v>
      </c>
      <c r="E54" t="b">
        <f>AND(DATA!T44,"AAAAAH279wQ=")</f>
        <v>1</v>
      </c>
      <c r="F54" t="e">
        <f>AND(DATA!U44,"AAAAAH279wU=")</f>
        <v>#VALUE!</v>
      </c>
      <c r="G54" t="b">
        <f>AND(DATA!V44,"AAAAAH279wY=")</f>
        <v>1</v>
      </c>
      <c r="H54" t="e">
        <f>AND(DATA!W43,"AAAAAH279wc=")</f>
        <v>#VALUE!</v>
      </c>
      <c r="I54" t="e">
        <f>AND(DATA!X43,"AAAAAH279wg=")</f>
        <v>#VALUE!</v>
      </c>
      <c r="J54" t="e">
        <f>AND(DATA!Y43,"AAAAAH279wk=")</f>
        <v>#VALUE!</v>
      </c>
      <c r="K54">
        <f>IF(DATA!44:44,"AAAAAH279wo=",0)</f>
        <v>0</v>
      </c>
      <c r="L54" t="b">
        <f>AND(DATA!A44,"AAAAAH279ws=")</f>
        <v>1</v>
      </c>
      <c r="M54" t="b">
        <f>AND(DATA!B44,"AAAAAH279ww=")</f>
        <v>1</v>
      </c>
      <c r="N54" t="e">
        <f>AND(DATA!C44,"AAAAAH279w0=")</f>
        <v>#VALUE!</v>
      </c>
      <c r="O54" t="e">
        <f>AND(DATA!D44,"AAAAAH279w4=")</f>
        <v>#VALUE!</v>
      </c>
      <c r="P54" t="e">
        <f>AND(DATA!E44,"AAAAAH279w8=")</f>
        <v>#VALUE!</v>
      </c>
      <c r="Q54" t="b">
        <f>AND(DATA!F44,"AAAAAH279xA=")</f>
        <v>1</v>
      </c>
      <c r="R54" t="b">
        <f>AND(DATA!G44,"AAAAAH279xE=")</f>
        <v>1</v>
      </c>
      <c r="S54" t="e">
        <f>AND(DATA!H44,"AAAAAH279xI=")</f>
        <v>#VALUE!</v>
      </c>
      <c r="T54" t="e">
        <f>AND(DATA!I44,"AAAAAH279xM=")</f>
        <v>#VALUE!</v>
      </c>
      <c r="U54" t="e">
        <f>AND(DATA!J44,"AAAAAH279xQ=")</f>
        <v>#VALUE!</v>
      </c>
      <c r="V54" t="e">
        <f>AND(DATA!K44,"AAAAAH279xU=")</f>
        <v>#VALUE!</v>
      </c>
      <c r="W54" t="b">
        <f>AND(DATA!L45,"AAAAAH279xY=")</f>
        <v>1</v>
      </c>
      <c r="X54" t="b">
        <f>AND(DATA!M45,"AAAAAH279xc=")</f>
        <v>1</v>
      </c>
      <c r="Y54" t="b">
        <f>AND(DATA!N45,"AAAAAH279xg=")</f>
        <v>1</v>
      </c>
      <c r="Z54" t="b">
        <f>AND(DATA!O45,"AAAAAH279xk=")</f>
        <v>1</v>
      </c>
      <c r="AA54" t="b">
        <f>AND(DATA!P45,"AAAAAH279xo=")</f>
        <v>1</v>
      </c>
      <c r="AB54" t="b">
        <f>AND(DATA!Q45,"AAAAAH279xs=")</f>
        <v>1</v>
      </c>
      <c r="AC54" t="b">
        <f>AND(DATA!R45,"AAAAAH279xw=")</f>
        <v>1</v>
      </c>
      <c r="AD54" t="b">
        <f>AND(DATA!S45,"AAAAAH279x0=")</f>
        <v>1</v>
      </c>
      <c r="AE54" t="b">
        <f>AND(DATA!T45,"AAAAAH279x4=")</f>
        <v>1</v>
      </c>
      <c r="AF54" t="e">
        <f>AND(DATA!U45,"AAAAAH279x8=")</f>
        <v>#VALUE!</v>
      </c>
      <c r="AG54" t="b">
        <f>AND(DATA!V45,"AAAAAH279yA=")</f>
        <v>1</v>
      </c>
      <c r="AH54" t="e">
        <f>AND(DATA!W44,"AAAAAH279yE=")</f>
        <v>#VALUE!</v>
      </c>
      <c r="AI54" t="e">
        <f>AND(DATA!X44,"AAAAAH279yI=")</f>
        <v>#VALUE!</v>
      </c>
      <c r="AJ54" t="e">
        <f>AND(DATA!Y44,"AAAAAH279yM=")</f>
        <v>#VALUE!</v>
      </c>
      <c r="AK54">
        <f>IF(DATA!45:45,"AAAAAH279yQ=",0)</f>
        <v>0</v>
      </c>
      <c r="AL54" t="b">
        <f>AND(DATA!A45,"AAAAAH279yU=")</f>
        <v>1</v>
      </c>
      <c r="AM54" t="b">
        <f>AND(DATA!B45,"AAAAAH279yY=")</f>
        <v>1</v>
      </c>
      <c r="AN54" t="e">
        <f>AND(DATA!C45,"AAAAAH279yc=")</f>
        <v>#VALUE!</v>
      </c>
      <c r="AO54" t="e">
        <f>AND(DATA!D45,"AAAAAH279yg=")</f>
        <v>#VALUE!</v>
      </c>
      <c r="AP54" t="e">
        <f>AND(DATA!E45,"AAAAAH279yk=")</f>
        <v>#VALUE!</v>
      </c>
      <c r="AQ54" t="b">
        <f>AND(DATA!F45,"AAAAAH279yo=")</f>
        <v>1</v>
      </c>
      <c r="AR54" t="b">
        <f>AND(DATA!G45,"AAAAAH279ys=")</f>
        <v>1</v>
      </c>
      <c r="AS54" t="e">
        <f>AND(DATA!H45,"AAAAAH279yw=")</f>
        <v>#VALUE!</v>
      </c>
      <c r="AT54" t="e">
        <f>AND(DATA!I45,"AAAAAH279y0=")</f>
        <v>#VALUE!</v>
      </c>
      <c r="AU54" t="e">
        <f>AND(DATA!J45,"AAAAAH279y4=")</f>
        <v>#VALUE!</v>
      </c>
      <c r="AV54" t="e">
        <f>AND(DATA!K45,"AAAAAH279y8=")</f>
        <v>#VALUE!</v>
      </c>
      <c r="AW54" t="b">
        <f>AND(DATA!L46,"AAAAAH279zA=")</f>
        <v>1</v>
      </c>
      <c r="AX54" t="b">
        <f>AND(DATA!M46,"AAAAAH279zE=")</f>
        <v>1</v>
      </c>
      <c r="AY54" t="b">
        <f>AND(DATA!N46,"AAAAAH279zI=")</f>
        <v>1</v>
      </c>
      <c r="AZ54" t="b">
        <f>AND(DATA!O46,"AAAAAH279zM=")</f>
        <v>1</v>
      </c>
      <c r="BA54" t="b">
        <f>AND(DATA!P46,"AAAAAH279zQ=")</f>
        <v>1</v>
      </c>
      <c r="BB54" t="b">
        <f>AND(DATA!Q46,"AAAAAH279zU=")</f>
        <v>1</v>
      </c>
      <c r="BC54" t="b">
        <f>AND(DATA!R46,"AAAAAH279zY=")</f>
        <v>1</v>
      </c>
      <c r="BD54" t="b">
        <f>AND(DATA!S46,"AAAAAH279zc=")</f>
        <v>1</v>
      </c>
      <c r="BE54" t="b">
        <f>AND(DATA!T46,"AAAAAH279zg=")</f>
        <v>1</v>
      </c>
      <c r="BF54" t="e">
        <f>AND(DATA!U46,"AAAAAH279zk=")</f>
        <v>#VALUE!</v>
      </c>
      <c r="BG54" t="b">
        <f>AND(DATA!V46,"AAAAAH279zo=")</f>
        <v>1</v>
      </c>
      <c r="BH54" t="e">
        <f>AND(DATA!W45,"AAAAAH279zs=")</f>
        <v>#VALUE!</v>
      </c>
      <c r="BI54" t="e">
        <f>AND(DATA!X45,"AAAAAH279zw=")</f>
        <v>#VALUE!</v>
      </c>
      <c r="BJ54" t="e">
        <f>AND(DATA!Y45,"AAAAAH279z0=")</f>
        <v>#VALUE!</v>
      </c>
      <c r="BK54">
        <f>IF(DATA!46:46,"AAAAAH279z4=",0)</f>
        <v>0</v>
      </c>
      <c r="BL54" t="b">
        <f>AND(DATA!A46,"AAAAAH279z8=")</f>
        <v>1</v>
      </c>
      <c r="BM54" t="b">
        <f>AND(DATA!B46,"AAAAAH2790A=")</f>
        <v>1</v>
      </c>
      <c r="BN54" t="e">
        <f>AND(DATA!C46,"AAAAAH2790E=")</f>
        <v>#VALUE!</v>
      </c>
      <c r="BO54" t="e">
        <f>AND(DATA!D46,"AAAAAH2790I=")</f>
        <v>#VALUE!</v>
      </c>
      <c r="BP54" t="e">
        <f>AND(DATA!E46,"AAAAAH2790M=")</f>
        <v>#VALUE!</v>
      </c>
      <c r="BQ54" t="b">
        <f>AND(DATA!F46,"AAAAAH2790Q=")</f>
        <v>1</v>
      </c>
      <c r="BR54" t="b">
        <f>AND(DATA!G46,"AAAAAH2790U=")</f>
        <v>1</v>
      </c>
      <c r="BS54" t="e">
        <f>AND(DATA!H46,"AAAAAH2790Y=")</f>
        <v>#VALUE!</v>
      </c>
      <c r="BT54" t="e">
        <f>AND(DATA!I46,"AAAAAH2790c=")</f>
        <v>#VALUE!</v>
      </c>
      <c r="BU54" t="e">
        <f>AND(DATA!J46,"AAAAAH2790g=")</f>
        <v>#VALUE!</v>
      </c>
      <c r="BV54" t="e">
        <f>AND(DATA!K46,"AAAAAH2790k=")</f>
        <v>#VALUE!</v>
      </c>
      <c r="BW54" t="b">
        <f>AND(DATA!L47,"AAAAAH2790o=")</f>
        <v>1</v>
      </c>
      <c r="BX54" t="b">
        <f>AND(DATA!M47,"AAAAAH2790s=")</f>
        <v>1</v>
      </c>
      <c r="BY54" t="b">
        <f>AND(DATA!N47,"AAAAAH2790w=")</f>
        <v>1</v>
      </c>
      <c r="BZ54" t="b">
        <f>AND(DATA!O47,"AAAAAH27900=")</f>
        <v>1</v>
      </c>
      <c r="CA54" t="b">
        <f>AND(DATA!P47,"AAAAAH27904=")</f>
        <v>1</v>
      </c>
      <c r="CB54" t="b">
        <f>AND(DATA!Q47,"AAAAAH27908=")</f>
        <v>1</v>
      </c>
      <c r="CC54" t="b">
        <f>AND(DATA!R47,"AAAAAH2791A=")</f>
        <v>1</v>
      </c>
      <c r="CD54" t="b">
        <f>AND(DATA!S47,"AAAAAH2791E=")</f>
        <v>1</v>
      </c>
      <c r="CE54" t="b">
        <f>AND(DATA!T47,"AAAAAH2791I=")</f>
        <v>1</v>
      </c>
      <c r="CF54" t="e">
        <f>AND(DATA!U47,"AAAAAH2791M=")</f>
        <v>#VALUE!</v>
      </c>
      <c r="CG54" t="b">
        <f>AND(DATA!V47,"AAAAAH2791Q=")</f>
        <v>1</v>
      </c>
      <c r="CH54" t="e">
        <f>AND(DATA!W46,"AAAAAH2791U=")</f>
        <v>#VALUE!</v>
      </c>
      <c r="CI54" t="e">
        <f>AND(DATA!X46,"AAAAAH2791Y=")</f>
        <v>#VALUE!</v>
      </c>
      <c r="CJ54" t="e">
        <f>AND(DATA!Y46,"AAAAAH2791c=")</f>
        <v>#VALUE!</v>
      </c>
      <c r="CK54">
        <f>IF(DATA!47:47,"AAAAAH2791g=",0)</f>
        <v>0</v>
      </c>
      <c r="CL54" t="b">
        <f>AND(DATA!A47,"AAAAAH2791k=")</f>
        <v>1</v>
      </c>
      <c r="CM54" t="b">
        <f>AND(DATA!B47,"AAAAAH2791o=")</f>
        <v>1</v>
      </c>
      <c r="CN54" t="e">
        <f>AND(DATA!C47,"AAAAAH2791s=")</f>
        <v>#VALUE!</v>
      </c>
      <c r="CO54" t="e">
        <f>AND(DATA!D47,"AAAAAH2791w=")</f>
        <v>#VALUE!</v>
      </c>
      <c r="CP54" t="e">
        <f>AND(DATA!E47,"AAAAAH27910=")</f>
        <v>#VALUE!</v>
      </c>
      <c r="CQ54" t="b">
        <f>AND(DATA!F47,"AAAAAH27914=")</f>
        <v>1</v>
      </c>
      <c r="CR54" t="b">
        <f>AND(DATA!G47,"AAAAAH27918=")</f>
        <v>1</v>
      </c>
      <c r="CS54" t="e">
        <f>AND(DATA!H47,"AAAAAH2792A=")</f>
        <v>#VALUE!</v>
      </c>
      <c r="CT54" t="e">
        <f>AND(DATA!I47,"AAAAAH2792E=")</f>
        <v>#VALUE!</v>
      </c>
      <c r="CU54" t="e">
        <f>AND(DATA!J47,"AAAAAH2792I=")</f>
        <v>#VALUE!</v>
      </c>
      <c r="CV54" t="e">
        <f>AND(DATA!K47,"AAAAAH2792M=")</f>
        <v>#VALUE!</v>
      </c>
      <c r="CW54" t="b">
        <f>AND(DATA!L48,"AAAAAH2792Q=")</f>
        <v>1</v>
      </c>
      <c r="CX54" t="b">
        <f>AND(DATA!M48,"AAAAAH2792U=")</f>
        <v>1</v>
      </c>
      <c r="CY54" t="b">
        <f>AND(DATA!N48,"AAAAAH2792Y=")</f>
        <v>1</v>
      </c>
      <c r="CZ54" t="b">
        <f>AND(DATA!O48,"AAAAAH2792c=")</f>
        <v>1</v>
      </c>
      <c r="DA54" t="b">
        <f>AND(DATA!P48,"AAAAAH2792g=")</f>
        <v>1</v>
      </c>
      <c r="DB54" t="b">
        <f>AND(DATA!Q48,"AAAAAH2792k=")</f>
        <v>1</v>
      </c>
      <c r="DC54" t="b">
        <f>AND(DATA!R48,"AAAAAH2792o=")</f>
        <v>1</v>
      </c>
      <c r="DD54" t="b">
        <f>AND(DATA!S48,"AAAAAH2792s=")</f>
        <v>1</v>
      </c>
      <c r="DE54" t="b">
        <f>AND(DATA!T48,"AAAAAH2792w=")</f>
        <v>1</v>
      </c>
      <c r="DF54" t="e">
        <f>AND(DATA!U48,"AAAAAH27920=")</f>
        <v>#VALUE!</v>
      </c>
      <c r="DG54" t="b">
        <f>AND(DATA!V48,"AAAAAH27924=")</f>
        <v>1</v>
      </c>
      <c r="DH54" t="e">
        <f>AND(DATA!W47,"AAAAAH27928=")</f>
        <v>#VALUE!</v>
      </c>
      <c r="DI54" t="e">
        <f>AND(DATA!X47,"AAAAAH2793A=")</f>
        <v>#VALUE!</v>
      </c>
      <c r="DJ54" t="e">
        <f>AND(DATA!Y47,"AAAAAH2793E=")</f>
        <v>#VALUE!</v>
      </c>
      <c r="DK54">
        <f>IF(DATA!48:48,"AAAAAH2793I=",0)</f>
        <v>0</v>
      </c>
      <c r="DL54" t="b">
        <f>AND(DATA!A48,"AAAAAH2793M=")</f>
        <v>1</v>
      </c>
      <c r="DM54" t="b">
        <f>AND(DATA!B48,"AAAAAH2793Q=")</f>
        <v>1</v>
      </c>
      <c r="DN54" t="e">
        <f>AND(DATA!C48,"AAAAAH2793U=")</f>
        <v>#VALUE!</v>
      </c>
      <c r="DO54" t="e">
        <f>AND(DATA!D48,"AAAAAH2793Y=")</f>
        <v>#VALUE!</v>
      </c>
      <c r="DP54" t="e">
        <f>AND(DATA!E48,"AAAAAH2793c=")</f>
        <v>#VALUE!</v>
      </c>
      <c r="DQ54" t="b">
        <f>AND(DATA!F48,"AAAAAH2793g=")</f>
        <v>1</v>
      </c>
      <c r="DR54" t="b">
        <f>AND(DATA!G48,"AAAAAH2793k=")</f>
        <v>1</v>
      </c>
      <c r="DS54" t="e">
        <f>AND(DATA!H48,"AAAAAH2793o=")</f>
        <v>#VALUE!</v>
      </c>
      <c r="DT54" t="e">
        <f>AND(DATA!I48,"AAAAAH2793s=")</f>
        <v>#VALUE!</v>
      </c>
      <c r="DU54" t="e">
        <f>AND(DATA!J48,"AAAAAH2793w=")</f>
        <v>#VALUE!</v>
      </c>
      <c r="DV54" t="e">
        <f>AND(DATA!K48,"AAAAAH27930=")</f>
        <v>#VALUE!</v>
      </c>
      <c r="DW54" t="b">
        <f>AND(DATA!L49,"AAAAAH27934=")</f>
        <v>1</v>
      </c>
      <c r="DX54" t="b">
        <f>AND(DATA!M49,"AAAAAH27938=")</f>
        <v>1</v>
      </c>
      <c r="DY54" t="b">
        <f>AND(DATA!N49,"AAAAAH2794A=")</f>
        <v>1</v>
      </c>
      <c r="DZ54" t="b">
        <f>AND(DATA!O49,"AAAAAH2794E=")</f>
        <v>1</v>
      </c>
      <c r="EA54" t="b">
        <f>AND(DATA!P49,"AAAAAH2794I=")</f>
        <v>1</v>
      </c>
      <c r="EB54" t="b">
        <f>AND(DATA!Q49,"AAAAAH2794M=")</f>
        <v>1</v>
      </c>
      <c r="EC54" t="b">
        <f>AND(DATA!R49,"AAAAAH2794Q=")</f>
        <v>1</v>
      </c>
      <c r="ED54" t="b">
        <f>AND(DATA!S49,"AAAAAH2794U=")</f>
        <v>1</v>
      </c>
      <c r="EE54" t="b">
        <f>AND(DATA!T49,"AAAAAH2794Y=")</f>
        <v>1</v>
      </c>
      <c r="EF54" t="e">
        <f>AND(DATA!U49,"AAAAAH2794c=")</f>
        <v>#VALUE!</v>
      </c>
      <c r="EG54" t="b">
        <f>AND(DATA!V49,"AAAAAH2794g=")</f>
        <v>1</v>
      </c>
      <c r="EH54" t="e">
        <f>AND(DATA!W48,"AAAAAH2794k=")</f>
        <v>#VALUE!</v>
      </c>
      <c r="EI54" t="e">
        <f>AND(DATA!X48,"AAAAAH2794o=")</f>
        <v>#VALUE!</v>
      </c>
      <c r="EJ54" t="e">
        <f>AND(DATA!Y48,"AAAAAH2794s=")</f>
        <v>#VALUE!</v>
      </c>
      <c r="EK54">
        <f>IF(DATA!49:49,"AAAAAH2794w=",0)</f>
        <v>0</v>
      </c>
      <c r="EL54" t="b">
        <f>AND(DATA!A49,"AAAAAH27940=")</f>
        <v>1</v>
      </c>
      <c r="EM54" t="b">
        <f>AND(DATA!B49,"AAAAAH27944=")</f>
        <v>1</v>
      </c>
      <c r="EN54" t="e">
        <f>AND(DATA!C49,"AAAAAH27948=")</f>
        <v>#VALUE!</v>
      </c>
      <c r="EO54" t="e">
        <f>AND(DATA!D49,"AAAAAH2795A=")</f>
        <v>#VALUE!</v>
      </c>
      <c r="EP54" t="e">
        <f>AND(DATA!E49,"AAAAAH2795E=")</f>
        <v>#VALUE!</v>
      </c>
      <c r="EQ54" t="b">
        <f>AND(DATA!F49,"AAAAAH2795I=")</f>
        <v>1</v>
      </c>
      <c r="ER54" t="b">
        <f>AND(DATA!G49,"AAAAAH2795M=")</f>
        <v>1</v>
      </c>
      <c r="ES54" t="e">
        <f>AND(DATA!H49,"AAAAAH2795Q=")</f>
        <v>#VALUE!</v>
      </c>
      <c r="ET54" t="e">
        <f>AND(DATA!I49,"AAAAAH2795U=")</f>
        <v>#VALUE!</v>
      </c>
      <c r="EU54" t="e">
        <f>AND(DATA!J49,"AAAAAH2795Y=")</f>
        <v>#VALUE!</v>
      </c>
      <c r="EV54" t="e">
        <f>AND(DATA!K49,"AAAAAH2795c=")</f>
        <v>#VALUE!</v>
      </c>
      <c r="EW54" t="b">
        <f>AND(DATA!L50,"AAAAAH2795g=")</f>
        <v>1</v>
      </c>
      <c r="EX54" t="b">
        <f>AND(DATA!M50,"AAAAAH2795k=")</f>
        <v>1</v>
      </c>
      <c r="EY54" t="b">
        <f>AND(DATA!N50,"AAAAAH2795o=")</f>
        <v>1</v>
      </c>
      <c r="EZ54" t="b">
        <f>AND(DATA!O50,"AAAAAH2795s=")</f>
        <v>1</v>
      </c>
      <c r="FA54" t="b">
        <f>AND(DATA!P50,"AAAAAH2795w=")</f>
        <v>1</v>
      </c>
      <c r="FB54" t="b">
        <f>AND(DATA!Q50,"AAAAAH27950=")</f>
        <v>1</v>
      </c>
      <c r="FC54" t="b">
        <f>AND(DATA!R50,"AAAAAH27954=")</f>
        <v>1</v>
      </c>
      <c r="FD54" t="b">
        <f>AND(DATA!S50,"AAAAAH27958=")</f>
        <v>1</v>
      </c>
      <c r="FE54" t="b">
        <f>AND(DATA!T50,"AAAAAH2796A=")</f>
        <v>1</v>
      </c>
      <c r="FF54" t="e">
        <f>AND(DATA!U50,"AAAAAH2796E=")</f>
        <v>#VALUE!</v>
      </c>
      <c r="FG54" t="b">
        <f>AND(DATA!V50,"AAAAAH2796I=")</f>
        <v>1</v>
      </c>
      <c r="FH54" t="e">
        <f>AND(DATA!W49,"AAAAAH2796M=")</f>
        <v>#VALUE!</v>
      </c>
      <c r="FI54" t="e">
        <f>AND(DATA!X49,"AAAAAH2796Q=")</f>
        <v>#VALUE!</v>
      </c>
      <c r="FJ54" t="e">
        <f>AND(DATA!Y49,"AAAAAH2796U=")</f>
        <v>#VALUE!</v>
      </c>
      <c r="FK54">
        <f>IF(DATA!50:50,"AAAAAH2796Y=",0)</f>
        <v>0</v>
      </c>
      <c r="FL54" t="b">
        <f>AND(DATA!A50,"AAAAAH2796c=")</f>
        <v>1</v>
      </c>
      <c r="FM54" t="b">
        <f>AND(DATA!B50,"AAAAAH2796g=")</f>
        <v>1</v>
      </c>
      <c r="FN54" t="e">
        <f>AND(DATA!C50,"AAAAAH2796k=")</f>
        <v>#VALUE!</v>
      </c>
      <c r="FO54" t="e">
        <f>AND(DATA!D50,"AAAAAH2796o=")</f>
        <v>#VALUE!</v>
      </c>
      <c r="FP54" t="e">
        <f>AND(DATA!E50,"AAAAAH2796s=")</f>
        <v>#VALUE!</v>
      </c>
      <c r="FQ54" t="b">
        <f>AND(DATA!F50,"AAAAAH2796w=")</f>
        <v>1</v>
      </c>
      <c r="FR54" t="b">
        <f>AND(DATA!G50,"AAAAAH27960=")</f>
        <v>1</v>
      </c>
      <c r="FS54" t="e">
        <f>AND(DATA!H50,"AAAAAH27964=")</f>
        <v>#VALUE!</v>
      </c>
      <c r="FT54" t="e">
        <f>AND(DATA!I50,"AAAAAH27968=")</f>
        <v>#VALUE!</v>
      </c>
      <c r="FU54" t="e">
        <f>AND(DATA!J50,"AAAAAH2797A=")</f>
        <v>#VALUE!</v>
      </c>
      <c r="FV54" t="e">
        <f>AND(DATA!K50,"AAAAAH2797E=")</f>
        <v>#VALUE!</v>
      </c>
      <c r="FW54" t="b">
        <f>AND(DATA!L51,"AAAAAH2797I=")</f>
        <v>1</v>
      </c>
      <c r="FX54" t="b">
        <f>AND(DATA!M51,"AAAAAH2797M=")</f>
        <v>1</v>
      </c>
      <c r="FY54" t="b">
        <f>AND(DATA!N51,"AAAAAH2797Q=")</f>
        <v>1</v>
      </c>
      <c r="FZ54" t="b">
        <f>AND(DATA!O51,"AAAAAH2797U=")</f>
        <v>1</v>
      </c>
      <c r="GA54" t="b">
        <f>AND(DATA!P51,"AAAAAH2797Y=")</f>
        <v>1</v>
      </c>
      <c r="GB54" t="b">
        <f>AND(DATA!Q51,"AAAAAH2797c=")</f>
        <v>1</v>
      </c>
      <c r="GC54" t="b">
        <f>AND(DATA!R51,"AAAAAH2797g=")</f>
        <v>1</v>
      </c>
      <c r="GD54" t="b">
        <f>AND(DATA!S51,"AAAAAH2797k=")</f>
        <v>1</v>
      </c>
      <c r="GE54" t="b">
        <f>AND(DATA!T51,"AAAAAH2797o=")</f>
        <v>1</v>
      </c>
      <c r="GF54" t="e">
        <f>AND(DATA!U51,"AAAAAH2797s=")</f>
        <v>#VALUE!</v>
      </c>
      <c r="GG54" t="b">
        <f>AND(DATA!V51,"AAAAAH2797w=")</f>
        <v>1</v>
      </c>
      <c r="GH54" t="e">
        <f>AND(DATA!W50,"AAAAAH27970=")</f>
        <v>#VALUE!</v>
      </c>
      <c r="GI54" t="e">
        <f>AND(DATA!X50,"AAAAAH27974=")</f>
        <v>#VALUE!</v>
      </c>
      <c r="GJ54" t="e">
        <f>AND(DATA!Y50,"AAAAAH27978=")</f>
        <v>#VALUE!</v>
      </c>
      <c r="GK54">
        <f>IF(DATA!51:51,"AAAAAH2798A=",0)</f>
        <v>0</v>
      </c>
      <c r="GL54" t="b">
        <f>AND(DATA!A51,"AAAAAH2798E=")</f>
        <v>1</v>
      </c>
      <c r="GM54" t="b">
        <f>AND(DATA!B51,"AAAAAH2798I=")</f>
        <v>1</v>
      </c>
      <c r="GN54" t="e">
        <f>AND(DATA!C51,"AAAAAH2798M=")</f>
        <v>#VALUE!</v>
      </c>
      <c r="GO54" t="e">
        <f>AND(DATA!D51,"AAAAAH2798Q=")</f>
        <v>#VALUE!</v>
      </c>
      <c r="GP54" t="e">
        <f>AND(DATA!E51,"AAAAAH2798U=")</f>
        <v>#VALUE!</v>
      </c>
      <c r="GQ54" t="b">
        <f>AND(DATA!F51,"AAAAAH2798Y=")</f>
        <v>1</v>
      </c>
      <c r="GR54" t="b">
        <f>AND(DATA!G51,"AAAAAH2798c=")</f>
        <v>1</v>
      </c>
      <c r="GS54" t="e">
        <f>AND(DATA!H51,"AAAAAH2798g=")</f>
        <v>#VALUE!</v>
      </c>
      <c r="GT54" t="e">
        <f>AND(DATA!I51,"AAAAAH2798k=")</f>
        <v>#VALUE!</v>
      </c>
      <c r="GU54" t="e">
        <f>AND(DATA!J51,"AAAAAH2798o=")</f>
        <v>#VALUE!</v>
      </c>
      <c r="GV54" t="e">
        <f>AND(DATA!K51,"AAAAAH2798s=")</f>
        <v>#VALUE!</v>
      </c>
      <c r="GW54" t="b">
        <f>AND(DATA!L52,"AAAAAH2798w=")</f>
        <v>1</v>
      </c>
      <c r="GX54" t="b">
        <f>AND(DATA!M52,"AAAAAH27980=")</f>
        <v>1</v>
      </c>
      <c r="GY54" t="b">
        <f>AND(DATA!N52,"AAAAAH27984=")</f>
        <v>1</v>
      </c>
      <c r="GZ54" t="b">
        <f>AND(DATA!O52,"AAAAAH27988=")</f>
        <v>1</v>
      </c>
      <c r="HA54" t="b">
        <f>AND(DATA!P52,"AAAAAH2799A=")</f>
        <v>1</v>
      </c>
      <c r="HB54" t="b">
        <f>AND(DATA!Q52,"AAAAAH2799E=")</f>
        <v>1</v>
      </c>
      <c r="HC54" t="b">
        <f>AND(DATA!R52,"AAAAAH2799I=")</f>
        <v>1</v>
      </c>
      <c r="HD54" t="b">
        <f>AND(DATA!S52,"AAAAAH2799M=")</f>
        <v>1</v>
      </c>
      <c r="HE54" t="b">
        <f>AND(DATA!T52,"AAAAAH2799Q=")</f>
        <v>1</v>
      </c>
      <c r="HF54" t="e">
        <f>AND(DATA!U52,"AAAAAH2799U=")</f>
        <v>#VALUE!</v>
      </c>
      <c r="HG54" t="b">
        <f>AND(DATA!V52,"AAAAAH2799Y=")</f>
        <v>1</v>
      </c>
      <c r="HH54" t="e">
        <f>AND(DATA!W51,"AAAAAH2799c=")</f>
        <v>#VALUE!</v>
      </c>
      <c r="HI54" t="e">
        <f>AND(DATA!X51,"AAAAAH2799g=")</f>
        <v>#VALUE!</v>
      </c>
      <c r="HJ54" t="e">
        <f>AND(DATA!Y51,"AAAAAH2799k=")</f>
        <v>#VALUE!</v>
      </c>
      <c r="HK54">
        <f>IF(DATA!52:52,"AAAAAH2799o=",0)</f>
        <v>0</v>
      </c>
      <c r="HL54" t="b">
        <f>AND(DATA!A52,"AAAAAH2799s=")</f>
        <v>1</v>
      </c>
      <c r="HM54" t="b">
        <f>AND(DATA!B52,"AAAAAH2799w=")</f>
        <v>1</v>
      </c>
      <c r="HN54" t="e">
        <f>AND(DATA!C52,"AAAAAH27990=")</f>
        <v>#VALUE!</v>
      </c>
      <c r="HO54" t="e">
        <f>AND(DATA!D52,"AAAAAH27994=")</f>
        <v>#VALUE!</v>
      </c>
      <c r="HP54" t="e">
        <f>AND(DATA!E52,"AAAAAH27998=")</f>
        <v>#VALUE!</v>
      </c>
      <c r="HQ54" t="b">
        <f>AND(DATA!F52,"AAAAAH279+A=")</f>
        <v>1</v>
      </c>
      <c r="HR54" t="b">
        <f>AND(DATA!G52,"AAAAAH279+E=")</f>
        <v>1</v>
      </c>
      <c r="HS54" t="e">
        <f>AND(DATA!H52,"AAAAAH279+I=")</f>
        <v>#VALUE!</v>
      </c>
      <c r="HT54" t="e">
        <f>AND(DATA!I52,"AAAAAH279+M=")</f>
        <v>#VALUE!</v>
      </c>
      <c r="HU54" t="e">
        <f>AND(DATA!J52,"AAAAAH279+Q=")</f>
        <v>#VALUE!</v>
      </c>
      <c r="HV54" t="e">
        <f>AND(DATA!K52,"AAAAAH279+U=")</f>
        <v>#VALUE!</v>
      </c>
      <c r="HW54" t="b">
        <f>AND(DATA!L53,"AAAAAH279+Y=")</f>
        <v>1</v>
      </c>
      <c r="HX54" t="b">
        <f>AND(DATA!M53,"AAAAAH279+c=")</f>
        <v>1</v>
      </c>
      <c r="HY54" t="b">
        <f>AND(DATA!N53,"AAAAAH279+g=")</f>
        <v>1</v>
      </c>
      <c r="HZ54" t="b">
        <f>AND(DATA!O53,"AAAAAH279+k=")</f>
        <v>1</v>
      </c>
      <c r="IA54" t="b">
        <f>AND(DATA!P53,"AAAAAH279+o=")</f>
        <v>1</v>
      </c>
      <c r="IB54" t="b">
        <f>AND(DATA!Q53,"AAAAAH279+s=")</f>
        <v>1</v>
      </c>
      <c r="IC54" t="b">
        <f>AND(DATA!R53,"AAAAAH279+w=")</f>
        <v>1</v>
      </c>
      <c r="ID54" t="b">
        <f>AND(DATA!S53,"AAAAAH279+0=")</f>
        <v>1</v>
      </c>
      <c r="IE54" t="b">
        <f>AND(DATA!T53,"AAAAAH279+4=")</f>
        <v>1</v>
      </c>
      <c r="IF54" t="e">
        <f>AND(DATA!U53,"AAAAAH279+8=")</f>
        <v>#VALUE!</v>
      </c>
      <c r="IG54" t="b">
        <f>AND(DATA!V53,"AAAAAH279/A=")</f>
        <v>1</v>
      </c>
      <c r="IH54" t="e">
        <f>AND(DATA!W52,"AAAAAH279/E=")</f>
        <v>#VALUE!</v>
      </c>
      <c r="II54" t="e">
        <f>AND(DATA!X52,"AAAAAH279/I=")</f>
        <v>#VALUE!</v>
      </c>
      <c r="IJ54" t="e">
        <f>AND(DATA!Y52,"AAAAAH279/M=")</f>
        <v>#VALUE!</v>
      </c>
      <c r="IK54">
        <f>IF(DATA!53:53,"AAAAAH279/Q=",0)</f>
        <v>0</v>
      </c>
      <c r="IL54" t="b">
        <f>AND(DATA!A53,"AAAAAH279/U=")</f>
        <v>1</v>
      </c>
      <c r="IM54" t="b">
        <f>AND(DATA!B53,"AAAAAH279/Y=")</f>
        <v>1</v>
      </c>
      <c r="IN54" t="e">
        <f>AND(DATA!C53,"AAAAAH279/c=")</f>
        <v>#VALUE!</v>
      </c>
      <c r="IO54" t="e">
        <f>AND(DATA!D53,"AAAAAH279/g=")</f>
        <v>#VALUE!</v>
      </c>
      <c r="IP54" t="e">
        <f>AND(DATA!E53,"AAAAAH279/k=")</f>
        <v>#VALUE!</v>
      </c>
      <c r="IQ54" t="b">
        <f>AND(DATA!F53,"AAAAAH279/o=")</f>
        <v>1</v>
      </c>
      <c r="IR54" t="b">
        <f>AND(DATA!G53,"AAAAAH279/s=")</f>
        <v>1</v>
      </c>
      <c r="IS54" t="e">
        <f>AND(DATA!H53,"AAAAAH279/w=")</f>
        <v>#VALUE!</v>
      </c>
      <c r="IT54" t="e">
        <f>AND(DATA!I53,"AAAAAH279/0=")</f>
        <v>#VALUE!</v>
      </c>
      <c r="IU54" t="e">
        <f>AND(DATA!J53,"AAAAAH279/4=")</f>
        <v>#VALUE!</v>
      </c>
      <c r="IV54" t="e">
        <f>AND(DATA!K53,"AAAAAH279/8=")</f>
        <v>#VALUE!</v>
      </c>
    </row>
    <row r="55" spans="1:256" x14ac:dyDescent="0.25">
      <c r="A55" t="b">
        <f>AND(DATA!L54,"AAAAAD/+VgA=")</f>
        <v>1</v>
      </c>
      <c r="B55" t="b">
        <f>AND(DATA!M54,"AAAAAD/+VgE=")</f>
        <v>1</v>
      </c>
      <c r="C55" t="b">
        <f>AND(DATA!N54,"AAAAAD/+VgI=")</f>
        <v>1</v>
      </c>
      <c r="D55" t="b">
        <f>AND(DATA!O54,"AAAAAD/+VgM=")</f>
        <v>1</v>
      </c>
      <c r="E55" t="b">
        <f>AND(DATA!P54,"AAAAAD/+VgQ=")</f>
        <v>1</v>
      </c>
      <c r="F55" t="b">
        <f>AND(DATA!Q54,"AAAAAD/+VgU=")</f>
        <v>1</v>
      </c>
      <c r="G55" t="b">
        <f>AND(DATA!R54,"AAAAAD/+VgY=")</f>
        <v>1</v>
      </c>
      <c r="H55" t="b">
        <f>AND(DATA!S54,"AAAAAD/+Vgc=")</f>
        <v>1</v>
      </c>
      <c r="I55" t="b">
        <f>AND(DATA!T54,"AAAAAD/+Vgg=")</f>
        <v>1</v>
      </c>
      <c r="J55" t="e">
        <f>AND(DATA!U54,"AAAAAD/+Vgk=")</f>
        <v>#VALUE!</v>
      </c>
      <c r="K55" t="b">
        <f>AND(DATA!V54,"AAAAAD/+Vgo=")</f>
        <v>1</v>
      </c>
      <c r="L55" t="e">
        <f>AND(DATA!W53,"AAAAAD/+Vgs=")</f>
        <v>#VALUE!</v>
      </c>
      <c r="M55" t="e">
        <f>AND(DATA!X53,"AAAAAD/+Vgw=")</f>
        <v>#VALUE!</v>
      </c>
      <c r="N55" t="e">
        <f>AND(DATA!Y53,"AAAAAD/+Vg0=")</f>
        <v>#VALUE!</v>
      </c>
      <c r="O55" t="str">
        <f>IF(DATA!54:54,"AAAAAD/+Vg4=",0)</f>
        <v>AAAAAD/+Vg4=</v>
      </c>
      <c r="P55" t="e">
        <f>AND(DATA!A54,"AAAAAD/+Vg8=")</f>
        <v>#VALUE!</v>
      </c>
      <c r="Q55" t="e">
        <f>AND(DATA!B54,"AAAAAD/+VhA=")</f>
        <v>#VALUE!</v>
      </c>
      <c r="R55" t="e">
        <f>AND(DATA!C54,"AAAAAD/+VhE=")</f>
        <v>#VALUE!</v>
      </c>
      <c r="S55" t="e">
        <f>AND(DATA!D54,"AAAAAD/+VhI=")</f>
        <v>#VALUE!</v>
      </c>
      <c r="T55" t="e">
        <f>AND(DATA!E54,"AAAAAD/+VhM=")</f>
        <v>#VALUE!</v>
      </c>
      <c r="U55" t="b">
        <f>AND(DATA!F54,"AAAAAD/+VhQ=")</f>
        <v>1</v>
      </c>
      <c r="V55" t="b">
        <f>AND(DATA!G54,"AAAAAD/+VhU=")</f>
        <v>1</v>
      </c>
      <c r="W55" t="e">
        <f>AND(DATA!H54,"AAAAAD/+VhY=")</f>
        <v>#VALUE!</v>
      </c>
      <c r="X55" t="e">
        <f>AND(DATA!I54,"AAAAAD/+Vhc=")</f>
        <v>#VALUE!</v>
      </c>
      <c r="Y55" t="e">
        <f>AND(DATA!J54,"AAAAAD/+Vhg=")</f>
        <v>#VALUE!</v>
      </c>
      <c r="Z55" t="e">
        <f>AND(DATA!K54,"AAAAAD/+Vhk=")</f>
        <v>#VALUE!</v>
      </c>
      <c r="AA55" t="b">
        <f>AND(DATA!L55,"AAAAAD/+Vho=")</f>
        <v>1</v>
      </c>
      <c r="AB55" t="b">
        <f>AND(DATA!M55,"AAAAAD/+Vhs=")</f>
        <v>1</v>
      </c>
      <c r="AC55" t="b">
        <f>AND(DATA!N55,"AAAAAD/+Vhw=")</f>
        <v>1</v>
      </c>
      <c r="AD55" t="b">
        <f>AND(DATA!O55,"AAAAAD/+Vh0=")</f>
        <v>1</v>
      </c>
      <c r="AE55" t="b">
        <f>AND(DATA!P55,"AAAAAD/+Vh4=")</f>
        <v>1</v>
      </c>
      <c r="AF55" t="b">
        <f>AND(DATA!Q55,"AAAAAD/+Vh8=")</f>
        <v>1</v>
      </c>
      <c r="AG55" t="b">
        <f>AND(DATA!R55,"AAAAAD/+ViA=")</f>
        <v>1</v>
      </c>
      <c r="AH55" t="b">
        <f>AND(DATA!S55,"AAAAAD/+ViE=")</f>
        <v>1</v>
      </c>
      <c r="AI55" t="b">
        <f>AND(DATA!T55,"AAAAAD/+ViI=")</f>
        <v>1</v>
      </c>
      <c r="AJ55" t="e">
        <f>AND(DATA!U55,"AAAAAD/+ViM=")</f>
        <v>#VALUE!</v>
      </c>
      <c r="AK55" t="b">
        <f>AND(DATA!V55,"AAAAAD/+ViQ=")</f>
        <v>1</v>
      </c>
      <c r="AL55" t="e">
        <f>AND(DATA!W54,"AAAAAD/+ViU=")</f>
        <v>#VALUE!</v>
      </c>
      <c r="AM55" t="e">
        <f>AND(DATA!X54,"AAAAAD/+ViY=")</f>
        <v>#VALUE!</v>
      </c>
      <c r="AN55" t="e">
        <f>AND(DATA!Y54,"AAAAAD/+Vic=")</f>
        <v>#VALUE!</v>
      </c>
      <c r="AO55">
        <f>IF(DATA!55:55,"AAAAAD/+Vig=",0)</f>
        <v>0</v>
      </c>
      <c r="AP55" t="e">
        <f>AND(DATA!A55,"AAAAAD/+Vik=")</f>
        <v>#VALUE!</v>
      </c>
      <c r="AQ55" t="e">
        <f>AND(DATA!B55,"AAAAAD/+Vio=")</f>
        <v>#VALUE!</v>
      </c>
      <c r="AR55" t="e">
        <f>AND(DATA!C55,"AAAAAD/+Vis=")</f>
        <v>#VALUE!</v>
      </c>
      <c r="AS55" t="e">
        <f>AND(DATA!D55,"AAAAAD/+Viw=")</f>
        <v>#VALUE!</v>
      </c>
      <c r="AT55" t="e">
        <f>AND(DATA!E55,"AAAAAD/+Vi0=")</f>
        <v>#VALUE!</v>
      </c>
      <c r="AU55" t="b">
        <f>AND(DATA!F55,"AAAAAD/+Vi4=")</f>
        <v>1</v>
      </c>
      <c r="AV55" t="b">
        <f>AND(DATA!G55,"AAAAAD/+Vi8=")</f>
        <v>1</v>
      </c>
      <c r="AW55" t="e">
        <f>AND(DATA!H55,"AAAAAD/+VjA=")</f>
        <v>#VALUE!</v>
      </c>
      <c r="AX55" t="e">
        <f>AND(DATA!I55,"AAAAAD/+VjE=")</f>
        <v>#VALUE!</v>
      </c>
      <c r="AY55" t="e">
        <f>AND(DATA!J55,"AAAAAD/+VjI=")</f>
        <v>#VALUE!</v>
      </c>
      <c r="AZ55" t="e">
        <f>AND(DATA!K55,"AAAAAD/+VjM=")</f>
        <v>#VALUE!</v>
      </c>
      <c r="BA55" t="b">
        <f>AND(DATA!L56,"AAAAAD/+VjQ=")</f>
        <v>1</v>
      </c>
      <c r="BB55" t="b">
        <f>AND(DATA!M56,"AAAAAD/+VjU=")</f>
        <v>1</v>
      </c>
      <c r="BC55" t="b">
        <f>AND(DATA!N56,"AAAAAD/+VjY=")</f>
        <v>1</v>
      </c>
      <c r="BD55" t="b">
        <f>AND(DATA!O56,"AAAAAD/+Vjc=")</f>
        <v>1</v>
      </c>
      <c r="BE55" t="b">
        <f>AND(DATA!P56,"AAAAAD/+Vjg=")</f>
        <v>1</v>
      </c>
      <c r="BF55" t="b">
        <f>AND(DATA!Q56,"AAAAAD/+Vjk=")</f>
        <v>1</v>
      </c>
      <c r="BG55" t="b">
        <f>AND(DATA!R56,"AAAAAD/+Vjo=")</f>
        <v>1</v>
      </c>
      <c r="BH55" t="b">
        <f>AND(DATA!S56,"AAAAAD/+Vjs=")</f>
        <v>1</v>
      </c>
      <c r="BI55" t="b">
        <f>AND(DATA!T56,"AAAAAD/+Vjw=")</f>
        <v>1</v>
      </c>
      <c r="BJ55" t="e">
        <f>AND(DATA!U56,"AAAAAD/+Vj0=")</f>
        <v>#VALUE!</v>
      </c>
      <c r="BK55" t="b">
        <f>AND(DATA!V56,"AAAAAD/+Vj4=")</f>
        <v>1</v>
      </c>
      <c r="BL55" t="e">
        <f>AND(DATA!W55,"AAAAAD/+Vj8=")</f>
        <v>#VALUE!</v>
      </c>
      <c r="BM55" t="e">
        <f>AND(DATA!X55,"AAAAAD/+VkA=")</f>
        <v>#VALUE!</v>
      </c>
      <c r="BN55" t="e">
        <f>AND(DATA!Y55,"AAAAAD/+VkE=")</f>
        <v>#VALUE!</v>
      </c>
      <c r="BO55">
        <f>IF(DATA!56:56,"AAAAAD/+VkI=",0)</f>
        <v>0</v>
      </c>
      <c r="BP55" t="e">
        <f>AND(DATA!A56,"AAAAAD/+VkM=")</f>
        <v>#VALUE!</v>
      </c>
      <c r="BQ55" t="e">
        <f>AND(DATA!B56,"AAAAAD/+VkQ=")</f>
        <v>#VALUE!</v>
      </c>
      <c r="BR55" t="e">
        <f>AND(DATA!C56,"AAAAAD/+VkU=")</f>
        <v>#VALUE!</v>
      </c>
      <c r="BS55" t="e">
        <f>AND(DATA!D56,"AAAAAD/+VkY=")</f>
        <v>#VALUE!</v>
      </c>
      <c r="BT55" t="e">
        <f>AND(DATA!E56,"AAAAAD/+Vkc=")</f>
        <v>#VALUE!</v>
      </c>
      <c r="BU55" t="b">
        <f>AND(DATA!F56,"AAAAAD/+Vkg=")</f>
        <v>1</v>
      </c>
      <c r="BV55" t="b">
        <f>AND(DATA!G56,"AAAAAD/+Vkk=")</f>
        <v>1</v>
      </c>
      <c r="BW55" t="e">
        <f>AND(DATA!H56,"AAAAAD/+Vko=")</f>
        <v>#VALUE!</v>
      </c>
      <c r="BX55" t="e">
        <f>AND(DATA!I56,"AAAAAD/+Vks=")</f>
        <v>#VALUE!</v>
      </c>
      <c r="BY55" t="e">
        <f>AND(DATA!J56,"AAAAAD/+Vkw=")</f>
        <v>#VALUE!</v>
      </c>
      <c r="BZ55" t="e">
        <f>AND(DATA!K56,"AAAAAD/+Vk0=")</f>
        <v>#VALUE!</v>
      </c>
      <c r="CA55" t="b">
        <f>AND(DATA!L57,"AAAAAD/+Vk4=")</f>
        <v>1</v>
      </c>
      <c r="CB55" t="b">
        <f>AND(DATA!M57,"AAAAAD/+Vk8=")</f>
        <v>1</v>
      </c>
      <c r="CC55" t="b">
        <f>AND(DATA!N57,"AAAAAD/+VlA=")</f>
        <v>1</v>
      </c>
      <c r="CD55" t="b">
        <f>AND(DATA!O57,"AAAAAD/+VlE=")</f>
        <v>1</v>
      </c>
      <c r="CE55" t="b">
        <f>AND(DATA!P57,"AAAAAD/+VlI=")</f>
        <v>1</v>
      </c>
      <c r="CF55" t="b">
        <f>AND(DATA!Q57,"AAAAAD/+VlM=")</f>
        <v>1</v>
      </c>
      <c r="CG55" t="b">
        <f>AND(DATA!R57,"AAAAAD/+VlQ=")</f>
        <v>1</v>
      </c>
      <c r="CH55" t="b">
        <f>AND(DATA!S57,"AAAAAD/+VlU=")</f>
        <v>1</v>
      </c>
      <c r="CI55" t="b">
        <f>AND(DATA!T57,"AAAAAD/+VlY=")</f>
        <v>1</v>
      </c>
      <c r="CJ55" t="e">
        <f>AND(DATA!U57,"AAAAAD/+Vlc=")</f>
        <v>#VALUE!</v>
      </c>
      <c r="CK55" t="b">
        <f>AND(DATA!V57,"AAAAAD/+Vlg=")</f>
        <v>1</v>
      </c>
      <c r="CL55" t="e">
        <f>AND(DATA!W56,"AAAAAD/+Vlk=")</f>
        <v>#VALUE!</v>
      </c>
      <c r="CM55" t="e">
        <f>AND(DATA!X56,"AAAAAD/+Vlo=")</f>
        <v>#VALUE!</v>
      </c>
      <c r="CN55" t="e">
        <f>AND(DATA!Y56,"AAAAAD/+Vls=")</f>
        <v>#VALUE!</v>
      </c>
      <c r="CO55">
        <f>IF(DATA!57:57,"AAAAAD/+Vlw=",0)</f>
        <v>0</v>
      </c>
      <c r="CP55" t="e">
        <f>AND(DATA!A57,"AAAAAD/+Vl0=")</f>
        <v>#VALUE!</v>
      </c>
      <c r="CQ55" t="e">
        <f>AND(DATA!B57,"AAAAAD/+Vl4=")</f>
        <v>#VALUE!</v>
      </c>
      <c r="CR55" t="e">
        <f>AND(DATA!C57,"AAAAAD/+Vl8=")</f>
        <v>#VALUE!</v>
      </c>
      <c r="CS55" t="e">
        <f>AND(DATA!D57,"AAAAAD/+VmA=")</f>
        <v>#VALUE!</v>
      </c>
      <c r="CT55" t="e">
        <f>AND(DATA!E57,"AAAAAD/+VmE=")</f>
        <v>#VALUE!</v>
      </c>
      <c r="CU55" t="b">
        <f>AND(DATA!F57,"AAAAAD/+VmI=")</f>
        <v>1</v>
      </c>
      <c r="CV55" t="b">
        <f>AND(DATA!G57,"AAAAAD/+VmM=")</f>
        <v>1</v>
      </c>
      <c r="CW55" t="e">
        <f>AND(DATA!H57,"AAAAAD/+VmQ=")</f>
        <v>#VALUE!</v>
      </c>
      <c r="CX55" t="e">
        <f>AND(DATA!I57,"AAAAAD/+VmU=")</f>
        <v>#VALUE!</v>
      </c>
      <c r="CY55" t="e">
        <f>AND(DATA!J57,"AAAAAD/+VmY=")</f>
        <v>#VALUE!</v>
      </c>
      <c r="CZ55" t="e">
        <f>AND(DATA!K57,"AAAAAD/+Vmc=")</f>
        <v>#VALUE!</v>
      </c>
      <c r="DA55" t="b">
        <f>AND(DATA!L58,"AAAAAD/+Vmg=")</f>
        <v>1</v>
      </c>
      <c r="DB55" t="b">
        <f>AND(DATA!M58,"AAAAAD/+Vmk=")</f>
        <v>1</v>
      </c>
      <c r="DC55" t="b">
        <f>AND(DATA!N58,"AAAAAD/+Vmo=")</f>
        <v>1</v>
      </c>
      <c r="DD55" t="b">
        <f>AND(DATA!O58,"AAAAAD/+Vms=")</f>
        <v>1</v>
      </c>
      <c r="DE55" t="b">
        <f>AND(DATA!P58,"AAAAAD/+Vmw=")</f>
        <v>1</v>
      </c>
      <c r="DF55" t="b">
        <f>AND(DATA!Q58,"AAAAAD/+Vm0=")</f>
        <v>1</v>
      </c>
      <c r="DG55" t="b">
        <f>AND(DATA!R58,"AAAAAD/+Vm4=")</f>
        <v>1</v>
      </c>
      <c r="DH55" t="b">
        <f>AND(DATA!S58,"AAAAAD/+Vm8=")</f>
        <v>1</v>
      </c>
      <c r="DI55" t="b">
        <f>AND(DATA!T58,"AAAAAD/+VnA=")</f>
        <v>1</v>
      </c>
      <c r="DJ55" t="e">
        <f>AND(DATA!U58,"AAAAAD/+VnE=")</f>
        <v>#VALUE!</v>
      </c>
      <c r="DK55" t="b">
        <f>AND(DATA!V58,"AAAAAD/+VnI=")</f>
        <v>1</v>
      </c>
      <c r="DL55" t="e">
        <f>AND(DATA!W57,"AAAAAD/+VnM=")</f>
        <v>#VALUE!</v>
      </c>
      <c r="DM55" t="e">
        <f>AND(DATA!X57,"AAAAAD/+VnQ=")</f>
        <v>#VALUE!</v>
      </c>
      <c r="DN55" t="e">
        <f>AND(DATA!Y57,"AAAAAD/+VnU=")</f>
        <v>#VALUE!</v>
      </c>
      <c r="DO55">
        <f>IF(DATA!58:58,"AAAAAD/+VnY=",0)</f>
        <v>0</v>
      </c>
      <c r="DP55" t="e">
        <f>AND(DATA!A58,"AAAAAD/+Vnc=")</f>
        <v>#VALUE!</v>
      </c>
      <c r="DQ55" t="e">
        <f>AND(DATA!B58,"AAAAAD/+Vng=")</f>
        <v>#VALUE!</v>
      </c>
      <c r="DR55" t="e">
        <f>AND(DATA!C58,"AAAAAD/+Vnk=")</f>
        <v>#VALUE!</v>
      </c>
      <c r="DS55" t="e">
        <f>AND(DATA!D58,"AAAAAD/+Vno=")</f>
        <v>#VALUE!</v>
      </c>
      <c r="DT55" t="e">
        <f>AND(DATA!E58,"AAAAAD/+Vns=")</f>
        <v>#VALUE!</v>
      </c>
      <c r="DU55" t="b">
        <f>AND(DATA!F58,"AAAAAD/+Vnw=")</f>
        <v>1</v>
      </c>
      <c r="DV55" t="b">
        <f>AND(DATA!G58,"AAAAAD/+Vn0=")</f>
        <v>1</v>
      </c>
      <c r="DW55" t="e">
        <f>AND(DATA!H58,"AAAAAD/+Vn4=")</f>
        <v>#VALUE!</v>
      </c>
      <c r="DX55" t="e">
        <f>AND(DATA!I58,"AAAAAD/+Vn8=")</f>
        <v>#VALUE!</v>
      </c>
      <c r="DY55" t="e">
        <f>AND(DATA!J58,"AAAAAD/+VoA=")</f>
        <v>#VALUE!</v>
      </c>
      <c r="DZ55" t="e">
        <f>AND(DATA!K58,"AAAAAD/+VoE=")</f>
        <v>#VALUE!</v>
      </c>
      <c r="EA55" t="b">
        <f>AND(DATA!L59,"AAAAAD/+VoI=")</f>
        <v>1</v>
      </c>
      <c r="EB55" t="b">
        <f>AND(DATA!M59,"AAAAAD/+VoM=")</f>
        <v>1</v>
      </c>
      <c r="EC55" t="b">
        <f>AND(DATA!N59,"AAAAAD/+VoQ=")</f>
        <v>1</v>
      </c>
      <c r="ED55" t="b">
        <f>AND(DATA!O59,"AAAAAD/+VoU=")</f>
        <v>1</v>
      </c>
      <c r="EE55" t="b">
        <f>AND(DATA!P59,"AAAAAD/+VoY=")</f>
        <v>1</v>
      </c>
      <c r="EF55" t="b">
        <f>AND(DATA!Q59,"AAAAAD/+Voc=")</f>
        <v>1</v>
      </c>
      <c r="EG55" t="b">
        <f>AND(DATA!R59,"AAAAAD/+Vog=")</f>
        <v>1</v>
      </c>
      <c r="EH55" t="b">
        <f>AND(DATA!S59,"AAAAAD/+Vok=")</f>
        <v>1</v>
      </c>
      <c r="EI55" t="b">
        <f>AND(DATA!T59,"AAAAAD/+Voo=")</f>
        <v>1</v>
      </c>
      <c r="EJ55" t="e">
        <f>AND(DATA!U59,"AAAAAD/+Vos=")</f>
        <v>#VALUE!</v>
      </c>
      <c r="EK55" t="b">
        <f>AND(DATA!V59,"AAAAAD/+Vow=")</f>
        <v>1</v>
      </c>
      <c r="EL55" t="e">
        <f>AND(DATA!W58,"AAAAAD/+Vo0=")</f>
        <v>#VALUE!</v>
      </c>
      <c r="EM55" t="e">
        <f>AND(DATA!X58,"AAAAAD/+Vo4=")</f>
        <v>#VALUE!</v>
      </c>
      <c r="EN55" t="e">
        <f>AND(DATA!Y58,"AAAAAD/+Vo8=")</f>
        <v>#VALUE!</v>
      </c>
      <c r="EO55">
        <f>IF(DATA!59:59,"AAAAAD/+VpA=",0)</f>
        <v>0</v>
      </c>
      <c r="EP55" t="e">
        <f>AND(DATA!A59,"AAAAAD/+VpE=")</f>
        <v>#VALUE!</v>
      </c>
      <c r="EQ55" t="e">
        <f>AND(DATA!B59,"AAAAAD/+VpI=")</f>
        <v>#VALUE!</v>
      </c>
      <c r="ER55" t="e">
        <f>AND(DATA!C59,"AAAAAD/+VpM=")</f>
        <v>#VALUE!</v>
      </c>
      <c r="ES55" t="e">
        <f>AND(DATA!D59,"AAAAAD/+VpQ=")</f>
        <v>#VALUE!</v>
      </c>
      <c r="ET55" t="e">
        <f>AND(DATA!E59,"AAAAAD/+VpU=")</f>
        <v>#VALUE!</v>
      </c>
      <c r="EU55" t="b">
        <f>AND(DATA!F59,"AAAAAD/+VpY=")</f>
        <v>1</v>
      </c>
      <c r="EV55" t="b">
        <f>AND(DATA!G59,"AAAAAD/+Vpc=")</f>
        <v>1</v>
      </c>
      <c r="EW55" t="e">
        <f>AND(DATA!H59,"AAAAAD/+Vpg=")</f>
        <v>#VALUE!</v>
      </c>
      <c r="EX55" t="e">
        <f>AND(DATA!I59,"AAAAAD/+Vpk=")</f>
        <v>#VALUE!</v>
      </c>
      <c r="EY55" t="e">
        <f>AND(DATA!J59,"AAAAAD/+Vpo=")</f>
        <v>#VALUE!</v>
      </c>
      <c r="EZ55" t="e">
        <f>AND(DATA!K59,"AAAAAD/+Vps=")</f>
        <v>#VALUE!</v>
      </c>
      <c r="FA55" t="b">
        <f>AND(DATA!L60,"AAAAAD/+Vpw=")</f>
        <v>1</v>
      </c>
      <c r="FB55" t="b">
        <f>AND(DATA!M60,"AAAAAD/+Vp0=")</f>
        <v>1</v>
      </c>
      <c r="FC55" t="b">
        <f>AND(DATA!N60,"AAAAAD/+Vp4=")</f>
        <v>1</v>
      </c>
      <c r="FD55" t="b">
        <f>AND(DATA!O60,"AAAAAD/+Vp8=")</f>
        <v>1</v>
      </c>
      <c r="FE55" t="b">
        <f>AND(DATA!P60,"AAAAAD/+VqA=")</f>
        <v>1</v>
      </c>
      <c r="FF55" t="b">
        <f>AND(DATA!Q60,"AAAAAD/+VqE=")</f>
        <v>1</v>
      </c>
      <c r="FG55" t="b">
        <f>AND(DATA!R60,"AAAAAD/+VqI=")</f>
        <v>1</v>
      </c>
      <c r="FH55" t="b">
        <f>AND(DATA!S60,"AAAAAD/+VqM=")</f>
        <v>1</v>
      </c>
      <c r="FI55" t="b">
        <f>AND(DATA!T60,"AAAAAD/+VqQ=")</f>
        <v>1</v>
      </c>
      <c r="FJ55" t="e">
        <f>AND(DATA!U60,"AAAAAD/+VqU=")</f>
        <v>#VALUE!</v>
      </c>
      <c r="FK55" t="b">
        <f>AND(DATA!V60,"AAAAAD/+VqY=")</f>
        <v>1</v>
      </c>
      <c r="FL55" t="e">
        <f>AND(DATA!W59,"AAAAAD/+Vqc=")</f>
        <v>#VALUE!</v>
      </c>
      <c r="FM55" t="e">
        <f>AND(DATA!X59,"AAAAAD/+Vqg=")</f>
        <v>#VALUE!</v>
      </c>
      <c r="FN55" t="e">
        <f>AND(DATA!Y59,"AAAAAD/+Vqk=")</f>
        <v>#VALUE!</v>
      </c>
      <c r="FO55">
        <f>IF(DATA!60:60,"AAAAAD/+Vqo=",0)</f>
        <v>0</v>
      </c>
      <c r="FP55" t="e">
        <f>AND(DATA!A60,"AAAAAD/+Vqs=")</f>
        <v>#VALUE!</v>
      </c>
      <c r="FQ55" t="e">
        <f>AND(DATA!B60,"AAAAAD/+Vqw=")</f>
        <v>#VALUE!</v>
      </c>
      <c r="FR55" t="e">
        <f>AND(DATA!C60,"AAAAAD/+Vq0=")</f>
        <v>#VALUE!</v>
      </c>
      <c r="FS55" t="e">
        <f>AND(DATA!D60,"AAAAAD/+Vq4=")</f>
        <v>#VALUE!</v>
      </c>
      <c r="FT55" t="e">
        <f>AND(DATA!E60,"AAAAAD/+Vq8=")</f>
        <v>#VALUE!</v>
      </c>
      <c r="FU55" t="e">
        <f>AND(DATA!F60,"AAAAAD/+VrA=")</f>
        <v>#VALUE!</v>
      </c>
      <c r="FV55" t="e">
        <f>AND(DATA!G60,"AAAAAD/+VrE=")</f>
        <v>#VALUE!</v>
      </c>
      <c r="FW55" t="e">
        <f>AND(DATA!H60,"AAAAAD/+VrI=")</f>
        <v>#VALUE!</v>
      </c>
      <c r="FX55" t="e">
        <f>AND(DATA!I60,"AAAAAD/+VrM=")</f>
        <v>#VALUE!</v>
      </c>
      <c r="FY55" t="e">
        <f>AND(DATA!J60,"AAAAAD/+VrQ=")</f>
        <v>#VALUE!</v>
      </c>
      <c r="FZ55" t="e">
        <f>AND(DATA!K60,"AAAAAD/+VrU=")</f>
        <v>#VALUE!</v>
      </c>
      <c r="GA55" t="b">
        <f>AND(DATA!L61,"AAAAAD/+VrY=")</f>
        <v>1</v>
      </c>
      <c r="GB55" t="b">
        <f>AND(DATA!M61,"AAAAAD/+Vrc=")</f>
        <v>1</v>
      </c>
      <c r="GC55" t="b">
        <f>AND(DATA!N61,"AAAAAD/+Vrg=")</f>
        <v>1</v>
      </c>
      <c r="GD55" t="b">
        <f>AND(DATA!O61,"AAAAAD/+Vrk=")</f>
        <v>1</v>
      </c>
      <c r="GE55" t="b">
        <f>AND(DATA!P61,"AAAAAD/+Vro=")</f>
        <v>1</v>
      </c>
      <c r="GF55" t="b">
        <f>AND(DATA!Q61,"AAAAAD/+Vrs=")</f>
        <v>1</v>
      </c>
      <c r="GG55" t="b">
        <f>AND(DATA!R61,"AAAAAD/+Vrw=")</f>
        <v>1</v>
      </c>
      <c r="GH55" t="b">
        <f>AND(DATA!S61,"AAAAAD/+Vr0=")</f>
        <v>1</v>
      </c>
      <c r="GI55" t="b">
        <f>AND(DATA!T61,"AAAAAD/+Vr4=")</f>
        <v>1</v>
      </c>
      <c r="GJ55" t="e">
        <f>AND(DATA!U61,"AAAAAD/+Vr8=")</f>
        <v>#VALUE!</v>
      </c>
      <c r="GK55" t="b">
        <f>AND(DATA!V61,"AAAAAD/+VsA=")</f>
        <v>1</v>
      </c>
      <c r="GL55" t="e">
        <f>AND(DATA!W60,"AAAAAD/+VsE=")</f>
        <v>#VALUE!</v>
      </c>
      <c r="GM55" t="e">
        <f>AND(DATA!X60,"AAAAAD/+VsI=")</f>
        <v>#VALUE!</v>
      </c>
      <c r="GN55" t="e">
        <f>AND(DATA!Y60,"AAAAAD/+VsM=")</f>
        <v>#VALUE!</v>
      </c>
      <c r="GO55">
        <f>IF(DATA!61:61,"AAAAAD/+VsQ=",0)</f>
        <v>0</v>
      </c>
      <c r="GP55" t="e">
        <f>AND(DATA!A61,"AAAAAD/+VsU=")</f>
        <v>#VALUE!</v>
      </c>
      <c r="GQ55" t="e">
        <f>AND(DATA!B61,"AAAAAD/+VsY=")</f>
        <v>#VALUE!</v>
      </c>
      <c r="GR55" t="e">
        <f>AND(DATA!C61,"AAAAAD/+Vsc=")</f>
        <v>#VALUE!</v>
      </c>
      <c r="GS55" t="e">
        <f>AND(DATA!D61,"AAAAAD/+Vsg=")</f>
        <v>#VALUE!</v>
      </c>
      <c r="GT55" t="e">
        <f>AND(DATA!E61,"AAAAAD/+Vsk=")</f>
        <v>#VALUE!</v>
      </c>
      <c r="GU55" t="e">
        <f>AND(DATA!F61,"AAAAAD/+Vso=")</f>
        <v>#VALUE!</v>
      </c>
      <c r="GV55" t="e">
        <f>AND(DATA!G61,"AAAAAD/+Vss=")</f>
        <v>#VALUE!</v>
      </c>
      <c r="GW55" t="e">
        <f>AND(DATA!H61,"AAAAAD/+Vsw=")</f>
        <v>#VALUE!</v>
      </c>
      <c r="GX55" t="e">
        <f>AND(DATA!I61,"AAAAAD/+Vs0=")</f>
        <v>#VALUE!</v>
      </c>
      <c r="GY55" t="e">
        <f>AND(DATA!J61,"AAAAAD/+Vs4=")</f>
        <v>#VALUE!</v>
      </c>
      <c r="GZ55" t="e">
        <f>AND(DATA!K61,"AAAAAD/+Vs8=")</f>
        <v>#VALUE!</v>
      </c>
      <c r="HA55" t="b">
        <f>AND(DATA!L62,"AAAAAD/+VtA=")</f>
        <v>1</v>
      </c>
      <c r="HB55" t="b">
        <f>AND(DATA!M62,"AAAAAD/+VtE=")</f>
        <v>1</v>
      </c>
      <c r="HC55" t="b">
        <f>AND(DATA!N62,"AAAAAD/+VtI=")</f>
        <v>1</v>
      </c>
      <c r="HD55" t="b">
        <f>AND(DATA!O62,"AAAAAD/+VtM=")</f>
        <v>1</v>
      </c>
      <c r="HE55" t="b">
        <f>AND(DATA!P62,"AAAAAD/+VtQ=")</f>
        <v>1</v>
      </c>
      <c r="HF55" t="b">
        <f>AND(DATA!Q62,"AAAAAD/+VtU=")</f>
        <v>1</v>
      </c>
      <c r="HG55" t="b">
        <f>AND(DATA!R62,"AAAAAD/+VtY=")</f>
        <v>1</v>
      </c>
      <c r="HH55" t="b">
        <f>AND(DATA!S62,"AAAAAD/+Vtc=")</f>
        <v>1</v>
      </c>
      <c r="HI55" t="b">
        <f>AND(DATA!T62,"AAAAAD/+Vtg=")</f>
        <v>1</v>
      </c>
      <c r="HJ55" t="e">
        <f>AND(DATA!U62,"AAAAAD/+Vtk=")</f>
        <v>#VALUE!</v>
      </c>
      <c r="HK55" t="b">
        <f>AND(DATA!V62,"AAAAAD/+Vto=")</f>
        <v>1</v>
      </c>
      <c r="HL55" t="e">
        <f>AND(DATA!W61,"AAAAAD/+Vts=")</f>
        <v>#VALUE!</v>
      </c>
      <c r="HM55" t="e">
        <f>AND(DATA!X61,"AAAAAD/+Vtw=")</f>
        <v>#VALUE!</v>
      </c>
      <c r="HN55" t="e">
        <f>AND(DATA!Y61,"AAAAAD/+Vt0=")</f>
        <v>#VALUE!</v>
      </c>
      <c r="HO55">
        <f>IF(DATA!62:62,"AAAAAD/+Vt4=",0)</f>
        <v>0</v>
      </c>
      <c r="HP55" t="e">
        <f>AND(DATA!A62,"AAAAAD/+Vt8=")</f>
        <v>#VALUE!</v>
      </c>
      <c r="HQ55" t="e">
        <f>AND(DATA!B62,"AAAAAD/+VuA=")</f>
        <v>#VALUE!</v>
      </c>
      <c r="HR55" t="e">
        <f>AND(DATA!C62,"AAAAAD/+VuE=")</f>
        <v>#VALUE!</v>
      </c>
      <c r="HS55" t="e">
        <f>AND(DATA!D62,"AAAAAD/+VuI=")</f>
        <v>#VALUE!</v>
      </c>
      <c r="HT55" t="e">
        <f>AND(DATA!E62,"AAAAAD/+VuM=")</f>
        <v>#VALUE!</v>
      </c>
      <c r="HU55" t="e">
        <f>AND(DATA!F62,"AAAAAD/+VuQ=")</f>
        <v>#VALUE!</v>
      </c>
      <c r="HV55" t="e">
        <f>AND(DATA!G62,"AAAAAD/+VuU=")</f>
        <v>#VALUE!</v>
      </c>
      <c r="HW55" t="e">
        <f>AND(DATA!H62,"AAAAAD/+VuY=")</f>
        <v>#VALUE!</v>
      </c>
      <c r="HX55" t="e">
        <f>AND(DATA!I62,"AAAAAD/+Vuc=")</f>
        <v>#VALUE!</v>
      </c>
      <c r="HY55" t="e">
        <f>AND(DATA!J62,"AAAAAD/+Vug=")</f>
        <v>#VALUE!</v>
      </c>
      <c r="HZ55" t="e">
        <f>AND(DATA!K62,"AAAAAD/+Vuk=")</f>
        <v>#VALUE!</v>
      </c>
      <c r="IA55" t="b">
        <f>AND(DATA!L63,"AAAAAD/+Vuo=")</f>
        <v>1</v>
      </c>
      <c r="IB55" t="b">
        <f>AND(DATA!M63,"AAAAAD/+Vus=")</f>
        <v>1</v>
      </c>
      <c r="IC55" t="b">
        <f>AND(DATA!N63,"AAAAAD/+Vuw=")</f>
        <v>1</v>
      </c>
      <c r="ID55" t="b">
        <f>AND(DATA!O63,"AAAAAD/+Vu0=")</f>
        <v>1</v>
      </c>
      <c r="IE55" t="b">
        <f>AND(DATA!P63,"AAAAAD/+Vu4=")</f>
        <v>1</v>
      </c>
      <c r="IF55" t="b">
        <f>AND(DATA!Q63,"AAAAAD/+Vu8=")</f>
        <v>1</v>
      </c>
      <c r="IG55" t="b">
        <f>AND(DATA!R63,"AAAAAD/+VvA=")</f>
        <v>1</v>
      </c>
      <c r="IH55" t="b">
        <f>AND(DATA!S63,"AAAAAD/+VvE=")</f>
        <v>1</v>
      </c>
      <c r="II55" t="b">
        <f>AND(DATA!T63,"AAAAAD/+VvI=")</f>
        <v>1</v>
      </c>
      <c r="IJ55" t="e">
        <f>AND(DATA!U63,"AAAAAD/+VvM=")</f>
        <v>#VALUE!</v>
      </c>
      <c r="IK55" t="b">
        <f>AND(DATA!V63,"AAAAAD/+VvQ=")</f>
        <v>1</v>
      </c>
      <c r="IL55" t="e">
        <f>AND(DATA!W62,"AAAAAD/+VvU=")</f>
        <v>#VALUE!</v>
      </c>
      <c r="IM55" t="e">
        <f>AND(DATA!X62,"AAAAAD/+VvY=")</f>
        <v>#VALUE!</v>
      </c>
      <c r="IN55" t="e">
        <f>AND(DATA!Y62,"AAAAAD/+Vvc=")</f>
        <v>#VALUE!</v>
      </c>
      <c r="IO55">
        <f>IF(DATA!63:63,"AAAAAD/+Vvg=",0)</f>
        <v>0</v>
      </c>
      <c r="IP55" t="e">
        <f>AND(DATA!A63,"AAAAAD/+Vvk=")</f>
        <v>#VALUE!</v>
      </c>
      <c r="IQ55" t="e">
        <f>AND(DATA!B63,"AAAAAD/+Vvo=")</f>
        <v>#VALUE!</v>
      </c>
      <c r="IR55" t="e">
        <f>AND(DATA!C63,"AAAAAD/+Vvs=")</f>
        <v>#VALUE!</v>
      </c>
      <c r="IS55" t="e">
        <f>AND(DATA!D63,"AAAAAD/+Vvw=")</f>
        <v>#VALUE!</v>
      </c>
      <c r="IT55" t="e">
        <f>AND(DATA!E63,"AAAAAD/+Vv0=")</f>
        <v>#VALUE!</v>
      </c>
      <c r="IU55" t="e">
        <f>AND(DATA!F63,"AAAAAD/+Vv4=")</f>
        <v>#VALUE!</v>
      </c>
      <c r="IV55" t="e">
        <f>AND(DATA!G63,"AAAAAD/+Vv8=")</f>
        <v>#VALUE!</v>
      </c>
    </row>
    <row r="56" spans="1:256" x14ac:dyDescent="0.25">
      <c r="A56" t="e">
        <f>AND(DATA!H63,"AAAAAG7ULgA=")</f>
        <v>#VALUE!</v>
      </c>
      <c r="B56" t="e">
        <f>AND(DATA!I63,"AAAAAG7ULgE=")</f>
        <v>#VALUE!</v>
      </c>
      <c r="C56" t="e">
        <f>AND(DATA!J63,"AAAAAG7ULgI=")</f>
        <v>#VALUE!</v>
      </c>
      <c r="D56" t="e">
        <f>AND(DATA!K63,"AAAAAG7ULgM=")</f>
        <v>#VALUE!</v>
      </c>
      <c r="E56" t="b">
        <f>AND(DATA!L64,"AAAAAG7ULgQ=")</f>
        <v>1</v>
      </c>
      <c r="F56" t="b">
        <f>AND(DATA!M64,"AAAAAG7ULgU=")</f>
        <v>1</v>
      </c>
      <c r="G56" t="b">
        <f>AND(DATA!N64,"AAAAAG7ULgY=")</f>
        <v>1</v>
      </c>
      <c r="H56" t="b">
        <f>AND(DATA!O64,"AAAAAG7ULgc=")</f>
        <v>1</v>
      </c>
      <c r="I56" t="b">
        <f>AND(DATA!P64,"AAAAAG7ULgg=")</f>
        <v>1</v>
      </c>
      <c r="J56" t="b">
        <f>AND(DATA!Q64,"AAAAAG7ULgk=")</f>
        <v>1</v>
      </c>
      <c r="K56" t="b">
        <f>AND(DATA!R64,"AAAAAG7ULgo=")</f>
        <v>1</v>
      </c>
      <c r="L56" t="b">
        <f>AND(DATA!S64,"AAAAAG7ULgs=")</f>
        <v>1</v>
      </c>
      <c r="M56" t="b">
        <f>AND(DATA!T64,"AAAAAG7ULgw=")</f>
        <v>1</v>
      </c>
      <c r="N56" t="e">
        <f>AND(DATA!U64,"AAAAAG7ULg0=")</f>
        <v>#VALUE!</v>
      </c>
      <c r="O56" t="b">
        <f>AND(DATA!V64,"AAAAAG7ULg4=")</f>
        <v>1</v>
      </c>
      <c r="P56" t="e">
        <f>AND(DATA!W63,"AAAAAG7ULg8=")</f>
        <v>#VALUE!</v>
      </c>
      <c r="Q56" t="e">
        <f>AND(DATA!X63,"AAAAAG7ULhA=")</f>
        <v>#VALUE!</v>
      </c>
      <c r="R56" t="e">
        <f>AND(DATA!Y63,"AAAAAG7ULhE=")</f>
        <v>#VALUE!</v>
      </c>
      <c r="S56" t="str">
        <f>IF(DATA!64:64,"AAAAAG7ULhI=",0)</f>
        <v>AAAAAG7ULhI=</v>
      </c>
      <c r="T56" t="e">
        <f>AND(DATA!A64,"AAAAAG7ULhM=")</f>
        <v>#VALUE!</v>
      </c>
      <c r="U56" t="e">
        <f>AND(DATA!B64,"AAAAAG7ULhQ=")</f>
        <v>#VALUE!</v>
      </c>
      <c r="V56" t="e">
        <f>AND(DATA!C64,"AAAAAG7ULhU=")</f>
        <v>#VALUE!</v>
      </c>
      <c r="W56" t="e">
        <f>AND(DATA!D64,"AAAAAG7ULhY=")</f>
        <v>#VALUE!</v>
      </c>
      <c r="X56" t="e">
        <f>AND(DATA!E64,"AAAAAG7ULhc=")</f>
        <v>#VALUE!</v>
      </c>
      <c r="Y56" t="e">
        <f>AND(DATA!F64,"AAAAAG7ULhg=")</f>
        <v>#VALUE!</v>
      </c>
      <c r="Z56" t="e">
        <f>AND(DATA!G64,"AAAAAG7ULhk=")</f>
        <v>#VALUE!</v>
      </c>
      <c r="AA56" t="e">
        <f>AND(DATA!H64,"AAAAAG7ULho=")</f>
        <v>#VALUE!</v>
      </c>
      <c r="AB56" t="e">
        <f>AND(DATA!I64,"AAAAAG7ULhs=")</f>
        <v>#VALUE!</v>
      </c>
      <c r="AC56" t="e">
        <f>AND(DATA!J64,"AAAAAG7ULhw=")</f>
        <v>#VALUE!</v>
      </c>
      <c r="AD56" t="e">
        <f>AND(DATA!K64,"AAAAAG7ULh0=")</f>
        <v>#VALUE!</v>
      </c>
      <c r="AE56" t="b">
        <f>AND(DATA!L65,"AAAAAG7ULh4=")</f>
        <v>1</v>
      </c>
      <c r="AF56" t="b">
        <f>AND(DATA!M65,"AAAAAG7ULh8=")</f>
        <v>1</v>
      </c>
      <c r="AG56" t="b">
        <f>AND(DATA!N65,"AAAAAG7ULiA=")</f>
        <v>1</v>
      </c>
      <c r="AH56" t="b">
        <f>AND(DATA!O65,"AAAAAG7ULiE=")</f>
        <v>1</v>
      </c>
      <c r="AI56" t="b">
        <f>AND(DATA!P65,"AAAAAG7ULiI=")</f>
        <v>1</v>
      </c>
      <c r="AJ56" t="b">
        <f>AND(DATA!Q65,"AAAAAG7ULiM=")</f>
        <v>1</v>
      </c>
      <c r="AK56" t="b">
        <f>AND(DATA!R65,"AAAAAG7ULiQ=")</f>
        <v>1</v>
      </c>
      <c r="AL56" t="b">
        <f>AND(DATA!S65,"AAAAAG7ULiU=")</f>
        <v>1</v>
      </c>
      <c r="AM56" t="b">
        <f>AND(DATA!T65,"AAAAAG7ULiY=")</f>
        <v>1</v>
      </c>
      <c r="AN56" t="e">
        <f>AND(DATA!U65,"AAAAAG7ULic=")</f>
        <v>#VALUE!</v>
      </c>
      <c r="AO56" t="b">
        <f>AND(DATA!V65,"AAAAAG7ULig=")</f>
        <v>1</v>
      </c>
      <c r="AP56" t="e">
        <f>AND(DATA!W64,"AAAAAG7ULik=")</f>
        <v>#VALUE!</v>
      </c>
      <c r="AQ56" t="e">
        <f>AND(DATA!X64,"AAAAAG7ULio=")</f>
        <v>#VALUE!</v>
      </c>
      <c r="AR56" t="e">
        <f>AND(DATA!Y64,"AAAAAG7ULis=")</f>
        <v>#VALUE!</v>
      </c>
      <c r="AS56">
        <f>IF(DATA!65:65,"AAAAAG7ULiw=",0)</f>
        <v>0</v>
      </c>
      <c r="AT56" t="e">
        <f>AND(DATA!A65,"AAAAAG7ULi0=")</f>
        <v>#VALUE!</v>
      </c>
      <c r="AU56" t="e">
        <f>AND(DATA!B65,"AAAAAG7ULi4=")</f>
        <v>#VALUE!</v>
      </c>
      <c r="AV56" t="e">
        <f>AND(DATA!C65,"AAAAAG7ULi8=")</f>
        <v>#VALUE!</v>
      </c>
      <c r="AW56" t="e">
        <f>AND(DATA!D65,"AAAAAG7ULjA=")</f>
        <v>#VALUE!</v>
      </c>
      <c r="AX56" t="e">
        <f>AND(DATA!E65,"AAAAAG7ULjE=")</f>
        <v>#VALUE!</v>
      </c>
      <c r="AY56" t="e">
        <f>AND(DATA!F65,"AAAAAG7ULjI=")</f>
        <v>#VALUE!</v>
      </c>
      <c r="AZ56" t="e">
        <f>AND(DATA!G65,"AAAAAG7ULjM=")</f>
        <v>#VALUE!</v>
      </c>
      <c r="BA56" t="e">
        <f>AND(DATA!H65,"AAAAAG7ULjQ=")</f>
        <v>#VALUE!</v>
      </c>
      <c r="BB56" t="e">
        <f>AND(DATA!I65,"AAAAAG7ULjU=")</f>
        <v>#VALUE!</v>
      </c>
      <c r="BC56" t="e">
        <f>AND(DATA!J65,"AAAAAG7ULjY=")</f>
        <v>#VALUE!</v>
      </c>
      <c r="BD56" t="e">
        <f>AND(DATA!K65,"AAAAAG7ULjc=")</f>
        <v>#VALUE!</v>
      </c>
      <c r="BE56" t="b">
        <f>AND(DATA!L66,"AAAAAG7ULjg=")</f>
        <v>1</v>
      </c>
      <c r="BF56" t="b">
        <f>AND(DATA!M66,"AAAAAG7ULjk=")</f>
        <v>1</v>
      </c>
      <c r="BG56" t="b">
        <f>AND(DATA!N66,"AAAAAG7ULjo=")</f>
        <v>1</v>
      </c>
      <c r="BH56" t="b">
        <f>AND(DATA!O66,"AAAAAG7ULjs=")</f>
        <v>1</v>
      </c>
      <c r="BI56" t="b">
        <f>AND(DATA!P66,"AAAAAG7ULjw=")</f>
        <v>1</v>
      </c>
      <c r="BJ56" t="b">
        <f>AND(DATA!Q66,"AAAAAG7ULj0=")</f>
        <v>1</v>
      </c>
      <c r="BK56" t="b">
        <f>AND(DATA!R66,"AAAAAG7ULj4=")</f>
        <v>1</v>
      </c>
      <c r="BL56" t="b">
        <f>AND(DATA!S66,"AAAAAG7ULj8=")</f>
        <v>1</v>
      </c>
      <c r="BM56" t="b">
        <f>AND(DATA!T66,"AAAAAG7ULkA=")</f>
        <v>1</v>
      </c>
      <c r="BN56" t="e">
        <f>AND(DATA!U66,"AAAAAG7ULkE=")</f>
        <v>#VALUE!</v>
      </c>
      <c r="BO56" t="b">
        <f>AND(DATA!V66,"AAAAAG7ULkI=")</f>
        <v>1</v>
      </c>
      <c r="BP56" t="e">
        <f>AND(DATA!W65,"AAAAAG7ULkM=")</f>
        <v>#VALUE!</v>
      </c>
      <c r="BQ56" t="e">
        <f>AND(DATA!X65,"AAAAAG7ULkQ=")</f>
        <v>#VALUE!</v>
      </c>
      <c r="BR56" t="e">
        <f>AND(DATA!Y65,"AAAAAG7ULkU=")</f>
        <v>#VALUE!</v>
      </c>
      <c r="BS56">
        <f>IF(DATA!66:66,"AAAAAG7ULkY=",0)</f>
        <v>0</v>
      </c>
      <c r="BT56" t="e">
        <f>AND(DATA!A66,"AAAAAG7ULkc=")</f>
        <v>#VALUE!</v>
      </c>
      <c r="BU56" t="e">
        <f>AND(DATA!B66,"AAAAAG7ULkg=")</f>
        <v>#VALUE!</v>
      </c>
      <c r="BV56" t="e">
        <f>AND(DATA!C66,"AAAAAG7ULkk=")</f>
        <v>#VALUE!</v>
      </c>
      <c r="BW56" t="e">
        <f>AND(DATA!D66,"AAAAAG7ULko=")</f>
        <v>#VALUE!</v>
      </c>
      <c r="BX56" t="e">
        <f>AND(DATA!E66,"AAAAAG7ULks=")</f>
        <v>#VALUE!</v>
      </c>
      <c r="BY56" t="e">
        <f>AND(DATA!F66,"AAAAAG7ULkw=")</f>
        <v>#VALUE!</v>
      </c>
      <c r="BZ56" t="e">
        <f>AND(DATA!G66,"AAAAAG7ULk0=")</f>
        <v>#VALUE!</v>
      </c>
      <c r="CA56" t="e">
        <f>AND(DATA!H66,"AAAAAG7ULk4=")</f>
        <v>#VALUE!</v>
      </c>
      <c r="CB56" t="e">
        <f>AND(DATA!I66,"AAAAAG7ULk8=")</f>
        <v>#VALUE!</v>
      </c>
      <c r="CC56" t="e">
        <f>AND(DATA!J66,"AAAAAG7ULlA=")</f>
        <v>#VALUE!</v>
      </c>
      <c r="CD56" t="e">
        <f>AND(DATA!K66,"AAAAAG7ULlE=")</f>
        <v>#VALUE!</v>
      </c>
      <c r="CE56" t="b">
        <f>AND(DATA!L67,"AAAAAG7ULlI=")</f>
        <v>1</v>
      </c>
      <c r="CF56" t="b">
        <f>AND(DATA!M67,"AAAAAG7ULlM=")</f>
        <v>1</v>
      </c>
      <c r="CG56" t="b">
        <f>AND(DATA!N67,"AAAAAG7ULlQ=")</f>
        <v>1</v>
      </c>
      <c r="CH56" t="b">
        <f>AND(DATA!O67,"AAAAAG7ULlU=")</f>
        <v>1</v>
      </c>
      <c r="CI56" t="b">
        <f>AND(DATA!P67,"AAAAAG7ULlY=")</f>
        <v>1</v>
      </c>
      <c r="CJ56" t="b">
        <f>AND(DATA!Q67,"AAAAAG7ULlc=")</f>
        <v>1</v>
      </c>
      <c r="CK56" t="b">
        <f>AND(DATA!R67,"AAAAAG7ULlg=")</f>
        <v>1</v>
      </c>
      <c r="CL56" t="b">
        <f>AND(DATA!S67,"AAAAAG7ULlk=")</f>
        <v>1</v>
      </c>
      <c r="CM56" t="b">
        <f>AND(DATA!T67,"AAAAAG7ULlo=")</f>
        <v>1</v>
      </c>
      <c r="CN56" t="e">
        <f>AND(DATA!U67,"AAAAAG7ULls=")</f>
        <v>#VALUE!</v>
      </c>
      <c r="CO56" t="b">
        <f>AND(DATA!V67,"AAAAAG7ULlw=")</f>
        <v>1</v>
      </c>
      <c r="CP56" t="e">
        <f>AND(DATA!W66,"AAAAAG7ULl0=")</f>
        <v>#VALUE!</v>
      </c>
      <c r="CQ56" t="e">
        <f>AND(DATA!X66,"AAAAAG7ULl4=")</f>
        <v>#VALUE!</v>
      </c>
      <c r="CR56" t="e">
        <f>AND(DATA!Y66,"AAAAAG7ULl8=")</f>
        <v>#VALUE!</v>
      </c>
      <c r="CS56">
        <f>IF(DATA!67:67,"AAAAAG7ULmA=",0)</f>
        <v>0</v>
      </c>
      <c r="CT56" t="e">
        <f>AND(DATA!A67,"AAAAAG7ULmE=")</f>
        <v>#VALUE!</v>
      </c>
      <c r="CU56" t="e">
        <f>AND(DATA!B67,"AAAAAG7ULmI=")</f>
        <v>#VALUE!</v>
      </c>
      <c r="CV56" t="e">
        <f>AND(DATA!C67,"AAAAAG7ULmM=")</f>
        <v>#VALUE!</v>
      </c>
      <c r="CW56" t="e">
        <f>AND(DATA!D67,"AAAAAG7ULmQ=")</f>
        <v>#VALUE!</v>
      </c>
      <c r="CX56" t="e">
        <f>AND(DATA!E67,"AAAAAG7ULmU=")</f>
        <v>#VALUE!</v>
      </c>
      <c r="CY56" t="e">
        <f>AND(DATA!F67,"AAAAAG7ULmY=")</f>
        <v>#VALUE!</v>
      </c>
      <c r="CZ56" t="e">
        <f>AND(DATA!G67,"AAAAAG7ULmc=")</f>
        <v>#VALUE!</v>
      </c>
      <c r="DA56" t="e">
        <f>AND(DATA!H67,"AAAAAG7ULmg=")</f>
        <v>#VALUE!</v>
      </c>
      <c r="DB56" t="e">
        <f>AND(DATA!I67,"AAAAAG7ULmk=")</f>
        <v>#VALUE!</v>
      </c>
      <c r="DC56" t="e">
        <f>AND(DATA!J67,"AAAAAG7ULmo=")</f>
        <v>#VALUE!</v>
      </c>
      <c r="DD56" t="e">
        <f>AND(DATA!K67,"AAAAAG7ULms=")</f>
        <v>#VALUE!</v>
      </c>
      <c r="DE56" t="b">
        <f>AND(DATA!L68,"AAAAAG7ULmw=")</f>
        <v>1</v>
      </c>
      <c r="DF56" t="b">
        <f>AND(DATA!M68,"AAAAAG7ULm0=")</f>
        <v>1</v>
      </c>
      <c r="DG56" t="b">
        <f>AND(DATA!N68,"AAAAAG7ULm4=")</f>
        <v>1</v>
      </c>
      <c r="DH56" t="b">
        <f>AND(DATA!O68,"AAAAAG7ULm8=")</f>
        <v>1</v>
      </c>
      <c r="DI56" t="b">
        <f>AND(DATA!P68,"AAAAAG7ULnA=")</f>
        <v>1</v>
      </c>
      <c r="DJ56" t="b">
        <f>AND(DATA!Q68,"AAAAAG7ULnE=")</f>
        <v>1</v>
      </c>
      <c r="DK56" t="b">
        <f>AND(DATA!R68,"AAAAAG7ULnI=")</f>
        <v>1</v>
      </c>
      <c r="DL56" t="b">
        <f>AND(DATA!S68,"AAAAAG7ULnM=")</f>
        <v>1</v>
      </c>
      <c r="DM56" t="b">
        <f>AND(DATA!T68,"AAAAAG7ULnQ=")</f>
        <v>1</v>
      </c>
      <c r="DN56" t="e">
        <f>AND(DATA!U68,"AAAAAG7ULnU=")</f>
        <v>#VALUE!</v>
      </c>
      <c r="DO56" t="b">
        <f>AND(DATA!V68,"AAAAAG7ULnY=")</f>
        <v>1</v>
      </c>
      <c r="DP56" t="e">
        <f>AND(DATA!W67,"AAAAAG7ULnc=")</f>
        <v>#VALUE!</v>
      </c>
      <c r="DQ56" t="e">
        <f>AND(DATA!X67,"AAAAAG7ULng=")</f>
        <v>#VALUE!</v>
      </c>
      <c r="DR56" t="e">
        <f>AND(DATA!Y67,"AAAAAG7ULnk=")</f>
        <v>#VALUE!</v>
      </c>
      <c r="DS56">
        <f>IF(DATA!68:68,"AAAAAG7ULno=",0)</f>
        <v>0</v>
      </c>
      <c r="DT56" t="e">
        <f>AND(DATA!A68,"AAAAAG7ULns=")</f>
        <v>#VALUE!</v>
      </c>
      <c r="DU56" t="e">
        <f>AND(DATA!B68,"AAAAAG7ULnw=")</f>
        <v>#VALUE!</v>
      </c>
      <c r="DV56" t="e">
        <f>AND(DATA!C68,"AAAAAG7ULn0=")</f>
        <v>#VALUE!</v>
      </c>
      <c r="DW56" t="e">
        <f>AND(DATA!D68,"AAAAAG7ULn4=")</f>
        <v>#VALUE!</v>
      </c>
      <c r="DX56" t="e">
        <f>AND(DATA!E68,"AAAAAG7ULn8=")</f>
        <v>#VALUE!</v>
      </c>
      <c r="DY56" t="e">
        <f>AND(DATA!F68,"AAAAAG7ULoA=")</f>
        <v>#VALUE!</v>
      </c>
      <c r="DZ56" t="e">
        <f>AND(DATA!G68,"AAAAAG7ULoE=")</f>
        <v>#VALUE!</v>
      </c>
      <c r="EA56" t="e">
        <f>AND(DATA!H68,"AAAAAG7ULoI=")</f>
        <v>#VALUE!</v>
      </c>
      <c r="EB56" t="e">
        <f>AND(DATA!I68,"AAAAAG7ULoM=")</f>
        <v>#VALUE!</v>
      </c>
      <c r="EC56" t="e">
        <f>AND(DATA!J68,"AAAAAG7ULoQ=")</f>
        <v>#VALUE!</v>
      </c>
      <c r="ED56" t="e">
        <f>AND(DATA!K68,"AAAAAG7ULoU=")</f>
        <v>#VALUE!</v>
      </c>
      <c r="EE56" t="b">
        <f>AND(DATA!L69,"AAAAAG7ULoY=")</f>
        <v>1</v>
      </c>
      <c r="EF56" t="b">
        <f>AND(DATA!M69,"AAAAAG7ULoc=")</f>
        <v>1</v>
      </c>
      <c r="EG56" t="b">
        <f>AND(DATA!N69,"AAAAAG7ULog=")</f>
        <v>1</v>
      </c>
      <c r="EH56" t="b">
        <f>AND(DATA!O69,"AAAAAG7ULok=")</f>
        <v>1</v>
      </c>
      <c r="EI56" t="b">
        <f>AND(DATA!P69,"AAAAAG7ULoo=")</f>
        <v>1</v>
      </c>
      <c r="EJ56" t="b">
        <f>AND(DATA!Q69,"AAAAAG7ULos=")</f>
        <v>1</v>
      </c>
      <c r="EK56" t="b">
        <f>AND(DATA!R69,"AAAAAG7ULow=")</f>
        <v>1</v>
      </c>
      <c r="EL56" t="b">
        <f>AND(DATA!S69,"AAAAAG7ULo0=")</f>
        <v>1</v>
      </c>
      <c r="EM56" t="b">
        <f>AND(DATA!T69,"AAAAAG7ULo4=")</f>
        <v>1</v>
      </c>
      <c r="EN56" t="e">
        <f>AND(DATA!U69,"AAAAAG7ULo8=")</f>
        <v>#VALUE!</v>
      </c>
      <c r="EO56" t="b">
        <f>AND(DATA!V69,"AAAAAG7ULpA=")</f>
        <v>1</v>
      </c>
      <c r="EP56" t="e">
        <f>AND(DATA!W68,"AAAAAG7ULpE=")</f>
        <v>#VALUE!</v>
      </c>
      <c r="EQ56" t="e">
        <f>AND(DATA!X68,"AAAAAG7ULpI=")</f>
        <v>#VALUE!</v>
      </c>
      <c r="ER56" t="e">
        <f>AND(DATA!Y68,"AAAAAG7ULpM=")</f>
        <v>#VALUE!</v>
      </c>
      <c r="ES56">
        <f>IF(DATA!69:69,"AAAAAG7ULpQ=",0)</f>
        <v>0</v>
      </c>
      <c r="ET56" t="e">
        <f>AND(DATA!A69,"AAAAAG7ULpU=")</f>
        <v>#VALUE!</v>
      </c>
      <c r="EU56" t="e">
        <f>AND(DATA!B69,"AAAAAG7ULpY=")</f>
        <v>#VALUE!</v>
      </c>
      <c r="EV56" t="e">
        <f>AND(DATA!C69,"AAAAAG7ULpc=")</f>
        <v>#VALUE!</v>
      </c>
      <c r="EW56" t="e">
        <f>AND(DATA!D69,"AAAAAG7ULpg=")</f>
        <v>#VALUE!</v>
      </c>
      <c r="EX56" t="e">
        <f>AND(DATA!E69,"AAAAAG7ULpk=")</f>
        <v>#VALUE!</v>
      </c>
      <c r="EY56" t="e">
        <f>AND(DATA!F69,"AAAAAG7ULpo=")</f>
        <v>#VALUE!</v>
      </c>
      <c r="EZ56" t="e">
        <f>AND(DATA!G69,"AAAAAG7ULps=")</f>
        <v>#VALUE!</v>
      </c>
      <c r="FA56" t="e">
        <f>AND(DATA!H69,"AAAAAG7ULpw=")</f>
        <v>#VALUE!</v>
      </c>
      <c r="FB56" t="e">
        <f>AND(DATA!I69,"AAAAAG7ULp0=")</f>
        <v>#VALUE!</v>
      </c>
      <c r="FC56" t="e">
        <f>AND(DATA!J69,"AAAAAG7ULp4=")</f>
        <v>#VALUE!</v>
      </c>
      <c r="FD56" t="e">
        <f>AND(DATA!K69,"AAAAAG7ULp8=")</f>
        <v>#VALUE!</v>
      </c>
      <c r="FE56" t="b">
        <f>AND(DATA!L70,"AAAAAG7ULqA=")</f>
        <v>1</v>
      </c>
      <c r="FF56" t="b">
        <f>AND(DATA!M70,"AAAAAG7ULqE=")</f>
        <v>1</v>
      </c>
      <c r="FG56" t="b">
        <f>AND(DATA!N70,"AAAAAG7ULqI=")</f>
        <v>1</v>
      </c>
      <c r="FH56" t="b">
        <f>AND(DATA!O70,"AAAAAG7ULqM=")</f>
        <v>1</v>
      </c>
      <c r="FI56" t="b">
        <f>AND(DATA!P70,"AAAAAG7ULqQ=")</f>
        <v>1</v>
      </c>
      <c r="FJ56" t="b">
        <f>AND(DATA!Q70,"AAAAAG7ULqU=")</f>
        <v>1</v>
      </c>
      <c r="FK56" t="b">
        <f>AND(DATA!R70,"AAAAAG7ULqY=")</f>
        <v>1</v>
      </c>
      <c r="FL56" t="b">
        <f>AND(DATA!S70,"AAAAAG7ULqc=")</f>
        <v>1</v>
      </c>
      <c r="FM56" t="b">
        <f>AND(DATA!T70,"AAAAAG7ULqg=")</f>
        <v>1</v>
      </c>
      <c r="FN56" t="e">
        <f>AND(DATA!U70,"AAAAAG7ULqk=")</f>
        <v>#VALUE!</v>
      </c>
      <c r="FO56" t="b">
        <f>AND(DATA!V70,"AAAAAG7ULqo=")</f>
        <v>1</v>
      </c>
      <c r="FP56" t="e">
        <f>AND(DATA!W69,"AAAAAG7ULqs=")</f>
        <v>#VALUE!</v>
      </c>
      <c r="FQ56" t="e">
        <f>AND(DATA!X69,"AAAAAG7ULqw=")</f>
        <v>#VALUE!</v>
      </c>
      <c r="FR56" t="e">
        <f>AND(DATA!Y69,"AAAAAG7ULq0=")</f>
        <v>#VALUE!</v>
      </c>
      <c r="FS56">
        <f>IF(DATA!70:70,"AAAAAG7ULq4=",0)</f>
        <v>0</v>
      </c>
      <c r="FT56" t="e">
        <f>AND(DATA!A70,"AAAAAG7ULq8=")</f>
        <v>#VALUE!</v>
      </c>
      <c r="FU56" t="e">
        <f>AND(DATA!B70,"AAAAAG7ULrA=")</f>
        <v>#VALUE!</v>
      </c>
      <c r="FV56" t="e">
        <f>AND(DATA!C70,"AAAAAG7ULrE=")</f>
        <v>#VALUE!</v>
      </c>
      <c r="FW56" t="e">
        <f>AND(DATA!D70,"AAAAAG7ULrI=")</f>
        <v>#VALUE!</v>
      </c>
      <c r="FX56" t="e">
        <f>AND(DATA!E70,"AAAAAG7ULrM=")</f>
        <v>#VALUE!</v>
      </c>
      <c r="FY56" t="e">
        <f>AND(DATA!F70,"AAAAAG7ULrQ=")</f>
        <v>#VALUE!</v>
      </c>
      <c r="FZ56" t="e">
        <f>AND(DATA!G70,"AAAAAG7ULrU=")</f>
        <v>#VALUE!</v>
      </c>
      <c r="GA56" t="e">
        <f>AND(DATA!H70,"AAAAAG7ULrY=")</f>
        <v>#VALUE!</v>
      </c>
      <c r="GB56" t="e">
        <f>AND(DATA!I70,"AAAAAG7ULrc=")</f>
        <v>#VALUE!</v>
      </c>
      <c r="GC56" t="e">
        <f>AND(DATA!J70,"AAAAAG7ULrg=")</f>
        <v>#VALUE!</v>
      </c>
      <c r="GD56" t="e">
        <f>AND(DATA!K70,"AAAAAG7ULrk=")</f>
        <v>#VALUE!</v>
      </c>
      <c r="GE56" t="b">
        <f>AND(DATA!L71,"AAAAAG7ULro=")</f>
        <v>1</v>
      </c>
      <c r="GF56" t="b">
        <f>AND(DATA!M71,"AAAAAG7ULrs=")</f>
        <v>1</v>
      </c>
      <c r="GG56" t="b">
        <f>AND(DATA!N71,"AAAAAG7ULrw=")</f>
        <v>1</v>
      </c>
      <c r="GH56" t="b">
        <f>AND(DATA!O71,"AAAAAG7ULr0=")</f>
        <v>1</v>
      </c>
      <c r="GI56" t="b">
        <f>AND(DATA!P71,"AAAAAG7ULr4=")</f>
        <v>1</v>
      </c>
      <c r="GJ56" t="b">
        <f>AND(DATA!Q71,"AAAAAG7ULr8=")</f>
        <v>1</v>
      </c>
      <c r="GK56" t="b">
        <f>AND(DATA!R71,"AAAAAG7ULsA=")</f>
        <v>1</v>
      </c>
      <c r="GL56" t="b">
        <f>AND(DATA!S71,"AAAAAG7ULsE=")</f>
        <v>1</v>
      </c>
      <c r="GM56" t="b">
        <f>AND(DATA!T71,"AAAAAG7ULsI=")</f>
        <v>1</v>
      </c>
      <c r="GN56" t="e">
        <f>AND(DATA!U71,"AAAAAG7ULsM=")</f>
        <v>#VALUE!</v>
      </c>
      <c r="GO56" t="b">
        <f>AND(DATA!V71,"AAAAAG7ULsQ=")</f>
        <v>1</v>
      </c>
      <c r="GP56" t="e">
        <f>AND(DATA!W70,"AAAAAG7ULsU=")</f>
        <v>#VALUE!</v>
      </c>
      <c r="GQ56" t="e">
        <f>AND(DATA!X70,"AAAAAG7ULsY=")</f>
        <v>#VALUE!</v>
      </c>
      <c r="GR56" t="e">
        <f>AND(DATA!Y70,"AAAAAG7ULsc=")</f>
        <v>#VALUE!</v>
      </c>
      <c r="GS56">
        <f>IF(DATA!71:71,"AAAAAG7ULsg=",0)</f>
        <v>0</v>
      </c>
      <c r="GT56" t="e">
        <f>AND(DATA!A71,"AAAAAG7ULsk=")</f>
        <v>#VALUE!</v>
      </c>
      <c r="GU56" t="e">
        <f>AND(DATA!B71,"AAAAAG7ULso=")</f>
        <v>#VALUE!</v>
      </c>
      <c r="GV56" t="e">
        <f>AND(DATA!C71,"AAAAAG7ULss=")</f>
        <v>#VALUE!</v>
      </c>
      <c r="GW56" t="e">
        <f>AND(DATA!D71,"AAAAAG7ULsw=")</f>
        <v>#VALUE!</v>
      </c>
      <c r="GX56" t="e">
        <f>AND(DATA!E71,"AAAAAG7ULs0=")</f>
        <v>#VALUE!</v>
      </c>
      <c r="GY56" t="e">
        <f>AND(DATA!F71,"AAAAAG7ULs4=")</f>
        <v>#VALUE!</v>
      </c>
      <c r="GZ56" t="e">
        <f>AND(DATA!G71,"AAAAAG7ULs8=")</f>
        <v>#VALUE!</v>
      </c>
      <c r="HA56" t="e">
        <f>AND(DATA!H71,"AAAAAG7ULtA=")</f>
        <v>#VALUE!</v>
      </c>
      <c r="HB56" t="e">
        <f>AND(DATA!I71,"AAAAAG7ULtE=")</f>
        <v>#VALUE!</v>
      </c>
      <c r="HC56" t="e">
        <f>AND(DATA!J71,"AAAAAG7ULtI=")</f>
        <v>#VALUE!</v>
      </c>
      <c r="HD56" t="e">
        <f>AND(DATA!K71,"AAAAAG7ULtM=")</f>
        <v>#VALUE!</v>
      </c>
      <c r="HE56" t="b">
        <f>AND(DATA!L72,"AAAAAG7ULtQ=")</f>
        <v>1</v>
      </c>
      <c r="HF56" t="b">
        <f>AND(DATA!M72,"AAAAAG7ULtU=")</f>
        <v>1</v>
      </c>
      <c r="HG56" t="b">
        <f>AND(DATA!N72,"AAAAAG7ULtY=")</f>
        <v>1</v>
      </c>
      <c r="HH56" t="b">
        <f>AND(DATA!O72,"AAAAAG7ULtc=")</f>
        <v>1</v>
      </c>
      <c r="HI56" t="b">
        <f>AND(DATA!P72,"AAAAAG7ULtg=")</f>
        <v>1</v>
      </c>
      <c r="HJ56" t="b">
        <f>AND(DATA!Q72,"AAAAAG7ULtk=")</f>
        <v>1</v>
      </c>
      <c r="HK56" t="b">
        <f>AND(DATA!R72,"AAAAAG7ULto=")</f>
        <v>1</v>
      </c>
      <c r="HL56" t="b">
        <f>AND(DATA!S72,"AAAAAG7ULts=")</f>
        <v>1</v>
      </c>
      <c r="HM56" t="b">
        <f>AND(DATA!T72,"AAAAAG7ULtw=")</f>
        <v>1</v>
      </c>
      <c r="HN56" t="e">
        <f>AND(DATA!U72,"AAAAAG7ULt0=")</f>
        <v>#VALUE!</v>
      </c>
      <c r="HO56" t="b">
        <f>AND(DATA!V72,"AAAAAG7ULt4=")</f>
        <v>1</v>
      </c>
      <c r="HP56" t="e">
        <f>AND(DATA!W71,"AAAAAG7ULt8=")</f>
        <v>#VALUE!</v>
      </c>
      <c r="HQ56" t="e">
        <f>AND(DATA!X71,"AAAAAG7ULuA=")</f>
        <v>#VALUE!</v>
      </c>
      <c r="HR56" t="e">
        <f>AND(DATA!Y71,"AAAAAG7ULuE=")</f>
        <v>#VALUE!</v>
      </c>
      <c r="HS56">
        <f>IF(DATA!72:72,"AAAAAG7ULuI=",0)</f>
        <v>0</v>
      </c>
      <c r="HT56" t="e">
        <f>AND(DATA!A72,"AAAAAG7ULuM=")</f>
        <v>#VALUE!</v>
      </c>
      <c r="HU56" t="e">
        <f>AND(DATA!B72,"AAAAAG7ULuQ=")</f>
        <v>#VALUE!</v>
      </c>
      <c r="HV56" t="e">
        <f>AND(DATA!C72,"AAAAAG7ULuU=")</f>
        <v>#VALUE!</v>
      </c>
      <c r="HW56" t="e">
        <f>AND(DATA!D72,"AAAAAG7ULuY=")</f>
        <v>#VALUE!</v>
      </c>
      <c r="HX56" t="e">
        <f>AND(DATA!E72,"AAAAAG7ULuc=")</f>
        <v>#VALUE!</v>
      </c>
      <c r="HY56" t="e">
        <f>AND(DATA!F72,"AAAAAG7ULug=")</f>
        <v>#VALUE!</v>
      </c>
      <c r="HZ56" t="e">
        <f>AND(DATA!G72,"AAAAAG7ULuk=")</f>
        <v>#VALUE!</v>
      </c>
      <c r="IA56" t="e">
        <f>AND(DATA!H72,"AAAAAG7ULuo=")</f>
        <v>#VALUE!</v>
      </c>
      <c r="IB56" t="e">
        <f>AND(DATA!I72,"AAAAAG7ULus=")</f>
        <v>#VALUE!</v>
      </c>
      <c r="IC56" t="e">
        <f>AND(DATA!J72,"AAAAAG7ULuw=")</f>
        <v>#VALUE!</v>
      </c>
      <c r="ID56" t="e">
        <f>AND(DATA!K72,"AAAAAG7ULu0=")</f>
        <v>#VALUE!</v>
      </c>
      <c r="IE56" t="b">
        <f>AND(DATA!L73,"AAAAAG7ULu4=")</f>
        <v>1</v>
      </c>
      <c r="IF56" t="b">
        <f>AND(DATA!M73,"AAAAAG7ULu8=")</f>
        <v>1</v>
      </c>
      <c r="IG56" t="b">
        <f>AND(DATA!N73,"AAAAAG7ULvA=")</f>
        <v>1</v>
      </c>
      <c r="IH56" t="b">
        <f>AND(DATA!O73,"AAAAAG7ULvE=")</f>
        <v>1</v>
      </c>
      <c r="II56" t="b">
        <f>AND(DATA!P73,"AAAAAG7ULvI=")</f>
        <v>1</v>
      </c>
      <c r="IJ56" t="b">
        <f>AND(DATA!Q73,"AAAAAG7ULvM=")</f>
        <v>1</v>
      </c>
      <c r="IK56" t="b">
        <f>AND(DATA!R73,"AAAAAG7ULvQ=")</f>
        <v>1</v>
      </c>
      <c r="IL56" t="b">
        <f>AND(DATA!S73,"AAAAAG7ULvU=")</f>
        <v>1</v>
      </c>
      <c r="IM56" t="b">
        <f>AND(DATA!T73,"AAAAAG7ULvY=")</f>
        <v>1</v>
      </c>
      <c r="IN56" t="e">
        <f>AND(DATA!U73,"AAAAAG7ULvc=")</f>
        <v>#VALUE!</v>
      </c>
      <c r="IO56" t="b">
        <f>AND(DATA!V73,"AAAAAG7ULvg=")</f>
        <v>1</v>
      </c>
      <c r="IP56" t="e">
        <f>AND(DATA!W72,"AAAAAG7ULvk=")</f>
        <v>#VALUE!</v>
      </c>
      <c r="IQ56" t="e">
        <f>AND(DATA!X72,"AAAAAG7ULvo=")</f>
        <v>#VALUE!</v>
      </c>
      <c r="IR56" t="e">
        <f>AND(DATA!Y72,"AAAAAG7ULvs=")</f>
        <v>#VALUE!</v>
      </c>
      <c r="IS56">
        <f>IF(DATA!73:73,"AAAAAG7ULvw=",0)</f>
        <v>0</v>
      </c>
      <c r="IT56" t="e">
        <f>AND(DATA!A73,"AAAAAG7ULv0=")</f>
        <v>#VALUE!</v>
      </c>
      <c r="IU56" t="e">
        <f>AND(DATA!B73,"AAAAAG7ULv4=")</f>
        <v>#VALUE!</v>
      </c>
      <c r="IV56" t="e">
        <f>AND(DATA!C73,"AAAAAG7ULv8=")</f>
        <v>#VALUE!</v>
      </c>
    </row>
    <row r="57" spans="1:256" x14ac:dyDescent="0.25">
      <c r="A57" t="e">
        <f>AND(DATA!D73,"AAAAAA+9vQA=")</f>
        <v>#VALUE!</v>
      </c>
      <c r="B57" t="e">
        <f>AND(DATA!E73,"AAAAAA+9vQE=")</f>
        <v>#VALUE!</v>
      </c>
      <c r="C57" t="e">
        <f>AND(DATA!F73,"AAAAAA+9vQI=")</f>
        <v>#VALUE!</v>
      </c>
      <c r="D57" t="e">
        <f>AND(DATA!G73,"AAAAAA+9vQM=")</f>
        <v>#VALUE!</v>
      </c>
      <c r="E57" t="e">
        <f>AND(DATA!H73,"AAAAAA+9vQQ=")</f>
        <v>#VALUE!</v>
      </c>
      <c r="F57" t="e">
        <f>AND(DATA!I73,"AAAAAA+9vQU=")</f>
        <v>#VALUE!</v>
      </c>
      <c r="G57" t="e">
        <f>AND(DATA!J73,"AAAAAA+9vQY=")</f>
        <v>#VALUE!</v>
      </c>
      <c r="H57" t="e">
        <f>AND(DATA!K73,"AAAAAA+9vQc=")</f>
        <v>#VALUE!</v>
      </c>
      <c r="I57" t="b">
        <f>AND(DATA!L74,"AAAAAA+9vQg=")</f>
        <v>1</v>
      </c>
      <c r="J57" t="b">
        <f>AND(DATA!M74,"AAAAAA+9vQk=")</f>
        <v>1</v>
      </c>
      <c r="K57" t="b">
        <f>AND(DATA!N74,"AAAAAA+9vQo=")</f>
        <v>1</v>
      </c>
      <c r="L57" t="b">
        <f>AND(DATA!O74,"AAAAAA+9vQs=")</f>
        <v>1</v>
      </c>
      <c r="M57" t="b">
        <f>AND(DATA!P74,"AAAAAA+9vQw=")</f>
        <v>1</v>
      </c>
      <c r="N57" t="b">
        <f>AND(DATA!Q74,"AAAAAA+9vQ0=")</f>
        <v>1</v>
      </c>
      <c r="O57" t="b">
        <f>AND(DATA!R74,"AAAAAA+9vQ4=")</f>
        <v>1</v>
      </c>
      <c r="P57" t="b">
        <f>AND(DATA!S74,"AAAAAA+9vQ8=")</f>
        <v>1</v>
      </c>
      <c r="Q57" t="b">
        <f>AND(DATA!T74,"AAAAAA+9vRA=")</f>
        <v>1</v>
      </c>
      <c r="R57" t="e">
        <f>AND(DATA!U74,"AAAAAA+9vRE=")</f>
        <v>#VALUE!</v>
      </c>
      <c r="S57" t="b">
        <f>AND(DATA!V74,"AAAAAA+9vRI=")</f>
        <v>1</v>
      </c>
      <c r="T57" t="e">
        <f>AND(DATA!W73,"AAAAAA+9vRM=")</f>
        <v>#VALUE!</v>
      </c>
      <c r="U57" t="e">
        <f>AND(DATA!X73,"AAAAAA+9vRQ=")</f>
        <v>#VALUE!</v>
      </c>
      <c r="V57" t="e">
        <f>AND(DATA!Y73,"AAAAAA+9vRU=")</f>
        <v>#VALUE!</v>
      </c>
      <c r="W57">
        <f>IF(DATA!74:74,"AAAAAA+9vRY=",0)</f>
        <v>0</v>
      </c>
      <c r="X57" t="e">
        <f>AND(DATA!A74,"AAAAAA+9vRc=")</f>
        <v>#VALUE!</v>
      </c>
      <c r="Y57" t="e">
        <f>AND(DATA!B74,"AAAAAA+9vRg=")</f>
        <v>#VALUE!</v>
      </c>
      <c r="Z57" t="e">
        <f>AND(DATA!C74,"AAAAAA+9vRk=")</f>
        <v>#VALUE!</v>
      </c>
      <c r="AA57" t="e">
        <f>AND(DATA!D74,"AAAAAA+9vRo=")</f>
        <v>#VALUE!</v>
      </c>
      <c r="AB57" t="e">
        <f>AND(DATA!E74,"AAAAAA+9vRs=")</f>
        <v>#VALUE!</v>
      </c>
      <c r="AC57" t="e">
        <f>AND(DATA!F74,"AAAAAA+9vRw=")</f>
        <v>#VALUE!</v>
      </c>
      <c r="AD57" t="e">
        <f>AND(DATA!G74,"AAAAAA+9vR0=")</f>
        <v>#VALUE!</v>
      </c>
      <c r="AE57" t="e">
        <f>AND(DATA!H74,"AAAAAA+9vR4=")</f>
        <v>#VALUE!</v>
      </c>
      <c r="AF57" t="e">
        <f>AND(DATA!I74,"AAAAAA+9vR8=")</f>
        <v>#VALUE!</v>
      </c>
      <c r="AG57" t="e">
        <f>AND(DATA!J74,"AAAAAA+9vSA=")</f>
        <v>#VALUE!</v>
      </c>
      <c r="AH57" t="e">
        <f>AND(DATA!K74,"AAAAAA+9vSE=")</f>
        <v>#VALUE!</v>
      </c>
      <c r="AI57" t="b">
        <f>AND(DATA!L75,"AAAAAA+9vSI=")</f>
        <v>1</v>
      </c>
      <c r="AJ57" t="b">
        <f>AND(DATA!M75,"AAAAAA+9vSM=")</f>
        <v>1</v>
      </c>
      <c r="AK57" t="b">
        <f>AND(DATA!N75,"AAAAAA+9vSQ=")</f>
        <v>1</v>
      </c>
      <c r="AL57" t="b">
        <f>AND(DATA!O75,"AAAAAA+9vSU=")</f>
        <v>1</v>
      </c>
      <c r="AM57" t="b">
        <f>AND(DATA!P75,"AAAAAA+9vSY=")</f>
        <v>1</v>
      </c>
      <c r="AN57" t="b">
        <f>AND(DATA!Q75,"AAAAAA+9vSc=")</f>
        <v>1</v>
      </c>
      <c r="AO57" t="b">
        <f>AND(DATA!R75,"AAAAAA+9vSg=")</f>
        <v>1</v>
      </c>
      <c r="AP57" t="b">
        <f>AND(DATA!S75,"AAAAAA+9vSk=")</f>
        <v>1</v>
      </c>
      <c r="AQ57" t="b">
        <f>AND(DATA!T75,"AAAAAA+9vSo=")</f>
        <v>1</v>
      </c>
      <c r="AR57" t="e">
        <f>AND(DATA!U75,"AAAAAA+9vSs=")</f>
        <v>#VALUE!</v>
      </c>
      <c r="AS57" t="b">
        <f>AND(DATA!V75,"AAAAAA+9vSw=")</f>
        <v>1</v>
      </c>
      <c r="AT57" t="e">
        <f>AND(DATA!W74,"AAAAAA+9vS0=")</f>
        <v>#VALUE!</v>
      </c>
      <c r="AU57" t="e">
        <f>AND(DATA!X74,"AAAAAA+9vS4=")</f>
        <v>#VALUE!</v>
      </c>
      <c r="AV57" t="e">
        <f>AND(DATA!Y74,"AAAAAA+9vS8=")</f>
        <v>#VALUE!</v>
      </c>
      <c r="AW57">
        <f>IF(DATA!75:75,"AAAAAA+9vTA=",0)</f>
        <v>0</v>
      </c>
      <c r="AX57" t="e">
        <f>AND(DATA!A75,"AAAAAA+9vTE=")</f>
        <v>#VALUE!</v>
      </c>
      <c r="AY57" t="e">
        <f>AND(DATA!B75,"AAAAAA+9vTI=")</f>
        <v>#VALUE!</v>
      </c>
      <c r="AZ57" t="e">
        <f>AND(DATA!C75,"AAAAAA+9vTM=")</f>
        <v>#VALUE!</v>
      </c>
      <c r="BA57" t="e">
        <f>AND(DATA!D75,"AAAAAA+9vTQ=")</f>
        <v>#VALUE!</v>
      </c>
      <c r="BB57" t="e">
        <f>AND(DATA!E75,"AAAAAA+9vTU=")</f>
        <v>#VALUE!</v>
      </c>
      <c r="BC57" t="e">
        <f>AND(DATA!F75,"AAAAAA+9vTY=")</f>
        <v>#VALUE!</v>
      </c>
      <c r="BD57" t="e">
        <f>AND(DATA!G75,"AAAAAA+9vTc=")</f>
        <v>#VALUE!</v>
      </c>
      <c r="BE57" t="e">
        <f>AND(DATA!H75,"AAAAAA+9vTg=")</f>
        <v>#VALUE!</v>
      </c>
      <c r="BF57" t="e">
        <f>AND(DATA!I75,"AAAAAA+9vTk=")</f>
        <v>#VALUE!</v>
      </c>
      <c r="BG57" t="e">
        <f>AND(DATA!J75,"AAAAAA+9vTo=")</f>
        <v>#VALUE!</v>
      </c>
      <c r="BH57" t="e">
        <f>AND(DATA!K75,"AAAAAA+9vTs=")</f>
        <v>#VALUE!</v>
      </c>
      <c r="BI57" t="b">
        <f>AND(DATA!L76,"AAAAAA+9vTw=")</f>
        <v>1</v>
      </c>
      <c r="BJ57" t="b">
        <f>AND(DATA!M76,"AAAAAA+9vT0=")</f>
        <v>1</v>
      </c>
      <c r="BK57" t="b">
        <f>AND(DATA!N76,"AAAAAA+9vT4=")</f>
        <v>1</v>
      </c>
      <c r="BL57" t="b">
        <f>AND(DATA!O76,"AAAAAA+9vT8=")</f>
        <v>1</v>
      </c>
      <c r="BM57" t="b">
        <f>AND(DATA!P76,"AAAAAA+9vUA=")</f>
        <v>1</v>
      </c>
      <c r="BN57" t="b">
        <f>AND(DATA!Q76,"AAAAAA+9vUE=")</f>
        <v>1</v>
      </c>
      <c r="BO57" t="b">
        <f>AND(DATA!R76,"AAAAAA+9vUI=")</f>
        <v>1</v>
      </c>
      <c r="BP57" t="b">
        <f>AND(DATA!S76,"AAAAAA+9vUM=")</f>
        <v>1</v>
      </c>
      <c r="BQ57" t="b">
        <f>AND(DATA!T76,"AAAAAA+9vUQ=")</f>
        <v>1</v>
      </c>
      <c r="BR57" t="e">
        <f>AND(DATA!U76,"AAAAAA+9vUU=")</f>
        <v>#VALUE!</v>
      </c>
      <c r="BS57" t="b">
        <f>AND(DATA!V76,"AAAAAA+9vUY=")</f>
        <v>1</v>
      </c>
      <c r="BT57" t="e">
        <f>AND(DATA!W75,"AAAAAA+9vUc=")</f>
        <v>#VALUE!</v>
      </c>
      <c r="BU57" t="e">
        <f>AND(DATA!X75,"AAAAAA+9vUg=")</f>
        <v>#VALUE!</v>
      </c>
      <c r="BV57" t="e">
        <f>AND(DATA!Y75,"AAAAAA+9vUk=")</f>
        <v>#VALUE!</v>
      </c>
      <c r="BW57">
        <f>IF(DATA!76:76,"AAAAAA+9vUo=",0)</f>
        <v>0</v>
      </c>
      <c r="BX57" t="e">
        <f>AND(DATA!A76,"AAAAAA+9vUs=")</f>
        <v>#VALUE!</v>
      </c>
      <c r="BY57" t="e">
        <f>AND(DATA!B76,"AAAAAA+9vUw=")</f>
        <v>#VALUE!</v>
      </c>
      <c r="BZ57" t="e">
        <f>AND(DATA!C76,"AAAAAA+9vU0=")</f>
        <v>#VALUE!</v>
      </c>
      <c r="CA57" t="e">
        <f>AND(DATA!D76,"AAAAAA+9vU4=")</f>
        <v>#VALUE!</v>
      </c>
      <c r="CB57" t="e">
        <f>AND(DATA!E76,"AAAAAA+9vU8=")</f>
        <v>#VALUE!</v>
      </c>
      <c r="CC57" t="e">
        <f>AND(DATA!F76,"AAAAAA+9vVA=")</f>
        <v>#VALUE!</v>
      </c>
      <c r="CD57" t="e">
        <f>AND(DATA!G76,"AAAAAA+9vVE=")</f>
        <v>#VALUE!</v>
      </c>
      <c r="CE57" t="e">
        <f>AND(DATA!H76,"AAAAAA+9vVI=")</f>
        <v>#VALUE!</v>
      </c>
      <c r="CF57" t="e">
        <f>AND(DATA!I76,"AAAAAA+9vVM=")</f>
        <v>#VALUE!</v>
      </c>
      <c r="CG57" t="e">
        <f>AND(DATA!J76,"AAAAAA+9vVQ=")</f>
        <v>#VALUE!</v>
      </c>
      <c r="CH57" t="e">
        <f>AND(DATA!K76,"AAAAAA+9vVU=")</f>
        <v>#VALUE!</v>
      </c>
      <c r="CI57" t="b">
        <f>AND(DATA!L77,"AAAAAA+9vVY=")</f>
        <v>1</v>
      </c>
      <c r="CJ57" t="b">
        <f>AND(DATA!M77,"AAAAAA+9vVc=")</f>
        <v>1</v>
      </c>
      <c r="CK57" t="b">
        <f>AND(DATA!N77,"AAAAAA+9vVg=")</f>
        <v>1</v>
      </c>
      <c r="CL57" t="b">
        <f>AND(DATA!O77,"AAAAAA+9vVk=")</f>
        <v>1</v>
      </c>
      <c r="CM57" t="b">
        <f>AND(DATA!P77,"AAAAAA+9vVo=")</f>
        <v>1</v>
      </c>
      <c r="CN57" t="b">
        <f>AND(DATA!Q77,"AAAAAA+9vVs=")</f>
        <v>1</v>
      </c>
      <c r="CO57" t="b">
        <f>AND(DATA!R77,"AAAAAA+9vVw=")</f>
        <v>1</v>
      </c>
      <c r="CP57" t="b">
        <f>AND(DATA!S77,"AAAAAA+9vV0=")</f>
        <v>1</v>
      </c>
      <c r="CQ57" t="b">
        <f>AND(DATA!T77,"AAAAAA+9vV4=")</f>
        <v>1</v>
      </c>
      <c r="CR57" t="e">
        <f>AND(DATA!U77,"AAAAAA+9vV8=")</f>
        <v>#VALUE!</v>
      </c>
      <c r="CS57" t="b">
        <f>AND(DATA!V77,"AAAAAA+9vWA=")</f>
        <v>1</v>
      </c>
      <c r="CT57" t="e">
        <f>AND(DATA!W76,"AAAAAA+9vWE=")</f>
        <v>#VALUE!</v>
      </c>
      <c r="CU57" t="e">
        <f>AND(DATA!X76,"AAAAAA+9vWI=")</f>
        <v>#VALUE!</v>
      </c>
      <c r="CV57" t="e">
        <f>AND(DATA!Y76,"AAAAAA+9vWM=")</f>
        <v>#VALUE!</v>
      </c>
      <c r="CW57">
        <f>IF(DATA!77:77,"AAAAAA+9vWQ=",0)</f>
        <v>0</v>
      </c>
      <c r="CX57" t="e">
        <f>AND(DATA!A77,"AAAAAA+9vWU=")</f>
        <v>#VALUE!</v>
      </c>
      <c r="CY57" t="e">
        <f>AND(DATA!B77,"AAAAAA+9vWY=")</f>
        <v>#VALUE!</v>
      </c>
      <c r="CZ57" t="e">
        <f>AND(DATA!C77,"AAAAAA+9vWc=")</f>
        <v>#VALUE!</v>
      </c>
      <c r="DA57" t="e">
        <f>AND(DATA!D77,"AAAAAA+9vWg=")</f>
        <v>#VALUE!</v>
      </c>
      <c r="DB57" t="e">
        <f>AND(DATA!E77,"AAAAAA+9vWk=")</f>
        <v>#VALUE!</v>
      </c>
      <c r="DC57" t="e">
        <f>AND(DATA!F77,"AAAAAA+9vWo=")</f>
        <v>#VALUE!</v>
      </c>
      <c r="DD57" t="e">
        <f>AND(DATA!G77,"AAAAAA+9vWs=")</f>
        <v>#VALUE!</v>
      </c>
      <c r="DE57" t="e">
        <f>AND(DATA!H77,"AAAAAA+9vWw=")</f>
        <v>#VALUE!</v>
      </c>
      <c r="DF57" t="e">
        <f>AND(DATA!I77,"AAAAAA+9vW0=")</f>
        <v>#VALUE!</v>
      </c>
      <c r="DG57" t="e">
        <f>AND(DATA!J77,"AAAAAA+9vW4=")</f>
        <v>#VALUE!</v>
      </c>
      <c r="DH57" t="e">
        <f>AND(DATA!K77,"AAAAAA+9vW8=")</f>
        <v>#VALUE!</v>
      </c>
      <c r="DI57" t="b">
        <f>AND(DATA!L78,"AAAAAA+9vXA=")</f>
        <v>1</v>
      </c>
      <c r="DJ57" t="b">
        <f>AND(DATA!M78,"AAAAAA+9vXE=")</f>
        <v>1</v>
      </c>
      <c r="DK57" t="b">
        <f>AND(DATA!N78,"AAAAAA+9vXI=")</f>
        <v>1</v>
      </c>
      <c r="DL57" t="b">
        <f>AND(DATA!O78,"AAAAAA+9vXM=")</f>
        <v>1</v>
      </c>
      <c r="DM57" t="b">
        <f>AND(DATA!P78,"AAAAAA+9vXQ=")</f>
        <v>1</v>
      </c>
      <c r="DN57" t="b">
        <f>AND(DATA!Q78,"AAAAAA+9vXU=")</f>
        <v>1</v>
      </c>
      <c r="DO57" t="b">
        <f>AND(DATA!R78,"AAAAAA+9vXY=")</f>
        <v>1</v>
      </c>
      <c r="DP57" t="b">
        <f>AND(DATA!S78,"AAAAAA+9vXc=")</f>
        <v>1</v>
      </c>
      <c r="DQ57" t="b">
        <f>AND(DATA!T78,"AAAAAA+9vXg=")</f>
        <v>1</v>
      </c>
      <c r="DR57" t="e">
        <f>AND(DATA!U78,"AAAAAA+9vXk=")</f>
        <v>#VALUE!</v>
      </c>
      <c r="DS57" t="b">
        <f>AND(DATA!V78,"AAAAAA+9vXo=")</f>
        <v>1</v>
      </c>
      <c r="DT57" t="e">
        <f>AND(DATA!W77,"AAAAAA+9vXs=")</f>
        <v>#VALUE!</v>
      </c>
      <c r="DU57" t="e">
        <f>AND(DATA!X77,"AAAAAA+9vXw=")</f>
        <v>#VALUE!</v>
      </c>
      <c r="DV57" t="e">
        <f>AND(DATA!Y77,"AAAAAA+9vX0=")</f>
        <v>#VALUE!</v>
      </c>
      <c r="DW57">
        <f>IF(DATA!78:78,"AAAAAA+9vX4=",0)</f>
        <v>0</v>
      </c>
      <c r="DX57" t="e">
        <f>AND(DATA!A78,"AAAAAA+9vX8=")</f>
        <v>#VALUE!</v>
      </c>
      <c r="DY57" t="e">
        <f>AND(DATA!B78,"AAAAAA+9vYA=")</f>
        <v>#VALUE!</v>
      </c>
      <c r="DZ57" t="e">
        <f>AND(DATA!C78,"AAAAAA+9vYE=")</f>
        <v>#VALUE!</v>
      </c>
      <c r="EA57" t="e">
        <f>AND(DATA!D78,"AAAAAA+9vYI=")</f>
        <v>#VALUE!</v>
      </c>
      <c r="EB57" t="e">
        <f>AND(DATA!E78,"AAAAAA+9vYM=")</f>
        <v>#VALUE!</v>
      </c>
      <c r="EC57" t="e">
        <f>AND(DATA!F78,"AAAAAA+9vYQ=")</f>
        <v>#VALUE!</v>
      </c>
      <c r="ED57" t="e">
        <f>AND(DATA!G78,"AAAAAA+9vYU=")</f>
        <v>#VALUE!</v>
      </c>
      <c r="EE57" t="e">
        <f>AND(DATA!H78,"AAAAAA+9vYY=")</f>
        <v>#VALUE!</v>
      </c>
      <c r="EF57" t="e">
        <f>AND(DATA!I78,"AAAAAA+9vYc=")</f>
        <v>#VALUE!</v>
      </c>
      <c r="EG57" t="e">
        <f>AND(DATA!J78,"AAAAAA+9vYg=")</f>
        <v>#VALUE!</v>
      </c>
      <c r="EH57" t="e">
        <f>AND(DATA!K78,"AAAAAA+9vYk=")</f>
        <v>#VALUE!</v>
      </c>
      <c r="EI57" t="b">
        <f>AND(DATA!L79,"AAAAAA+9vYo=")</f>
        <v>1</v>
      </c>
      <c r="EJ57" t="b">
        <f>AND(DATA!M79,"AAAAAA+9vYs=")</f>
        <v>1</v>
      </c>
      <c r="EK57" t="b">
        <f>AND(DATA!N79,"AAAAAA+9vYw=")</f>
        <v>1</v>
      </c>
      <c r="EL57" t="b">
        <f>AND(DATA!O79,"AAAAAA+9vY0=")</f>
        <v>1</v>
      </c>
      <c r="EM57" t="b">
        <f>AND(DATA!P79,"AAAAAA+9vY4=")</f>
        <v>1</v>
      </c>
      <c r="EN57" t="b">
        <f>AND(DATA!Q79,"AAAAAA+9vY8=")</f>
        <v>1</v>
      </c>
      <c r="EO57" t="b">
        <f>AND(DATA!R79,"AAAAAA+9vZA=")</f>
        <v>1</v>
      </c>
      <c r="EP57" t="b">
        <f>AND(DATA!S79,"AAAAAA+9vZE=")</f>
        <v>1</v>
      </c>
      <c r="EQ57" t="b">
        <f>AND(DATA!T79,"AAAAAA+9vZI=")</f>
        <v>1</v>
      </c>
      <c r="ER57" t="e">
        <f>AND(DATA!U79,"AAAAAA+9vZM=")</f>
        <v>#VALUE!</v>
      </c>
      <c r="ES57" t="b">
        <f>AND(DATA!V79,"AAAAAA+9vZQ=")</f>
        <v>1</v>
      </c>
      <c r="ET57" t="e">
        <f>AND(DATA!W78,"AAAAAA+9vZU=")</f>
        <v>#VALUE!</v>
      </c>
      <c r="EU57" t="e">
        <f>AND(DATA!X78,"AAAAAA+9vZY=")</f>
        <v>#VALUE!</v>
      </c>
      <c r="EV57" t="e">
        <f>AND(DATA!Y78,"AAAAAA+9vZc=")</f>
        <v>#VALUE!</v>
      </c>
      <c r="EW57">
        <f>IF(DATA!79:79,"AAAAAA+9vZg=",0)</f>
        <v>0</v>
      </c>
      <c r="EX57" t="e">
        <f>AND(DATA!A79,"AAAAAA+9vZk=")</f>
        <v>#VALUE!</v>
      </c>
      <c r="EY57" t="e">
        <f>AND(DATA!B79,"AAAAAA+9vZo=")</f>
        <v>#VALUE!</v>
      </c>
      <c r="EZ57" t="e">
        <f>AND(DATA!C79,"AAAAAA+9vZs=")</f>
        <v>#VALUE!</v>
      </c>
      <c r="FA57" t="e">
        <f>AND(DATA!D79,"AAAAAA+9vZw=")</f>
        <v>#VALUE!</v>
      </c>
      <c r="FB57" t="e">
        <f>AND(DATA!E79,"AAAAAA+9vZ0=")</f>
        <v>#VALUE!</v>
      </c>
      <c r="FC57" t="e">
        <f>AND(DATA!F79,"AAAAAA+9vZ4=")</f>
        <v>#VALUE!</v>
      </c>
      <c r="FD57" t="e">
        <f>AND(DATA!G79,"AAAAAA+9vZ8=")</f>
        <v>#VALUE!</v>
      </c>
      <c r="FE57" t="e">
        <f>AND(DATA!H79,"AAAAAA+9vaA=")</f>
        <v>#VALUE!</v>
      </c>
      <c r="FF57" t="e">
        <f>AND(DATA!I79,"AAAAAA+9vaE=")</f>
        <v>#VALUE!</v>
      </c>
      <c r="FG57" t="e">
        <f>AND(DATA!J79,"AAAAAA+9vaI=")</f>
        <v>#VALUE!</v>
      </c>
      <c r="FH57" t="e">
        <f>AND(DATA!K79,"AAAAAA+9vaM=")</f>
        <v>#VALUE!</v>
      </c>
      <c r="FI57" t="b">
        <f>AND(DATA!L80,"AAAAAA+9vaQ=")</f>
        <v>1</v>
      </c>
      <c r="FJ57" t="b">
        <f>AND(DATA!M80,"AAAAAA+9vaU=")</f>
        <v>1</v>
      </c>
      <c r="FK57" t="b">
        <f>AND(DATA!N80,"AAAAAA+9vaY=")</f>
        <v>1</v>
      </c>
      <c r="FL57" t="b">
        <f>AND(DATA!O80,"AAAAAA+9vac=")</f>
        <v>1</v>
      </c>
      <c r="FM57" t="b">
        <f>AND(DATA!P80,"AAAAAA+9vag=")</f>
        <v>1</v>
      </c>
      <c r="FN57" t="b">
        <f>AND(DATA!Q80,"AAAAAA+9vak=")</f>
        <v>1</v>
      </c>
      <c r="FO57" t="b">
        <f>AND(DATA!R80,"AAAAAA+9vao=")</f>
        <v>1</v>
      </c>
      <c r="FP57" t="b">
        <f>AND(DATA!S80,"AAAAAA+9vas=")</f>
        <v>1</v>
      </c>
      <c r="FQ57" t="b">
        <f>AND(DATA!T80,"AAAAAA+9vaw=")</f>
        <v>1</v>
      </c>
      <c r="FR57" t="e">
        <f>AND(DATA!U80,"AAAAAA+9va0=")</f>
        <v>#VALUE!</v>
      </c>
      <c r="FS57" t="b">
        <f>AND(DATA!V80,"AAAAAA+9va4=")</f>
        <v>1</v>
      </c>
      <c r="FT57" t="e">
        <f>AND(DATA!W79,"AAAAAA+9va8=")</f>
        <v>#VALUE!</v>
      </c>
      <c r="FU57" t="e">
        <f>AND(DATA!X79,"AAAAAA+9vbA=")</f>
        <v>#VALUE!</v>
      </c>
      <c r="FV57" t="e">
        <f>AND(DATA!Y79,"AAAAAA+9vbE=")</f>
        <v>#VALUE!</v>
      </c>
      <c r="FW57">
        <f>IF(DATA!80:80,"AAAAAA+9vbI=",0)</f>
        <v>0</v>
      </c>
      <c r="FX57" t="e">
        <f>AND(DATA!A80,"AAAAAA+9vbM=")</f>
        <v>#VALUE!</v>
      </c>
      <c r="FY57" t="e">
        <f>AND(DATA!B80,"AAAAAA+9vbQ=")</f>
        <v>#VALUE!</v>
      </c>
      <c r="FZ57" t="e">
        <f>AND(DATA!C80,"AAAAAA+9vbU=")</f>
        <v>#VALUE!</v>
      </c>
      <c r="GA57" t="e">
        <f>AND(DATA!D80,"AAAAAA+9vbY=")</f>
        <v>#VALUE!</v>
      </c>
      <c r="GB57" t="e">
        <f>AND(DATA!E80,"AAAAAA+9vbc=")</f>
        <v>#VALUE!</v>
      </c>
      <c r="GC57" t="e">
        <f>AND(DATA!F80,"AAAAAA+9vbg=")</f>
        <v>#VALUE!</v>
      </c>
      <c r="GD57" t="e">
        <f>AND(DATA!G80,"AAAAAA+9vbk=")</f>
        <v>#VALUE!</v>
      </c>
      <c r="GE57" t="e">
        <f>AND(DATA!H80,"AAAAAA+9vbo=")</f>
        <v>#VALUE!</v>
      </c>
      <c r="GF57" t="e">
        <f>AND(DATA!I80,"AAAAAA+9vbs=")</f>
        <v>#VALUE!</v>
      </c>
      <c r="GG57" t="e">
        <f>AND(DATA!J80,"AAAAAA+9vbw=")</f>
        <v>#VALUE!</v>
      </c>
      <c r="GH57" t="e">
        <f>AND(DATA!K80,"AAAAAA+9vb0=")</f>
        <v>#VALUE!</v>
      </c>
      <c r="GI57" t="b">
        <f>AND(DATA!L81,"AAAAAA+9vb4=")</f>
        <v>1</v>
      </c>
      <c r="GJ57" t="b">
        <f>AND(DATA!M81,"AAAAAA+9vb8=")</f>
        <v>1</v>
      </c>
      <c r="GK57" t="b">
        <f>AND(DATA!N81,"AAAAAA+9vcA=")</f>
        <v>1</v>
      </c>
      <c r="GL57" t="b">
        <f>AND(DATA!O81,"AAAAAA+9vcE=")</f>
        <v>1</v>
      </c>
      <c r="GM57" t="b">
        <f>AND(DATA!P81,"AAAAAA+9vcI=")</f>
        <v>1</v>
      </c>
      <c r="GN57" t="b">
        <f>AND(DATA!Q81,"AAAAAA+9vcM=")</f>
        <v>1</v>
      </c>
      <c r="GO57" t="b">
        <f>AND(DATA!R81,"AAAAAA+9vcQ=")</f>
        <v>1</v>
      </c>
      <c r="GP57" t="b">
        <f>AND(DATA!S81,"AAAAAA+9vcU=")</f>
        <v>1</v>
      </c>
      <c r="GQ57" t="b">
        <f>AND(DATA!T81,"AAAAAA+9vcY=")</f>
        <v>1</v>
      </c>
      <c r="GR57" t="e">
        <f>AND(DATA!U81,"AAAAAA+9vcc=")</f>
        <v>#VALUE!</v>
      </c>
      <c r="GS57" t="b">
        <f>AND(DATA!V81,"AAAAAA+9vcg=")</f>
        <v>1</v>
      </c>
      <c r="GT57" t="e">
        <f>AND(DATA!W80,"AAAAAA+9vck=")</f>
        <v>#VALUE!</v>
      </c>
      <c r="GU57" t="e">
        <f>AND(DATA!X80,"AAAAAA+9vco=")</f>
        <v>#VALUE!</v>
      </c>
      <c r="GV57" t="e">
        <f>AND(DATA!Y80,"AAAAAA+9vcs=")</f>
        <v>#VALUE!</v>
      </c>
      <c r="GW57">
        <f>IF(DATA!81:81,"AAAAAA+9vcw=",0)</f>
        <v>0</v>
      </c>
      <c r="GX57" t="e">
        <f>AND(DATA!A81,"AAAAAA+9vc0=")</f>
        <v>#VALUE!</v>
      </c>
      <c r="GY57" t="e">
        <f>AND(DATA!B81,"AAAAAA+9vc4=")</f>
        <v>#VALUE!</v>
      </c>
      <c r="GZ57" t="e">
        <f>AND(DATA!C81,"AAAAAA+9vc8=")</f>
        <v>#VALUE!</v>
      </c>
      <c r="HA57" t="e">
        <f>AND(DATA!D81,"AAAAAA+9vdA=")</f>
        <v>#VALUE!</v>
      </c>
      <c r="HB57" t="e">
        <f>AND(DATA!E81,"AAAAAA+9vdE=")</f>
        <v>#VALUE!</v>
      </c>
      <c r="HC57" t="e">
        <f>AND(DATA!F81,"AAAAAA+9vdI=")</f>
        <v>#VALUE!</v>
      </c>
      <c r="HD57" t="e">
        <f>AND(DATA!G81,"AAAAAA+9vdM=")</f>
        <v>#VALUE!</v>
      </c>
      <c r="HE57" t="e">
        <f>AND(DATA!H81,"AAAAAA+9vdQ=")</f>
        <v>#VALUE!</v>
      </c>
      <c r="HF57" t="e">
        <f>AND(DATA!I81,"AAAAAA+9vdU=")</f>
        <v>#VALUE!</v>
      </c>
      <c r="HG57" t="e">
        <f>AND(DATA!J81,"AAAAAA+9vdY=")</f>
        <v>#VALUE!</v>
      </c>
      <c r="HH57" t="e">
        <f>AND(DATA!K81,"AAAAAA+9vdc=")</f>
        <v>#VALUE!</v>
      </c>
      <c r="HI57" t="b">
        <f>AND(DATA!L82,"AAAAAA+9vdg=")</f>
        <v>1</v>
      </c>
      <c r="HJ57" t="b">
        <f>AND(DATA!M82,"AAAAAA+9vdk=")</f>
        <v>1</v>
      </c>
      <c r="HK57" t="b">
        <f>AND(DATA!N82,"AAAAAA+9vdo=")</f>
        <v>1</v>
      </c>
      <c r="HL57" t="b">
        <f>AND(DATA!O82,"AAAAAA+9vds=")</f>
        <v>1</v>
      </c>
      <c r="HM57" t="b">
        <f>AND(DATA!P82,"AAAAAA+9vdw=")</f>
        <v>1</v>
      </c>
      <c r="HN57" t="b">
        <f>AND(DATA!Q82,"AAAAAA+9vd0=")</f>
        <v>1</v>
      </c>
      <c r="HO57" t="b">
        <f>AND(DATA!R82,"AAAAAA+9vd4=")</f>
        <v>1</v>
      </c>
      <c r="HP57" t="b">
        <f>AND(DATA!S82,"AAAAAA+9vd8=")</f>
        <v>1</v>
      </c>
      <c r="HQ57" t="b">
        <f>AND(DATA!T82,"AAAAAA+9veA=")</f>
        <v>1</v>
      </c>
      <c r="HR57" t="e">
        <f>AND(DATA!U82,"AAAAAA+9veE=")</f>
        <v>#VALUE!</v>
      </c>
      <c r="HS57" t="b">
        <f>AND(DATA!V82,"AAAAAA+9veI=")</f>
        <v>1</v>
      </c>
      <c r="HT57" t="e">
        <f>AND(DATA!W81,"AAAAAA+9veM=")</f>
        <v>#VALUE!</v>
      </c>
      <c r="HU57" t="e">
        <f>AND(DATA!X81,"AAAAAA+9veQ=")</f>
        <v>#VALUE!</v>
      </c>
      <c r="HV57" t="e">
        <f>AND(DATA!Y81,"AAAAAA+9veU=")</f>
        <v>#VALUE!</v>
      </c>
      <c r="HW57">
        <f>IF(DATA!82:82,"AAAAAA+9veY=",0)</f>
        <v>0</v>
      </c>
      <c r="HX57" t="e">
        <f>AND(DATA!A82,"AAAAAA+9vec=")</f>
        <v>#VALUE!</v>
      </c>
      <c r="HY57" t="e">
        <f>AND(DATA!B82,"AAAAAA+9veg=")</f>
        <v>#VALUE!</v>
      </c>
      <c r="HZ57" t="e">
        <f>AND(DATA!C82,"AAAAAA+9vek=")</f>
        <v>#VALUE!</v>
      </c>
      <c r="IA57" t="e">
        <f>AND(DATA!D82,"AAAAAA+9veo=")</f>
        <v>#VALUE!</v>
      </c>
      <c r="IB57" t="e">
        <f>AND(DATA!E82,"AAAAAA+9ves=")</f>
        <v>#VALUE!</v>
      </c>
      <c r="IC57" t="e">
        <f>AND(DATA!F82,"AAAAAA+9vew=")</f>
        <v>#VALUE!</v>
      </c>
      <c r="ID57" t="e">
        <f>AND(DATA!G82,"AAAAAA+9ve0=")</f>
        <v>#VALUE!</v>
      </c>
      <c r="IE57" t="e">
        <f>AND(DATA!H82,"AAAAAA+9ve4=")</f>
        <v>#VALUE!</v>
      </c>
      <c r="IF57" t="e">
        <f>AND(DATA!I82,"AAAAAA+9ve8=")</f>
        <v>#VALUE!</v>
      </c>
      <c r="IG57" t="e">
        <f>AND(DATA!J82,"AAAAAA+9vfA=")</f>
        <v>#VALUE!</v>
      </c>
      <c r="IH57" t="e">
        <f>AND(DATA!K82,"AAAAAA+9vfE=")</f>
        <v>#VALUE!</v>
      </c>
      <c r="II57" t="b">
        <f>AND(DATA!L83,"AAAAAA+9vfI=")</f>
        <v>1</v>
      </c>
      <c r="IJ57" t="b">
        <f>AND(DATA!M83,"AAAAAA+9vfM=")</f>
        <v>1</v>
      </c>
      <c r="IK57" t="b">
        <f>AND(DATA!N83,"AAAAAA+9vfQ=")</f>
        <v>1</v>
      </c>
      <c r="IL57" t="b">
        <f>AND(DATA!O83,"AAAAAA+9vfU=")</f>
        <v>1</v>
      </c>
      <c r="IM57" t="b">
        <f>AND(DATA!P83,"AAAAAA+9vfY=")</f>
        <v>1</v>
      </c>
      <c r="IN57" t="b">
        <f>AND(DATA!Q83,"AAAAAA+9vfc=")</f>
        <v>1</v>
      </c>
      <c r="IO57" t="b">
        <f>AND(DATA!R83,"AAAAAA+9vfg=")</f>
        <v>1</v>
      </c>
      <c r="IP57" t="b">
        <f>AND(DATA!S83,"AAAAAA+9vfk=")</f>
        <v>1</v>
      </c>
      <c r="IQ57" t="b">
        <f>AND(DATA!T83,"AAAAAA+9vfo=")</f>
        <v>1</v>
      </c>
      <c r="IR57" t="e">
        <f>AND(DATA!U83,"AAAAAA+9vfs=")</f>
        <v>#VALUE!</v>
      </c>
      <c r="IS57" t="b">
        <f>AND(DATA!V83,"AAAAAA+9vfw=")</f>
        <v>1</v>
      </c>
      <c r="IT57" t="e">
        <f>AND(DATA!W82,"AAAAAA+9vf0=")</f>
        <v>#VALUE!</v>
      </c>
      <c r="IU57" t="e">
        <f>AND(DATA!X82,"AAAAAA+9vf4=")</f>
        <v>#VALUE!</v>
      </c>
      <c r="IV57" t="e">
        <f>AND(DATA!Y82,"AAAAAA+9vf8=")</f>
        <v>#VALUE!</v>
      </c>
    </row>
    <row r="58" spans="1:256" x14ac:dyDescent="0.25">
      <c r="A58">
        <f>IF(DATA!83:83,"AAAAAH+9ZwA=",0)</f>
        <v>0</v>
      </c>
      <c r="B58" t="e">
        <f>AND(DATA!A83,"AAAAAH+9ZwE=")</f>
        <v>#VALUE!</v>
      </c>
      <c r="C58" t="e">
        <f>AND(DATA!B83,"AAAAAH+9ZwI=")</f>
        <v>#VALUE!</v>
      </c>
      <c r="D58" t="e">
        <f>AND(DATA!C83,"AAAAAH+9ZwM=")</f>
        <v>#VALUE!</v>
      </c>
      <c r="E58" t="e">
        <f>AND(DATA!D83,"AAAAAH+9ZwQ=")</f>
        <v>#VALUE!</v>
      </c>
      <c r="F58" t="e">
        <f>AND(DATA!E83,"AAAAAH+9ZwU=")</f>
        <v>#VALUE!</v>
      </c>
      <c r="G58" t="e">
        <f>AND(DATA!F83,"AAAAAH+9ZwY=")</f>
        <v>#VALUE!</v>
      </c>
      <c r="H58" t="e">
        <f>AND(DATA!G83,"AAAAAH+9Zwc=")</f>
        <v>#VALUE!</v>
      </c>
      <c r="I58" t="e">
        <f>AND(DATA!H83,"AAAAAH+9Zwg=")</f>
        <v>#VALUE!</v>
      </c>
      <c r="J58" t="e">
        <f>AND(DATA!I83,"AAAAAH+9Zwk=")</f>
        <v>#VALUE!</v>
      </c>
      <c r="K58" t="e">
        <f>AND(DATA!J83,"AAAAAH+9Zwo=")</f>
        <v>#VALUE!</v>
      </c>
      <c r="L58" t="e">
        <f>AND(DATA!K83,"AAAAAH+9Zws=")</f>
        <v>#VALUE!</v>
      </c>
      <c r="M58" t="b">
        <f>AND(DATA!L84,"AAAAAH+9Zww=")</f>
        <v>1</v>
      </c>
      <c r="N58" t="b">
        <f>AND(DATA!M84,"AAAAAH+9Zw0=")</f>
        <v>1</v>
      </c>
      <c r="O58" t="b">
        <f>AND(DATA!N84,"AAAAAH+9Zw4=")</f>
        <v>1</v>
      </c>
      <c r="P58" t="b">
        <f>AND(DATA!O84,"AAAAAH+9Zw8=")</f>
        <v>1</v>
      </c>
      <c r="Q58" t="b">
        <f>AND(DATA!P84,"AAAAAH+9ZxA=")</f>
        <v>1</v>
      </c>
      <c r="R58" t="b">
        <f>AND(DATA!Q84,"AAAAAH+9ZxE=")</f>
        <v>1</v>
      </c>
      <c r="S58" t="b">
        <f>AND(DATA!R84,"AAAAAH+9ZxI=")</f>
        <v>1</v>
      </c>
      <c r="T58" t="b">
        <f>AND(DATA!S84,"AAAAAH+9ZxM=")</f>
        <v>1</v>
      </c>
      <c r="U58" t="b">
        <f>AND(DATA!T84,"AAAAAH+9ZxQ=")</f>
        <v>1</v>
      </c>
      <c r="V58" t="e">
        <f>AND(DATA!U84,"AAAAAH+9ZxU=")</f>
        <v>#VALUE!</v>
      </c>
      <c r="W58" t="b">
        <f>AND(DATA!V84,"AAAAAH+9ZxY=")</f>
        <v>1</v>
      </c>
      <c r="X58" t="e">
        <f>AND(DATA!W83,"AAAAAH+9Zxc=")</f>
        <v>#VALUE!</v>
      </c>
      <c r="Y58" t="e">
        <f>AND(DATA!X83,"AAAAAH+9Zxg=")</f>
        <v>#VALUE!</v>
      </c>
      <c r="Z58" t="e">
        <f>AND(DATA!Y83,"AAAAAH+9Zxk=")</f>
        <v>#VALUE!</v>
      </c>
      <c r="AA58">
        <f>IF(DATA!84:84,"AAAAAH+9Zxo=",0)</f>
        <v>0</v>
      </c>
      <c r="AB58" t="e">
        <f>AND(DATA!A84,"AAAAAH+9Zxs=")</f>
        <v>#VALUE!</v>
      </c>
      <c r="AC58" t="e">
        <f>AND(DATA!B84,"AAAAAH+9Zxw=")</f>
        <v>#VALUE!</v>
      </c>
      <c r="AD58" t="e">
        <f>AND(DATA!C84,"AAAAAH+9Zx0=")</f>
        <v>#VALUE!</v>
      </c>
      <c r="AE58" t="e">
        <f>AND(DATA!D84,"AAAAAH+9Zx4=")</f>
        <v>#VALUE!</v>
      </c>
      <c r="AF58" t="e">
        <f>AND(DATA!E84,"AAAAAH+9Zx8=")</f>
        <v>#VALUE!</v>
      </c>
      <c r="AG58" t="e">
        <f>AND(DATA!F84,"AAAAAH+9ZyA=")</f>
        <v>#VALUE!</v>
      </c>
      <c r="AH58" t="e">
        <f>AND(DATA!G84,"AAAAAH+9ZyE=")</f>
        <v>#VALUE!</v>
      </c>
      <c r="AI58" t="e">
        <f>AND(DATA!H84,"AAAAAH+9ZyI=")</f>
        <v>#VALUE!</v>
      </c>
      <c r="AJ58" t="e">
        <f>AND(DATA!I84,"AAAAAH+9ZyM=")</f>
        <v>#VALUE!</v>
      </c>
      <c r="AK58" t="e">
        <f>AND(DATA!J84,"AAAAAH+9ZyQ=")</f>
        <v>#VALUE!</v>
      </c>
      <c r="AL58" t="e">
        <f>AND(DATA!K84,"AAAAAH+9ZyU=")</f>
        <v>#VALUE!</v>
      </c>
      <c r="AM58" t="b">
        <f>AND(DATA!L85,"AAAAAH+9ZyY=")</f>
        <v>1</v>
      </c>
      <c r="AN58" t="b">
        <f>AND(DATA!M85,"AAAAAH+9Zyc=")</f>
        <v>1</v>
      </c>
      <c r="AO58" t="b">
        <f>AND(DATA!N85,"AAAAAH+9Zyg=")</f>
        <v>1</v>
      </c>
      <c r="AP58" t="b">
        <f>AND(DATA!O85,"AAAAAH+9Zyk=")</f>
        <v>1</v>
      </c>
      <c r="AQ58" t="b">
        <f>AND(DATA!P85,"AAAAAH+9Zyo=")</f>
        <v>1</v>
      </c>
      <c r="AR58" t="b">
        <f>AND(DATA!Q85,"AAAAAH+9Zys=")</f>
        <v>1</v>
      </c>
      <c r="AS58" t="b">
        <f>AND(DATA!R85,"AAAAAH+9Zyw=")</f>
        <v>1</v>
      </c>
      <c r="AT58" t="b">
        <f>AND(DATA!S85,"AAAAAH+9Zy0=")</f>
        <v>1</v>
      </c>
      <c r="AU58" t="b">
        <f>AND(DATA!T85,"AAAAAH+9Zy4=")</f>
        <v>1</v>
      </c>
      <c r="AV58" t="e">
        <f>AND(DATA!U85,"AAAAAH+9Zy8=")</f>
        <v>#VALUE!</v>
      </c>
      <c r="AW58" t="b">
        <f>AND(DATA!V85,"AAAAAH+9ZzA=")</f>
        <v>1</v>
      </c>
      <c r="AX58" t="e">
        <f>AND(DATA!W84,"AAAAAH+9ZzE=")</f>
        <v>#VALUE!</v>
      </c>
      <c r="AY58" t="e">
        <f>AND(DATA!X84,"AAAAAH+9ZzI=")</f>
        <v>#VALUE!</v>
      </c>
      <c r="AZ58" t="e">
        <f>AND(DATA!Y84,"AAAAAH+9ZzM=")</f>
        <v>#VALUE!</v>
      </c>
      <c r="BA58">
        <f>IF(DATA!85:85,"AAAAAH+9ZzQ=",0)</f>
        <v>0</v>
      </c>
      <c r="BB58" t="e">
        <f>AND(DATA!A85,"AAAAAH+9ZzU=")</f>
        <v>#VALUE!</v>
      </c>
      <c r="BC58" t="e">
        <f>AND(DATA!B85,"AAAAAH+9ZzY=")</f>
        <v>#VALUE!</v>
      </c>
      <c r="BD58" t="e">
        <f>AND(DATA!C85,"AAAAAH+9Zzc=")</f>
        <v>#VALUE!</v>
      </c>
      <c r="BE58" t="e">
        <f>AND(DATA!D85,"AAAAAH+9Zzg=")</f>
        <v>#VALUE!</v>
      </c>
      <c r="BF58" t="e">
        <f>AND(DATA!E85,"AAAAAH+9Zzk=")</f>
        <v>#VALUE!</v>
      </c>
      <c r="BG58" t="e">
        <f>AND(DATA!F85,"AAAAAH+9Zzo=")</f>
        <v>#VALUE!</v>
      </c>
      <c r="BH58" t="e">
        <f>AND(DATA!G85,"AAAAAH+9Zzs=")</f>
        <v>#VALUE!</v>
      </c>
      <c r="BI58" t="e">
        <f>AND(DATA!H85,"AAAAAH+9Zzw=")</f>
        <v>#VALUE!</v>
      </c>
      <c r="BJ58" t="e">
        <f>AND(DATA!I85,"AAAAAH+9Zz0=")</f>
        <v>#VALUE!</v>
      </c>
      <c r="BK58" t="e">
        <f>AND(DATA!J85,"AAAAAH+9Zz4=")</f>
        <v>#VALUE!</v>
      </c>
      <c r="BL58" t="e">
        <f>AND(DATA!K85,"AAAAAH+9Zz8=")</f>
        <v>#VALUE!</v>
      </c>
      <c r="BM58" t="b">
        <f>AND(DATA!L86,"AAAAAH+9Z0A=")</f>
        <v>1</v>
      </c>
      <c r="BN58" t="b">
        <f>AND(DATA!M86,"AAAAAH+9Z0E=")</f>
        <v>1</v>
      </c>
      <c r="BO58" t="b">
        <f>AND(DATA!N86,"AAAAAH+9Z0I=")</f>
        <v>1</v>
      </c>
      <c r="BP58" t="b">
        <f>AND(DATA!O86,"AAAAAH+9Z0M=")</f>
        <v>1</v>
      </c>
      <c r="BQ58" t="b">
        <f>AND(DATA!P86,"AAAAAH+9Z0Q=")</f>
        <v>1</v>
      </c>
      <c r="BR58" t="b">
        <f>AND(DATA!Q86,"AAAAAH+9Z0U=")</f>
        <v>1</v>
      </c>
      <c r="BS58" t="b">
        <f>AND(DATA!R86,"AAAAAH+9Z0Y=")</f>
        <v>1</v>
      </c>
      <c r="BT58" t="b">
        <f>AND(DATA!S86,"AAAAAH+9Z0c=")</f>
        <v>1</v>
      </c>
      <c r="BU58" t="b">
        <f>AND(DATA!T86,"AAAAAH+9Z0g=")</f>
        <v>1</v>
      </c>
      <c r="BV58" t="e">
        <f>AND(DATA!U86,"AAAAAH+9Z0k=")</f>
        <v>#VALUE!</v>
      </c>
      <c r="BW58" t="b">
        <f>AND(DATA!V86,"AAAAAH+9Z0o=")</f>
        <v>1</v>
      </c>
      <c r="BX58" t="e">
        <f>AND(DATA!W85,"AAAAAH+9Z0s=")</f>
        <v>#VALUE!</v>
      </c>
      <c r="BY58" t="e">
        <f>AND(DATA!X85,"AAAAAH+9Z0w=")</f>
        <v>#VALUE!</v>
      </c>
      <c r="BZ58" t="e">
        <f>AND(DATA!Y85,"AAAAAH+9Z00=")</f>
        <v>#VALUE!</v>
      </c>
      <c r="CA58">
        <f>IF(DATA!86:86,"AAAAAH+9Z04=",0)</f>
        <v>0</v>
      </c>
      <c r="CB58" t="e">
        <f>AND(DATA!A86,"AAAAAH+9Z08=")</f>
        <v>#VALUE!</v>
      </c>
      <c r="CC58" t="e">
        <f>AND(DATA!B86,"AAAAAH+9Z1A=")</f>
        <v>#VALUE!</v>
      </c>
      <c r="CD58" t="e">
        <f>AND(DATA!C86,"AAAAAH+9Z1E=")</f>
        <v>#VALUE!</v>
      </c>
      <c r="CE58" t="e">
        <f>AND(DATA!D86,"AAAAAH+9Z1I=")</f>
        <v>#VALUE!</v>
      </c>
      <c r="CF58" t="e">
        <f>AND(DATA!E86,"AAAAAH+9Z1M=")</f>
        <v>#VALUE!</v>
      </c>
      <c r="CG58" t="e">
        <f>AND(DATA!F86,"AAAAAH+9Z1Q=")</f>
        <v>#VALUE!</v>
      </c>
      <c r="CH58" t="e">
        <f>AND(DATA!G86,"AAAAAH+9Z1U=")</f>
        <v>#VALUE!</v>
      </c>
      <c r="CI58" t="e">
        <f>AND(DATA!H86,"AAAAAH+9Z1Y=")</f>
        <v>#VALUE!</v>
      </c>
      <c r="CJ58" t="e">
        <f>AND(DATA!I86,"AAAAAH+9Z1c=")</f>
        <v>#VALUE!</v>
      </c>
      <c r="CK58" t="e">
        <f>AND(DATA!J86,"AAAAAH+9Z1g=")</f>
        <v>#VALUE!</v>
      </c>
      <c r="CL58" t="e">
        <f>AND(DATA!K86,"AAAAAH+9Z1k=")</f>
        <v>#VALUE!</v>
      </c>
      <c r="CM58" t="b">
        <f>AND(DATA!L87,"AAAAAH+9Z1o=")</f>
        <v>1</v>
      </c>
      <c r="CN58" t="b">
        <f>AND(DATA!M87,"AAAAAH+9Z1s=")</f>
        <v>1</v>
      </c>
      <c r="CO58" t="b">
        <f>AND(DATA!N87,"AAAAAH+9Z1w=")</f>
        <v>1</v>
      </c>
      <c r="CP58" t="b">
        <f>AND(DATA!O87,"AAAAAH+9Z10=")</f>
        <v>1</v>
      </c>
      <c r="CQ58" t="b">
        <f>AND(DATA!P87,"AAAAAH+9Z14=")</f>
        <v>1</v>
      </c>
      <c r="CR58" t="b">
        <f>AND(DATA!Q87,"AAAAAH+9Z18=")</f>
        <v>1</v>
      </c>
      <c r="CS58" t="b">
        <f>AND(DATA!R87,"AAAAAH+9Z2A=")</f>
        <v>1</v>
      </c>
      <c r="CT58" t="b">
        <f>AND(DATA!S87,"AAAAAH+9Z2E=")</f>
        <v>1</v>
      </c>
      <c r="CU58" t="b">
        <f>AND(DATA!T87,"AAAAAH+9Z2I=")</f>
        <v>1</v>
      </c>
      <c r="CV58" t="e">
        <f>AND(DATA!U87,"AAAAAH+9Z2M=")</f>
        <v>#VALUE!</v>
      </c>
      <c r="CW58" t="b">
        <f>AND(DATA!V87,"AAAAAH+9Z2Q=")</f>
        <v>1</v>
      </c>
      <c r="CX58" t="e">
        <f>AND(DATA!W86,"AAAAAH+9Z2U=")</f>
        <v>#VALUE!</v>
      </c>
      <c r="CY58" t="e">
        <f>AND(DATA!X86,"AAAAAH+9Z2Y=")</f>
        <v>#VALUE!</v>
      </c>
      <c r="CZ58" t="e">
        <f>AND(DATA!Y86,"AAAAAH+9Z2c=")</f>
        <v>#VALUE!</v>
      </c>
      <c r="DA58">
        <f>IF(DATA!87:87,"AAAAAH+9Z2g=",0)</f>
        <v>0</v>
      </c>
      <c r="DB58" t="e">
        <f>AND(DATA!A87,"AAAAAH+9Z2k=")</f>
        <v>#VALUE!</v>
      </c>
      <c r="DC58" t="e">
        <f>AND(DATA!B87,"AAAAAH+9Z2o=")</f>
        <v>#VALUE!</v>
      </c>
      <c r="DD58" t="e">
        <f>AND(DATA!C87,"AAAAAH+9Z2s=")</f>
        <v>#VALUE!</v>
      </c>
      <c r="DE58" t="e">
        <f>AND(DATA!D87,"AAAAAH+9Z2w=")</f>
        <v>#VALUE!</v>
      </c>
      <c r="DF58" t="e">
        <f>AND(DATA!E87,"AAAAAH+9Z20=")</f>
        <v>#VALUE!</v>
      </c>
      <c r="DG58" t="e">
        <f>AND(DATA!F87,"AAAAAH+9Z24=")</f>
        <v>#VALUE!</v>
      </c>
      <c r="DH58" t="e">
        <f>AND(DATA!G87,"AAAAAH+9Z28=")</f>
        <v>#VALUE!</v>
      </c>
      <c r="DI58" t="e">
        <f>AND(DATA!H87,"AAAAAH+9Z3A=")</f>
        <v>#VALUE!</v>
      </c>
      <c r="DJ58" t="e">
        <f>AND(DATA!I87,"AAAAAH+9Z3E=")</f>
        <v>#VALUE!</v>
      </c>
      <c r="DK58" t="e">
        <f>AND(DATA!J87,"AAAAAH+9Z3I=")</f>
        <v>#VALUE!</v>
      </c>
      <c r="DL58" t="e">
        <f>AND(DATA!K87,"AAAAAH+9Z3M=")</f>
        <v>#VALUE!</v>
      </c>
      <c r="DM58" t="b">
        <f>AND(DATA!L88,"AAAAAH+9Z3Q=")</f>
        <v>1</v>
      </c>
      <c r="DN58" t="b">
        <f>AND(DATA!M88,"AAAAAH+9Z3U=")</f>
        <v>1</v>
      </c>
      <c r="DO58" t="b">
        <f>AND(DATA!N88,"AAAAAH+9Z3Y=")</f>
        <v>1</v>
      </c>
      <c r="DP58" t="b">
        <f>AND(DATA!O88,"AAAAAH+9Z3c=")</f>
        <v>1</v>
      </c>
      <c r="DQ58" t="b">
        <f>AND(DATA!P88,"AAAAAH+9Z3g=")</f>
        <v>1</v>
      </c>
      <c r="DR58" t="b">
        <f>AND(DATA!Q88,"AAAAAH+9Z3k=")</f>
        <v>1</v>
      </c>
      <c r="DS58" t="b">
        <f>AND(DATA!R88,"AAAAAH+9Z3o=")</f>
        <v>1</v>
      </c>
      <c r="DT58" t="b">
        <f>AND(DATA!S88,"AAAAAH+9Z3s=")</f>
        <v>1</v>
      </c>
      <c r="DU58" t="b">
        <f>AND(DATA!T88,"AAAAAH+9Z3w=")</f>
        <v>1</v>
      </c>
      <c r="DV58" t="e">
        <f>AND(DATA!U88,"AAAAAH+9Z30=")</f>
        <v>#VALUE!</v>
      </c>
      <c r="DW58" t="b">
        <f>AND(DATA!V88,"AAAAAH+9Z34=")</f>
        <v>1</v>
      </c>
      <c r="DX58" t="e">
        <f>AND(DATA!W87,"AAAAAH+9Z38=")</f>
        <v>#VALUE!</v>
      </c>
      <c r="DY58" t="e">
        <f>AND(DATA!X87,"AAAAAH+9Z4A=")</f>
        <v>#VALUE!</v>
      </c>
      <c r="DZ58" t="e">
        <f>AND(DATA!Y87,"AAAAAH+9Z4E=")</f>
        <v>#VALUE!</v>
      </c>
      <c r="EA58">
        <f>IF(DATA!88:88,"AAAAAH+9Z4I=",0)</f>
        <v>0</v>
      </c>
      <c r="EB58" t="e">
        <f>AND(DATA!A88,"AAAAAH+9Z4M=")</f>
        <v>#VALUE!</v>
      </c>
      <c r="EC58" t="e">
        <f>AND(DATA!B88,"AAAAAH+9Z4Q=")</f>
        <v>#VALUE!</v>
      </c>
      <c r="ED58" t="e">
        <f>AND(DATA!C88,"AAAAAH+9Z4U=")</f>
        <v>#VALUE!</v>
      </c>
      <c r="EE58" t="e">
        <f>AND(DATA!D88,"AAAAAH+9Z4Y=")</f>
        <v>#VALUE!</v>
      </c>
      <c r="EF58" t="e">
        <f>AND(DATA!E88,"AAAAAH+9Z4c=")</f>
        <v>#VALUE!</v>
      </c>
      <c r="EG58" t="e">
        <f>AND(DATA!F88,"AAAAAH+9Z4g=")</f>
        <v>#VALUE!</v>
      </c>
      <c r="EH58" t="e">
        <f>AND(DATA!G88,"AAAAAH+9Z4k=")</f>
        <v>#VALUE!</v>
      </c>
      <c r="EI58" t="e">
        <f>AND(DATA!H88,"AAAAAH+9Z4o=")</f>
        <v>#VALUE!</v>
      </c>
      <c r="EJ58" t="e">
        <f>AND(DATA!I88,"AAAAAH+9Z4s=")</f>
        <v>#VALUE!</v>
      </c>
      <c r="EK58" t="e">
        <f>AND(DATA!J88,"AAAAAH+9Z4w=")</f>
        <v>#VALUE!</v>
      </c>
      <c r="EL58" t="e">
        <f>AND(DATA!K88,"AAAAAH+9Z40=")</f>
        <v>#VALUE!</v>
      </c>
      <c r="EM58" t="b">
        <f>AND(DATA!L89,"AAAAAH+9Z44=")</f>
        <v>1</v>
      </c>
      <c r="EN58" t="b">
        <f>AND(DATA!M89,"AAAAAH+9Z48=")</f>
        <v>1</v>
      </c>
      <c r="EO58" t="b">
        <f>AND(DATA!N89,"AAAAAH+9Z5A=")</f>
        <v>1</v>
      </c>
      <c r="EP58" t="b">
        <f>AND(DATA!O89,"AAAAAH+9Z5E=")</f>
        <v>1</v>
      </c>
      <c r="EQ58" t="b">
        <f>AND(DATA!P89,"AAAAAH+9Z5I=")</f>
        <v>1</v>
      </c>
      <c r="ER58" t="b">
        <f>AND(DATA!Q89,"AAAAAH+9Z5M=")</f>
        <v>1</v>
      </c>
      <c r="ES58" t="b">
        <f>AND(DATA!R89,"AAAAAH+9Z5Q=")</f>
        <v>1</v>
      </c>
      <c r="ET58" t="b">
        <f>AND(DATA!S89,"AAAAAH+9Z5U=")</f>
        <v>1</v>
      </c>
      <c r="EU58" t="b">
        <f>AND(DATA!T89,"AAAAAH+9Z5Y=")</f>
        <v>1</v>
      </c>
      <c r="EV58" t="e">
        <f>AND(DATA!U89,"AAAAAH+9Z5c=")</f>
        <v>#VALUE!</v>
      </c>
      <c r="EW58" t="b">
        <f>AND(DATA!V89,"AAAAAH+9Z5g=")</f>
        <v>1</v>
      </c>
      <c r="EX58" t="e">
        <f>AND(DATA!W88,"AAAAAH+9Z5k=")</f>
        <v>#VALUE!</v>
      </c>
      <c r="EY58" t="e">
        <f>AND(DATA!X88,"AAAAAH+9Z5o=")</f>
        <v>#VALUE!</v>
      </c>
      <c r="EZ58" t="e">
        <f>AND(DATA!Y88,"AAAAAH+9Z5s=")</f>
        <v>#VALUE!</v>
      </c>
      <c r="FA58">
        <f>IF(DATA!89:89,"AAAAAH+9Z5w=",0)</f>
        <v>0</v>
      </c>
      <c r="FB58" t="e">
        <f>AND(DATA!A89,"AAAAAH+9Z50=")</f>
        <v>#VALUE!</v>
      </c>
      <c r="FC58" t="e">
        <f>AND(DATA!B89,"AAAAAH+9Z54=")</f>
        <v>#VALUE!</v>
      </c>
      <c r="FD58" t="e">
        <f>AND(DATA!C89,"AAAAAH+9Z58=")</f>
        <v>#VALUE!</v>
      </c>
      <c r="FE58" t="e">
        <f>AND(DATA!D89,"AAAAAH+9Z6A=")</f>
        <v>#VALUE!</v>
      </c>
      <c r="FF58" t="e">
        <f>AND(DATA!E89,"AAAAAH+9Z6E=")</f>
        <v>#VALUE!</v>
      </c>
      <c r="FG58" t="e">
        <f>AND(DATA!F89,"AAAAAH+9Z6I=")</f>
        <v>#VALUE!</v>
      </c>
      <c r="FH58" t="e">
        <f>AND(DATA!G89,"AAAAAH+9Z6M=")</f>
        <v>#VALUE!</v>
      </c>
      <c r="FI58" t="e">
        <f>AND(DATA!H89,"AAAAAH+9Z6Q=")</f>
        <v>#VALUE!</v>
      </c>
      <c r="FJ58" t="e">
        <f>AND(DATA!I89,"AAAAAH+9Z6U=")</f>
        <v>#VALUE!</v>
      </c>
      <c r="FK58" t="e">
        <f>AND(DATA!J89,"AAAAAH+9Z6Y=")</f>
        <v>#VALUE!</v>
      </c>
      <c r="FL58" t="e">
        <f>AND(DATA!K89,"AAAAAH+9Z6c=")</f>
        <v>#VALUE!</v>
      </c>
      <c r="FM58" t="b">
        <f>AND(DATA!L90,"AAAAAH+9Z6g=")</f>
        <v>1</v>
      </c>
      <c r="FN58" t="b">
        <f>AND(DATA!M90,"AAAAAH+9Z6k=")</f>
        <v>1</v>
      </c>
      <c r="FO58" t="b">
        <f>AND(DATA!N90,"AAAAAH+9Z6o=")</f>
        <v>1</v>
      </c>
      <c r="FP58" t="b">
        <f>AND(DATA!O90,"AAAAAH+9Z6s=")</f>
        <v>1</v>
      </c>
      <c r="FQ58" t="b">
        <f>AND(DATA!P90,"AAAAAH+9Z6w=")</f>
        <v>1</v>
      </c>
      <c r="FR58" t="b">
        <f>AND(DATA!Q90,"AAAAAH+9Z60=")</f>
        <v>1</v>
      </c>
      <c r="FS58" t="b">
        <f>AND(DATA!R90,"AAAAAH+9Z64=")</f>
        <v>1</v>
      </c>
      <c r="FT58" t="b">
        <f>AND(DATA!S90,"AAAAAH+9Z68=")</f>
        <v>1</v>
      </c>
      <c r="FU58" t="b">
        <f>AND(DATA!T90,"AAAAAH+9Z7A=")</f>
        <v>1</v>
      </c>
      <c r="FV58" t="e">
        <f>AND(DATA!U90,"AAAAAH+9Z7E=")</f>
        <v>#VALUE!</v>
      </c>
      <c r="FW58" t="b">
        <f>AND(DATA!V90,"AAAAAH+9Z7I=")</f>
        <v>1</v>
      </c>
      <c r="FX58" t="e">
        <f>AND(DATA!W89,"AAAAAH+9Z7M=")</f>
        <v>#VALUE!</v>
      </c>
      <c r="FY58" t="e">
        <f>AND(DATA!X89,"AAAAAH+9Z7Q=")</f>
        <v>#VALUE!</v>
      </c>
      <c r="FZ58" t="e">
        <f>AND(DATA!Y89,"AAAAAH+9Z7U=")</f>
        <v>#VALUE!</v>
      </c>
      <c r="GA58">
        <f>IF(DATA!90:90,"AAAAAH+9Z7Y=",0)</f>
        <v>0</v>
      </c>
      <c r="GB58" t="e">
        <f>AND(DATA!A90,"AAAAAH+9Z7c=")</f>
        <v>#VALUE!</v>
      </c>
      <c r="GC58" t="e">
        <f>AND(DATA!B90,"AAAAAH+9Z7g=")</f>
        <v>#VALUE!</v>
      </c>
      <c r="GD58" t="e">
        <f>AND(DATA!C90,"AAAAAH+9Z7k=")</f>
        <v>#VALUE!</v>
      </c>
      <c r="GE58" t="e">
        <f>AND(DATA!D90,"AAAAAH+9Z7o=")</f>
        <v>#VALUE!</v>
      </c>
      <c r="GF58" t="e">
        <f>AND(DATA!E90,"AAAAAH+9Z7s=")</f>
        <v>#VALUE!</v>
      </c>
      <c r="GG58" t="e">
        <f>AND(DATA!F90,"AAAAAH+9Z7w=")</f>
        <v>#VALUE!</v>
      </c>
      <c r="GH58" t="e">
        <f>AND(DATA!G90,"AAAAAH+9Z70=")</f>
        <v>#VALUE!</v>
      </c>
      <c r="GI58" t="e">
        <f>AND(DATA!H90,"AAAAAH+9Z74=")</f>
        <v>#VALUE!</v>
      </c>
      <c r="GJ58" t="e">
        <f>AND(DATA!I90,"AAAAAH+9Z78=")</f>
        <v>#VALUE!</v>
      </c>
      <c r="GK58" t="e">
        <f>AND(DATA!J90,"AAAAAH+9Z8A=")</f>
        <v>#VALUE!</v>
      </c>
      <c r="GL58" t="e">
        <f>AND(DATA!K90,"AAAAAH+9Z8E=")</f>
        <v>#VALUE!</v>
      </c>
      <c r="GM58" t="b">
        <f>AND(DATA!L91,"AAAAAH+9Z8I=")</f>
        <v>1</v>
      </c>
      <c r="GN58" t="b">
        <f>AND(DATA!M91,"AAAAAH+9Z8M=")</f>
        <v>1</v>
      </c>
      <c r="GO58" t="b">
        <f>AND(DATA!N91,"AAAAAH+9Z8Q=")</f>
        <v>1</v>
      </c>
      <c r="GP58" t="b">
        <f>AND(DATA!O91,"AAAAAH+9Z8U=")</f>
        <v>1</v>
      </c>
      <c r="GQ58" t="b">
        <f>AND(DATA!P91,"AAAAAH+9Z8Y=")</f>
        <v>1</v>
      </c>
      <c r="GR58" t="b">
        <f>AND(DATA!Q91,"AAAAAH+9Z8c=")</f>
        <v>1</v>
      </c>
      <c r="GS58" t="b">
        <f>AND(DATA!R91,"AAAAAH+9Z8g=")</f>
        <v>1</v>
      </c>
      <c r="GT58" t="b">
        <f>AND(DATA!S91,"AAAAAH+9Z8k=")</f>
        <v>1</v>
      </c>
      <c r="GU58" t="b">
        <f>AND(DATA!T91,"AAAAAH+9Z8o=")</f>
        <v>1</v>
      </c>
      <c r="GV58" t="e">
        <f>AND(DATA!U91,"AAAAAH+9Z8s=")</f>
        <v>#VALUE!</v>
      </c>
      <c r="GW58" t="b">
        <f>AND(DATA!V91,"AAAAAH+9Z8w=")</f>
        <v>1</v>
      </c>
      <c r="GX58" t="e">
        <f>AND(DATA!W90,"AAAAAH+9Z80=")</f>
        <v>#VALUE!</v>
      </c>
      <c r="GY58" t="e">
        <f>AND(DATA!X90,"AAAAAH+9Z84=")</f>
        <v>#VALUE!</v>
      </c>
      <c r="GZ58" t="e">
        <f>AND(DATA!Y90,"AAAAAH+9Z88=")</f>
        <v>#VALUE!</v>
      </c>
      <c r="HA58">
        <f>IF(DATA!91:91,"AAAAAH+9Z9A=",0)</f>
        <v>0</v>
      </c>
      <c r="HB58" t="e">
        <f>AND(DATA!A91,"AAAAAH+9Z9E=")</f>
        <v>#VALUE!</v>
      </c>
      <c r="HC58" t="e">
        <f>AND(DATA!B91,"AAAAAH+9Z9I=")</f>
        <v>#VALUE!</v>
      </c>
      <c r="HD58" t="e">
        <f>AND(DATA!C91,"AAAAAH+9Z9M=")</f>
        <v>#VALUE!</v>
      </c>
      <c r="HE58" t="e">
        <f>AND(DATA!D91,"AAAAAH+9Z9Q=")</f>
        <v>#VALUE!</v>
      </c>
      <c r="HF58" t="e">
        <f>AND(DATA!E91,"AAAAAH+9Z9U=")</f>
        <v>#VALUE!</v>
      </c>
      <c r="HG58" t="e">
        <f>AND(DATA!F91,"AAAAAH+9Z9Y=")</f>
        <v>#VALUE!</v>
      </c>
      <c r="HH58" t="e">
        <f>AND(DATA!G91,"AAAAAH+9Z9c=")</f>
        <v>#VALUE!</v>
      </c>
      <c r="HI58" t="e">
        <f>AND(DATA!H91,"AAAAAH+9Z9g=")</f>
        <v>#VALUE!</v>
      </c>
      <c r="HJ58" t="e">
        <f>AND(DATA!I91,"AAAAAH+9Z9k=")</f>
        <v>#VALUE!</v>
      </c>
      <c r="HK58" t="e">
        <f>AND(DATA!J91,"AAAAAH+9Z9o=")</f>
        <v>#VALUE!</v>
      </c>
      <c r="HL58" t="e">
        <f>AND(DATA!K91,"AAAAAH+9Z9s=")</f>
        <v>#VALUE!</v>
      </c>
      <c r="HM58" t="b">
        <f>AND(DATA!L92,"AAAAAH+9Z9w=")</f>
        <v>1</v>
      </c>
      <c r="HN58" t="b">
        <f>AND(DATA!M92,"AAAAAH+9Z90=")</f>
        <v>1</v>
      </c>
      <c r="HO58" t="b">
        <f>AND(DATA!N92,"AAAAAH+9Z94=")</f>
        <v>1</v>
      </c>
      <c r="HP58" t="b">
        <f>AND(DATA!O92,"AAAAAH+9Z98=")</f>
        <v>1</v>
      </c>
      <c r="HQ58" t="b">
        <f>AND(DATA!P92,"AAAAAH+9Z+A=")</f>
        <v>1</v>
      </c>
      <c r="HR58" t="b">
        <f>AND(DATA!Q92,"AAAAAH+9Z+E=")</f>
        <v>1</v>
      </c>
      <c r="HS58" t="b">
        <f>AND(DATA!R92,"AAAAAH+9Z+I=")</f>
        <v>1</v>
      </c>
      <c r="HT58" t="b">
        <f>AND(DATA!S92,"AAAAAH+9Z+M=")</f>
        <v>1</v>
      </c>
      <c r="HU58" t="b">
        <f>AND(DATA!T92,"AAAAAH+9Z+Q=")</f>
        <v>1</v>
      </c>
      <c r="HV58" t="e">
        <f>AND(DATA!U92,"AAAAAH+9Z+U=")</f>
        <v>#VALUE!</v>
      </c>
      <c r="HW58" t="b">
        <f>AND(DATA!V92,"AAAAAH+9Z+Y=")</f>
        <v>1</v>
      </c>
      <c r="HX58" t="e">
        <f>AND(DATA!W91,"AAAAAH+9Z+c=")</f>
        <v>#VALUE!</v>
      </c>
      <c r="HY58" t="e">
        <f>AND(DATA!X91,"AAAAAH+9Z+g=")</f>
        <v>#VALUE!</v>
      </c>
      <c r="HZ58" t="e">
        <f>AND(DATA!Y91,"AAAAAH+9Z+k=")</f>
        <v>#VALUE!</v>
      </c>
      <c r="IA58">
        <f>IF(DATA!92:92,"AAAAAH+9Z+o=",0)</f>
        <v>0</v>
      </c>
      <c r="IB58" t="e">
        <f>AND(DATA!A92,"AAAAAH+9Z+s=")</f>
        <v>#VALUE!</v>
      </c>
      <c r="IC58" t="e">
        <f>AND(DATA!B92,"AAAAAH+9Z+w=")</f>
        <v>#VALUE!</v>
      </c>
      <c r="ID58" t="e">
        <f>AND(DATA!C92,"AAAAAH+9Z+0=")</f>
        <v>#VALUE!</v>
      </c>
      <c r="IE58" t="e">
        <f>AND(DATA!D92,"AAAAAH+9Z+4=")</f>
        <v>#VALUE!</v>
      </c>
      <c r="IF58" t="e">
        <f>AND(DATA!E92,"AAAAAH+9Z+8=")</f>
        <v>#VALUE!</v>
      </c>
      <c r="IG58" t="e">
        <f>AND(DATA!F92,"AAAAAH+9Z/A=")</f>
        <v>#VALUE!</v>
      </c>
      <c r="IH58" t="e">
        <f>AND(DATA!G92,"AAAAAH+9Z/E=")</f>
        <v>#VALUE!</v>
      </c>
      <c r="II58" t="e">
        <f>AND(DATA!H92,"AAAAAH+9Z/I=")</f>
        <v>#VALUE!</v>
      </c>
      <c r="IJ58" t="e">
        <f>AND(DATA!I92,"AAAAAH+9Z/M=")</f>
        <v>#VALUE!</v>
      </c>
      <c r="IK58" t="e">
        <f>AND(DATA!J92,"AAAAAH+9Z/Q=")</f>
        <v>#VALUE!</v>
      </c>
      <c r="IL58" t="e">
        <f>AND(DATA!K92,"AAAAAH+9Z/U=")</f>
        <v>#VALUE!</v>
      </c>
      <c r="IM58" t="b">
        <f>AND(DATA!L93,"AAAAAH+9Z/Y=")</f>
        <v>1</v>
      </c>
      <c r="IN58" t="b">
        <f>AND(DATA!M93,"AAAAAH+9Z/c=")</f>
        <v>1</v>
      </c>
      <c r="IO58" t="b">
        <f>AND(DATA!N93,"AAAAAH+9Z/g=")</f>
        <v>1</v>
      </c>
      <c r="IP58" t="b">
        <f>AND(DATA!O93,"AAAAAH+9Z/k=")</f>
        <v>1</v>
      </c>
      <c r="IQ58" t="b">
        <f>AND(DATA!P93,"AAAAAH+9Z/o=")</f>
        <v>1</v>
      </c>
      <c r="IR58" t="b">
        <f>AND(DATA!Q93,"AAAAAH+9Z/s=")</f>
        <v>1</v>
      </c>
      <c r="IS58" t="b">
        <f>AND(DATA!R93,"AAAAAH+9Z/w=")</f>
        <v>1</v>
      </c>
      <c r="IT58" t="b">
        <f>AND(DATA!S93,"AAAAAH+9Z/0=")</f>
        <v>1</v>
      </c>
      <c r="IU58" t="b">
        <f>AND(DATA!T93,"AAAAAH+9Z/4=")</f>
        <v>1</v>
      </c>
      <c r="IV58" t="e">
        <f>AND(DATA!U93,"AAAAAH+9Z/8=")</f>
        <v>#VALUE!</v>
      </c>
    </row>
    <row r="59" spans="1:256" x14ac:dyDescent="0.25">
      <c r="A59" t="b">
        <f>AND(DATA!V93,"AAAAAG/33wA=")</f>
        <v>1</v>
      </c>
      <c r="B59" t="e">
        <f>AND(DATA!W92,"AAAAAG/33wE=")</f>
        <v>#VALUE!</v>
      </c>
      <c r="C59" t="e">
        <f>AND(DATA!X92,"AAAAAG/33wI=")</f>
        <v>#VALUE!</v>
      </c>
      <c r="D59" t="e">
        <f>AND(DATA!Y92,"AAAAAG/33wM=")</f>
        <v>#VALUE!</v>
      </c>
      <c r="E59">
        <f>IF(DATA!93:93,"AAAAAG/33wQ=",0)</f>
        <v>0</v>
      </c>
      <c r="F59" t="e">
        <f>AND(DATA!A93,"AAAAAG/33wU=")</f>
        <v>#VALUE!</v>
      </c>
      <c r="G59" t="e">
        <f>AND(DATA!B93,"AAAAAG/33wY=")</f>
        <v>#VALUE!</v>
      </c>
      <c r="H59" t="e">
        <f>AND(DATA!C93,"AAAAAG/33wc=")</f>
        <v>#VALUE!</v>
      </c>
      <c r="I59" t="e">
        <f>AND(DATA!D93,"AAAAAG/33wg=")</f>
        <v>#VALUE!</v>
      </c>
      <c r="J59" t="e">
        <f>AND(DATA!E93,"AAAAAG/33wk=")</f>
        <v>#VALUE!</v>
      </c>
      <c r="K59" t="e">
        <f>AND(DATA!F93,"AAAAAG/33wo=")</f>
        <v>#VALUE!</v>
      </c>
      <c r="L59" t="e">
        <f>AND(DATA!G93,"AAAAAG/33ws=")</f>
        <v>#VALUE!</v>
      </c>
      <c r="M59" t="e">
        <f>AND(DATA!H93,"AAAAAG/33ww=")</f>
        <v>#VALUE!</v>
      </c>
      <c r="N59" t="e">
        <f>AND(DATA!I93,"AAAAAG/33w0=")</f>
        <v>#VALUE!</v>
      </c>
      <c r="O59" t="e">
        <f>AND(DATA!J93,"AAAAAG/33w4=")</f>
        <v>#VALUE!</v>
      </c>
      <c r="P59" t="e">
        <f>AND(DATA!K93,"AAAAAG/33w8=")</f>
        <v>#VALUE!</v>
      </c>
      <c r="Q59" t="b">
        <f>AND(DATA!L94,"AAAAAG/33xA=")</f>
        <v>1</v>
      </c>
      <c r="R59" t="b">
        <f>AND(DATA!M94,"AAAAAG/33xE=")</f>
        <v>1</v>
      </c>
      <c r="S59" t="b">
        <f>AND(DATA!N94,"AAAAAG/33xI=")</f>
        <v>1</v>
      </c>
      <c r="T59" t="b">
        <f>AND(DATA!O94,"AAAAAG/33xM=")</f>
        <v>1</v>
      </c>
      <c r="U59" t="b">
        <f>AND(DATA!P94,"AAAAAG/33xQ=")</f>
        <v>1</v>
      </c>
      <c r="V59" t="b">
        <f>AND(DATA!Q94,"AAAAAG/33xU=")</f>
        <v>1</v>
      </c>
      <c r="W59" t="b">
        <f>AND(DATA!R94,"AAAAAG/33xY=")</f>
        <v>1</v>
      </c>
      <c r="X59" t="b">
        <f>AND(DATA!S94,"AAAAAG/33xc=")</f>
        <v>1</v>
      </c>
      <c r="Y59" t="b">
        <f>AND(DATA!T94,"AAAAAG/33xg=")</f>
        <v>1</v>
      </c>
      <c r="Z59" t="e">
        <f>AND(DATA!U94,"AAAAAG/33xk=")</f>
        <v>#VALUE!</v>
      </c>
      <c r="AA59" t="b">
        <f>AND(DATA!V94,"AAAAAG/33xo=")</f>
        <v>1</v>
      </c>
      <c r="AB59" t="e">
        <f>AND(DATA!W93,"AAAAAG/33xs=")</f>
        <v>#VALUE!</v>
      </c>
      <c r="AC59" t="e">
        <f>AND(DATA!X93,"AAAAAG/33xw=")</f>
        <v>#VALUE!</v>
      </c>
      <c r="AD59" t="e">
        <f>AND(DATA!Y93,"AAAAAG/33x0=")</f>
        <v>#VALUE!</v>
      </c>
      <c r="AE59">
        <f>IF(DATA!94:94,"AAAAAG/33x4=",0)</f>
        <v>0</v>
      </c>
      <c r="AF59" t="e">
        <f>AND(DATA!A94,"AAAAAG/33x8=")</f>
        <v>#VALUE!</v>
      </c>
      <c r="AG59" t="e">
        <f>AND(DATA!B94,"AAAAAG/33yA=")</f>
        <v>#VALUE!</v>
      </c>
      <c r="AH59" t="e">
        <f>AND(DATA!C94,"AAAAAG/33yE=")</f>
        <v>#VALUE!</v>
      </c>
      <c r="AI59" t="e">
        <f>AND(DATA!D94,"AAAAAG/33yI=")</f>
        <v>#VALUE!</v>
      </c>
      <c r="AJ59" t="e">
        <f>AND(DATA!E94,"AAAAAG/33yM=")</f>
        <v>#VALUE!</v>
      </c>
      <c r="AK59" t="e">
        <f>AND(DATA!F94,"AAAAAG/33yQ=")</f>
        <v>#VALUE!</v>
      </c>
      <c r="AL59" t="e">
        <f>AND(DATA!G94,"AAAAAG/33yU=")</f>
        <v>#VALUE!</v>
      </c>
      <c r="AM59" t="e">
        <f>AND(DATA!H94,"AAAAAG/33yY=")</f>
        <v>#VALUE!</v>
      </c>
      <c r="AN59" t="e">
        <f>AND(DATA!I94,"AAAAAG/33yc=")</f>
        <v>#VALUE!</v>
      </c>
      <c r="AO59" t="e">
        <f>AND(DATA!J94,"AAAAAG/33yg=")</f>
        <v>#VALUE!</v>
      </c>
      <c r="AP59" t="e">
        <f>AND(DATA!K94,"AAAAAG/33yk=")</f>
        <v>#VALUE!</v>
      </c>
      <c r="AQ59" t="b">
        <f>AND(DATA!L95,"AAAAAG/33yo=")</f>
        <v>1</v>
      </c>
      <c r="AR59" t="b">
        <f>AND(DATA!M95,"AAAAAG/33ys=")</f>
        <v>1</v>
      </c>
      <c r="AS59" t="b">
        <f>AND(DATA!N95,"AAAAAG/33yw=")</f>
        <v>1</v>
      </c>
      <c r="AT59" t="b">
        <f>AND(DATA!O95,"AAAAAG/33y0=")</f>
        <v>1</v>
      </c>
      <c r="AU59" t="b">
        <f>AND(DATA!P95,"AAAAAG/33y4=")</f>
        <v>1</v>
      </c>
      <c r="AV59" t="b">
        <f>AND(DATA!Q95,"AAAAAG/33y8=")</f>
        <v>1</v>
      </c>
      <c r="AW59" t="b">
        <f>AND(DATA!R95,"AAAAAG/33zA=")</f>
        <v>1</v>
      </c>
      <c r="AX59" t="b">
        <f>AND(DATA!S95,"AAAAAG/33zE=")</f>
        <v>1</v>
      </c>
      <c r="AY59" t="b">
        <f>AND(DATA!T95,"AAAAAG/33zI=")</f>
        <v>1</v>
      </c>
      <c r="AZ59" t="e">
        <f>AND(DATA!U95,"AAAAAG/33zM=")</f>
        <v>#VALUE!</v>
      </c>
      <c r="BA59" t="b">
        <f>AND(DATA!V95,"AAAAAG/33zQ=")</f>
        <v>1</v>
      </c>
      <c r="BB59" t="e">
        <f>AND(DATA!W94,"AAAAAG/33zU=")</f>
        <v>#VALUE!</v>
      </c>
      <c r="BC59" t="e">
        <f>AND(DATA!X94,"AAAAAG/33zY=")</f>
        <v>#VALUE!</v>
      </c>
      <c r="BD59" t="e">
        <f>AND(DATA!Y94,"AAAAAG/33zc=")</f>
        <v>#VALUE!</v>
      </c>
      <c r="BE59">
        <f>IF(DATA!95:95,"AAAAAG/33zg=",0)</f>
        <v>0</v>
      </c>
      <c r="BF59" t="e">
        <f>AND(DATA!A95,"AAAAAG/33zk=")</f>
        <v>#VALUE!</v>
      </c>
      <c r="BG59" t="e">
        <f>AND(DATA!B95,"AAAAAG/33zo=")</f>
        <v>#VALUE!</v>
      </c>
      <c r="BH59" t="e">
        <f>AND(DATA!C95,"AAAAAG/33zs=")</f>
        <v>#VALUE!</v>
      </c>
      <c r="BI59" t="e">
        <f>AND(DATA!D95,"AAAAAG/33zw=")</f>
        <v>#VALUE!</v>
      </c>
      <c r="BJ59" t="e">
        <f>AND(DATA!E95,"AAAAAG/33z0=")</f>
        <v>#VALUE!</v>
      </c>
      <c r="BK59" t="e">
        <f>AND(DATA!F95,"AAAAAG/33z4=")</f>
        <v>#VALUE!</v>
      </c>
      <c r="BL59" t="e">
        <f>AND(DATA!G95,"AAAAAG/33z8=")</f>
        <v>#VALUE!</v>
      </c>
      <c r="BM59" t="e">
        <f>AND(DATA!H95,"AAAAAG/330A=")</f>
        <v>#VALUE!</v>
      </c>
      <c r="BN59" t="e">
        <f>AND(DATA!I95,"AAAAAG/330E=")</f>
        <v>#VALUE!</v>
      </c>
      <c r="BO59" t="e">
        <f>AND(DATA!J95,"AAAAAG/330I=")</f>
        <v>#VALUE!</v>
      </c>
      <c r="BP59" t="e">
        <f>AND(DATA!K95,"AAAAAG/330M=")</f>
        <v>#VALUE!</v>
      </c>
      <c r="BQ59" t="b">
        <f>AND(DATA!L96,"AAAAAG/330Q=")</f>
        <v>1</v>
      </c>
      <c r="BR59" t="b">
        <f>AND(DATA!M96,"AAAAAG/330U=")</f>
        <v>1</v>
      </c>
      <c r="BS59" t="b">
        <f>AND(DATA!N96,"AAAAAG/330Y=")</f>
        <v>1</v>
      </c>
      <c r="BT59" t="b">
        <f>AND(DATA!O96,"AAAAAG/330c=")</f>
        <v>1</v>
      </c>
      <c r="BU59" t="b">
        <f>AND(DATA!P96,"AAAAAG/330g=")</f>
        <v>1</v>
      </c>
      <c r="BV59" t="b">
        <f>AND(DATA!Q96,"AAAAAG/330k=")</f>
        <v>1</v>
      </c>
      <c r="BW59" t="b">
        <f>AND(DATA!R96,"AAAAAG/330o=")</f>
        <v>1</v>
      </c>
      <c r="BX59" t="b">
        <f>AND(DATA!S96,"AAAAAG/330s=")</f>
        <v>1</v>
      </c>
      <c r="BY59" t="b">
        <f>AND(DATA!T96,"AAAAAG/330w=")</f>
        <v>1</v>
      </c>
      <c r="BZ59" t="e">
        <f>AND(DATA!U96,"AAAAAG/3300=")</f>
        <v>#VALUE!</v>
      </c>
      <c r="CA59" t="b">
        <f>AND(DATA!V96,"AAAAAG/3304=")</f>
        <v>1</v>
      </c>
      <c r="CB59" t="e">
        <f>AND(DATA!W95,"AAAAAG/3308=")</f>
        <v>#VALUE!</v>
      </c>
      <c r="CC59" t="e">
        <f>AND(DATA!X95,"AAAAAG/331A=")</f>
        <v>#VALUE!</v>
      </c>
      <c r="CD59" t="e">
        <f>AND(DATA!Y95,"AAAAAG/331E=")</f>
        <v>#VALUE!</v>
      </c>
      <c r="CE59">
        <f>IF(DATA!96:96,"AAAAAG/331I=",0)</f>
        <v>0</v>
      </c>
      <c r="CF59" t="e">
        <f>AND(DATA!A96,"AAAAAG/331M=")</f>
        <v>#VALUE!</v>
      </c>
      <c r="CG59" t="e">
        <f>AND(DATA!B96,"AAAAAG/331Q=")</f>
        <v>#VALUE!</v>
      </c>
      <c r="CH59" t="e">
        <f>AND(DATA!C96,"AAAAAG/331U=")</f>
        <v>#VALUE!</v>
      </c>
      <c r="CI59" t="e">
        <f>AND(DATA!D96,"AAAAAG/331Y=")</f>
        <v>#VALUE!</v>
      </c>
      <c r="CJ59" t="e">
        <f>AND(DATA!E96,"AAAAAG/331c=")</f>
        <v>#VALUE!</v>
      </c>
      <c r="CK59" t="e">
        <f>AND(DATA!F96,"AAAAAG/331g=")</f>
        <v>#VALUE!</v>
      </c>
      <c r="CL59" t="e">
        <f>AND(DATA!G96,"AAAAAG/331k=")</f>
        <v>#VALUE!</v>
      </c>
      <c r="CM59" t="e">
        <f>AND(DATA!H96,"AAAAAG/331o=")</f>
        <v>#VALUE!</v>
      </c>
      <c r="CN59" t="e">
        <f>AND(DATA!I96,"AAAAAG/331s=")</f>
        <v>#VALUE!</v>
      </c>
      <c r="CO59" t="e">
        <f>AND(DATA!J96,"AAAAAG/331w=")</f>
        <v>#VALUE!</v>
      </c>
      <c r="CP59" t="e">
        <f>AND(DATA!K96,"AAAAAG/3310=")</f>
        <v>#VALUE!</v>
      </c>
      <c r="CQ59" t="b">
        <f>AND(DATA!L97,"AAAAAG/3314=")</f>
        <v>1</v>
      </c>
      <c r="CR59" t="b">
        <f>AND(DATA!M97,"AAAAAG/3318=")</f>
        <v>1</v>
      </c>
      <c r="CS59" t="b">
        <f>AND(DATA!N97,"AAAAAG/332A=")</f>
        <v>1</v>
      </c>
      <c r="CT59" t="b">
        <f>AND(DATA!O97,"AAAAAG/332E=")</f>
        <v>1</v>
      </c>
      <c r="CU59" t="b">
        <f>AND(DATA!P97,"AAAAAG/332I=")</f>
        <v>1</v>
      </c>
      <c r="CV59" t="b">
        <f>AND(DATA!Q97,"AAAAAG/332M=")</f>
        <v>1</v>
      </c>
      <c r="CW59" t="b">
        <f>AND(DATA!R97,"AAAAAG/332Q=")</f>
        <v>1</v>
      </c>
      <c r="CX59" t="b">
        <f>AND(DATA!S97,"AAAAAG/332U=")</f>
        <v>1</v>
      </c>
      <c r="CY59" t="b">
        <f>AND(DATA!T97,"AAAAAG/332Y=")</f>
        <v>1</v>
      </c>
      <c r="CZ59" t="e">
        <f>AND(DATA!U97,"AAAAAG/332c=")</f>
        <v>#VALUE!</v>
      </c>
      <c r="DA59" t="b">
        <f>AND(DATA!V97,"AAAAAG/332g=")</f>
        <v>1</v>
      </c>
      <c r="DB59" t="e">
        <f>AND(DATA!W96,"AAAAAG/332k=")</f>
        <v>#VALUE!</v>
      </c>
      <c r="DC59" t="e">
        <f>AND(DATA!X96,"AAAAAG/332o=")</f>
        <v>#VALUE!</v>
      </c>
      <c r="DD59" t="e">
        <f>AND(DATA!Y96,"AAAAAG/332s=")</f>
        <v>#VALUE!</v>
      </c>
      <c r="DE59">
        <f>IF(DATA!97:97,"AAAAAG/332w=",0)</f>
        <v>0</v>
      </c>
      <c r="DF59" t="e">
        <f>AND(DATA!A97,"AAAAAG/3320=")</f>
        <v>#VALUE!</v>
      </c>
      <c r="DG59" t="e">
        <f>AND(DATA!B97,"AAAAAG/3324=")</f>
        <v>#VALUE!</v>
      </c>
      <c r="DH59" t="e">
        <f>AND(DATA!C97,"AAAAAG/3328=")</f>
        <v>#VALUE!</v>
      </c>
      <c r="DI59" t="e">
        <f>AND(DATA!D97,"AAAAAG/333A=")</f>
        <v>#VALUE!</v>
      </c>
      <c r="DJ59" t="e">
        <f>AND(DATA!E97,"AAAAAG/333E=")</f>
        <v>#VALUE!</v>
      </c>
      <c r="DK59" t="e">
        <f>AND(DATA!F97,"AAAAAG/333I=")</f>
        <v>#VALUE!</v>
      </c>
      <c r="DL59" t="e">
        <f>AND(DATA!G97,"AAAAAG/333M=")</f>
        <v>#VALUE!</v>
      </c>
      <c r="DM59" t="e">
        <f>AND(DATA!H97,"AAAAAG/333Q=")</f>
        <v>#VALUE!</v>
      </c>
      <c r="DN59" t="e">
        <f>AND(DATA!I97,"AAAAAG/333U=")</f>
        <v>#VALUE!</v>
      </c>
      <c r="DO59" t="e">
        <f>AND(DATA!J97,"AAAAAG/333Y=")</f>
        <v>#VALUE!</v>
      </c>
      <c r="DP59" t="e">
        <f>AND(DATA!K97,"AAAAAG/333c=")</f>
        <v>#VALUE!</v>
      </c>
      <c r="DQ59" t="b">
        <f>AND(DATA!L98,"AAAAAG/333g=")</f>
        <v>1</v>
      </c>
      <c r="DR59" t="b">
        <f>AND(DATA!M98,"AAAAAG/333k=")</f>
        <v>1</v>
      </c>
      <c r="DS59" t="b">
        <f>AND(DATA!N98,"AAAAAG/333o=")</f>
        <v>1</v>
      </c>
      <c r="DT59" t="b">
        <f>AND(DATA!O98,"AAAAAG/333s=")</f>
        <v>1</v>
      </c>
      <c r="DU59" t="b">
        <f>AND(DATA!P98,"AAAAAG/333w=")</f>
        <v>1</v>
      </c>
      <c r="DV59" t="b">
        <f>AND(DATA!Q98,"AAAAAG/3330=")</f>
        <v>1</v>
      </c>
      <c r="DW59" t="b">
        <f>AND(DATA!R98,"AAAAAG/3334=")</f>
        <v>1</v>
      </c>
      <c r="DX59" t="b">
        <f>AND(DATA!S98,"AAAAAG/3338=")</f>
        <v>1</v>
      </c>
      <c r="DY59" t="b">
        <f>AND(DATA!T98,"AAAAAG/334A=")</f>
        <v>1</v>
      </c>
      <c r="DZ59" t="e">
        <f>AND(DATA!U98,"AAAAAG/334E=")</f>
        <v>#VALUE!</v>
      </c>
      <c r="EA59" t="b">
        <f>AND(DATA!V98,"AAAAAG/334I=")</f>
        <v>1</v>
      </c>
      <c r="EB59" t="e">
        <f>AND(DATA!W97,"AAAAAG/334M=")</f>
        <v>#VALUE!</v>
      </c>
      <c r="EC59" t="e">
        <f>AND(DATA!X97,"AAAAAG/334Q=")</f>
        <v>#VALUE!</v>
      </c>
      <c r="ED59" t="e">
        <f>AND(DATA!Y97,"AAAAAG/334U=")</f>
        <v>#VALUE!</v>
      </c>
      <c r="EE59">
        <f>IF(DATA!98:98,"AAAAAG/334Y=",0)</f>
        <v>0</v>
      </c>
      <c r="EF59" t="e">
        <f>AND(DATA!A98,"AAAAAG/334c=")</f>
        <v>#VALUE!</v>
      </c>
      <c r="EG59" t="e">
        <f>AND(DATA!B98,"AAAAAG/334g=")</f>
        <v>#VALUE!</v>
      </c>
      <c r="EH59" t="e">
        <f>AND(DATA!C98,"AAAAAG/334k=")</f>
        <v>#VALUE!</v>
      </c>
      <c r="EI59" t="e">
        <f>AND(DATA!D98,"AAAAAG/334o=")</f>
        <v>#VALUE!</v>
      </c>
      <c r="EJ59" t="e">
        <f>AND(DATA!E98,"AAAAAG/334s=")</f>
        <v>#VALUE!</v>
      </c>
      <c r="EK59" t="e">
        <f>AND(DATA!F98,"AAAAAG/334w=")</f>
        <v>#VALUE!</v>
      </c>
      <c r="EL59" t="e">
        <f>AND(DATA!G98,"AAAAAG/3340=")</f>
        <v>#VALUE!</v>
      </c>
      <c r="EM59" t="e">
        <f>AND(DATA!H98,"AAAAAG/3344=")</f>
        <v>#VALUE!</v>
      </c>
      <c r="EN59" t="e">
        <f>AND(DATA!I98,"AAAAAG/3348=")</f>
        <v>#VALUE!</v>
      </c>
      <c r="EO59" t="e">
        <f>AND(DATA!J98,"AAAAAG/335A=")</f>
        <v>#VALUE!</v>
      </c>
      <c r="EP59" t="e">
        <f>AND(DATA!K98,"AAAAAG/335E=")</f>
        <v>#VALUE!</v>
      </c>
      <c r="EQ59" t="b">
        <f>AND(DATA!L99,"AAAAAG/335I=")</f>
        <v>1</v>
      </c>
      <c r="ER59" t="b">
        <f>AND(DATA!M99,"AAAAAG/335M=")</f>
        <v>1</v>
      </c>
      <c r="ES59" t="b">
        <f>AND(DATA!N99,"AAAAAG/335Q=")</f>
        <v>1</v>
      </c>
      <c r="ET59" t="b">
        <f>AND(DATA!O99,"AAAAAG/335U=")</f>
        <v>1</v>
      </c>
      <c r="EU59" t="b">
        <f>AND(DATA!P99,"AAAAAG/335Y=")</f>
        <v>1</v>
      </c>
      <c r="EV59" t="b">
        <f>AND(DATA!Q99,"AAAAAG/335c=")</f>
        <v>1</v>
      </c>
      <c r="EW59" t="b">
        <f>AND(DATA!R99,"AAAAAG/335g=")</f>
        <v>1</v>
      </c>
      <c r="EX59" t="b">
        <f>AND(DATA!S99,"AAAAAG/335k=")</f>
        <v>1</v>
      </c>
      <c r="EY59" t="b">
        <f>AND(DATA!T99,"AAAAAG/335o=")</f>
        <v>1</v>
      </c>
      <c r="EZ59" t="e">
        <f>AND(DATA!U99,"AAAAAG/335s=")</f>
        <v>#VALUE!</v>
      </c>
      <c r="FA59" t="b">
        <f>AND(DATA!V99,"AAAAAG/335w=")</f>
        <v>1</v>
      </c>
      <c r="FB59" t="e">
        <f>AND(DATA!W98,"AAAAAG/3350=")</f>
        <v>#VALUE!</v>
      </c>
      <c r="FC59" t="e">
        <f>AND(DATA!X98,"AAAAAG/3354=")</f>
        <v>#VALUE!</v>
      </c>
      <c r="FD59" t="e">
        <f>AND(DATA!Y98,"AAAAAG/3358=")</f>
        <v>#VALUE!</v>
      </c>
      <c r="FE59">
        <f>IF(DATA!99:99,"AAAAAG/336A=",0)</f>
        <v>0</v>
      </c>
      <c r="FF59" t="e">
        <f>AND(DATA!A99,"AAAAAG/336E=")</f>
        <v>#VALUE!</v>
      </c>
      <c r="FG59" t="e">
        <f>AND(DATA!B99,"AAAAAG/336I=")</f>
        <v>#VALUE!</v>
      </c>
      <c r="FH59" t="e">
        <f>AND(DATA!C99,"AAAAAG/336M=")</f>
        <v>#VALUE!</v>
      </c>
      <c r="FI59" t="e">
        <f>AND(DATA!D99,"AAAAAG/336Q=")</f>
        <v>#VALUE!</v>
      </c>
      <c r="FJ59" t="e">
        <f>AND(DATA!E99,"AAAAAG/336U=")</f>
        <v>#VALUE!</v>
      </c>
      <c r="FK59" t="e">
        <f>AND(DATA!F99,"AAAAAG/336Y=")</f>
        <v>#VALUE!</v>
      </c>
      <c r="FL59" t="e">
        <f>AND(DATA!G99,"AAAAAG/336c=")</f>
        <v>#VALUE!</v>
      </c>
      <c r="FM59" t="e">
        <f>AND(DATA!H99,"AAAAAG/336g=")</f>
        <v>#VALUE!</v>
      </c>
      <c r="FN59" t="e">
        <f>AND(DATA!I99,"AAAAAG/336k=")</f>
        <v>#VALUE!</v>
      </c>
      <c r="FO59" t="e">
        <f>AND(DATA!J99,"AAAAAG/336o=")</f>
        <v>#VALUE!</v>
      </c>
      <c r="FP59" t="e">
        <f>AND(DATA!K99,"AAAAAG/336s=")</f>
        <v>#VALUE!</v>
      </c>
      <c r="FQ59" t="b">
        <f>AND(DATA!L100,"AAAAAG/336w=")</f>
        <v>1</v>
      </c>
      <c r="FR59" t="b">
        <f>AND(DATA!M100,"AAAAAG/3360=")</f>
        <v>1</v>
      </c>
      <c r="FS59" t="b">
        <f>AND(DATA!N100,"AAAAAG/3364=")</f>
        <v>1</v>
      </c>
      <c r="FT59" t="b">
        <f>AND(DATA!O100,"AAAAAG/3368=")</f>
        <v>1</v>
      </c>
      <c r="FU59" t="b">
        <f>AND(DATA!P100,"AAAAAG/337A=")</f>
        <v>1</v>
      </c>
      <c r="FV59" t="b">
        <f>AND(DATA!Q100,"AAAAAG/337E=")</f>
        <v>1</v>
      </c>
      <c r="FW59" t="b">
        <f>AND(DATA!R100,"AAAAAG/337I=")</f>
        <v>1</v>
      </c>
      <c r="FX59" t="b">
        <f>AND(DATA!S100,"AAAAAG/337M=")</f>
        <v>1</v>
      </c>
      <c r="FY59" t="b">
        <f>AND(DATA!T100,"AAAAAG/337Q=")</f>
        <v>1</v>
      </c>
      <c r="FZ59" t="e">
        <f>AND(DATA!U100,"AAAAAG/337U=")</f>
        <v>#VALUE!</v>
      </c>
      <c r="GA59" t="b">
        <f>AND(DATA!V100,"AAAAAG/337Y=")</f>
        <v>1</v>
      </c>
      <c r="GB59" t="e">
        <f>AND(DATA!W99,"AAAAAG/337c=")</f>
        <v>#VALUE!</v>
      </c>
      <c r="GC59" t="e">
        <f>AND(DATA!X99,"AAAAAG/337g=")</f>
        <v>#VALUE!</v>
      </c>
      <c r="GD59" t="e">
        <f>AND(DATA!Y99,"AAAAAG/337k=")</f>
        <v>#VALUE!</v>
      </c>
      <c r="GE59">
        <f>IF(DATA!100:100,"AAAAAG/337o=",0)</f>
        <v>0</v>
      </c>
      <c r="GF59" t="e">
        <f>AND(DATA!A100,"AAAAAG/337s=")</f>
        <v>#VALUE!</v>
      </c>
      <c r="GG59" t="e">
        <f>AND(DATA!B100,"AAAAAG/337w=")</f>
        <v>#VALUE!</v>
      </c>
      <c r="GH59" t="e">
        <f>AND(DATA!C100,"AAAAAG/3370=")</f>
        <v>#VALUE!</v>
      </c>
      <c r="GI59" t="e">
        <f>AND(DATA!D100,"AAAAAG/3374=")</f>
        <v>#VALUE!</v>
      </c>
      <c r="GJ59" t="e">
        <f>AND(DATA!E100,"AAAAAG/3378=")</f>
        <v>#VALUE!</v>
      </c>
      <c r="GK59" t="e">
        <f>AND(DATA!F100,"AAAAAG/338A=")</f>
        <v>#VALUE!</v>
      </c>
      <c r="GL59" t="e">
        <f>AND(DATA!G100,"AAAAAG/338E=")</f>
        <v>#VALUE!</v>
      </c>
      <c r="GM59" t="e">
        <f>AND(DATA!H100,"AAAAAG/338I=")</f>
        <v>#VALUE!</v>
      </c>
      <c r="GN59" t="e">
        <f>AND(DATA!I100,"AAAAAG/338M=")</f>
        <v>#VALUE!</v>
      </c>
      <c r="GO59" t="e">
        <f>AND(DATA!J100,"AAAAAG/338Q=")</f>
        <v>#VALUE!</v>
      </c>
      <c r="GP59" t="e">
        <f>AND(DATA!K100,"AAAAAG/338U=")</f>
        <v>#VALUE!</v>
      </c>
      <c r="GQ59" t="b">
        <f>AND(DATA!L101,"AAAAAG/338Y=")</f>
        <v>1</v>
      </c>
      <c r="GR59" t="b">
        <f>AND(DATA!M101,"AAAAAG/338c=")</f>
        <v>1</v>
      </c>
      <c r="GS59" t="b">
        <f>AND(DATA!N101,"AAAAAG/338g=")</f>
        <v>1</v>
      </c>
      <c r="GT59" t="b">
        <f>AND(DATA!O101,"AAAAAG/338k=")</f>
        <v>1</v>
      </c>
      <c r="GU59" t="b">
        <f>AND(DATA!P101,"AAAAAG/338o=")</f>
        <v>1</v>
      </c>
      <c r="GV59" t="b">
        <f>AND(DATA!Q101,"AAAAAG/338s=")</f>
        <v>1</v>
      </c>
      <c r="GW59" t="b">
        <f>AND(DATA!R101,"AAAAAG/338w=")</f>
        <v>1</v>
      </c>
      <c r="GX59" t="b">
        <f>AND(DATA!S101,"AAAAAG/3380=")</f>
        <v>1</v>
      </c>
      <c r="GY59" t="b">
        <f>AND(DATA!T101,"AAAAAG/3384=")</f>
        <v>1</v>
      </c>
      <c r="GZ59" t="e">
        <f>AND(DATA!U101,"AAAAAG/3388=")</f>
        <v>#VALUE!</v>
      </c>
      <c r="HA59" t="b">
        <f>AND(DATA!V101,"AAAAAG/339A=")</f>
        <v>1</v>
      </c>
      <c r="HB59" t="e">
        <f>AND(DATA!W100,"AAAAAG/339E=")</f>
        <v>#VALUE!</v>
      </c>
      <c r="HC59" t="e">
        <f>AND(DATA!X100,"AAAAAG/339I=")</f>
        <v>#VALUE!</v>
      </c>
      <c r="HD59" t="e">
        <f>AND(DATA!Y100,"AAAAAG/339M=")</f>
        <v>#VALUE!</v>
      </c>
      <c r="HE59">
        <f>IF(DATA!101:101,"AAAAAG/339Q=",0)</f>
        <v>0</v>
      </c>
      <c r="HF59" t="e">
        <f>AND(DATA!A101,"AAAAAG/339U=")</f>
        <v>#VALUE!</v>
      </c>
      <c r="HG59" t="e">
        <f>AND(DATA!B101,"AAAAAG/339Y=")</f>
        <v>#VALUE!</v>
      </c>
      <c r="HH59" t="e">
        <f>AND(DATA!C101,"AAAAAG/339c=")</f>
        <v>#VALUE!</v>
      </c>
      <c r="HI59" t="e">
        <f>AND(DATA!D101,"AAAAAG/339g=")</f>
        <v>#VALUE!</v>
      </c>
      <c r="HJ59" t="e">
        <f>AND(DATA!E101,"AAAAAG/339k=")</f>
        <v>#VALUE!</v>
      </c>
      <c r="HK59" t="e">
        <f>AND(DATA!F101,"AAAAAG/339o=")</f>
        <v>#VALUE!</v>
      </c>
      <c r="HL59" t="e">
        <f>AND(DATA!G101,"AAAAAG/339s=")</f>
        <v>#VALUE!</v>
      </c>
      <c r="HM59" t="e">
        <f>AND(DATA!H101,"AAAAAG/339w=")</f>
        <v>#VALUE!</v>
      </c>
      <c r="HN59" t="e">
        <f>AND(DATA!I101,"AAAAAG/3390=")</f>
        <v>#VALUE!</v>
      </c>
      <c r="HO59" t="e">
        <f>AND(DATA!J101,"AAAAAG/3394=")</f>
        <v>#VALUE!</v>
      </c>
      <c r="HP59" t="e">
        <f>AND(DATA!K101,"AAAAAG/3398=")</f>
        <v>#VALUE!</v>
      </c>
      <c r="HQ59" t="b">
        <f>AND(DATA!L102,"AAAAAG/33+A=")</f>
        <v>1</v>
      </c>
      <c r="HR59" t="b">
        <f>AND(DATA!M102,"AAAAAG/33+E=")</f>
        <v>1</v>
      </c>
      <c r="HS59" t="b">
        <f>AND(DATA!N102,"AAAAAG/33+I=")</f>
        <v>1</v>
      </c>
      <c r="HT59" t="b">
        <f>AND(DATA!O102,"AAAAAG/33+M=")</f>
        <v>1</v>
      </c>
      <c r="HU59" t="b">
        <f>AND(DATA!P102,"AAAAAG/33+Q=")</f>
        <v>1</v>
      </c>
      <c r="HV59" t="b">
        <f>AND(DATA!Q102,"AAAAAG/33+U=")</f>
        <v>1</v>
      </c>
      <c r="HW59" t="b">
        <f>AND(DATA!R102,"AAAAAG/33+Y=")</f>
        <v>1</v>
      </c>
      <c r="HX59" t="b">
        <f>AND(DATA!S102,"AAAAAG/33+c=")</f>
        <v>1</v>
      </c>
      <c r="HY59" t="b">
        <f>AND(DATA!T102,"AAAAAG/33+g=")</f>
        <v>1</v>
      </c>
      <c r="HZ59" t="b">
        <f>AND(DATA!U102,"AAAAAG/33+k=")</f>
        <v>1</v>
      </c>
      <c r="IA59" t="b">
        <f>AND(DATA!V102,"AAAAAG/33+o=")</f>
        <v>1</v>
      </c>
      <c r="IB59" t="e">
        <f>AND(DATA!W101,"AAAAAG/33+s=")</f>
        <v>#VALUE!</v>
      </c>
      <c r="IC59" t="e">
        <f>AND(DATA!X101,"AAAAAG/33+w=")</f>
        <v>#VALUE!</v>
      </c>
      <c r="ID59" t="e">
        <f>AND(DATA!Y101,"AAAAAG/33+0=")</f>
        <v>#VALUE!</v>
      </c>
      <c r="IE59">
        <f>IF(DATA!102:102,"AAAAAG/33+4=",0)</f>
        <v>0</v>
      </c>
      <c r="IF59" t="e">
        <f>AND(DATA!A102,"AAAAAG/33+8=")</f>
        <v>#VALUE!</v>
      </c>
      <c r="IG59" t="e">
        <f>AND(DATA!B102,"AAAAAG/33/A=")</f>
        <v>#VALUE!</v>
      </c>
      <c r="IH59" t="e">
        <f>AND(DATA!C102,"AAAAAG/33/E=")</f>
        <v>#VALUE!</v>
      </c>
      <c r="II59" t="e">
        <f>AND(DATA!D102,"AAAAAG/33/I=")</f>
        <v>#VALUE!</v>
      </c>
      <c r="IJ59" t="e">
        <f>AND(DATA!E102,"AAAAAG/33/M=")</f>
        <v>#VALUE!</v>
      </c>
      <c r="IK59" t="e">
        <f>AND(DATA!F102,"AAAAAG/33/Q=")</f>
        <v>#VALUE!</v>
      </c>
      <c r="IL59" t="e">
        <f>AND(DATA!G102,"AAAAAG/33/U=")</f>
        <v>#VALUE!</v>
      </c>
      <c r="IM59" t="e">
        <f>AND(DATA!H102,"AAAAAG/33/Y=")</f>
        <v>#VALUE!</v>
      </c>
      <c r="IN59" t="e">
        <f>AND(DATA!I102,"AAAAAG/33/c=")</f>
        <v>#VALUE!</v>
      </c>
      <c r="IO59" t="e">
        <f>AND(DATA!J102,"AAAAAG/33/g=")</f>
        <v>#VALUE!</v>
      </c>
      <c r="IP59" t="e">
        <f>AND(DATA!K102,"AAAAAG/33/k=")</f>
        <v>#VALUE!</v>
      </c>
      <c r="IQ59" t="b">
        <f>AND(DATA!L103,"AAAAAG/33/o=")</f>
        <v>1</v>
      </c>
      <c r="IR59" t="b">
        <f>AND(DATA!M103,"AAAAAG/33/s=")</f>
        <v>1</v>
      </c>
      <c r="IS59" t="b">
        <f>AND(DATA!N103,"AAAAAG/33/w=")</f>
        <v>1</v>
      </c>
      <c r="IT59" t="b">
        <f>AND(DATA!O103,"AAAAAG/33/0=")</f>
        <v>1</v>
      </c>
      <c r="IU59" t="b">
        <f>AND(DATA!P103,"AAAAAG/33/4=")</f>
        <v>1</v>
      </c>
      <c r="IV59" t="b">
        <f>AND(DATA!Q103,"AAAAAG/33/8=")</f>
        <v>1</v>
      </c>
    </row>
    <row r="60" spans="1:256" x14ac:dyDescent="0.25">
      <c r="A60" t="b">
        <f>AND(DATA!R103,"AAAAAH4+/wA=")</f>
        <v>1</v>
      </c>
      <c r="B60" t="b">
        <f>AND(DATA!S103,"AAAAAH4+/wE=")</f>
        <v>1</v>
      </c>
      <c r="C60" t="b">
        <f>AND(DATA!T103,"AAAAAH4+/wI=")</f>
        <v>1</v>
      </c>
      <c r="D60" t="b">
        <f>AND(DATA!U103,"AAAAAH4+/wM=")</f>
        <v>1</v>
      </c>
      <c r="E60" t="b">
        <f>AND(DATA!V103,"AAAAAH4+/wQ=")</f>
        <v>1</v>
      </c>
      <c r="F60" t="e">
        <f>AND(DATA!W102,"AAAAAH4+/wU=")</f>
        <v>#VALUE!</v>
      </c>
      <c r="G60" t="e">
        <f>AND(DATA!X102,"AAAAAH4+/wY=")</f>
        <v>#VALUE!</v>
      </c>
      <c r="H60" t="e">
        <f>AND(DATA!Y102,"AAAAAH4+/wc=")</f>
        <v>#VALUE!</v>
      </c>
      <c r="I60">
        <f>IF(DATA!103:103,"AAAAAH4+/wg=",0)</f>
        <v>0</v>
      </c>
      <c r="J60" t="e">
        <f>AND(DATA!A103,"AAAAAH4+/wk=")</f>
        <v>#VALUE!</v>
      </c>
      <c r="K60" t="e">
        <f>AND(DATA!B103,"AAAAAH4+/wo=")</f>
        <v>#VALUE!</v>
      </c>
      <c r="L60" t="e">
        <f>AND(DATA!C103,"AAAAAH4+/ws=")</f>
        <v>#VALUE!</v>
      </c>
      <c r="M60" t="e">
        <f>AND(DATA!D103,"AAAAAH4+/ww=")</f>
        <v>#VALUE!</v>
      </c>
      <c r="N60" t="e">
        <f>AND(DATA!E103,"AAAAAH4+/w0=")</f>
        <v>#VALUE!</v>
      </c>
      <c r="O60" t="e">
        <f>AND(DATA!F103,"AAAAAH4+/w4=")</f>
        <v>#VALUE!</v>
      </c>
      <c r="P60" t="e">
        <f>AND(DATA!G103,"AAAAAH4+/w8=")</f>
        <v>#VALUE!</v>
      </c>
      <c r="Q60" t="e">
        <f>AND(DATA!H103,"AAAAAH4+/xA=")</f>
        <v>#VALUE!</v>
      </c>
      <c r="R60" t="e">
        <f>AND(DATA!I103,"AAAAAH4+/xE=")</f>
        <v>#VALUE!</v>
      </c>
      <c r="S60" t="e">
        <f>AND(DATA!J103,"AAAAAH4+/xI=")</f>
        <v>#VALUE!</v>
      </c>
      <c r="T60" t="e">
        <f>AND(DATA!K103,"AAAAAH4+/xM=")</f>
        <v>#VALUE!</v>
      </c>
      <c r="U60" t="b">
        <f>AND(DATA!L104,"AAAAAH4+/xQ=")</f>
        <v>1</v>
      </c>
      <c r="V60" t="b">
        <f>AND(DATA!M104,"AAAAAH4+/xU=")</f>
        <v>1</v>
      </c>
      <c r="W60" t="b">
        <f>AND(DATA!N104,"AAAAAH4+/xY=")</f>
        <v>1</v>
      </c>
      <c r="X60" t="b">
        <f>AND(DATA!O104,"AAAAAH4+/xc=")</f>
        <v>1</v>
      </c>
      <c r="Y60" t="b">
        <f>AND(DATA!P104,"AAAAAH4+/xg=")</f>
        <v>1</v>
      </c>
      <c r="Z60" t="b">
        <f>AND(DATA!Q104,"AAAAAH4+/xk=")</f>
        <v>1</v>
      </c>
      <c r="AA60" t="b">
        <f>AND(DATA!R104,"AAAAAH4+/xo=")</f>
        <v>1</v>
      </c>
      <c r="AB60" t="b">
        <f>AND(DATA!S104,"AAAAAH4+/xs=")</f>
        <v>1</v>
      </c>
      <c r="AC60" t="b">
        <f>AND(DATA!T104,"AAAAAH4+/xw=")</f>
        <v>1</v>
      </c>
      <c r="AD60" t="b">
        <f>AND(DATA!U104,"AAAAAH4+/x0=")</f>
        <v>1</v>
      </c>
      <c r="AE60" t="b">
        <f>AND(DATA!V104,"AAAAAH4+/x4=")</f>
        <v>1</v>
      </c>
      <c r="AF60" t="e">
        <f>AND(DATA!W103,"AAAAAH4+/x8=")</f>
        <v>#VALUE!</v>
      </c>
      <c r="AG60" t="e">
        <f>AND(DATA!X103,"AAAAAH4+/yA=")</f>
        <v>#VALUE!</v>
      </c>
      <c r="AH60" t="e">
        <f>AND(DATA!Y103,"AAAAAH4+/yE=")</f>
        <v>#VALUE!</v>
      </c>
      <c r="AI60">
        <f>IF(DATA!104:104,"AAAAAH4+/yI=",0)</f>
        <v>0</v>
      </c>
      <c r="AJ60" t="e">
        <f>AND(DATA!A104,"AAAAAH4+/yM=")</f>
        <v>#VALUE!</v>
      </c>
      <c r="AK60" t="e">
        <f>AND(DATA!B104,"AAAAAH4+/yQ=")</f>
        <v>#VALUE!</v>
      </c>
      <c r="AL60" t="e">
        <f>AND(DATA!C104,"AAAAAH4+/yU=")</f>
        <v>#VALUE!</v>
      </c>
      <c r="AM60" t="e">
        <f>AND(DATA!D104,"AAAAAH4+/yY=")</f>
        <v>#VALUE!</v>
      </c>
      <c r="AN60" t="e">
        <f>AND(DATA!E104,"AAAAAH4+/yc=")</f>
        <v>#VALUE!</v>
      </c>
      <c r="AO60" t="e">
        <f>AND(DATA!F104,"AAAAAH4+/yg=")</f>
        <v>#VALUE!</v>
      </c>
      <c r="AP60" t="e">
        <f>AND(DATA!G104,"AAAAAH4+/yk=")</f>
        <v>#VALUE!</v>
      </c>
      <c r="AQ60" t="e">
        <f>AND(DATA!H104,"AAAAAH4+/yo=")</f>
        <v>#VALUE!</v>
      </c>
      <c r="AR60" t="e">
        <f>AND(DATA!I104,"AAAAAH4+/ys=")</f>
        <v>#VALUE!</v>
      </c>
      <c r="AS60" t="e">
        <f>AND(DATA!J104,"AAAAAH4+/yw=")</f>
        <v>#VALUE!</v>
      </c>
      <c r="AT60" t="e">
        <f>AND(DATA!K104,"AAAAAH4+/y0=")</f>
        <v>#VALUE!</v>
      </c>
      <c r="AU60" t="b">
        <f>AND(DATA!L105,"AAAAAH4+/y4=")</f>
        <v>1</v>
      </c>
      <c r="AV60" t="b">
        <f>AND(DATA!M105,"AAAAAH4+/y8=")</f>
        <v>1</v>
      </c>
      <c r="AW60" t="b">
        <f>AND(DATA!N105,"AAAAAH4+/zA=")</f>
        <v>1</v>
      </c>
      <c r="AX60" t="b">
        <f>AND(DATA!O105,"AAAAAH4+/zE=")</f>
        <v>1</v>
      </c>
      <c r="AY60" t="b">
        <f>AND(DATA!P105,"AAAAAH4+/zI=")</f>
        <v>1</v>
      </c>
      <c r="AZ60" t="b">
        <f>AND(DATA!Q105,"AAAAAH4+/zM=")</f>
        <v>1</v>
      </c>
      <c r="BA60" t="b">
        <f>AND(DATA!R105,"AAAAAH4+/zQ=")</f>
        <v>1</v>
      </c>
      <c r="BB60" t="b">
        <f>AND(DATA!S105,"AAAAAH4+/zU=")</f>
        <v>1</v>
      </c>
      <c r="BC60" t="b">
        <f>AND(DATA!T105,"AAAAAH4+/zY=")</f>
        <v>1</v>
      </c>
      <c r="BD60" t="b">
        <f>AND(DATA!U105,"AAAAAH4+/zc=")</f>
        <v>1</v>
      </c>
      <c r="BE60" t="b">
        <f>AND(DATA!V105,"AAAAAH4+/zg=")</f>
        <v>1</v>
      </c>
      <c r="BF60" t="e">
        <f>AND(DATA!W104,"AAAAAH4+/zk=")</f>
        <v>#VALUE!</v>
      </c>
      <c r="BG60" t="e">
        <f>AND(DATA!X104,"AAAAAH4+/zo=")</f>
        <v>#VALUE!</v>
      </c>
      <c r="BH60" t="e">
        <f>AND(DATA!Y104,"AAAAAH4+/zs=")</f>
        <v>#VALUE!</v>
      </c>
      <c r="BI60">
        <f>IF(DATA!105:105,"AAAAAH4+/zw=",0)</f>
        <v>0</v>
      </c>
      <c r="BJ60" t="e">
        <f>AND(DATA!A105,"AAAAAH4+/z0=")</f>
        <v>#VALUE!</v>
      </c>
      <c r="BK60" t="e">
        <f>AND(DATA!B105,"AAAAAH4+/z4=")</f>
        <v>#VALUE!</v>
      </c>
      <c r="BL60" t="e">
        <f>AND(DATA!C105,"AAAAAH4+/z8=")</f>
        <v>#VALUE!</v>
      </c>
      <c r="BM60" t="e">
        <f>AND(DATA!D105,"AAAAAH4+/0A=")</f>
        <v>#VALUE!</v>
      </c>
      <c r="BN60" t="e">
        <f>AND(DATA!E105,"AAAAAH4+/0E=")</f>
        <v>#VALUE!</v>
      </c>
      <c r="BO60" t="e">
        <f>AND(DATA!F105,"AAAAAH4+/0I=")</f>
        <v>#VALUE!</v>
      </c>
      <c r="BP60" t="e">
        <f>AND(DATA!G105,"AAAAAH4+/0M=")</f>
        <v>#VALUE!</v>
      </c>
      <c r="BQ60" t="e">
        <f>AND(DATA!H105,"AAAAAH4+/0Q=")</f>
        <v>#VALUE!</v>
      </c>
      <c r="BR60" t="e">
        <f>AND(DATA!I105,"AAAAAH4+/0U=")</f>
        <v>#VALUE!</v>
      </c>
      <c r="BS60" t="e">
        <f>AND(DATA!J105,"AAAAAH4+/0Y=")</f>
        <v>#VALUE!</v>
      </c>
      <c r="BT60" t="e">
        <f>AND(DATA!K105,"AAAAAH4+/0c=")</f>
        <v>#VALUE!</v>
      </c>
      <c r="BU60" t="b">
        <f>AND(DATA!L106,"AAAAAH4+/0g=")</f>
        <v>1</v>
      </c>
      <c r="BV60" t="b">
        <f>AND(DATA!M106,"AAAAAH4+/0k=")</f>
        <v>1</v>
      </c>
      <c r="BW60" t="b">
        <f>AND(DATA!N106,"AAAAAH4+/0o=")</f>
        <v>1</v>
      </c>
      <c r="BX60" t="b">
        <f>AND(DATA!O106,"AAAAAH4+/0s=")</f>
        <v>1</v>
      </c>
      <c r="BY60" t="b">
        <f>AND(DATA!P106,"AAAAAH4+/0w=")</f>
        <v>1</v>
      </c>
      <c r="BZ60" t="b">
        <f>AND(DATA!Q106,"AAAAAH4+/00=")</f>
        <v>1</v>
      </c>
      <c r="CA60" t="b">
        <f>AND(DATA!R106,"AAAAAH4+/04=")</f>
        <v>1</v>
      </c>
      <c r="CB60" t="b">
        <f>AND(DATA!S106,"AAAAAH4+/08=")</f>
        <v>1</v>
      </c>
      <c r="CC60" t="b">
        <f>AND(DATA!T106,"AAAAAH4+/1A=")</f>
        <v>1</v>
      </c>
      <c r="CD60" t="b">
        <f>AND(DATA!U106,"AAAAAH4+/1E=")</f>
        <v>1</v>
      </c>
      <c r="CE60" t="b">
        <f>AND(DATA!V106,"AAAAAH4+/1I=")</f>
        <v>1</v>
      </c>
      <c r="CF60" t="e">
        <f>AND(DATA!W105,"AAAAAH4+/1M=")</f>
        <v>#VALUE!</v>
      </c>
      <c r="CG60" t="e">
        <f>AND(DATA!X105,"AAAAAH4+/1Q=")</f>
        <v>#VALUE!</v>
      </c>
      <c r="CH60" t="e">
        <f>AND(DATA!Y105,"AAAAAH4+/1U=")</f>
        <v>#VALUE!</v>
      </c>
      <c r="CI60">
        <f>IF(DATA!106:106,"AAAAAH4+/1Y=",0)</f>
        <v>0</v>
      </c>
      <c r="CJ60" t="e">
        <f>AND(DATA!A106,"AAAAAH4+/1c=")</f>
        <v>#VALUE!</v>
      </c>
      <c r="CK60" t="e">
        <f>AND(DATA!B106,"AAAAAH4+/1g=")</f>
        <v>#VALUE!</v>
      </c>
      <c r="CL60" t="e">
        <f>AND(DATA!C106,"AAAAAH4+/1k=")</f>
        <v>#VALUE!</v>
      </c>
      <c r="CM60" t="e">
        <f>AND(DATA!D106,"AAAAAH4+/1o=")</f>
        <v>#VALUE!</v>
      </c>
      <c r="CN60" t="e">
        <f>AND(DATA!E106,"AAAAAH4+/1s=")</f>
        <v>#VALUE!</v>
      </c>
      <c r="CO60" t="e">
        <f>AND(DATA!F106,"AAAAAH4+/1w=")</f>
        <v>#VALUE!</v>
      </c>
      <c r="CP60" t="e">
        <f>AND(DATA!G106,"AAAAAH4+/10=")</f>
        <v>#VALUE!</v>
      </c>
      <c r="CQ60" t="e">
        <f>AND(DATA!H106,"AAAAAH4+/14=")</f>
        <v>#VALUE!</v>
      </c>
      <c r="CR60" t="e">
        <f>AND(DATA!I106,"AAAAAH4+/18=")</f>
        <v>#VALUE!</v>
      </c>
      <c r="CS60" t="e">
        <f>AND(DATA!J106,"AAAAAH4+/2A=")</f>
        <v>#VALUE!</v>
      </c>
      <c r="CT60" t="e">
        <f>AND(DATA!K106,"AAAAAH4+/2E=")</f>
        <v>#VALUE!</v>
      </c>
      <c r="CU60" t="b">
        <f>AND(DATA!L107,"AAAAAH4+/2I=")</f>
        <v>1</v>
      </c>
      <c r="CV60" t="b">
        <f>AND(DATA!M107,"AAAAAH4+/2M=")</f>
        <v>1</v>
      </c>
      <c r="CW60" t="b">
        <f>AND(DATA!N107,"AAAAAH4+/2Q=")</f>
        <v>1</v>
      </c>
      <c r="CX60" t="b">
        <f>AND(DATA!O107,"AAAAAH4+/2U=")</f>
        <v>1</v>
      </c>
      <c r="CY60" t="b">
        <f>AND(DATA!P107,"AAAAAH4+/2Y=")</f>
        <v>1</v>
      </c>
      <c r="CZ60" t="b">
        <f>AND(DATA!Q107,"AAAAAH4+/2c=")</f>
        <v>1</v>
      </c>
      <c r="DA60" t="b">
        <f>AND(DATA!R107,"AAAAAH4+/2g=")</f>
        <v>1</v>
      </c>
      <c r="DB60" t="b">
        <f>AND(DATA!S107,"AAAAAH4+/2k=")</f>
        <v>1</v>
      </c>
      <c r="DC60" t="b">
        <f>AND(DATA!T107,"AAAAAH4+/2o=")</f>
        <v>1</v>
      </c>
      <c r="DD60" t="b">
        <f>AND(DATA!U107,"AAAAAH4+/2s=")</f>
        <v>1</v>
      </c>
      <c r="DE60" t="b">
        <f>AND(DATA!V107,"AAAAAH4+/2w=")</f>
        <v>1</v>
      </c>
      <c r="DF60" t="e">
        <f>AND(DATA!W106,"AAAAAH4+/20=")</f>
        <v>#VALUE!</v>
      </c>
      <c r="DG60" t="e">
        <f>AND(DATA!X106,"AAAAAH4+/24=")</f>
        <v>#VALUE!</v>
      </c>
      <c r="DH60" t="e">
        <f>AND(DATA!Y106,"AAAAAH4+/28=")</f>
        <v>#VALUE!</v>
      </c>
      <c r="DI60">
        <f>IF(DATA!107:107,"AAAAAH4+/3A=",0)</f>
        <v>0</v>
      </c>
      <c r="DJ60" t="e">
        <f>AND(DATA!A107,"AAAAAH4+/3E=")</f>
        <v>#VALUE!</v>
      </c>
      <c r="DK60" t="e">
        <f>AND(DATA!B107,"AAAAAH4+/3I=")</f>
        <v>#VALUE!</v>
      </c>
      <c r="DL60" t="e">
        <f>AND(DATA!C107,"AAAAAH4+/3M=")</f>
        <v>#VALUE!</v>
      </c>
      <c r="DM60" t="e">
        <f>AND(DATA!D107,"AAAAAH4+/3Q=")</f>
        <v>#VALUE!</v>
      </c>
      <c r="DN60" t="e">
        <f>AND(DATA!E107,"AAAAAH4+/3U=")</f>
        <v>#VALUE!</v>
      </c>
      <c r="DO60" t="e">
        <f>AND(DATA!F107,"AAAAAH4+/3Y=")</f>
        <v>#VALUE!</v>
      </c>
      <c r="DP60" t="e">
        <f>AND(DATA!G107,"AAAAAH4+/3c=")</f>
        <v>#VALUE!</v>
      </c>
      <c r="DQ60" t="e">
        <f>AND(DATA!H107,"AAAAAH4+/3g=")</f>
        <v>#VALUE!</v>
      </c>
      <c r="DR60" t="e">
        <f>AND(DATA!I107,"AAAAAH4+/3k=")</f>
        <v>#VALUE!</v>
      </c>
      <c r="DS60" t="e">
        <f>AND(DATA!J107,"AAAAAH4+/3o=")</f>
        <v>#VALUE!</v>
      </c>
      <c r="DT60" t="e">
        <f>AND(DATA!K107,"AAAAAH4+/3s=")</f>
        <v>#VALUE!</v>
      </c>
      <c r="DU60" t="b">
        <f>AND(DATA!L108,"AAAAAH4+/3w=")</f>
        <v>1</v>
      </c>
      <c r="DV60" t="b">
        <f>AND(DATA!M108,"AAAAAH4+/30=")</f>
        <v>1</v>
      </c>
      <c r="DW60" t="b">
        <f>AND(DATA!N108,"AAAAAH4+/34=")</f>
        <v>1</v>
      </c>
      <c r="DX60" t="b">
        <f>AND(DATA!O108,"AAAAAH4+/38=")</f>
        <v>1</v>
      </c>
      <c r="DY60" t="b">
        <f>AND(DATA!P108,"AAAAAH4+/4A=")</f>
        <v>1</v>
      </c>
      <c r="DZ60" t="b">
        <f>AND(DATA!Q108,"AAAAAH4+/4E=")</f>
        <v>1</v>
      </c>
      <c r="EA60" t="b">
        <f>AND(DATA!R108,"AAAAAH4+/4I=")</f>
        <v>1</v>
      </c>
      <c r="EB60" t="b">
        <f>AND(DATA!S108,"AAAAAH4+/4M=")</f>
        <v>1</v>
      </c>
      <c r="EC60" t="b">
        <f>AND(DATA!T108,"AAAAAH4+/4Q=")</f>
        <v>1</v>
      </c>
      <c r="ED60" t="b">
        <f>AND(DATA!U108,"AAAAAH4+/4U=")</f>
        <v>1</v>
      </c>
      <c r="EE60" t="b">
        <f>AND(DATA!V108,"AAAAAH4+/4Y=")</f>
        <v>1</v>
      </c>
      <c r="EF60" t="e">
        <f>AND(DATA!W107,"AAAAAH4+/4c=")</f>
        <v>#VALUE!</v>
      </c>
      <c r="EG60" t="e">
        <f>AND(DATA!X107,"AAAAAH4+/4g=")</f>
        <v>#VALUE!</v>
      </c>
      <c r="EH60" t="e">
        <f>AND(DATA!Y107,"AAAAAH4+/4k=")</f>
        <v>#VALUE!</v>
      </c>
      <c r="EI60">
        <f>IF(DATA!108:108,"AAAAAH4+/4o=",0)</f>
        <v>0</v>
      </c>
      <c r="EJ60" t="e">
        <f>AND(DATA!A108,"AAAAAH4+/4s=")</f>
        <v>#VALUE!</v>
      </c>
      <c r="EK60" t="e">
        <f>AND(DATA!B108,"AAAAAH4+/4w=")</f>
        <v>#VALUE!</v>
      </c>
      <c r="EL60" t="e">
        <f>AND(DATA!C108,"AAAAAH4+/40=")</f>
        <v>#VALUE!</v>
      </c>
      <c r="EM60" t="e">
        <f>AND(DATA!D108,"AAAAAH4+/44=")</f>
        <v>#VALUE!</v>
      </c>
      <c r="EN60" t="e">
        <f>AND(DATA!E108,"AAAAAH4+/48=")</f>
        <v>#VALUE!</v>
      </c>
      <c r="EO60" t="e">
        <f>AND(DATA!F108,"AAAAAH4+/5A=")</f>
        <v>#VALUE!</v>
      </c>
      <c r="EP60" t="e">
        <f>AND(DATA!G108,"AAAAAH4+/5E=")</f>
        <v>#VALUE!</v>
      </c>
      <c r="EQ60" t="e">
        <f>AND(DATA!H108,"AAAAAH4+/5I=")</f>
        <v>#VALUE!</v>
      </c>
      <c r="ER60" t="e">
        <f>AND(DATA!I108,"AAAAAH4+/5M=")</f>
        <v>#VALUE!</v>
      </c>
      <c r="ES60" t="e">
        <f>AND(DATA!J108,"AAAAAH4+/5Q=")</f>
        <v>#VALUE!</v>
      </c>
      <c r="ET60" t="e">
        <f>AND(DATA!K108,"AAAAAH4+/5U=")</f>
        <v>#VALUE!</v>
      </c>
      <c r="EU60" t="b">
        <f>AND(DATA!L109,"AAAAAH4+/5Y=")</f>
        <v>1</v>
      </c>
      <c r="EV60" t="b">
        <f>AND(DATA!M109,"AAAAAH4+/5c=")</f>
        <v>1</v>
      </c>
      <c r="EW60" t="b">
        <f>AND(DATA!N109,"AAAAAH4+/5g=")</f>
        <v>1</v>
      </c>
      <c r="EX60" t="b">
        <f>AND(DATA!O109,"AAAAAH4+/5k=")</f>
        <v>1</v>
      </c>
      <c r="EY60" t="b">
        <f>AND(DATA!P109,"AAAAAH4+/5o=")</f>
        <v>1</v>
      </c>
      <c r="EZ60" t="b">
        <f>AND(DATA!Q109,"AAAAAH4+/5s=")</f>
        <v>1</v>
      </c>
      <c r="FA60" t="b">
        <f>AND(DATA!R109,"AAAAAH4+/5w=")</f>
        <v>1</v>
      </c>
      <c r="FB60" t="b">
        <f>AND(DATA!S109,"AAAAAH4+/50=")</f>
        <v>1</v>
      </c>
      <c r="FC60" t="b">
        <f>AND(DATA!T109,"AAAAAH4+/54=")</f>
        <v>1</v>
      </c>
      <c r="FD60" t="b">
        <f>AND(DATA!U109,"AAAAAH4+/58=")</f>
        <v>1</v>
      </c>
      <c r="FE60" t="b">
        <f>AND(DATA!V109,"AAAAAH4+/6A=")</f>
        <v>1</v>
      </c>
      <c r="FF60" t="e">
        <f>AND(DATA!W108,"AAAAAH4+/6E=")</f>
        <v>#VALUE!</v>
      </c>
      <c r="FG60" t="e">
        <f>AND(DATA!X108,"AAAAAH4+/6I=")</f>
        <v>#VALUE!</v>
      </c>
      <c r="FH60" t="e">
        <f>AND(DATA!Y108,"AAAAAH4+/6M=")</f>
        <v>#VALUE!</v>
      </c>
      <c r="FI60">
        <f>IF(DATA!109:109,"AAAAAH4+/6Q=",0)</f>
        <v>0</v>
      </c>
      <c r="FJ60" t="e">
        <f>AND(DATA!A109,"AAAAAH4+/6U=")</f>
        <v>#VALUE!</v>
      </c>
      <c r="FK60" t="e">
        <f>AND(DATA!B109,"AAAAAH4+/6Y=")</f>
        <v>#VALUE!</v>
      </c>
      <c r="FL60" t="e">
        <f>AND(DATA!C109,"AAAAAH4+/6c=")</f>
        <v>#VALUE!</v>
      </c>
      <c r="FM60" t="e">
        <f>AND(DATA!D109,"AAAAAH4+/6g=")</f>
        <v>#VALUE!</v>
      </c>
      <c r="FN60" t="e">
        <f>AND(DATA!E109,"AAAAAH4+/6k=")</f>
        <v>#VALUE!</v>
      </c>
      <c r="FO60" t="e">
        <f>AND(DATA!F109,"AAAAAH4+/6o=")</f>
        <v>#VALUE!</v>
      </c>
      <c r="FP60" t="e">
        <f>AND(DATA!G109,"AAAAAH4+/6s=")</f>
        <v>#VALUE!</v>
      </c>
      <c r="FQ60" t="e">
        <f>AND(DATA!H109,"AAAAAH4+/6w=")</f>
        <v>#VALUE!</v>
      </c>
      <c r="FR60" t="e">
        <f>AND(DATA!I109,"AAAAAH4+/60=")</f>
        <v>#VALUE!</v>
      </c>
      <c r="FS60" t="e">
        <f>AND(DATA!J109,"AAAAAH4+/64=")</f>
        <v>#VALUE!</v>
      </c>
      <c r="FT60" t="e">
        <f>AND(DATA!K109,"AAAAAH4+/68=")</f>
        <v>#VALUE!</v>
      </c>
      <c r="FU60" t="b">
        <f>AND(DATA!L110,"AAAAAH4+/7A=")</f>
        <v>1</v>
      </c>
      <c r="FV60" t="b">
        <f>AND(DATA!M110,"AAAAAH4+/7E=")</f>
        <v>1</v>
      </c>
      <c r="FW60" t="b">
        <f>AND(DATA!N110,"AAAAAH4+/7I=")</f>
        <v>1</v>
      </c>
      <c r="FX60" t="b">
        <f>AND(DATA!O110,"AAAAAH4+/7M=")</f>
        <v>1</v>
      </c>
      <c r="FY60" t="b">
        <f>AND(DATA!P110,"AAAAAH4+/7Q=")</f>
        <v>1</v>
      </c>
      <c r="FZ60" t="b">
        <f>AND(DATA!Q110,"AAAAAH4+/7U=")</f>
        <v>1</v>
      </c>
      <c r="GA60" t="b">
        <f>AND(DATA!R110,"AAAAAH4+/7Y=")</f>
        <v>1</v>
      </c>
      <c r="GB60" t="b">
        <f>AND(DATA!S110,"AAAAAH4+/7c=")</f>
        <v>1</v>
      </c>
      <c r="GC60" t="b">
        <f>AND(DATA!T110,"AAAAAH4+/7g=")</f>
        <v>1</v>
      </c>
      <c r="GD60" t="b">
        <f>AND(DATA!U110,"AAAAAH4+/7k=")</f>
        <v>1</v>
      </c>
      <c r="GE60" t="b">
        <f>AND(DATA!V110,"AAAAAH4+/7o=")</f>
        <v>1</v>
      </c>
      <c r="GF60" t="e">
        <f>AND(DATA!W109,"AAAAAH4+/7s=")</f>
        <v>#VALUE!</v>
      </c>
      <c r="GG60" t="e">
        <f>AND(DATA!X109,"AAAAAH4+/7w=")</f>
        <v>#VALUE!</v>
      </c>
      <c r="GH60" t="e">
        <f>AND(DATA!Y109,"AAAAAH4+/70=")</f>
        <v>#VALUE!</v>
      </c>
      <c r="GI60">
        <f>IF(DATA!110:110,"AAAAAH4+/74=",0)</f>
        <v>0</v>
      </c>
      <c r="GJ60" t="e">
        <f>AND(DATA!A110,"AAAAAH4+/78=")</f>
        <v>#VALUE!</v>
      </c>
      <c r="GK60" t="e">
        <f>AND(DATA!B110,"AAAAAH4+/8A=")</f>
        <v>#VALUE!</v>
      </c>
      <c r="GL60" t="e">
        <f>AND(DATA!C110,"AAAAAH4+/8E=")</f>
        <v>#VALUE!</v>
      </c>
      <c r="GM60" t="e">
        <f>AND(DATA!D110,"AAAAAH4+/8I=")</f>
        <v>#VALUE!</v>
      </c>
      <c r="GN60" t="e">
        <f>AND(DATA!E110,"AAAAAH4+/8M=")</f>
        <v>#VALUE!</v>
      </c>
      <c r="GO60" t="e">
        <f>AND(DATA!F110,"AAAAAH4+/8Q=")</f>
        <v>#VALUE!</v>
      </c>
      <c r="GP60" t="e">
        <f>AND(DATA!G110,"AAAAAH4+/8U=")</f>
        <v>#VALUE!</v>
      </c>
      <c r="GQ60" t="e">
        <f>AND(DATA!H110,"AAAAAH4+/8Y=")</f>
        <v>#VALUE!</v>
      </c>
      <c r="GR60" t="e">
        <f>AND(DATA!I110,"AAAAAH4+/8c=")</f>
        <v>#VALUE!</v>
      </c>
      <c r="GS60" t="e">
        <f>AND(DATA!J110,"AAAAAH4+/8g=")</f>
        <v>#VALUE!</v>
      </c>
      <c r="GT60" t="e">
        <f>AND(DATA!K110,"AAAAAH4+/8k=")</f>
        <v>#VALUE!</v>
      </c>
      <c r="GU60" t="b">
        <f>AND(DATA!L111,"AAAAAH4+/8o=")</f>
        <v>1</v>
      </c>
      <c r="GV60" t="b">
        <f>AND(DATA!M111,"AAAAAH4+/8s=")</f>
        <v>1</v>
      </c>
      <c r="GW60" t="b">
        <f>AND(DATA!N111,"AAAAAH4+/8w=")</f>
        <v>1</v>
      </c>
      <c r="GX60" t="b">
        <f>AND(DATA!O111,"AAAAAH4+/80=")</f>
        <v>1</v>
      </c>
      <c r="GY60" t="b">
        <f>AND(DATA!P111,"AAAAAH4+/84=")</f>
        <v>1</v>
      </c>
      <c r="GZ60" t="b">
        <f>AND(DATA!Q111,"AAAAAH4+/88=")</f>
        <v>1</v>
      </c>
      <c r="HA60" t="b">
        <f>AND(DATA!R111,"AAAAAH4+/9A=")</f>
        <v>1</v>
      </c>
      <c r="HB60" t="b">
        <f>AND(DATA!S111,"AAAAAH4+/9E=")</f>
        <v>1</v>
      </c>
      <c r="HC60" t="b">
        <f>AND(DATA!T111,"AAAAAH4+/9I=")</f>
        <v>1</v>
      </c>
      <c r="HD60" t="b">
        <f>AND(DATA!U111,"AAAAAH4+/9M=")</f>
        <v>1</v>
      </c>
      <c r="HE60" t="b">
        <f>AND(DATA!V111,"AAAAAH4+/9Q=")</f>
        <v>1</v>
      </c>
      <c r="HF60" t="e">
        <f>AND(DATA!W110,"AAAAAH4+/9U=")</f>
        <v>#VALUE!</v>
      </c>
      <c r="HG60" t="e">
        <f>AND(DATA!X110,"AAAAAH4+/9Y=")</f>
        <v>#VALUE!</v>
      </c>
      <c r="HH60" t="e">
        <f>AND(DATA!Y110,"AAAAAH4+/9c=")</f>
        <v>#VALUE!</v>
      </c>
      <c r="HI60">
        <f>IF(DATA!111:111,"AAAAAH4+/9g=",0)</f>
        <v>0</v>
      </c>
      <c r="HJ60" t="e">
        <f>AND(DATA!A111,"AAAAAH4+/9k=")</f>
        <v>#VALUE!</v>
      </c>
      <c r="HK60" t="e">
        <f>AND(DATA!B111,"AAAAAH4+/9o=")</f>
        <v>#VALUE!</v>
      </c>
      <c r="HL60" t="e">
        <f>AND(DATA!C111,"AAAAAH4+/9s=")</f>
        <v>#VALUE!</v>
      </c>
      <c r="HM60" t="e">
        <f>AND(DATA!D111,"AAAAAH4+/9w=")</f>
        <v>#VALUE!</v>
      </c>
      <c r="HN60" t="e">
        <f>AND(DATA!E111,"AAAAAH4+/90=")</f>
        <v>#VALUE!</v>
      </c>
      <c r="HO60" t="e">
        <f>AND(DATA!F111,"AAAAAH4+/94=")</f>
        <v>#VALUE!</v>
      </c>
      <c r="HP60" t="e">
        <f>AND(DATA!G111,"AAAAAH4+/98=")</f>
        <v>#VALUE!</v>
      </c>
      <c r="HQ60" t="e">
        <f>AND(DATA!H111,"AAAAAH4+/+A=")</f>
        <v>#VALUE!</v>
      </c>
      <c r="HR60" t="e">
        <f>AND(DATA!I111,"AAAAAH4+/+E=")</f>
        <v>#VALUE!</v>
      </c>
      <c r="HS60" t="e">
        <f>AND(DATA!J111,"AAAAAH4+/+I=")</f>
        <v>#VALUE!</v>
      </c>
      <c r="HT60" t="e">
        <f>AND(DATA!K111,"AAAAAH4+/+M=")</f>
        <v>#VALUE!</v>
      </c>
      <c r="HU60" t="b">
        <f>AND(DATA!L112,"AAAAAH4+/+Q=")</f>
        <v>1</v>
      </c>
      <c r="HV60" t="b">
        <f>AND(DATA!M112,"AAAAAH4+/+U=")</f>
        <v>1</v>
      </c>
      <c r="HW60" t="b">
        <f>AND(DATA!N112,"AAAAAH4+/+Y=")</f>
        <v>1</v>
      </c>
      <c r="HX60" t="b">
        <f>AND(DATA!O112,"AAAAAH4+/+c=")</f>
        <v>1</v>
      </c>
      <c r="HY60" t="b">
        <f>AND(DATA!P112,"AAAAAH4+/+g=")</f>
        <v>1</v>
      </c>
      <c r="HZ60" t="b">
        <f>AND(DATA!Q112,"AAAAAH4+/+k=")</f>
        <v>1</v>
      </c>
      <c r="IA60" t="b">
        <f>AND(DATA!R112,"AAAAAH4+/+o=")</f>
        <v>1</v>
      </c>
      <c r="IB60" t="b">
        <f>AND(DATA!S112,"AAAAAH4+/+s=")</f>
        <v>1</v>
      </c>
      <c r="IC60" t="b">
        <f>AND(DATA!T112,"AAAAAH4+/+w=")</f>
        <v>1</v>
      </c>
      <c r="ID60" t="b">
        <f>AND(DATA!U112,"AAAAAH4+/+0=")</f>
        <v>1</v>
      </c>
      <c r="IE60" t="b">
        <f>AND(DATA!V112,"AAAAAH4+/+4=")</f>
        <v>1</v>
      </c>
      <c r="IF60" t="e">
        <f>AND(DATA!W111,"AAAAAH4+/+8=")</f>
        <v>#VALUE!</v>
      </c>
      <c r="IG60" t="e">
        <f>AND(DATA!X111,"AAAAAH4+//A=")</f>
        <v>#VALUE!</v>
      </c>
      <c r="IH60" t="e">
        <f>AND(DATA!Y111,"AAAAAH4+//E=")</f>
        <v>#VALUE!</v>
      </c>
      <c r="II60">
        <f>IF(DATA!112:112,"AAAAAH4+//I=",0)</f>
        <v>0</v>
      </c>
      <c r="IJ60" t="e">
        <f>AND(DATA!A112,"AAAAAH4+//M=")</f>
        <v>#VALUE!</v>
      </c>
      <c r="IK60" t="e">
        <f>AND(DATA!B112,"AAAAAH4+//Q=")</f>
        <v>#VALUE!</v>
      </c>
      <c r="IL60" t="e">
        <f>AND(DATA!C112,"AAAAAH4+//U=")</f>
        <v>#VALUE!</v>
      </c>
      <c r="IM60" t="e">
        <f>AND(DATA!D112,"AAAAAH4+//Y=")</f>
        <v>#VALUE!</v>
      </c>
      <c r="IN60" t="e">
        <f>AND(DATA!E112,"AAAAAH4+//c=")</f>
        <v>#VALUE!</v>
      </c>
      <c r="IO60" t="e">
        <f>AND(DATA!F112,"AAAAAH4+//g=")</f>
        <v>#VALUE!</v>
      </c>
      <c r="IP60" t="e">
        <f>AND(DATA!G112,"AAAAAH4+//k=")</f>
        <v>#VALUE!</v>
      </c>
      <c r="IQ60" t="e">
        <f>AND(DATA!H112,"AAAAAH4+//o=")</f>
        <v>#VALUE!</v>
      </c>
      <c r="IR60" t="e">
        <f>AND(DATA!I112,"AAAAAH4+//s=")</f>
        <v>#VALUE!</v>
      </c>
      <c r="IS60" t="e">
        <f>AND(DATA!J112,"AAAAAH4+//w=")</f>
        <v>#VALUE!</v>
      </c>
      <c r="IT60" t="e">
        <f>AND(DATA!K112,"AAAAAH4+//0=")</f>
        <v>#VALUE!</v>
      </c>
      <c r="IU60" t="b">
        <f>AND(DATA!L113,"AAAAAH4+//4=")</f>
        <v>1</v>
      </c>
      <c r="IV60" t="b">
        <f>AND(DATA!M113,"AAAAAH4+//8=")</f>
        <v>1</v>
      </c>
    </row>
    <row r="61" spans="1:256" x14ac:dyDescent="0.25">
      <c r="A61" t="b">
        <f>AND(DATA!N113,"AAAAAH/q7gA=")</f>
        <v>1</v>
      </c>
      <c r="B61" t="b">
        <f>AND(DATA!O113,"AAAAAH/q7gE=")</f>
        <v>1</v>
      </c>
      <c r="C61" t="b">
        <f>AND(DATA!P113,"AAAAAH/q7gI=")</f>
        <v>1</v>
      </c>
      <c r="D61" t="b">
        <f>AND(DATA!Q113,"AAAAAH/q7gM=")</f>
        <v>1</v>
      </c>
      <c r="E61" t="b">
        <f>AND(DATA!R113,"AAAAAH/q7gQ=")</f>
        <v>1</v>
      </c>
      <c r="F61" t="b">
        <f>AND(DATA!S113,"AAAAAH/q7gU=")</f>
        <v>1</v>
      </c>
      <c r="G61" t="b">
        <f>AND(DATA!T113,"AAAAAH/q7gY=")</f>
        <v>1</v>
      </c>
      <c r="H61" t="b">
        <f>AND(DATA!U113,"AAAAAH/q7gc=")</f>
        <v>1</v>
      </c>
      <c r="I61" t="b">
        <f>AND(DATA!V113,"AAAAAH/q7gg=")</f>
        <v>1</v>
      </c>
      <c r="J61" t="e">
        <f>AND(DATA!W112,"AAAAAH/q7gk=")</f>
        <v>#VALUE!</v>
      </c>
      <c r="K61" t="e">
        <f>AND(DATA!X112,"AAAAAH/q7go=")</f>
        <v>#VALUE!</v>
      </c>
      <c r="L61" t="e">
        <f>AND(DATA!Y112,"AAAAAH/q7gs=")</f>
        <v>#VALUE!</v>
      </c>
      <c r="M61" t="str">
        <f>IF(DATA!113:113,"AAAAAH/q7gw=",0)</f>
        <v>AAAAAH/q7gw=</v>
      </c>
      <c r="N61" t="e">
        <f>AND(DATA!A113,"AAAAAH/q7g0=")</f>
        <v>#VALUE!</v>
      </c>
      <c r="O61" t="e">
        <f>AND(DATA!B113,"AAAAAH/q7g4=")</f>
        <v>#VALUE!</v>
      </c>
      <c r="P61" t="e">
        <f>AND(DATA!C113,"AAAAAH/q7g8=")</f>
        <v>#VALUE!</v>
      </c>
      <c r="Q61" t="e">
        <f>AND(DATA!D113,"AAAAAH/q7hA=")</f>
        <v>#VALUE!</v>
      </c>
      <c r="R61" t="e">
        <f>AND(DATA!E113,"AAAAAH/q7hE=")</f>
        <v>#VALUE!</v>
      </c>
      <c r="S61" t="e">
        <f>AND(DATA!F113,"AAAAAH/q7hI=")</f>
        <v>#VALUE!</v>
      </c>
      <c r="T61" t="e">
        <f>AND(DATA!G113,"AAAAAH/q7hM=")</f>
        <v>#VALUE!</v>
      </c>
      <c r="U61" t="e">
        <f>AND(DATA!H113,"AAAAAH/q7hQ=")</f>
        <v>#VALUE!</v>
      </c>
      <c r="V61" t="e">
        <f>AND(DATA!I113,"AAAAAH/q7hU=")</f>
        <v>#VALUE!</v>
      </c>
      <c r="W61" t="e">
        <f>AND(DATA!J113,"AAAAAH/q7hY=")</f>
        <v>#VALUE!</v>
      </c>
      <c r="X61" t="e">
        <f>AND(DATA!K113,"AAAAAH/q7hc=")</f>
        <v>#VALUE!</v>
      </c>
      <c r="Y61" t="b">
        <f>AND(DATA!L114,"AAAAAH/q7hg=")</f>
        <v>1</v>
      </c>
      <c r="Z61" t="b">
        <f>AND(DATA!M114,"AAAAAH/q7hk=")</f>
        <v>1</v>
      </c>
      <c r="AA61" t="b">
        <f>AND(DATA!N114,"AAAAAH/q7ho=")</f>
        <v>1</v>
      </c>
      <c r="AB61" t="b">
        <f>AND(DATA!O114,"AAAAAH/q7hs=")</f>
        <v>1</v>
      </c>
      <c r="AC61" t="b">
        <f>AND(DATA!P114,"AAAAAH/q7hw=")</f>
        <v>1</v>
      </c>
      <c r="AD61" t="b">
        <f>AND(DATA!Q114,"AAAAAH/q7h0=")</f>
        <v>1</v>
      </c>
      <c r="AE61" t="b">
        <f>AND(DATA!R114,"AAAAAH/q7h4=")</f>
        <v>1</v>
      </c>
      <c r="AF61" t="b">
        <f>AND(DATA!S114,"AAAAAH/q7h8=")</f>
        <v>1</v>
      </c>
      <c r="AG61" t="b">
        <f>AND(DATA!T114,"AAAAAH/q7iA=")</f>
        <v>1</v>
      </c>
      <c r="AH61" t="b">
        <f>AND(DATA!U114,"AAAAAH/q7iE=")</f>
        <v>1</v>
      </c>
      <c r="AI61" t="b">
        <f>AND(DATA!V114,"AAAAAH/q7iI=")</f>
        <v>1</v>
      </c>
      <c r="AJ61" t="e">
        <f>AND(DATA!W113,"AAAAAH/q7iM=")</f>
        <v>#VALUE!</v>
      </c>
      <c r="AK61" t="e">
        <f>AND(DATA!X113,"AAAAAH/q7iQ=")</f>
        <v>#VALUE!</v>
      </c>
      <c r="AL61" t="e">
        <f>AND(DATA!Y113,"AAAAAH/q7iU=")</f>
        <v>#VALUE!</v>
      </c>
      <c r="AM61">
        <f>IF(DATA!114:114,"AAAAAH/q7iY=",0)</f>
        <v>0</v>
      </c>
      <c r="AN61" t="e">
        <f>AND(DATA!A114,"AAAAAH/q7ic=")</f>
        <v>#VALUE!</v>
      </c>
      <c r="AO61" t="e">
        <f>AND(DATA!B114,"AAAAAH/q7ig=")</f>
        <v>#VALUE!</v>
      </c>
      <c r="AP61" t="e">
        <f>AND(DATA!C114,"AAAAAH/q7ik=")</f>
        <v>#VALUE!</v>
      </c>
      <c r="AQ61" t="e">
        <f>AND(DATA!D114,"AAAAAH/q7io=")</f>
        <v>#VALUE!</v>
      </c>
      <c r="AR61" t="e">
        <f>AND(DATA!E114,"AAAAAH/q7is=")</f>
        <v>#VALUE!</v>
      </c>
      <c r="AS61" t="e">
        <f>AND(DATA!F114,"AAAAAH/q7iw=")</f>
        <v>#VALUE!</v>
      </c>
      <c r="AT61" t="e">
        <f>AND(DATA!G114,"AAAAAH/q7i0=")</f>
        <v>#VALUE!</v>
      </c>
      <c r="AU61" t="e">
        <f>AND(DATA!H114,"AAAAAH/q7i4=")</f>
        <v>#VALUE!</v>
      </c>
      <c r="AV61" t="e">
        <f>AND(DATA!I114,"AAAAAH/q7i8=")</f>
        <v>#VALUE!</v>
      </c>
      <c r="AW61" t="e">
        <f>AND(DATA!J114,"AAAAAH/q7jA=")</f>
        <v>#VALUE!</v>
      </c>
      <c r="AX61" t="e">
        <f>AND(DATA!K114,"AAAAAH/q7jE=")</f>
        <v>#VALUE!</v>
      </c>
      <c r="AY61" t="b">
        <f>AND(DATA!L115,"AAAAAH/q7jI=")</f>
        <v>1</v>
      </c>
      <c r="AZ61" t="b">
        <f>AND(DATA!M115,"AAAAAH/q7jM=")</f>
        <v>1</v>
      </c>
      <c r="BA61" t="b">
        <f>AND(DATA!N115,"AAAAAH/q7jQ=")</f>
        <v>1</v>
      </c>
      <c r="BB61" t="b">
        <f>AND(DATA!O115,"AAAAAH/q7jU=")</f>
        <v>1</v>
      </c>
      <c r="BC61" t="b">
        <f>AND(DATA!P115,"AAAAAH/q7jY=")</f>
        <v>1</v>
      </c>
      <c r="BD61" t="b">
        <f>AND(DATA!Q115,"AAAAAH/q7jc=")</f>
        <v>1</v>
      </c>
      <c r="BE61" t="b">
        <f>AND(DATA!R115,"AAAAAH/q7jg=")</f>
        <v>1</v>
      </c>
      <c r="BF61" t="b">
        <f>AND(DATA!S115,"AAAAAH/q7jk=")</f>
        <v>1</v>
      </c>
      <c r="BG61" t="b">
        <f>AND(DATA!T115,"AAAAAH/q7jo=")</f>
        <v>1</v>
      </c>
      <c r="BH61" t="b">
        <f>AND(DATA!U115,"AAAAAH/q7js=")</f>
        <v>1</v>
      </c>
      <c r="BI61" t="b">
        <f>AND(DATA!V115,"AAAAAH/q7jw=")</f>
        <v>1</v>
      </c>
      <c r="BJ61" t="e">
        <f>AND(DATA!W114,"AAAAAH/q7j0=")</f>
        <v>#VALUE!</v>
      </c>
      <c r="BK61" t="e">
        <f>AND(DATA!X114,"AAAAAH/q7j4=")</f>
        <v>#VALUE!</v>
      </c>
      <c r="BL61" t="e">
        <f>AND(DATA!Y114,"AAAAAH/q7j8=")</f>
        <v>#VALUE!</v>
      </c>
      <c r="BM61">
        <f>IF(DATA!115:115,"AAAAAH/q7kA=",0)</f>
        <v>0</v>
      </c>
      <c r="BN61" t="e">
        <f>AND(DATA!A115,"AAAAAH/q7kE=")</f>
        <v>#VALUE!</v>
      </c>
      <c r="BO61" t="e">
        <f>AND(DATA!B115,"AAAAAH/q7kI=")</f>
        <v>#VALUE!</v>
      </c>
      <c r="BP61" t="e">
        <f>AND(DATA!C115,"AAAAAH/q7kM=")</f>
        <v>#VALUE!</v>
      </c>
      <c r="BQ61" t="e">
        <f>AND(DATA!D115,"AAAAAH/q7kQ=")</f>
        <v>#VALUE!</v>
      </c>
      <c r="BR61" t="e">
        <f>AND(DATA!E115,"AAAAAH/q7kU=")</f>
        <v>#VALUE!</v>
      </c>
      <c r="BS61" t="e">
        <f>AND(DATA!F115,"AAAAAH/q7kY=")</f>
        <v>#VALUE!</v>
      </c>
      <c r="BT61" t="e">
        <f>AND(DATA!G115,"AAAAAH/q7kc=")</f>
        <v>#VALUE!</v>
      </c>
      <c r="BU61" t="e">
        <f>AND(DATA!H115,"AAAAAH/q7kg=")</f>
        <v>#VALUE!</v>
      </c>
      <c r="BV61" t="e">
        <f>AND(DATA!I115,"AAAAAH/q7kk=")</f>
        <v>#VALUE!</v>
      </c>
      <c r="BW61" t="e">
        <f>AND(DATA!J115,"AAAAAH/q7ko=")</f>
        <v>#VALUE!</v>
      </c>
      <c r="BX61" t="e">
        <f>AND(DATA!K115,"AAAAAH/q7ks=")</f>
        <v>#VALUE!</v>
      </c>
      <c r="BY61" t="b">
        <f>AND(DATA!L116,"AAAAAH/q7kw=")</f>
        <v>1</v>
      </c>
      <c r="BZ61" t="b">
        <f>AND(DATA!M116,"AAAAAH/q7k0=")</f>
        <v>1</v>
      </c>
      <c r="CA61" t="b">
        <f>AND(DATA!N116,"AAAAAH/q7k4=")</f>
        <v>1</v>
      </c>
      <c r="CB61" t="b">
        <f>AND(DATA!O116,"AAAAAH/q7k8=")</f>
        <v>1</v>
      </c>
      <c r="CC61" t="b">
        <f>AND(DATA!P116,"AAAAAH/q7lA=")</f>
        <v>1</v>
      </c>
      <c r="CD61" t="b">
        <f>AND(DATA!Q116,"AAAAAH/q7lE=")</f>
        <v>1</v>
      </c>
      <c r="CE61" t="b">
        <f>AND(DATA!R116,"AAAAAH/q7lI=")</f>
        <v>1</v>
      </c>
      <c r="CF61" t="b">
        <f>AND(DATA!S116,"AAAAAH/q7lM=")</f>
        <v>1</v>
      </c>
      <c r="CG61" t="b">
        <f>AND(DATA!T116,"AAAAAH/q7lQ=")</f>
        <v>1</v>
      </c>
      <c r="CH61" t="b">
        <f>AND(DATA!U116,"AAAAAH/q7lU=")</f>
        <v>1</v>
      </c>
      <c r="CI61" t="b">
        <f>AND(DATA!V116,"AAAAAH/q7lY=")</f>
        <v>1</v>
      </c>
      <c r="CJ61" t="e">
        <f>AND(DATA!W115,"AAAAAH/q7lc=")</f>
        <v>#VALUE!</v>
      </c>
      <c r="CK61" t="e">
        <f>AND(DATA!X115,"AAAAAH/q7lg=")</f>
        <v>#VALUE!</v>
      </c>
      <c r="CL61" t="e">
        <f>AND(DATA!Y115,"AAAAAH/q7lk=")</f>
        <v>#VALUE!</v>
      </c>
      <c r="CM61">
        <f>IF(DATA!116:116,"AAAAAH/q7lo=",0)</f>
        <v>0</v>
      </c>
      <c r="CN61" t="e">
        <f>AND(DATA!A116,"AAAAAH/q7ls=")</f>
        <v>#VALUE!</v>
      </c>
      <c r="CO61" t="e">
        <f>AND(DATA!B116,"AAAAAH/q7lw=")</f>
        <v>#VALUE!</v>
      </c>
      <c r="CP61" t="e">
        <f>AND(DATA!C116,"AAAAAH/q7l0=")</f>
        <v>#VALUE!</v>
      </c>
      <c r="CQ61" t="e">
        <f>AND(DATA!D116,"AAAAAH/q7l4=")</f>
        <v>#VALUE!</v>
      </c>
      <c r="CR61" t="e">
        <f>AND(DATA!E116,"AAAAAH/q7l8=")</f>
        <v>#VALUE!</v>
      </c>
      <c r="CS61" t="e">
        <f>AND(DATA!F116,"AAAAAH/q7mA=")</f>
        <v>#VALUE!</v>
      </c>
      <c r="CT61" t="e">
        <f>AND(DATA!G116,"AAAAAH/q7mE=")</f>
        <v>#VALUE!</v>
      </c>
      <c r="CU61" t="e">
        <f>AND(DATA!H116,"AAAAAH/q7mI=")</f>
        <v>#VALUE!</v>
      </c>
      <c r="CV61" t="e">
        <f>AND(DATA!I116,"AAAAAH/q7mM=")</f>
        <v>#VALUE!</v>
      </c>
      <c r="CW61" t="e">
        <f>AND(DATA!J116,"AAAAAH/q7mQ=")</f>
        <v>#VALUE!</v>
      </c>
      <c r="CX61" t="e">
        <f>AND(DATA!K116,"AAAAAH/q7mU=")</f>
        <v>#VALUE!</v>
      </c>
      <c r="CY61" t="b">
        <f>AND(DATA!L117,"AAAAAH/q7mY=")</f>
        <v>1</v>
      </c>
      <c r="CZ61" t="b">
        <f>AND(DATA!M117,"AAAAAH/q7mc=")</f>
        <v>1</v>
      </c>
      <c r="DA61" t="b">
        <f>AND(DATA!N117,"AAAAAH/q7mg=")</f>
        <v>1</v>
      </c>
      <c r="DB61" t="b">
        <f>AND(DATA!O117,"AAAAAH/q7mk=")</f>
        <v>1</v>
      </c>
      <c r="DC61" t="b">
        <f>AND(DATA!P117,"AAAAAH/q7mo=")</f>
        <v>1</v>
      </c>
      <c r="DD61" t="b">
        <f>AND(DATA!Q117,"AAAAAH/q7ms=")</f>
        <v>1</v>
      </c>
      <c r="DE61" t="b">
        <f>AND(DATA!R117,"AAAAAH/q7mw=")</f>
        <v>1</v>
      </c>
      <c r="DF61" t="b">
        <f>AND(DATA!S117,"AAAAAH/q7m0=")</f>
        <v>1</v>
      </c>
      <c r="DG61" t="b">
        <f>AND(DATA!T117,"AAAAAH/q7m4=")</f>
        <v>1</v>
      </c>
      <c r="DH61" t="b">
        <f>AND(DATA!U117,"AAAAAH/q7m8=")</f>
        <v>1</v>
      </c>
      <c r="DI61" t="b">
        <f>AND(DATA!V117,"AAAAAH/q7nA=")</f>
        <v>1</v>
      </c>
      <c r="DJ61" t="e">
        <f>AND(DATA!W116,"AAAAAH/q7nE=")</f>
        <v>#VALUE!</v>
      </c>
      <c r="DK61" t="e">
        <f>AND(DATA!X116,"AAAAAH/q7nI=")</f>
        <v>#VALUE!</v>
      </c>
      <c r="DL61" t="e">
        <f>AND(DATA!Y116,"AAAAAH/q7nM=")</f>
        <v>#VALUE!</v>
      </c>
      <c r="DM61">
        <f>IF(DATA!117:117,"AAAAAH/q7nQ=",0)</f>
        <v>0</v>
      </c>
      <c r="DN61" t="e">
        <f>AND(DATA!A117,"AAAAAH/q7nU=")</f>
        <v>#VALUE!</v>
      </c>
      <c r="DO61" t="e">
        <f>AND(DATA!B117,"AAAAAH/q7nY=")</f>
        <v>#VALUE!</v>
      </c>
      <c r="DP61" t="e">
        <f>AND(DATA!C117,"AAAAAH/q7nc=")</f>
        <v>#VALUE!</v>
      </c>
      <c r="DQ61" t="e">
        <f>AND(DATA!D117,"AAAAAH/q7ng=")</f>
        <v>#VALUE!</v>
      </c>
      <c r="DR61" t="e">
        <f>AND(DATA!E117,"AAAAAH/q7nk=")</f>
        <v>#VALUE!</v>
      </c>
      <c r="DS61" t="e">
        <f>AND(DATA!F117,"AAAAAH/q7no=")</f>
        <v>#VALUE!</v>
      </c>
      <c r="DT61" t="e">
        <f>AND(DATA!G117,"AAAAAH/q7ns=")</f>
        <v>#VALUE!</v>
      </c>
      <c r="DU61" t="e">
        <f>AND(DATA!H117,"AAAAAH/q7nw=")</f>
        <v>#VALUE!</v>
      </c>
      <c r="DV61" t="e">
        <f>AND(DATA!I117,"AAAAAH/q7n0=")</f>
        <v>#VALUE!</v>
      </c>
      <c r="DW61" t="e">
        <f>AND(DATA!J117,"AAAAAH/q7n4=")</f>
        <v>#VALUE!</v>
      </c>
      <c r="DX61" t="e">
        <f>AND(DATA!K117,"AAAAAH/q7n8=")</f>
        <v>#VALUE!</v>
      </c>
      <c r="DY61" t="b">
        <f>AND(DATA!L118,"AAAAAH/q7oA=")</f>
        <v>1</v>
      </c>
      <c r="DZ61" t="b">
        <f>AND(DATA!M118,"AAAAAH/q7oE=")</f>
        <v>1</v>
      </c>
      <c r="EA61" t="b">
        <f>AND(DATA!N118,"AAAAAH/q7oI=")</f>
        <v>1</v>
      </c>
      <c r="EB61" t="b">
        <f>AND(DATA!O118,"AAAAAH/q7oM=")</f>
        <v>1</v>
      </c>
      <c r="EC61" t="b">
        <f>AND(DATA!P118,"AAAAAH/q7oQ=")</f>
        <v>1</v>
      </c>
      <c r="ED61" t="b">
        <f>AND(DATA!Q118,"AAAAAH/q7oU=")</f>
        <v>1</v>
      </c>
      <c r="EE61" t="b">
        <f>AND(DATA!R118,"AAAAAH/q7oY=")</f>
        <v>1</v>
      </c>
      <c r="EF61" t="b">
        <f>AND(DATA!S118,"AAAAAH/q7oc=")</f>
        <v>1</v>
      </c>
      <c r="EG61" t="b">
        <f>AND(DATA!T118,"AAAAAH/q7og=")</f>
        <v>1</v>
      </c>
      <c r="EH61" t="b">
        <f>AND(DATA!U118,"AAAAAH/q7ok=")</f>
        <v>1</v>
      </c>
      <c r="EI61" t="b">
        <f>AND(DATA!V118,"AAAAAH/q7oo=")</f>
        <v>1</v>
      </c>
      <c r="EJ61" t="e">
        <f>AND(DATA!W117,"AAAAAH/q7os=")</f>
        <v>#VALUE!</v>
      </c>
      <c r="EK61" t="e">
        <f>AND(DATA!X117,"AAAAAH/q7ow=")</f>
        <v>#VALUE!</v>
      </c>
      <c r="EL61" t="e">
        <f>AND(DATA!Y117,"AAAAAH/q7o0=")</f>
        <v>#VALUE!</v>
      </c>
      <c r="EM61">
        <f>IF(DATA!118:118,"AAAAAH/q7o4=",0)</f>
        <v>0</v>
      </c>
      <c r="EN61" t="e">
        <f>AND(DATA!A118,"AAAAAH/q7o8=")</f>
        <v>#VALUE!</v>
      </c>
      <c r="EO61" t="e">
        <f>AND(DATA!B118,"AAAAAH/q7pA=")</f>
        <v>#VALUE!</v>
      </c>
      <c r="EP61" t="e">
        <f>AND(DATA!C118,"AAAAAH/q7pE=")</f>
        <v>#VALUE!</v>
      </c>
      <c r="EQ61" t="e">
        <f>AND(DATA!D118,"AAAAAH/q7pI=")</f>
        <v>#VALUE!</v>
      </c>
      <c r="ER61" t="e">
        <f>AND(DATA!E118,"AAAAAH/q7pM=")</f>
        <v>#VALUE!</v>
      </c>
      <c r="ES61" t="e">
        <f>AND(DATA!F118,"AAAAAH/q7pQ=")</f>
        <v>#VALUE!</v>
      </c>
      <c r="ET61" t="e">
        <f>AND(DATA!G118,"AAAAAH/q7pU=")</f>
        <v>#VALUE!</v>
      </c>
      <c r="EU61" t="e">
        <f>AND(DATA!H118,"AAAAAH/q7pY=")</f>
        <v>#VALUE!</v>
      </c>
      <c r="EV61" t="e">
        <f>AND(DATA!I118,"AAAAAH/q7pc=")</f>
        <v>#VALUE!</v>
      </c>
      <c r="EW61" t="e">
        <f>AND(DATA!J118,"AAAAAH/q7pg=")</f>
        <v>#VALUE!</v>
      </c>
      <c r="EX61" t="e">
        <f>AND(DATA!K118,"AAAAAH/q7pk=")</f>
        <v>#VALUE!</v>
      </c>
      <c r="EY61" t="b">
        <f>AND(DATA!L119,"AAAAAH/q7po=")</f>
        <v>1</v>
      </c>
      <c r="EZ61" t="b">
        <f>AND(DATA!M119,"AAAAAH/q7ps=")</f>
        <v>1</v>
      </c>
      <c r="FA61" t="b">
        <f>AND(DATA!N119,"AAAAAH/q7pw=")</f>
        <v>1</v>
      </c>
      <c r="FB61" t="b">
        <f>AND(DATA!O119,"AAAAAH/q7p0=")</f>
        <v>1</v>
      </c>
      <c r="FC61" t="b">
        <f>AND(DATA!P119,"AAAAAH/q7p4=")</f>
        <v>1</v>
      </c>
      <c r="FD61" t="b">
        <f>AND(DATA!Q119,"AAAAAH/q7p8=")</f>
        <v>1</v>
      </c>
      <c r="FE61" t="b">
        <f>AND(DATA!R119,"AAAAAH/q7qA=")</f>
        <v>1</v>
      </c>
      <c r="FF61" t="b">
        <f>AND(DATA!S119,"AAAAAH/q7qE=")</f>
        <v>1</v>
      </c>
      <c r="FG61" t="b">
        <f>AND(DATA!T119,"AAAAAH/q7qI=")</f>
        <v>1</v>
      </c>
      <c r="FH61" t="b">
        <f>AND(DATA!U119,"AAAAAH/q7qM=")</f>
        <v>1</v>
      </c>
      <c r="FI61" t="b">
        <f>AND(DATA!V119,"AAAAAH/q7qQ=")</f>
        <v>1</v>
      </c>
      <c r="FJ61" t="e">
        <f>AND(DATA!W118,"AAAAAH/q7qU=")</f>
        <v>#VALUE!</v>
      </c>
      <c r="FK61" t="e">
        <f>AND(DATA!X118,"AAAAAH/q7qY=")</f>
        <v>#VALUE!</v>
      </c>
      <c r="FL61" t="e">
        <f>AND(DATA!Y118,"AAAAAH/q7qc=")</f>
        <v>#VALUE!</v>
      </c>
      <c r="FM61">
        <f>IF(DATA!119:119,"AAAAAH/q7qg=",0)</f>
        <v>0</v>
      </c>
      <c r="FN61" t="e">
        <f>AND(DATA!A119,"AAAAAH/q7qk=")</f>
        <v>#VALUE!</v>
      </c>
      <c r="FO61" t="e">
        <f>AND(DATA!B119,"AAAAAH/q7qo=")</f>
        <v>#VALUE!</v>
      </c>
      <c r="FP61" t="e">
        <f>AND(DATA!C119,"AAAAAH/q7qs=")</f>
        <v>#VALUE!</v>
      </c>
      <c r="FQ61" t="e">
        <f>AND(DATA!D119,"AAAAAH/q7qw=")</f>
        <v>#VALUE!</v>
      </c>
      <c r="FR61" t="e">
        <f>AND(DATA!E119,"AAAAAH/q7q0=")</f>
        <v>#VALUE!</v>
      </c>
      <c r="FS61" t="e">
        <f>AND(DATA!F119,"AAAAAH/q7q4=")</f>
        <v>#VALUE!</v>
      </c>
      <c r="FT61" t="e">
        <f>AND(DATA!G119,"AAAAAH/q7q8=")</f>
        <v>#VALUE!</v>
      </c>
      <c r="FU61" t="e">
        <f>AND(DATA!H119,"AAAAAH/q7rA=")</f>
        <v>#VALUE!</v>
      </c>
      <c r="FV61" t="e">
        <f>AND(DATA!I119,"AAAAAH/q7rE=")</f>
        <v>#VALUE!</v>
      </c>
      <c r="FW61" t="e">
        <f>AND(DATA!J119,"AAAAAH/q7rI=")</f>
        <v>#VALUE!</v>
      </c>
      <c r="FX61" t="e">
        <f>AND(DATA!K119,"AAAAAH/q7rM=")</f>
        <v>#VALUE!</v>
      </c>
      <c r="FY61" t="b">
        <f>AND(DATA!L120,"AAAAAH/q7rQ=")</f>
        <v>1</v>
      </c>
      <c r="FZ61" t="b">
        <f>AND(DATA!M120,"AAAAAH/q7rU=")</f>
        <v>1</v>
      </c>
      <c r="GA61" t="b">
        <f>AND(DATA!N120,"AAAAAH/q7rY=")</f>
        <v>1</v>
      </c>
      <c r="GB61" t="b">
        <f>AND(DATA!O120,"AAAAAH/q7rc=")</f>
        <v>1</v>
      </c>
      <c r="GC61" t="b">
        <f>AND(DATA!P120,"AAAAAH/q7rg=")</f>
        <v>1</v>
      </c>
      <c r="GD61" t="b">
        <f>AND(DATA!Q120,"AAAAAH/q7rk=")</f>
        <v>1</v>
      </c>
      <c r="GE61" t="b">
        <f>AND(DATA!R120,"AAAAAH/q7ro=")</f>
        <v>1</v>
      </c>
      <c r="GF61" t="b">
        <f>AND(DATA!S120,"AAAAAH/q7rs=")</f>
        <v>1</v>
      </c>
      <c r="GG61" t="b">
        <f>AND(DATA!T120,"AAAAAH/q7rw=")</f>
        <v>1</v>
      </c>
      <c r="GH61" t="b">
        <f>AND(DATA!U120,"AAAAAH/q7r0=")</f>
        <v>1</v>
      </c>
      <c r="GI61" t="b">
        <f>AND(DATA!V120,"AAAAAH/q7r4=")</f>
        <v>1</v>
      </c>
      <c r="GJ61" t="e">
        <f>AND(DATA!W119,"AAAAAH/q7r8=")</f>
        <v>#VALUE!</v>
      </c>
      <c r="GK61" t="e">
        <f>AND(DATA!X119,"AAAAAH/q7sA=")</f>
        <v>#VALUE!</v>
      </c>
      <c r="GL61" t="e">
        <f>AND(DATA!Y119,"AAAAAH/q7sE=")</f>
        <v>#VALUE!</v>
      </c>
      <c r="GM61">
        <f>IF(DATA!120:120,"AAAAAH/q7sI=",0)</f>
        <v>0</v>
      </c>
      <c r="GN61" t="e">
        <f>AND(DATA!A120,"AAAAAH/q7sM=")</f>
        <v>#VALUE!</v>
      </c>
      <c r="GO61" t="e">
        <f>AND(DATA!B120,"AAAAAH/q7sQ=")</f>
        <v>#VALUE!</v>
      </c>
      <c r="GP61" t="e">
        <f>AND(DATA!C120,"AAAAAH/q7sU=")</f>
        <v>#VALUE!</v>
      </c>
      <c r="GQ61" t="e">
        <f>AND(DATA!D120,"AAAAAH/q7sY=")</f>
        <v>#VALUE!</v>
      </c>
      <c r="GR61" t="e">
        <f>AND(DATA!E120,"AAAAAH/q7sc=")</f>
        <v>#VALUE!</v>
      </c>
      <c r="GS61" t="e">
        <f>AND(DATA!F120,"AAAAAH/q7sg=")</f>
        <v>#VALUE!</v>
      </c>
      <c r="GT61" t="e">
        <f>AND(DATA!G120,"AAAAAH/q7sk=")</f>
        <v>#VALUE!</v>
      </c>
      <c r="GU61" t="e">
        <f>AND(DATA!H120,"AAAAAH/q7so=")</f>
        <v>#VALUE!</v>
      </c>
      <c r="GV61" t="e">
        <f>AND(DATA!I120,"AAAAAH/q7ss=")</f>
        <v>#VALUE!</v>
      </c>
      <c r="GW61" t="e">
        <f>AND(DATA!J120,"AAAAAH/q7sw=")</f>
        <v>#VALUE!</v>
      </c>
      <c r="GX61" t="e">
        <f>AND(DATA!K120,"AAAAAH/q7s0=")</f>
        <v>#VALUE!</v>
      </c>
      <c r="GY61" t="b">
        <f>AND(DATA!L121,"AAAAAH/q7s4=")</f>
        <v>1</v>
      </c>
      <c r="GZ61" t="b">
        <f>AND(DATA!M121,"AAAAAH/q7s8=")</f>
        <v>1</v>
      </c>
      <c r="HA61" t="b">
        <f>AND(DATA!N121,"AAAAAH/q7tA=")</f>
        <v>1</v>
      </c>
      <c r="HB61" t="b">
        <f>AND(DATA!O121,"AAAAAH/q7tE=")</f>
        <v>1</v>
      </c>
      <c r="HC61" t="b">
        <f>AND(DATA!P121,"AAAAAH/q7tI=")</f>
        <v>1</v>
      </c>
      <c r="HD61" t="b">
        <f>AND(DATA!Q121,"AAAAAH/q7tM=")</f>
        <v>1</v>
      </c>
      <c r="HE61" t="b">
        <f>AND(DATA!R121,"AAAAAH/q7tQ=")</f>
        <v>1</v>
      </c>
      <c r="HF61" t="b">
        <f>AND(DATA!S121,"AAAAAH/q7tU=")</f>
        <v>1</v>
      </c>
      <c r="HG61" t="b">
        <f>AND(DATA!T121,"AAAAAH/q7tY=")</f>
        <v>1</v>
      </c>
      <c r="HH61" t="b">
        <f>AND(DATA!U121,"AAAAAH/q7tc=")</f>
        <v>1</v>
      </c>
      <c r="HI61" t="b">
        <f>AND(DATA!V121,"AAAAAH/q7tg=")</f>
        <v>1</v>
      </c>
      <c r="HJ61" t="e">
        <f>AND(DATA!W120,"AAAAAH/q7tk=")</f>
        <v>#VALUE!</v>
      </c>
      <c r="HK61" t="e">
        <f>AND(DATA!X120,"AAAAAH/q7to=")</f>
        <v>#VALUE!</v>
      </c>
      <c r="HL61" t="e">
        <f>AND(DATA!Y120,"AAAAAH/q7ts=")</f>
        <v>#VALUE!</v>
      </c>
      <c r="HM61">
        <f>IF(DATA!121:121,"AAAAAH/q7tw=",0)</f>
        <v>0</v>
      </c>
      <c r="HN61" t="e">
        <f>AND(DATA!A121,"AAAAAH/q7t0=")</f>
        <v>#VALUE!</v>
      </c>
      <c r="HO61" t="e">
        <f>AND(DATA!B121,"AAAAAH/q7t4=")</f>
        <v>#VALUE!</v>
      </c>
      <c r="HP61" t="e">
        <f>AND(DATA!C121,"AAAAAH/q7t8=")</f>
        <v>#VALUE!</v>
      </c>
      <c r="HQ61" t="e">
        <f>AND(DATA!D121,"AAAAAH/q7uA=")</f>
        <v>#VALUE!</v>
      </c>
      <c r="HR61" t="e">
        <f>AND(DATA!E121,"AAAAAH/q7uE=")</f>
        <v>#VALUE!</v>
      </c>
      <c r="HS61" t="e">
        <f>AND(DATA!F121,"AAAAAH/q7uI=")</f>
        <v>#VALUE!</v>
      </c>
      <c r="HT61" t="e">
        <f>AND(DATA!G121,"AAAAAH/q7uM=")</f>
        <v>#VALUE!</v>
      </c>
      <c r="HU61" t="e">
        <f>AND(DATA!H121,"AAAAAH/q7uQ=")</f>
        <v>#VALUE!</v>
      </c>
      <c r="HV61" t="e">
        <f>AND(DATA!I121,"AAAAAH/q7uU=")</f>
        <v>#VALUE!</v>
      </c>
      <c r="HW61" t="e">
        <f>AND(DATA!J121,"AAAAAH/q7uY=")</f>
        <v>#VALUE!</v>
      </c>
      <c r="HX61" t="e">
        <f>AND(DATA!K121,"AAAAAH/q7uc=")</f>
        <v>#VALUE!</v>
      </c>
      <c r="HY61" t="b">
        <f>AND(DATA!L122,"AAAAAH/q7ug=")</f>
        <v>1</v>
      </c>
      <c r="HZ61" t="b">
        <f>AND(DATA!M122,"AAAAAH/q7uk=")</f>
        <v>1</v>
      </c>
      <c r="IA61" t="b">
        <f>AND(DATA!N122,"AAAAAH/q7uo=")</f>
        <v>1</v>
      </c>
      <c r="IB61" t="b">
        <f>AND(DATA!O122,"AAAAAH/q7us=")</f>
        <v>1</v>
      </c>
      <c r="IC61" t="b">
        <f>AND(DATA!P122,"AAAAAH/q7uw=")</f>
        <v>1</v>
      </c>
      <c r="ID61" t="b">
        <f>AND(DATA!Q122,"AAAAAH/q7u0=")</f>
        <v>1</v>
      </c>
      <c r="IE61" t="b">
        <f>AND(DATA!R122,"AAAAAH/q7u4=")</f>
        <v>1</v>
      </c>
      <c r="IF61" t="b">
        <f>AND(DATA!S122,"AAAAAH/q7u8=")</f>
        <v>1</v>
      </c>
      <c r="IG61" t="b">
        <f>AND(DATA!T122,"AAAAAH/q7vA=")</f>
        <v>1</v>
      </c>
      <c r="IH61" t="b">
        <f>AND(DATA!U122,"AAAAAH/q7vE=")</f>
        <v>1</v>
      </c>
      <c r="II61" t="b">
        <f>AND(DATA!V122,"AAAAAH/q7vI=")</f>
        <v>1</v>
      </c>
      <c r="IJ61" t="e">
        <f>AND(DATA!W121,"AAAAAH/q7vM=")</f>
        <v>#VALUE!</v>
      </c>
      <c r="IK61" t="e">
        <f>AND(DATA!X121,"AAAAAH/q7vQ=")</f>
        <v>#VALUE!</v>
      </c>
      <c r="IL61" t="e">
        <f>AND(DATA!Y121,"AAAAAH/q7vU=")</f>
        <v>#VALUE!</v>
      </c>
      <c r="IM61">
        <f>IF(DATA!122:122,"AAAAAH/q7vY=",0)</f>
        <v>0</v>
      </c>
      <c r="IN61" t="e">
        <f>AND(DATA!A122,"AAAAAH/q7vc=")</f>
        <v>#VALUE!</v>
      </c>
      <c r="IO61" t="e">
        <f>AND(DATA!B122,"AAAAAH/q7vg=")</f>
        <v>#VALUE!</v>
      </c>
      <c r="IP61" t="e">
        <f>AND(DATA!C122,"AAAAAH/q7vk=")</f>
        <v>#VALUE!</v>
      </c>
      <c r="IQ61" t="e">
        <f>AND(DATA!D122,"AAAAAH/q7vo=")</f>
        <v>#VALUE!</v>
      </c>
      <c r="IR61" t="e">
        <f>AND(DATA!E122,"AAAAAH/q7vs=")</f>
        <v>#VALUE!</v>
      </c>
      <c r="IS61" t="e">
        <f>AND(DATA!F122,"AAAAAH/q7vw=")</f>
        <v>#VALUE!</v>
      </c>
      <c r="IT61" t="e">
        <f>AND(DATA!G122,"AAAAAH/q7v0=")</f>
        <v>#VALUE!</v>
      </c>
      <c r="IU61" t="e">
        <f>AND(DATA!H122,"AAAAAH/q7v4=")</f>
        <v>#VALUE!</v>
      </c>
      <c r="IV61" t="e">
        <f>AND(DATA!I122,"AAAAAH/q7v8=")</f>
        <v>#VALUE!</v>
      </c>
    </row>
    <row r="62" spans="1:256" x14ac:dyDescent="0.25">
      <c r="A62" t="e">
        <f>AND(DATA!J122,"AAAAAH3S/AA=")</f>
        <v>#VALUE!</v>
      </c>
      <c r="B62" t="e">
        <f>AND(DATA!K122,"AAAAAH3S/AE=")</f>
        <v>#VALUE!</v>
      </c>
      <c r="C62" t="b">
        <f>AND(DATA!L123,"AAAAAH3S/AI=")</f>
        <v>1</v>
      </c>
      <c r="D62" t="b">
        <f>AND(DATA!M123,"AAAAAH3S/AM=")</f>
        <v>1</v>
      </c>
      <c r="E62" t="b">
        <f>AND(DATA!N123,"AAAAAH3S/AQ=")</f>
        <v>1</v>
      </c>
      <c r="F62" t="b">
        <f>AND(DATA!O123,"AAAAAH3S/AU=")</f>
        <v>1</v>
      </c>
      <c r="G62" t="b">
        <f>AND(DATA!P123,"AAAAAH3S/AY=")</f>
        <v>1</v>
      </c>
      <c r="H62" t="b">
        <f>AND(DATA!Q123,"AAAAAH3S/Ac=")</f>
        <v>1</v>
      </c>
      <c r="I62" t="b">
        <f>AND(DATA!R123,"AAAAAH3S/Ag=")</f>
        <v>1</v>
      </c>
      <c r="J62" t="b">
        <f>AND(DATA!S123,"AAAAAH3S/Ak=")</f>
        <v>1</v>
      </c>
      <c r="K62" t="b">
        <f>AND(DATA!T123,"AAAAAH3S/Ao=")</f>
        <v>1</v>
      </c>
      <c r="L62" t="b">
        <f>AND(DATA!U123,"AAAAAH3S/As=")</f>
        <v>1</v>
      </c>
      <c r="M62" t="b">
        <f>AND(DATA!V123,"AAAAAH3S/Aw=")</f>
        <v>1</v>
      </c>
      <c r="N62" t="e">
        <f>AND(DATA!W122,"AAAAAH3S/A0=")</f>
        <v>#VALUE!</v>
      </c>
      <c r="O62" t="e">
        <f>AND(DATA!X122,"AAAAAH3S/A4=")</f>
        <v>#VALUE!</v>
      </c>
      <c r="P62" t="e">
        <f>AND(DATA!Y122,"AAAAAH3S/A8=")</f>
        <v>#VALUE!</v>
      </c>
      <c r="Q62" t="str">
        <f>IF(DATA!123:123,"AAAAAH3S/BA=",0)</f>
        <v>AAAAAH3S/BA=</v>
      </c>
      <c r="R62" t="e">
        <f>AND(DATA!A123,"AAAAAH3S/BE=")</f>
        <v>#VALUE!</v>
      </c>
      <c r="S62" t="e">
        <f>AND(DATA!B123,"AAAAAH3S/BI=")</f>
        <v>#VALUE!</v>
      </c>
      <c r="T62" t="e">
        <f>AND(DATA!C123,"AAAAAH3S/BM=")</f>
        <v>#VALUE!</v>
      </c>
      <c r="U62" t="e">
        <f>AND(DATA!D123,"AAAAAH3S/BQ=")</f>
        <v>#VALUE!</v>
      </c>
      <c r="V62" t="e">
        <f>AND(DATA!E123,"AAAAAH3S/BU=")</f>
        <v>#VALUE!</v>
      </c>
      <c r="W62" t="e">
        <f>AND(DATA!F123,"AAAAAH3S/BY=")</f>
        <v>#VALUE!</v>
      </c>
      <c r="X62" t="e">
        <f>AND(DATA!G123,"AAAAAH3S/Bc=")</f>
        <v>#VALUE!</v>
      </c>
      <c r="Y62" t="e">
        <f>AND(DATA!H123,"AAAAAH3S/Bg=")</f>
        <v>#VALUE!</v>
      </c>
      <c r="Z62" t="e">
        <f>AND(DATA!I123,"AAAAAH3S/Bk=")</f>
        <v>#VALUE!</v>
      </c>
      <c r="AA62" t="e">
        <f>AND(DATA!J123,"AAAAAH3S/Bo=")</f>
        <v>#VALUE!</v>
      </c>
      <c r="AB62" t="e">
        <f>AND(DATA!K123,"AAAAAH3S/Bs=")</f>
        <v>#VALUE!</v>
      </c>
      <c r="AC62" t="b">
        <f>AND(DATA!L124,"AAAAAH3S/Bw=")</f>
        <v>1</v>
      </c>
      <c r="AD62" t="b">
        <f>AND(DATA!M124,"AAAAAH3S/B0=")</f>
        <v>1</v>
      </c>
      <c r="AE62" t="b">
        <f>AND(DATA!N124,"AAAAAH3S/B4=")</f>
        <v>1</v>
      </c>
      <c r="AF62" t="b">
        <f>AND(DATA!O124,"AAAAAH3S/B8=")</f>
        <v>1</v>
      </c>
      <c r="AG62" t="b">
        <f>AND(DATA!P124,"AAAAAH3S/CA=")</f>
        <v>1</v>
      </c>
      <c r="AH62" t="b">
        <f>AND(DATA!Q124,"AAAAAH3S/CE=")</f>
        <v>1</v>
      </c>
      <c r="AI62" t="b">
        <f>AND(DATA!R124,"AAAAAH3S/CI=")</f>
        <v>1</v>
      </c>
      <c r="AJ62" t="b">
        <f>AND(DATA!S124,"AAAAAH3S/CM=")</f>
        <v>1</v>
      </c>
      <c r="AK62" t="b">
        <f>AND(DATA!T124,"AAAAAH3S/CQ=")</f>
        <v>1</v>
      </c>
      <c r="AL62" t="b">
        <f>AND(DATA!U124,"AAAAAH3S/CU=")</f>
        <v>1</v>
      </c>
      <c r="AM62" t="b">
        <f>AND(DATA!V124,"AAAAAH3S/CY=")</f>
        <v>1</v>
      </c>
      <c r="AN62" t="e">
        <f>AND(DATA!W123,"AAAAAH3S/Cc=")</f>
        <v>#VALUE!</v>
      </c>
      <c r="AO62" t="e">
        <f>AND(DATA!X123,"AAAAAH3S/Cg=")</f>
        <v>#VALUE!</v>
      </c>
      <c r="AP62" t="e">
        <f>AND(DATA!Y123,"AAAAAH3S/Ck=")</f>
        <v>#VALUE!</v>
      </c>
      <c r="AQ62">
        <f>IF(DATA!124:124,"AAAAAH3S/Co=",0)</f>
        <v>0</v>
      </c>
      <c r="AR62" t="e">
        <f>AND(DATA!A124,"AAAAAH3S/Cs=")</f>
        <v>#VALUE!</v>
      </c>
      <c r="AS62" t="e">
        <f>AND(DATA!B124,"AAAAAH3S/Cw=")</f>
        <v>#VALUE!</v>
      </c>
      <c r="AT62" t="e">
        <f>AND(DATA!C124,"AAAAAH3S/C0=")</f>
        <v>#VALUE!</v>
      </c>
      <c r="AU62" t="e">
        <f>AND(DATA!D124,"AAAAAH3S/C4=")</f>
        <v>#VALUE!</v>
      </c>
      <c r="AV62" t="e">
        <f>AND(DATA!E124,"AAAAAH3S/C8=")</f>
        <v>#VALUE!</v>
      </c>
      <c r="AW62" t="e">
        <f>AND(DATA!F124,"AAAAAH3S/DA=")</f>
        <v>#VALUE!</v>
      </c>
      <c r="AX62" t="e">
        <f>AND(DATA!G124,"AAAAAH3S/DE=")</f>
        <v>#VALUE!</v>
      </c>
      <c r="AY62" t="e">
        <f>AND(DATA!H124,"AAAAAH3S/DI=")</f>
        <v>#VALUE!</v>
      </c>
      <c r="AZ62" t="e">
        <f>AND(DATA!I124,"AAAAAH3S/DM=")</f>
        <v>#VALUE!</v>
      </c>
      <c r="BA62" t="e">
        <f>AND(DATA!J124,"AAAAAH3S/DQ=")</f>
        <v>#VALUE!</v>
      </c>
      <c r="BB62" t="e">
        <f>AND(DATA!K124,"AAAAAH3S/DU=")</f>
        <v>#VALUE!</v>
      </c>
      <c r="BC62" t="b">
        <f>AND(DATA!L125,"AAAAAH3S/DY=")</f>
        <v>1</v>
      </c>
      <c r="BD62" t="b">
        <f>AND(DATA!M125,"AAAAAH3S/Dc=")</f>
        <v>1</v>
      </c>
      <c r="BE62" t="b">
        <f>AND(DATA!N125,"AAAAAH3S/Dg=")</f>
        <v>1</v>
      </c>
      <c r="BF62" t="b">
        <f>AND(DATA!O125,"AAAAAH3S/Dk=")</f>
        <v>1</v>
      </c>
      <c r="BG62" t="b">
        <f>AND(DATA!P125,"AAAAAH3S/Do=")</f>
        <v>1</v>
      </c>
      <c r="BH62" t="b">
        <f>AND(DATA!Q125,"AAAAAH3S/Ds=")</f>
        <v>1</v>
      </c>
      <c r="BI62" t="b">
        <f>AND(DATA!R125,"AAAAAH3S/Dw=")</f>
        <v>1</v>
      </c>
      <c r="BJ62" t="b">
        <f>AND(DATA!S125,"AAAAAH3S/D0=")</f>
        <v>1</v>
      </c>
      <c r="BK62" t="b">
        <f>AND(DATA!T125,"AAAAAH3S/D4=")</f>
        <v>1</v>
      </c>
      <c r="BL62" t="b">
        <f>AND(DATA!U125,"AAAAAH3S/D8=")</f>
        <v>1</v>
      </c>
      <c r="BM62" t="b">
        <f>AND(DATA!V125,"AAAAAH3S/EA=")</f>
        <v>1</v>
      </c>
      <c r="BN62" t="e">
        <f>AND(DATA!W124,"AAAAAH3S/EE=")</f>
        <v>#VALUE!</v>
      </c>
      <c r="BO62" t="e">
        <f>AND(DATA!X124,"AAAAAH3S/EI=")</f>
        <v>#VALUE!</v>
      </c>
      <c r="BP62" t="e">
        <f>AND(DATA!Y124,"AAAAAH3S/EM=")</f>
        <v>#VALUE!</v>
      </c>
      <c r="BQ62">
        <f>IF(DATA!125:125,"AAAAAH3S/EQ=",0)</f>
        <v>0</v>
      </c>
      <c r="BR62" t="e">
        <f>AND(DATA!A125,"AAAAAH3S/EU=")</f>
        <v>#VALUE!</v>
      </c>
      <c r="BS62" t="e">
        <f>AND(DATA!B125,"AAAAAH3S/EY=")</f>
        <v>#VALUE!</v>
      </c>
      <c r="BT62" t="e">
        <f>AND(DATA!C125,"AAAAAH3S/Ec=")</f>
        <v>#VALUE!</v>
      </c>
      <c r="BU62" t="e">
        <f>AND(DATA!D125,"AAAAAH3S/Eg=")</f>
        <v>#VALUE!</v>
      </c>
      <c r="BV62" t="e">
        <f>AND(DATA!E125,"AAAAAH3S/Ek=")</f>
        <v>#VALUE!</v>
      </c>
      <c r="BW62" t="e">
        <f>AND(DATA!F125,"AAAAAH3S/Eo=")</f>
        <v>#VALUE!</v>
      </c>
      <c r="BX62" t="e">
        <f>AND(DATA!G125,"AAAAAH3S/Es=")</f>
        <v>#VALUE!</v>
      </c>
      <c r="BY62" t="e">
        <f>AND(DATA!H125,"AAAAAH3S/Ew=")</f>
        <v>#VALUE!</v>
      </c>
      <c r="BZ62" t="e">
        <f>AND(DATA!I125,"AAAAAH3S/E0=")</f>
        <v>#VALUE!</v>
      </c>
      <c r="CA62" t="e">
        <f>AND(DATA!J125,"AAAAAH3S/E4=")</f>
        <v>#VALUE!</v>
      </c>
      <c r="CB62" t="e">
        <f>AND(DATA!K125,"AAAAAH3S/E8=")</f>
        <v>#VALUE!</v>
      </c>
      <c r="CC62" t="b">
        <f>AND(DATA!L126,"AAAAAH3S/FA=")</f>
        <v>1</v>
      </c>
      <c r="CD62" t="b">
        <f>AND(DATA!M126,"AAAAAH3S/FE=")</f>
        <v>1</v>
      </c>
      <c r="CE62" t="b">
        <f>AND(DATA!N126,"AAAAAH3S/FI=")</f>
        <v>1</v>
      </c>
      <c r="CF62" t="b">
        <f>AND(DATA!O126,"AAAAAH3S/FM=")</f>
        <v>1</v>
      </c>
      <c r="CG62" t="b">
        <f>AND(DATA!P126,"AAAAAH3S/FQ=")</f>
        <v>1</v>
      </c>
      <c r="CH62" t="b">
        <f>AND(DATA!Q126,"AAAAAH3S/FU=")</f>
        <v>1</v>
      </c>
      <c r="CI62" t="b">
        <f>AND(DATA!R126,"AAAAAH3S/FY=")</f>
        <v>1</v>
      </c>
      <c r="CJ62" t="b">
        <f>AND(DATA!S126,"AAAAAH3S/Fc=")</f>
        <v>1</v>
      </c>
      <c r="CK62" t="b">
        <f>AND(DATA!T126,"AAAAAH3S/Fg=")</f>
        <v>1</v>
      </c>
      <c r="CL62" t="b">
        <f>AND(DATA!U126,"AAAAAH3S/Fk=")</f>
        <v>1</v>
      </c>
      <c r="CM62" t="b">
        <f>AND(DATA!V126,"AAAAAH3S/Fo=")</f>
        <v>1</v>
      </c>
      <c r="CN62" t="e">
        <f>AND(DATA!W125,"AAAAAH3S/Fs=")</f>
        <v>#VALUE!</v>
      </c>
      <c r="CO62" t="e">
        <f>AND(DATA!X125,"AAAAAH3S/Fw=")</f>
        <v>#VALUE!</v>
      </c>
      <c r="CP62" t="e">
        <f>AND(DATA!Y125,"AAAAAH3S/F0=")</f>
        <v>#VALUE!</v>
      </c>
      <c r="CQ62">
        <f>IF(DATA!126:126,"AAAAAH3S/F4=",0)</f>
        <v>0</v>
      </c>
      <c r="CR62" t="e">
        <f>AND(DATA!A126,"AAAAAH3S/F8=")</f>
        <v>#VALUE!</v>
      </c>
      <c r="CS62" t="e">
        <f>AND(DATA!B126,"AAAAAH3S/GA=")</f>
        <v>#VALUE!</v>
      </c>
      <c r="CT62" t="e">
        <f>AND(DATA!C126,"AAAAAH3S/GE=")</f>
        <v>#VALUE!</v>
      </c>
      <c r="CU62" t="e">
        <f>AND(DATA!D126,"AAAAAH3S/GI=")</f>
        <v>#VALUE!</v>
      </c>
      <c r="CV62" t="e">
        <f>AND(DATA!E126,"AAAAAH3S/GM=")</f>
        <v>#VALUE!</v>
      </c>
      <c r="CW62" t="e">
        <f>AND(DATA!F126,"AAAAAH3S/GQ=")</f>
        <v>#VALUE!</v>
      </c>
      <c r="CX62" t="e">
        <f>AND(DATA!G126,"AAAAAH3S/GU=")</f>
        <v>#VALUE!</v>
      </c>
      <c r="CY62" t="e">
        <f>AND(DATA!H126,"AAAAAH3S/GY=")</f>
        <v>#VALUE!</v>
      </c>
      <c r="CZ62" t="e">
        <f>AND(DATA!I126,"AAAAAH3S/Gc=")</f>
        <v>#VALUE!</v>
      </c>
      <c r="DA62" t="e">
        <f>AND(DATA!J126,"AAAAAH3S/Gg=")</f>
        <v>#VALUE!</v>
      </c>
      <c r="DB62" t="e">
        <f>AND(DATA!K126,"AAAAAH3S/Gk=")</f>
        <v>#VALUE!</v>
      </c>
      <c r="DC62" t="b">
        <f>AND(DATA!L127,"AAAAAH3S/Go=")</f>
        <v>1</v>
      </c>
      <c r="DD62" t="b">
        <f>AND(DATA!M127,"AAAAAH3S/Gs=")</f>
        <v>1</v>
      </c>
      <c r="DE62" t="b">
        <f>AND(DATA!N127,"AAAAAH3S/Gw=")</f>
        <v>1</v>
      </c>
      <c r="DF62" t="b">
        <f>AND(DATA!O127,"AAAAAH3S/G0=")</f>
        <v>1</v>
      </c>
      <c r="DG62" t="b">
        <f>AND(DATA!P127,"AAAAAH3S/G4=")</f>
        <v>1</v>
      </c>
      <c r="DH62" t="b">
        <f>AND(DATA!Q127,"AAAAAH3S/G8=")</f>
        <v>1</v>
      </c>
      <c r="DI62" t="b">
        <f>AND(DATA!R127,"AAAAAH3S/HA=")</f>
        <v>1</v>
      </c>
      <c r="DJ62" t="b">
        <f>AND(DATA!S127,"AAAAAH3S/HE=")</f>
        <v>1</v>
      </c>
      <c r="DK62" t="b">
        <f>AND(DATA!T127,"AAAAAH3S/HI=")</f>
        <v>1</v>
      </c>
      <c r="DL62" t="b">
        <f>AND(DATA!U127,"AAAAAH3S/HM=")</f>
        <v>1</v>
      </c>
      <c r="DM62" t="b">
        <f>AND(DATA!V127,"AAAAAH3S/HQ=")</f>
        <v>1</v>
      </c>
      <c r="DN62" t="e">
        <f>AND(DATA!W126,"AAAAAH3S/HU=")</f>
        <v>#VALUE!</v>
      </c>
      <c r="DO62" t="e">
        <f>AND(DATA!X126,"AAAAAH3S/HY=")</f>
        <v>#VALUE!</v>
      </c>
      <c r="DP62" t="e">
        <f>AND(DATA!Y126,"AAAAAH3S/Hc=")</f>
        <v>#VALUE!</v>
      </c>
      <c r="DQ62">
        <f>IF(DATA!127:127,"AAAAAH3S/Hg=",0)</f>
        <v>0</v>
      </c>
      <c r="DR62" t="e">
        <f>AND(DATA!A127,"AAAAAH3S/Hk=")</f>
        <v>#VALUE!</v>
      </c>
      <c r="DS62" t="e">
        <f>AND(DATA!B127,"AAAAAH3S/Ho=")</f>
        <v>#VALUE!</v>
      </c>
      <c r="DT62" t="e">
        <f>AND(DATA!C127,"AAAAAH3S/Hs=")</f>
        <v>#VALUE!</v>
      </c>
      <c r="DU62" t="e">
        <f>AND(DATA!D127,"AAAAAH3S/Hw=")</f>
        <v>#VALUE!</v>
      </c>
      <c r="DV62" t="e">
        <f>AND(DATA!E127,"AAAAAH3S/H0=")</f>
        <v>#VALUE!</v>
      </c>
      <c r="DW62" t="e">
        <f>AND(DATA!F127,"AAAAAH3S/H4=")</f>
        <v>#VALUE!</v>
      </c>
      <c r="DX62" t="e">
        <f>AND(DATA!G127,"AAAAAH3S/H8=")</f>
        <v>#VALUE!</v>
      </c>
      <c r="DY62" t="e">
        <f>AND(DATA!H127,"AAAAAH3S/IA=")</f>
        <v>#VALUE!</v>
      </c>
      <c r="DZ62" t="e">
        <f>AND(DATA!I127,"AAAAAH3S/IE=")</f>
        <v>#VALUE!</v>
      </c>
      <c r="EA62" t="e">
        <f>AND(DATA!J127,"AAAAAH3S/II=")</f>
        <v>#VALUE!</v>
      </c>
      <c r="EB62" t="e">
        <f>AND(DATA!K127,"AAAAAH3S/IM=")</f>
        <v>#VALUE!</v>
      </c>
      <c r="EC62" t="b">
        <f>AND(DATA!L128,"AAAAAH3S/IQ=")</f>
        <v>1</v>
      </c>
      <c r="ED62" t="b">
        <f>AND(DATA!M128,"AAAAAH3S/IU=")</f>
        <v>1</v>
      </c>
      <c r="EE62" t="b">
        <f>AND(DATA!N128,"AAAAAH3S/IY=")</f>
        <v>1</v>
      </c>
      <c r="EF62" t="b">
        <f>AND(DATA!O128,"AAAAAH3S/Ic=")</f>
        <v>1</v>
      </c>
      <c r="EG62" t="b">
        <f>AND(DATA!P128,"AAAAAH3S/Ig=")</f>
        <v>1</v>
      </c>
      <c r="EH62" t="b">
        <f>AND(DATA!Q128,"AAAAAH3S/Ik=")</f>
        <v>1</v>
      </c>
      <c r="EI62" t="b">
        <f>AND(DATA!R128,"AAAAAH3S/Io=")</f>
        <v>1</v>
      </c>
      <c r="EJ62" t="b">
        <f>AND(DATA!S128,"AAAAAH3S/Is=")</f>
        <v>1</v>
      </c>
      <c r="EK62" t="b">
        <f>AND(DATA!T128,"AAAAAH3S/Iw=")</f>
        <v>1</v>
      </c>
      <c r="EL62" t="b">
        <f>AND(DATA!U128,"AAAAAH3S/I0=")</f>
        <v>1</v>
      </c>
      <c r="EM62" t="b">
        <f>AND(DATA!V128,"AAAAAH3S/I4=")</f>
        <v>1</v>
      </c>
      <c r="EN62" t="e">
        <f>AND(DATA!W127,"AAAAAH3S/I8=")</f>
        <v>#VALUE!</v>
      </c>
      <c r="EO62" t="e">
        <f>AND(DATA!X127,"AAAAAH3S/JA=")</f>
        <v>#VALUE!</v>
      </c>
      <c r="EP62" t="e">
        <f>AND(DATA!Y127,"AAAAAH3S/JE=")</f>
        <v>#VALUE!</v>
      </c>
      <c r="EQ62">
        <f>IF(DATA!128:128,"AAAAAH3S/JI=",0)</f>
        <v>0</v>
      </c>
      <c r="ER62" t="e">
        <f>AND(DATA!A128,"AAAAAH3S/JM=")</f>
        <v>#VALUE!</v>
      </c>
      <c r="ES62" t="e">
        <f>AND(DATA!B128,"AAAAAH3S/JQ=")</f>
        <v>#VALUE!</v>
      </c>
      <c r="ET62" t="e">
        <f>AND(DATA!C128,"AAAAAH3S/JU=")</f>
        <v>#VALUE!</v>
      </c>
      <c r="EU62" t="e">
        <f>AND(DATA!D128,"AAAAAH3S/JY=")</f>
        <v>#VALUE!</v>
      </c>
      <c r="EV62" t="e">
        <f>AND(DATA!E128,"AAAAAH3S/Jc=")</f>
        <v>#VALUE!</v>
      </c>
      <c r="EW62" t="e">
        <f>AND(DATA!F128,"AAAAAH3S/Jg=")</f>
        <v>#VALUE!</v>
      </c>
      <c r="EX62" t="e">
        <f>AND(DATA!G128,"AAAAAH3S/Jk=")</f>
        <v>#VALUE!</v>
      </c>
      <c r="EY62" t="e">
        <f>AND(DATA!H128,"AAAAAH3S/Jo=")</f>
        <v>#VALUE!</v>
      </c>
      <c r="EZ62" t="e">
        <f>AND(DATA!I128,"AAAAAH3S/Js=")</f>
        <v>#VALUE!</v>
      </c>
      <c r="FA62" t="e">
        <f>AND(DATA!J128,"AAAAAH3S/Jw=")</f>
        <v>#VALUE!</v>
      </c>
      <c r="FB62" t="e">
        <f>AND(DATA!K128,"AAAAAH3S/J0=")</f>
        <v>#VALUE!</v>
      </c>
      <c r="FC62" t="b">
        <f>AND(DATA!L129,"AAAAAH3S/J4=")</f>
        <v>1</v>
      </c>
      <c r="FD62" t="b">
        <f>AND(DATA!M129,"AAAAAH3S/J8=")</f>
        <v>1</v>
      </c>
      <c r="FE62" t="b">
        <f>AND(DATA!N129,"AAAAAH3S/KA=")</f>
        <v>1</v>
      </c>
      <c r="FF62" t="b">
        <f>AND(DATA!O129,"AAAAAH3S/KE=")</f>
        <v>1</v>
      </c>
      <c r="FG62" t="b">
        <f>AND(DATA!P129,"AAAAAH3S/KI=")</f>
        <v>1</v>
      </c>
      <c r="FH62" t="b">
        <f>AND(DATA!Q129,"AAAAAH3S/KM=")</f>
        <v>1</v>
      </c>
      <c r="FI62" t="b">
        <f>AND(DATA!R129,"AAAAAH3S/KQ=")</f>
        <v>1</v>
      </c>
      <c r="FJ62" t="b">
        <f>AND(DATA!S129,"AAAAAH3S/KU=")</f>
        <v>1</v>
      </c>
      <c r="FK62" t="b">
        <f>AND(DATA!T129,"AAAAAH3S/KY=")</f>
        <v>1</v>
      </c>
      <c r="FL62" t="b">
        <f>AND(DATA!U129,"AAAAAH3S/Kc=")</f>
        <v>1</v>
      </c>
      <c r="FM62" t="b">
        <f>AND(DATA!V129,"AAAAAH3S/Kg=")</f>
        <v>1</v>
      </c>
      <c r="FN62" t="e">
        <f>AND(DATA!W128,"AAAAAH3S/Kk=")</f>
        <v>#VALUE!</v>
      </c>
      <c r="FO62" t="e">
        <f>AND(DATA!X128,"AAAAAH3S/Ko=")</f>
        <v>#VALUE!</v>
      </c>
      <c r="FP62" t="e">
        <f>AND(DATA!Y128,"AAAAAH3S/Ks=")</f>
        <v>#VALUE!</v>
      </c>
      <c r="FQ62">
        <f>IF(DATA!129:129,"AAAAAH3S/Kw=",0)</f>
        <v>0</v>
      </c>
      <c r="FR62" t="e">
        <f>AND(DATA!A129,"AAAAAH3S/K0=")</f>
        <v>#VALUE!</v>
      </c>
      <c r="FS62" t="e">
        <f>AND(DATA!B129,"AAAAAH3S/K4=")</f>
        <v>#VALUE!</v>
      </c>
      <c r="FT62" t="e">
        <f>AND(DATA!C129,"AAAAAH3S/K8=")</f>
        <v>#VALUE!</v>
      </c>
      <c r="FU62" t="e">
        <f>AND(DATA!D129,"AAAAAH3S/LA=")</f>
        <v>#VALUE!</v>
      </c>
      <c r="FV62" t="e">
        <f>AND(DATA!E129,"AAAAAH3S/LE=")</f>
        <v>#VALUE!</v>
      </c>
      <c r="FW62" t="e">
        <f>AND(DATA!F129,"AAAAAH3S/LI=")</f>
        <v>#VALUE!</v>
      </c>
      <c r="FX62" t="e">
        <f>AND(DATA!G129,"AAAAAH3S/LM=")</f>
        <v>#VALUE!</v>
      </c>
      <c r="FY62" t="e">
        <f>AND(DATA!H129,"AAAAAH3S/LQ=")</f>
        <v>#VALUE!</v>
      </c>
      <c r="FZ62" t="e">
        <f>AND(DATA!I129,"AAAAAH3S/LU=")</f>
        <v>#VALUE!</v>
      </c>
      <c r="GA62" t="e">
        <f>AND(DATA!J129,"AAAAAH3S/LY=")</f>
        <v>#VALUE!</v>
      </c>
      <c r="GB62" t="e">
        <f>AND(DATA!K129,"AAAAAH3S/Lc=")</f>
        <v>#VALUE!</v>
      </c>
      <c r="GC62" t="b">
        <f>AND(DATA!L130,"AAAAAH3S/Lg=")</f>
        <v>1</v>
      </c>
      <c r="GD62" t="b">
        <f>AND(DATA!M130,"AAAAAH3S/Lk=")</f>
        <v>1</v>
      </c>
      <c r="GE62" t="b">
        <f>AND(DATA!N130,"AAAAAH3S/Lo=")</f>
        <v>1</v>
      </c>
      <c r="GF62" t="b">
        <f>AND(DATA!O130,"AAAAAH3S/Ls=")</f>
        <v>1</v>
      </c>
      <c r="GG62" t="b">
        <f>AND(DATA!P130,"AAAAAH3S/Lw=")</f>
        <v>1</v>
      </c>
      <c r="GH62" t="b">
        <f>AND(DATA!Q130,"AAAAAH3S/L0=")</f>
        <v>1</v>
      </c>
      <c r="GI62" t="b">
        <f>AND(DATA!R130,"AAAAAH3S/L4=")</f>
        <v>1</v>
      </c>
      <c r="GJ62" t="b">
        <f>AND(DATA!S130,"AAAAAH3S/L8=")</f>
        <v>1</v>
      </c>
      <c r="GK62" t="b">
        <f>AND(DATA!T130,"AAAAAH3S/MA=")</f>
        <v>1</v>
      </c>
      <c r="GL62" t="b">
        <f>AND(DATA!U130,"AAAAAH3S/ME=")</f>
        <v>1</v>
      </c>
      <c r="GM62" t="b">
        <f>AND(DATA!V130,"AAAAAH3S/MI=")</f>
        <v>1</v>
      </c>
      <c r="GN62" t="e">
        <f>AND(DATA!W129,"AAAAAH3S/MM=")</f>
        <v>#VALUE!</v>
      </c>
      <c r="GO62" t="e">
        <f>AND(DATA!X129,"AAAAAH3S/MQ=")</f>
        <v>#VALUE!</v>
      </c>
      <c r="GP62" t="e">
        <f>AND(DATA!Y129,"AAAAAH3S/MU=")</f>
        <v>#VALUE!</v>
      </c>
      <c r="GQ62">
        <f>IF(DATA!130:130,"AAAAAH3S/MY=",0)</f>
        <v>0</v>
      </c>
      <c r="GR62" t="e">
        <f>AND(DATA!A130,"AAAAAH3S/Mc=")</f>
        <v>#VALUE!</v>
      </c>
      <c r="GS62" t="e">
        <f>AND(DATA!B130,"AAAAAH3S/Mg=")</f>
        <v>#VALUE!</v>
      </c>
      <c r="GT62" t="e">
        <f>AND(DATA!C130,"AAAAAH3S/Mk=")</f>
        <v>#VALUE!</v>
      </c>
      <c r="GU62" t="e">
        <f>AND(DATA!D130,"AAAAAH3S/Mo=")</f>
        <v>#VALUE!</v>
      </c>
      <c r="GV62" t="e">
        <f>AND(DATA!E130,"AAAAAH3S/Ms=")</f>
        <v>#VALUE!</v>
      </c>
      <c r="GW62" t="e">
        <f>AND(DATA!F130,"AAAAAH3S/Mw=")</f>
        <v>#VALUE!</v>
      </c>
      <c r="GX62" t="e">
        <f>AND(DATA!G130,"AAAAAH3S/M0=")</f>
        <v>#VALUE!</v>
      </c>
      <c r="GY62" t="e">
        <f>AND(DATA!H130,"AAAAAH3S/M4=")</f>
        <v>#VALUE!</v>
      </c>
      <c r="GZ62" t="e">
        <f>AND(DATA!I130,"AAAAAH3S/M8=")</f>
        <v>#VALUE!</v>
      </c>
      <c r="HA62" t="e">
        <f>AND(DATA!J130,"AAAAAH3S/NA=")</f>
        <v>#VALUE!</v>
      </c>
      <c r="HB62" t="e">
        <f>AND(DATA!K130,"AAAAAH3S/NE=")</f>
        <v>#VALUE!</v>
      </c>
      <c r="HC62" t="b">
        <f>AND(DATA!L131,"AAAAAH3S/NI=")</f>
        <v>1</v>
      </c>
      <c r="HD62" t="b">
        <f>AND(DATA!M131,"AAAAAH3S/NM=")</f>
        <v>1</v>
      </c>
      <c r="HE62" t="b">
        <f>AND(DATA!N131,"AAAAAH3S/NQ=")</f>
        <v>1</v>
      </c>
      <c r="HF62" t="b">
        <f>AND(DATA!O131,"AAAAAH3S/NU=")</f>
        <v>1</v>
      </c>
      <c r="HG62" t="b">
        <f>AND(DATA!P131,"AAAAAH3S/NY=")</f>
        <v>1</v>
      </c>
      <c r="HH62" t="b">
        <f>AND(DATA!Q131,"AAAAAH3S/Nc=")</f>
        <v>1</v>
      </c>
      <c r="HI62" t="b">
        <f>AND(DATA!R131,"AAAAAH3S/Ng=")</f>
        <v>1</v>
      </c>
      <c r="HJ62" t="b">
        <f>AND(DATA!S131,"AAAAAH3S/Nk=")</f>
        <v>1</v>
      </c>
      <c r="HK62" t="b">
        <f>AND(DATA!T131,"AAAAAH3S/No=")</f>
        <v>1</v>
      </c>
      <c r="HL62" t="b">
        <f>AND(DATA!U131,"AAAAAH3S/Ns=")</f>
        <v>1</v>
      </c>
      <c r="HM62" t="b">
        <f>AND(DATA!V131,"AAAAAH3S/Nw=")</f>
        <v>1</v>
      </c>
      <c r="HN62" t="e">
        <f>AND(DATA!W130,"AAAAAH3S/N0=")</f>
        <v>#VALUE!</v>
      </c>
      <c r="HO62" t="e">
        <f>AND(DATA!X130,"AAAAAH3S/N4=")</f>
        <v>#VALUE!</v>
      </c>
      <c r="HP62" t="e">
        <f>AND(DATA!Y130,"AAAAAH3S/N8=")</f>
        <v>#VALUE!</v>
      </c>
      <c r="HQ62">
        <f>IF(DATA!131:131,"AAAAAH3S/OA=",0)</f>
        <v>0</v>
      </c>
      <c r="HR62" t="e">
        <f>AND(DATA!A131,"AAAAAH3S/OE=")</f>
        <v>#VALUE!</v>
      </c>
      <c r="HS62" t="e">
        <f>AND(DATA!B131,"AAAAAH3S/OI=")</f>
        <v>#VALUE!</v>
      </c>
      <c r="HT62" t="e">
        <f>AND(DATA!C131,"AAAAAH3S/OM=")</f>
        <v>#VALUE!</v>
      </c>
      <c r="HU62" t="e">
        <f>AND(DATA!D131,"AAAAAH3S/OQ=")</f>
        <v>#VALUE!</v>
      </c>
      <c r="HV62" t="e">
        <f>AND(DATA!E131,"AAAAAH3S/OU=")</f>
        <v>#VALUE!</v>
      </c>
      <c r="HW62" t="e">
        <f>AND(DATA!F131,"AAAAAH3S/OY=")</f>
        <v>#VALUE!</v>
      </c>
      <c r="HX62" t="e">
        <f>AND(DATA!G131,"AAAAAH3S/Oc=")</f>
        <v>#VALUE!</v>
      </c>
      <c r="HY62" t="e">
        <f>AND(DATA!H131,"AAAAAH3S/Og=")</f>
        <v>#VALUE!</v>
      </c>
      <c r="HZ62" t="e">
        <f>AND(DATA!I131,"AAAAAH3S/Ok=")</f>
        <v>#VALUE!</v>
      </c>
      <c r="IA62" t="e">
        <f>AND(DATA!J131,"AAAAAH3S/Oo=")</f>
        <v>#VALUE!</v>
      </c>
      <c r="IB62" t="e">
        <f>AND(DATA!K131,"AAAAAH3S/Os=")</f>
        <v>#VALUE!</v>
      </c>
      <c r="IC62" t="b">
        <f>AND(DATA!L132,"AAAAAH3S/Ow=")</f>
        <v>1</v>
      </c>
      <c r="ID62" t="b">
        <f>AND(DATA!M132,"AAAAAH3S/O0=")</f>
        <v>1</v>
      </c>
      <c r="IE62" t="b">
        <f>AND(DATA!N132,"AAAAAH3S/O4=")</f>
        <v>1</v>
      </c>
      <c r="IF62" t="b">
        <f>AND(DATA!O132,"AAAAAH3S/O8=")</f>
        <v>1</v>
      </c>
      <c r="IG62" t="b">
        <f>AND(DATA!P132,"AAAAAH3S/PA=")</f>
        <v>1</v>
      </c>
      <c r="IH62" t="b">
        <f>AND(DATA!Q132,"AAAAAH3S/PE=")</f>
        <v>1</v>
      </c>
      <c r="II62" t="b">
        <f>AND(DATA!R132,"AAAAAH3S/PI=")</f>
        <v>1</v>
      </c>
      <c r="IJ62" t="b">
        <f>AND(DATA!S132,"AAAAAH3S/PM=")</f>
        <v>1</v>
      </c>
      <c r="IK62" t="b">
        <f>AND(DATA!T132,"AAAAAH3S/PQ=")</f>
        <v>1</v>
      </c>
      <c r="IL62" t="b">
        <f>AND(DATA!U132,"AAAAAH3S/PU=")</f>
        <v>1</v>
      </c>
      <c r="IM62" t="b">
        <f>AND(DATA!V132,"AAAAAH3S/PY=")</f>
        <v>1</v>
      </c>
      <c r="IN62" t="e">
        <f>AND(DATA!W131,"AAAAAH3S/Pc=")</f>
        <v>#VALUE!</v>
      </c>
      <c r="IO62" t="e">
        <f>AND(DATA!X131,"AAAAAH3S/Pg=")</f>
        <v>#VALUE!</v>
      </c>
      <c r="IP62" t="e">
        <f>AND(DATA!Y131,"AAAAAH3S/Pk=")</f>
        <v>#VALUE!</v>
      </c>
      <c r="IQ62">
        <f>IF(DATA!132:132,"AAAAAH3S/Po=",0)</f>
        <v>0</v>
      </c>
      <c r="IR62" t="e">
        <f>AND(DATA!A132,"AAAAAH3S/Ps=")</f>
        <v>#VALUE!</v>
      </c>
      <c r="IS62" t="e">
        <f>AND(DATA!B132,"AAAAAH3S/Pw=")</f>
        <v>#VALUE!</v>
      </c>
      <c r="IT62" t="e">
        <f>AND(DATA!C132,"AAAAAH3S/P0=")</f>
        <v>#VALUE!</v>
      </c>
      <c r="IU62" t="e">
        <f>AND(DATA!D132,"AAAAAH3S/P4=")</f>
        <v>#VALUE!</v>
      </c>
      <c r="IV62" t="e">
        <f>AND(DATA!E132,"AAAAAH3S/P8=")</f>
        <v>#VALUE!</v>
      </c>
    </row>
    <row r="63" spans="1:256" x14ac:dyDescent="0.25">
      <c r="A63" t="e">
        <f>AND(DATA!F132,"AAAAAE8uaQA=")</f>
        <v>#VALUE!</v>
      </c>
      <c r="B63" t="e">
        <f>AND(DATA!G132,"AAAAAE8uaQE=")</f>
        <v>#VALUE!</v>
      </c>
      <c r="C63" t="e">
        <f>AND(DATA!H132,"AAAAAE8uaQI=")</f>
        <v>#VALUE!</v>
      </c>
      <c r="D63" t="e">
        <f>AND(DATA!I132,"AAAAAE8uaQM=")</f>
        <v>#VALUE!</v>
      </c>
      <c r="E63" t="e">
        <f>AND(DATA!J132,"AAAAAE8uaQQ=")</f>
        <v>#VALUE!</v>
      </c>
      <c r="F63" t="e">
        <f>AND(DATA!K132,"AAAAAE8uaQU=")</f>
        <v>#VALUE!</v>
      </c>
      <c r="G63" t="b">
        <f>AND(DATA!L133,"AAAAAE8uaQY=")</f>
        <v>1</v>
      </c>
      <c r="H63" t="b">
        <f>AND(DATA!M133,"AAAAAE8uaQc=")</f>
        <v>1</v>
      </c>
      <c r="I63" t="b">
        <f>AND(DATA!N133,"AAAAAE8uaQg=")</f>
        <v>1</v>
      </c>
      <c r="J63" t="b">
        <f>AND(DATA!O133,"AAAAAE8uaQk=")</f>
        <v>1</v>
      </c>
      <c r="K63" t="b">
        <f>AND(DATA!P133,"AAAAAE8uaQo=")</f>
        <v>1</v>
      </c>
      <c r="L63" t="b">
        <f>AND(DATA!Q133,"AAAAAE8uaQs=")</f>
        <v>1</v>
      </c>
      <c r="M63" t="b">
        <f>AND(DATA!R133,"AAAAAE8uaQw=")</f>
        <v>1</v>
      </c>
      <c r="N63" t="b">
        <f>AND(DATA!S133,"AAAAAE8uaQ0=")</f>
        <v>1</v>
      </c>
      <c r="O63" t="b">
        <f>AND(DATA!T133,"AAAAAE8uaQ4=")</f>
        <v>1</v>
      </c>
      <c r="P63" t="b">
        <f>AND(DATA!U133,"AAAAAE8uaQ8=")</f>
        <v>1</v>
      </c>
      <c r="Q63" t="b">
        <f>AND(DATA!V133,"AAAAAE8uaRA=")</f>
        <v>1</v>
      </c>
      <c r="R63" t="e">
        <f>AND(DATA!W132,"AAAAAE8uaRE=")</f>
        <v>#VALUE!</v>
      </c>
      <c r="S63" t="e">
        <f>AND(DATA!X132,"AAAAAE8uaRI=")</f>
        <v>#VALUE!</v>
      </c>
      <c r="T63" t="e">
        <f>AND(DATA!Y132,"AAAAAE8uaRM=")</f>
        <v>#VALUE!</v>
      </c>
      <c r="U63" t="str">
        <f>IF(DATA!133:133,"AAAAAE8uaRQ=",0)</f>
        <v>AAAAAE8uaRQ=</v>
      </c>
      <c r="V63" t="e">
        <f>AND(DATA!A133,"AAAAAE8uaRU=")</f>
        <v>#VALUE!</v>
      </c>
      <c r="W63" t="e">
        <f>AND(DATA!B133,"AAAAAE8uaRY=")</f>
        <v>#VALUE!</v>
      </c>
      <c r="X63" t="e">
        <f>AND(DATA!C133,"AAAAAE8uaRc=")</f>
        <v>#VALUE!</v>
      </c>
      <c r="Y63" t="e">
        <f>AND(DATA!D133,"AAAAAE8uaRg=")</f>
        <v>#VALUE!</v>
      </c>
      <c r="Z63" t="e">
        <f>AND(DATA!E133,"AAAAAE8uaRk=")</f>
        <v>#VALUE!</v>
      </c>
      <c r="AA63" t="e">
        <f>AND(DATA!F133,"AAAAAE8uaRo=")</f>
        <v>#VALUE!</v>
      </c>
      <c r="AB63" t="e">
        <f>AND(DATA!G133,"AAAAAE8uaRs=")</f>
        <v>#VALUE!</v>
      </c>
      <c r="AC63" t="e">
        <f>AND(DATA!H133,"AAAAAE8uaRw=")</f>
        <v>#VALUE!</v>
      </c>
      <c r="AD63" t="e">
        <f>AND(DATA!I133,"AAAAAE8uaR0=")</f>
        <v>#VALUE!</v>
      </c>
      <c r="AE63" t="e">
        <f>AND(DATA!J133,"AAAAAE8uaR4=")</f>
        <v>#VALUE!</v>
      </c>
      <c r="AF63" t="e">
        <f>AND(DATA!K133,"AAAAAE8uaR8=")</f>
        <v>#VALUE!</v>
      </c>
      <c r="AG63" t="b">
        <f>AND(DATA!L134,"AAAAAE8uaSA=")</f>
        <v>1</v>
      </c>
      <c r="AH63" t="b">
        <f>AND(DATA!M134,"AAAAAE8uaSE=")</f>
        <v>1</v>
      </c>
      <c r="AI63" t="b">
        <f>AND(DATA!N134,"AAAAAE8uaSI=")</f>
        <v>1</v>
      </c>
      <c r="AJ63" t="b">
        <f>AND(DATA!O134,"AAAAAE8uaSM=")</f>
        <v>1</v>
      </c>
      <c r="AK63" t="b">
        <f>AND(DATA!P134,"AAAAAE8uaSQ=")</f>
        <v>1</v>
      </c>
      <c r="AL63" t="b">
        <f>AND(DATA!Q134,"AAAAAE8uaSU=")</f>
        <v>1</v>
      </c>
      <c r="AM63" t="b">
        <f>AND(DATA!R134,"AAAAAE8uaSY=")</f>
        <v>1</v>
      </c>
      <c r="AN63" t="b">
        <f>AND(DATA!S134,"AAAAAE8uaSc=")</f>
        <v>1</v>
      </c>
      <c r="AO63" t="b">
        <f>AND(DATA!T134,"AAAAAE8uaSg=")</f>
        <v>1</v>
      </c>
      <c r="AP63" t="b">
        <f>AND(DATA!U134,"AAAAAE8uaSk=")</f>
        <v>1</v>
      </c>
      <c r="AQ63" t="b">
        <f>AND(DATA!V134,"AAAAAE8uaSo=")</f>
        <v>1</v>
      </c>
      <c r="AR63" t="e">
        <f>AND(DATA!W133,"AAAAAE8uaSs=")</f>
        <v>#VALUE!</v>
      </c>
      <c r="AS63" t="e">
        <f>AND(DATA!X133,"AAAAAE8uaSw=")</f>
        <v>#VALUE!</v>
      </c>
      <c r="AT63" t="e">
        <f>AND(DATA!Y133,"AAAAAE8uaS0=")</f>
        <v>#VALUE!</v>
      </c>
      <c r="AU63">
        <f>IF(DATA!134:134,"AAAAAE8uaS4=",0)</f>
        <v>0</v>
      </c>
      <c r="AV63" t="e">
        <f>AND(DATA!A134,"AAAAAE8uaS8=")</f>
        <v>#VALUE!</v>
      </c>
      <c r="AW63" t="e">
        <f>AND(DATA!B134,"AAAAAE8uaTA=")</f>
        <v>#VALUE!</v>
      </c>
      <c r="AX63" t="e">
        <f>AND(DATA!C134,"AAAAAE8uaTE=")</f>
        <v>#VALUE!</v>
      </c>
      <c r="AY63" t="e">
        <f>AND(DATA!D134,"AAAAAE8uaTI=")</f>
        <v>#VALUE!</v>
      </c>
      <c r="AZ63" t="e">
        <f>AND(DATA!E134,"AAAAAE8uaTM=")</f>
        <v>#VALUE!</v>
      </c>
      <c r="BA63" t="e">
        <f>AND(DATA!F134,"AAAAAE8uaTQ=")</f>
        <v>#VALUE!</v>
      </c>
      <c r="BB63" t="e">
        <f>AND(DATA!G134,"AAAAAE8uaTU=")</f>
        <v>#VALUE!</v>
      </c>
      <c r="BC63" t="e">
        <f>AND(DATA!H134,"AAAAAE8uaTY=")</f>
        <v>#VALUE!</v>
      </c>
      <c r="BD63" t="e">
        <f>AND(DATA!I134,"AAAAAE8uaTc=")</f>
        <v>#VALUE!</v>
      </c>
      <c r="BE63" t="e">
        <f>AND(DATA!J134,"AAAAAE8uaTg=")</f>
        <v>#VALUE!</v>
      </c>
      <c r="BF63" t="e">
        <f>AND(DATA!K134,"AAAAAE8uaTk=")</f>
        <v>#VALUE!</v>
      </c>
      <c r="BG63" t="b">
        <f>AND(DATA!L135,"AAAAAE8uaTo=")</f>
        <v>1</v>
      </c>
      <c r="BH63" t="b">
        <f>AND(DATA!M135,"AAAAAE8uaTs=")</f>
        <v>1</v>
      </c>
      <c r="BI63" t="b">
        <f>AND(DATA!N135,"AAAAAE8uaTw=")</f>
        <v>1</v>
      </c>
      <c r="BJ63" t="b">
        <f>AND(DATA!O135,"AAAAAE8uaT0=")</f>
        <v>1</v>
      </c>
      <c r="BK63" t="b">
        <f>AND(DATA!P135,"AAAAAE8uaT4=")</f>
        <v>1</v>
      </c>
      <c r="BL63" t="b">
        <f>AND(DATA!Q135,"AAAAAE8uaT8=")</f>
        <v>1</v>
      </c>
      <c r="BM63" t="b">
        <f>AND(DATA!R135,"AAAAAE8uaUA=")</f>
        <v>1</v>
      </c>
      <c r="BN63" t="b">
        <f>AND(DATA!S135,"AAAAAE8uaUE=")</f>
        <v>1</v>
      </c>
      <c r="BO63" t="b">
        <f>AND(DATA!T135,"AAAAAE8uaUI=")</f>
        <v>1</v>
      </c>
      <c r="BP63" t="b">
        <f>AND(DATA!U135,"AAAAAE8uaUM=")</f>
        <v>1</v>
      </c>
      <c r="BQ63" t="b">
        <f>AND(DATA!V135,"AAAAAE8uaUQ=")</f>
        <v>1</v>
      </c>
      <c r="BR63" t="e">
        <f>AND(DATA!W134,"AAAAAE8uaUU=")</f>
        <v>#VALUE!</v>
      </c>
      <c r="BS63" t="e">
        <f>AND(DATA!X134,"AAAAAE8uaUY=")</f>
        <v>#VALUE!</v>
      </c>
      <c r="BT63" t="e">
        <f>AND(DATA!Y134,"AAAAAE8uaUc=")</f>
        <v>#VALUE!</v>
      </c>
      <c r="BU63">
        <f>IF(DATA!135:135,"AAAAAE8uaUg=",0)</f>
        <v>0</v>
      </c>
      <c r="BV63" t="e">
        <f>AND(DATA!A135,"AAAAAE8uaUk=")</f>
        <v>#VALUE!</v>
      </c>
      <c r="BW63" t="e">
        <f>AND(DATA!B135,"AAAAAE8uaUo=")</f>
        <v>#VALUE!</v>
      </c>
      <c r="BX63" t="e">
        <f>AND(DATA!C135,"AAAAAE8uaUs=")</f>
        <v>#VALUE!</v>
      </c>
      <c r="BY63" t="e">
        <f>AND(DATA!D135,"AAAAAE8uaUw=")</f>
        <v>#VALUE!</v>
      </c>
      <c r="BZ63" t="e">
        <f>AND(DATA!E135,"AAAAAE8uaU0=")</f>
        <v>#VALUE!</v>
      </c>
      <c r="CA63" t="e">
        <f>AND(DATA!F135,"AAAAAE8uaU4=")</f>
        <v>#VALUE!</v>
      </c>
      <c r="CB63" t="e">
        <f>AND(DATA!G135,"AAAAAE8uaU8=")</f>
        <v>#VALUE!</v>
      </c>
      <c r="CC63" t="e">
        <f>AND(DATA!H135,"AAAAAE8uaVA=")</f>
        <v>#VALUE!</v>
      </c>
      <c r="CD63" t="e">
        <f>AND(DATA!I135,"AAAAAE8uaVE=")</f>
        <v>#VALUE!</v>
      </c>
      <c r="CE63" t="e">
        <f>AND(DATA!J135,"AAAAAE8uaVI=")</f>
        <v>#VALUE!</v>
      </c>
      <c r="CF63" t="e">
        <f>AND(DATA!K135,"AAAAAE8uaVM=")</f>
        <v>#VALUE!</v>
      </c>
      <c r="CG63" t="b">
        <f>AND(DATA!L136,"AAAAAE8uaVQ=")</f>
        <v>1</v>
      </c>
      <c r="CH63" t="b">
        <f>AND(DATA!M136,"AAAAAE8uaVU=")</f>
        <v>1</v>
      </c>
      <c r="CI63" t="b">
        <f>AND(DATA!N136,"AAAAAE8uaVY=")</f>
        <v>1</v>
      </c>
      <c r="CJ63" t="b">
        <f>AND(DATA!O136,"AAAAAE8uaVc=")</f>
        <v>1</v>
      </c>
      <c r="CK63" t="b">
        <f>AND(DATA!P136,"AAAAAE8uaVg=")</f>
        <v>1</v>
      </c>
      <c r="CL63" t="b">
        <f>AND(DATA!Q136,"AAAAAE8uaVk=")</f>
        <v>1</v>
      </c>
      <c r="CM63" t="b">
        <f>AND(DATA!R136,"AAAAAE8uaVo=")</f>
        <v>1</v>
      </c>
      <c r="CN63" t="b">
        <f>AND(DATA!S136,"AAAAAE8uaVs=")</f>
        <v>1</v>
      </c>
      <c r="CO63" t="b">
        <f>AND(DATA!T136,"AAAAAE8uaVw=")</f>
        <v>1</v>
      </c>
      <c r="CP63" t="b">
        <f>AND(DATA!U136,"AAAAAE8uaV0=")</f>
        <v>1</v>
      </c>
      <c r="CQ63" t="b">
        <f>AND(DATA!V136,"AAAAAE8uaV4=")</f>
        <v>1</v>
      </c>
      <c r="CR63" t="e">
        <f>AND(DATA!W135,"AAAAAE8uaV8=")</f>
        <v>#VALUE!</v>
      </c>
      <c r="CS63" t="e">
        <f>AND(DATA!X135,"AAAAAE8uaWA=")</f>
        <v>#VALUE!</v>
      </c>
      <c r="CT63" t="e">
        <f>AND(DATA!Y135,"AAAAAE8uaWE=")</f>
        <v>#VALUE!</v>
      </c>
      <c r="CU63">
        <f>IF(DATA!136:136,"AAAAAE8uaWI=",0)</f>
        <v>0</v>
      </c>
      <c r="CV63" t="e">
        <f>AND(DATA!A136,"AAAAAE8uaWM=")</f>
        <v>#VALUE!</v>
      </c>
      <c r="CW63" t="e">
        <f>AND(DATA!B136,"AAAAAE8uaWQ=")</f>
        <v>#VALUE!</v>
      </c>
      <c r="CX63" t="e">
        <f>AND(DATA!C136,"AAAAAE8uaWU=")</f>
        <v>#VALUE!</v>
      </c>
      <c r="CY63" t="e">
        <f>AND(DATA!D136,"AAAAAE8uaWY=")</f>
        <v>#VALUE!</v>
      </c>
      <c r="CZ63" t="e">
        <f>AND(DATA!E136,"AAAAAE8uaWc=")</f>
        <v>#VALUE!</v>
      </c>
      <c r="DA63" t="e">
        <f>AND(DATA!F136,"AAAAAE8uaWg=")</f>
        <v>#VALUE!</v>
      </c>
      <c r="DB63" t="e">
        <f>AND(DATA!G136,"AAAAAE8uaWk=")</f>
        <v>#VALUE!</v>
      </c>
      <c r="DC63" t="e">
        <f>AND(DATA!H136,"AAAAAE8uaWo=")</f>
        <v>#VALUE!</v>
      </c>
      <c r="DD63" t="e">
        <f>AND(DATA!I136,"AAAAAE8uaWs=")</f>
        <v>#VALUE!</v>
      </c>
      <c r="DE63" t="e">
        <f>AND(DATA!J136,"AAAAAE8uaWw=")</f>
        <v>#VALUE!</v>
      </c>
      <c r="DF63" t="e">
        <f>AND(DATA!K136,"AAAAAE8uaW0=")</f>
        <v>#VALUE!</v>
      </c>
      <c r="DG63" t="b">
        <f>AND(DATA!L137,"AAAAAE8uaW4=")</f>
        <v>1</v>
      </c>
      <c r="DH63" t="b">
        <f>AND(DATA!M137,"AAAAAE8uaW8=")</f>
        <v>1</v>
      </c>
      <c r="DI63" t="b">
        <f>AND(DATA!N137,"AAAAAE8uaXA=")</f>
        <v>1</v>
      </c>
      <c r="DJ63" t="b">
        <f>AND(DATA!O137,"AAAAAE8uaXE=")</f>
        <v>1</v>
      </c>
      <c r="DK63" t="b">
        <f>AND(DATA!P137,"AAAAAE8uaXI=")</f>
        <v>1</v>
      </c>
      <c r="DL63" t="b">
        <f>AND(DATA!Q137,"AAAAAE8uaXM=")</f>
        <v>1</v>
      </c>
      <c r="DM63" t="b">
        <f>AND(DATA!R137,"AAAAAE8uaXQ=")</f>
        <v>1</v>
      </c>
      <c r="DN63" t="b">
        <f>AND(DATA!S137,"AAAAAE8uaXU=")</f>
        <v>1</v>
      </c>
      <c r="DO63" t="b">
        <f>AND(DATA!T137,"AAAAAE8uaXY=")</f>
        <v>1</v>
      </c>
      <c r="DP63" t="b">
        <f>AND(DATA!U137,"AAAAAE8uaXc=")</f>
        <v>1</v>
      </c>
      <c r="DQ63" t="b">
        <f>AND(DATA!V137,"AAAAAE8uaXg=")</f>
        <v>1</v>
      </c>
      <c r="DR63" t="e">
        <f>AND(DATA!W136,"AAAAAE8uaXk=")</f>
        <v>#VALUE!</v>
      </c>
      <c r="DS63" t="e">
        <f>AND(DATA!X136,"AAAAAE8uaXo=")</f>
        <v>#VALUE!</v>
      </c>
      <c r="DT63" t="e">
        <f>AND(DATA!Y136,"AAAAAE8uaXs=")</f>
        <v>#VALUE!</v>
      </c>
      <c r="DU63">
        <f>IF(DATA!137:137,"AAAAAE8uaXw=",0)</f>
        <v>0</v>
      </c>
      <c r="DV63" t="e">
        <f>AND(DATA!A137,"AAAAAE8uaX0=")</f>
        <v>#VALUE!</v>
      </c>
      <c r="DW63" t="e">
        <f>AND(DATA!B137,"AAAAAE8uaX4=")</f>
        <v>#VALUE!</v>
      </c>
      <c r="DX63" t="e">
        <f>AND(DATA!C137,"AAAAAE8uaX8=")</f>
        <v>#VALUE!</v>
      </c>
      <c r="DY63" t="e">
        <f>AND(DATA!D137,"AAAAAE8uaYA=")</f>
        <v>#VALUE!</v>
      </c>
      <c r="DZ63" t="e">
        <f>AND(DATA!E137,"AAAAAE8uaYE=")</f>
        <v>#VALUE!</v>
      </c>
      <c r="EA63" t="e">
        <f>AND(DATA!F137,"AAAAAE8uaYI=")</f>
        <v>#VALUE!</v>
      </c>
      <c r="EB63" t="e">
        <f>AND(DATA!G137,"AAAAAE8uaYM=")</f>
        <v>#VALUE!</v>
      </c>
      <c r="EC63" t="e">
        <f>AND(DATA!H137,"AAAAAE8uaYQ=")</f>
        <v>#VALUE!</v>
      </c>
      <c r="ED63" t="e">
        <f>AND(DATA!I137,"AAAAAE8uaYU=")</f>
        <v>#VALUE!</v>
      </c>
      <c r="EE63" t="e">
        <f>AND(DATA!J137,"AAAAAE8uaYY=")</f>
        <v>#VALUE!</v>
      </c>
      <c r="EF63" t="e">
        <f>AND(DATA!K137,"AAAAAE8uaYc=")</f>
        <v>#VALUE!</v>
      </c>
      <c r="EG63" t="b">
        <f>AND(DATA!L138,"AAAAAE8uaYg=")</f>
        <v>1</v>
      </c>
      <c r="EH63" t="b">
        <f>AND(DATA!M138,"AAAAAE8uaYk=")</f>
        <v>1</v>
      </c>
      <c r="EI63" t="b">
        <f>AND(DATA!N138,"AAAAAE8uaYo=")</f>
        <v>1</v>
      </c>
      <c r="EJ63" t="b">
        <f>AND(DATA!O138,"AAAAAE8uaYs=")</f>
        <v>1</v>
      </c>
      <c r="EK63" t="b">
        <f>AND(DATA!P138,"AAAAAE8uaYw=")</f>
        <v>1</v>
      </c>
      <c r="EL63" t="b">
        <f>AND(DATA!Q138,"AAAAAE8uaY0=")</f>
        <v>1</v>
      </c>
      <c r="EM63" t="b">
        <f>AND(DATA!R138,"AAAAAE8uaY4=")</f>
        <v>1</v>
      </c>
      <c r="EN63" t="b">
        <f>AND(DATA!S138,"AAAAAE8uaY8=")</f>
        <v>1</v>
      </c>
      <c r="EO63" t="b">
        <f>AND(DATA!T138,"AAAAAE8uaZA=")</f>
        <v>1</v>
      </c>
      <c r="EP63" t="b">
        <f>AND(DATA!U138,"AAAAAE8uaZE=")</f>
        <v>1</v>
      </c>
      <c r="EQ63" t="b">
        <f>AND(DATA!V138,"AAAAAE8uaZI=")</f>
        <v>1</v>
      </c>
      <c r="ER63" t="e">
        <f>AND(DATA!W137,"AAAAAE8uaZM=")</f>
        <v>#VALUE!</v>
      </c>
      <c r="ES63" t="e">
        <f>AND(DATA!X137,"AAAAAE8uaZQ=")</f>
        <v>#VALUE!</v>
      </c>
      <c r="ET63" t="e">
        <f>AND(DATA!Y137,"AAAAAE8uaZU=")</f>
        <v>#VALUE!</v>
      </c>
      <c r="EU63">
        <f>IF(DATA!138:138,"AAAAAE8uaZY=",0)</f>
        <v>0</v>
      </c>
      <c r="EV63" t="e">
        <f>AND(DATA!A138,"AAAAAE8uaZc=")</f>
        <v>#VALUE!</v>
      </c>
      <c r="EW63" t="e">
        <f>AND(DATA!B138,"AAAAAE8uaZg=")</f>
        <v>#VALUE!</v>
      </c>
      <c r="EX63" t="e">
        <f>AND(DATA!C138,"AAAAAE8uaZk=")</f>
        <v>#VALUE!</v>
      </c>
      <c r="EY63" t="e">
        <f>AND(DATA!D138,"AAAAAE8uaZo=")</f>
        <v>#VALUE!</v>
      </c>
      <c r="EZ63" t="e">
        <f>AND(DATA!E138,"AAAAAE8uaZs=")</f>
        <v>#VALUE!</v>
      </c>
      <c r="FA63" t="e">
        <f>AND(DATA!F138,"AAAAAE8uaZw=")</f>
        <v>#VALUE!</v>
      </c>
      <c r="FB63" t="e">
        <f>AND(DATA!G138,"AAAAAE8uaZ0=")</f>
        <v>#VALUE!</v>
      </c>
      <c r="FC63" t="e">
        <f>AND(DATA!H138,"AAAAAE8uaZ4=")</f>
        <v>#VALUE!</v>
      </c>
      <c r="FD63" t="e">
        <f>AND(DATA!I138,"AAAAAE8uaZ8=")</f>
        <v>#VALUE!</v>
      </c>
      <c r="FE63" t="e">
        <f>AND(DATA!J138,"AAAAAE8uaaA=")</f>
        <v>#VALUE!</v>
      </c>
      <c r="FF63" t="e">
        <f>AND(DATA!K138,"AAAAAE8uaaE=")</f>
        <v>#VALUE!</v>
      </c>
      <c r="FG63" t="b">
        <f>AND(DATA!L139,"AAAAAE8uaaI=")</f>
        <v>1</v>
      </c>
      <c r="FH63" t="b">
        <f>AND(DATA!M139,"AAAAAE8uaaM=")</f>
        <v>1</v>
      </c>
      <c r="FI63" t="b">
        <f>AND(DATA!N139,"AAAAAE8uaaQ=")</f>
        <v>1</v>
      </c>
      <c r="FJ63" t="b">
        <f>AND(DATA!O139,"AAAAAE8uaaU=")</f>
        <v>1</v>
      </c>
      <c r="FK63" t="b">
        <f>AND(DATA!P139,"AAAAAE8uaaY=")</f>
        <v>1</v>
      </c>
      <c r="FL63" t="b">
        <f>AND(DATA!Q139,"AAAAAE8uaac=")</f>
        <v>1</v>
      </c>
      <c r="FM63" t="b">
        <f>AND(DATA!R139,"AAAAAE8uaag=")</f>
        <v>1</v>
      </c>
      <c r="FN63" t="b">
        <f>AND(DATA!S139,"AAAAAE8uaak=")</f>
        <v>1</v>
      </c>
      <c r="FO63" t="b">
        <f>AND(DATA!T139,"AAAAAE8uaao=")</f>
        <v>1</v>
      </c>
      <c r="FP63" t="b">
        <f>AND(DATA!U139,"AAAAAE8uaas=")</f>
        <v>1</v>
      </c>
      <c r="FQ63" t="b">
        <f>AND(DATA!V139,"AAAAAE8uaaw=")</f>
        <v>1</v>
      </c>
      <c r="FR63" t="e">
        <f>AND(DATA!W138,"AAAAAE8uaa0=")</f>
        <v>#VALUE!</v>
      </c>
      <c r="FS63" t="e">
        <f>AND(DATA!X138,"AAAAAE8uaa4=")</f>
        <v>#VALUE!</v>
      </c>
      <c r="FT63" t="e">
        <f>AND(DATA!Y138,"AAAAAE8uaa8=")</f>
        <v>#VALUE!</v>
      </c>
      <c r="FU63">
        <f>IF(DATA!139:139,"AAAAAE8uabA=",0)</f>
        <v>0</v>
      </c>
      <c r="FV63" t="e">
        <f>AND(DATA!A139,"AAAAAE8uabE=")</f>
        <v>#VALUE!</v>
      </c>
      <c r="FW63" t="e">
        <f>AND(DATA!B139,"AAAAAE8uabI=")</f>
        <v>#VALUE!</v>
      </c>
      <c r="FX63" t="e">
        <f>AND(DATA!C139,"AAAAAE8uabM=")</f>
        <v>#VALUE!</v>
      </c>
      <c r="FY63" t="e">
        <f>AND(DATA!D139,"AAAAAE8uabQ=")</f>
        <v>#VALUE!</v>
      </c>
      <c r="FZ63" t="e">
        <f>AND(DATA!E139,"AAAAAE8uabU=")</f>
        <v>#VALUE!</v>
      </c>
      <c r="GA63" t="e">
        <f>AND(DATA!F139,"AAAAAE8uabY=")</f>
        <v>#VALUE!</v>
      </c>
      <c r="GB63" t="e">
        <f>AND(DATA!G139,"AAAAAE8uabc=")</f>
        <v>#VALUE!</v>
      </c>
      <c r="GC63" t="e">
        <f>AND(DATA!H139,"AAAAAE8uabg=")</f>
        <v>#VALUE!</v>
      </c>
      <c r="GD63" t="e">
        <f>AND(DATA!I139,"AAAAAE8uabk=")</f>
        <v>#VALUE!</v>
      </c>
      <c r="GE63" t="e">
        <f>AND(DATA!J139,"AAAAAE8uabo=")</f>
        <v>#VALUE!</v>
      </c>
      <c r="GF63" t="e">
        <f>AND(DATA!K139,"AAAAAE8uabs=")</f>
        <v>#VALUE!</v>
      </c>
      <c r="GG63" t="b">
        <f>AND(DATA!L140,"AAAAAE8uabw=")</f>
        <v>1</v>
      </c>
      <c r="GH63" t="b">
        <f>AND(DATA!M140,"AAAAAE8uab0=")</f>
        <v>1</v>
      </c>
      <c r="GI63" t="b">
        <f>AND(DATA!N140,"AAAAAE8uab4=")</f>
        <v>1</v>
      </c>
      <c r="GJ63" t="b">
        <f>AND(DATA!O140,"AAAAAE8uab8=")</f>
        <v>1</v>
      </c>
      <c r="GK63" t="b">
        <f>AND(DATA!P140,"AAAAAE8uacA=")</f>
        <v>1</v>
      </c>
      <c r="GL63" t="b">
        <f>AND(DATA!Q140,"AAAAAE8uacE=")</f>
        <v>1</v>
      </c>
      <c r="GM63" t="b">
        <f>AND(DATA!R140,"AAAAAE8uacI=")</f>
        <v>1</v>
      </c>
      <c r="GN63" t="b">
        <f>AND(DATA!S140,"AAAAAE8uacM=")</f>
        <v>1</v>
      </c>
      <c r="GO63" t="b">
        <f>AND(DATA!T140,"AAAAAE8uacQ=")</f>
        <v>1</v>
      </c>
      <c r="GP63" t="b">
        <f>AND(DATA!U140,"AAAAAE8uacU=")</f>
        <v>1</v>
      </c>
      <c r="GQ63" t="b">
        <f>AND(DATA!V140,"AAAAAE8uacY=")</f>
        <v>1</v>
      </c>
      <c r="GR63" t="e">
        <f>AND(DATA!W139,"AAAAAE8uacc=")</f>
        <v>#VALUE!</v>
      </c>
      <c r="GS63" t="e">
        <f>AND(DATA!X139,"AAAAAE8uacg=")</f>
        <v>#VALUE!</v>
      </c>
      <c r="GT63" t="e">
        <f>AND(DATA!Y139,"AAAAAE8uack=")</f>
        <v>#VALUE!</v>
      </c>
      <c r="GU63">
        <f>IF(DATA!140:140,"AAAAAE8uaco=",0)</f>
        <v>0</v>
      </c>
      <c r="GV63" t="e">
        <f>AND(DATA!A140,"AAAAAE8uacs=")</f>
        <v>#VALUE!</v>
      </c>
      <c r="GW63" t="e">
        <f>AND(DATA!B140,"AAAAAE8uacw=")</f>
        <v>#VALUE!</v>
      </c>
      <c r="GX63" t="e">
        <f>AND(DATA!C140,"AAAAAE8uac0=")</f>
        <v>#VALUE!</v>
      </c>
      <c r="GY63" t="e">
        <f>AND(DATA!D140,"AAAAAE8uac4=")</f>
        <v>#VALUE!</v>
      </c>
      <c r="GZ63" t="e">
        <f>AND(DATA!E140,"AAAAAE8uac8=")</f>
        <v>#VALUE!</v>
      </c>
      <c r="HA63" t="e">
        <f>AND(DATA!F140,"AAAAAE8uadA=")</f>
        <v>#VALUE!</v>
      </c>
      <c r="HB63" t="e">
        <f>AND(DATA!G140,"AAAAAE8uadE=")</f>
        <v>#VALUE!</v>
      </c>
      <c r="HC63" t="e">
        <f>AND(DATA!H140,"AAAAAE8uadI=")</f>
        <v>#VALUE!</v>
      </c>
      <c r="HD63" t="e">
        <f>AND(DATA!I140,"AAAAAE8uadM=")</f>
        <v>#VALUE!</v>
      </c>
      <c r="HE63" t="e">
        <f>AND(DATA!J140,"AAAAAE8uadQ=")</f>
        <v>#VALUE!</v>
      </c>
      <c r="HF63" t="e">
        <f>AND(DATA!K140,"AAAAAE8uadU=")</f>
        <v>#VALUE!</v>
      </c>
      <c r="HG63" t="b">
        <f>AND(DATA!L141,"AAAAAE8uadY=")</f>
        <v>1</v>
      </c>
      <c r="HH63" t="b">
        <f>AND(DATA!M141,"AAAAAE8uadc=")</f>
        <v>1</v>
      </c>
      <c r="HI63" t="b">
        <f>AND(DATA!N141,"AAAAAE8uadg=")</f>
        <v>1</v>
      </c>
      <c r="HJ63" t="b">
        <f>AND(DATA!O141,"AAAAAE8uadk=")</f>
        <v>1</v>
      </c>
      <c r="HK63" t="b">
        <f>AND(DATA!P141,"AAAAAE8uado=")</f>
        <v>1</v>
      </c>
      <c r="HL63" t="b">
        <f>AND(DATA!Q141,"AAAAAE8uads=")</f>
        <v>1</v>
      </c>
      <c r="HM63" t="b">
        <f>AND(DATA!R141,"AAAAAE8uadw=")</f>
        <v>1</v>
      </c>
      <c r="HN63" t="b">
        <f>AND(DATA!S141,"AAAAAE8uad0=")</f>
        <v>1</v>
      </c>
      <c r="HO63" t="b">
        <f>AND(DATA!T141,"AAAAAE8uad4=")</f>
        <v>1</v>
      </c>
      <c r="HP63" t="b">
        <f>AND(DATA!U141,"AAAAAE8uad8=")</f>
        <v>1</v>
      </c>
      <c r="HQ63" t="b">
        <f>AND(DATA!V141,"AAAAAE8uaeA=")</f>
        <v>1</v>
      </c>
      <c r="HR63" t="e">
        <f>AND(DATA!W140,"AAAAAE8uaeE=")</f>
        <v>#VALUE!</v>
      </c>
      <c r="HS63" t="e">
        <f>AND(DATA!X140,"AAAAAE8uaeI=")</f>
        <v>#VALUE!</v>
      </c>
      <c r="HT63" t="e">
        <f>AND(DATA!Y140,"AAAAAE8uaeM=")</f>
        <v>#VALUE!</v>
      </c>
      <c r="HU63">
        <f>IF(DATA!141:141,"AAAAAE8uaeQ=",0)</f>
        <v>0</v>
      </c>
      <c r="HV63" t="e">
        <f>AND(DATA!A141,"AAAAAE8uaeU=")</f>
        <v>#VALUE!</v>
      </c>
      <c r="HW63" t="e">
        <f>AND(DATA!B141,"AAAAAE8uaeY=")</f>
        <v>#VALUE!</v>
      </c>
      <c r="HX63" t="e">
        <f>AND(DATA!C141,"AAAAAE8uaec=")</f>
        <v>#VALUE!</v>
      </c>
      <c r="HY63" t="e">
        <f>AND(DATA!D141,"AAAAAE8uaeg=")</f>
        <v>#VALUE!</v>
      </c>
      <c r="HZ63" t="e">
        <f>AND(DATA!E141,"AAAAAE8uaek=")</f>
        <v>#VALUE!</v>
      </c>
      <c r="IA63" t="e">
        <f>AND(DATA!F141,"AAAAAE8uaeo=")</f>
        <v>#VALUE!</v>
      </c>
      <c r="IB63" t="e">
        <f>AND(DATA!G141,"AAAAAE8uaes=")</f>
        <v>#VALUE!</v>
      </c>
      <c r="IC63" t="e">
        <f>AND(DATA!H141,"AAAAAE8uaew=")</f>
        <v>#VALUE!</v>
      </c>
      <c r="ID63" t="e">
        <f>AND(DATA!I141,"AAAAAE8uae0=")</f>
        <v>#VALUE!</v>
      </c>
      <c r="IE63" t="e">
        <f>AND(DATA!J141,"AAAAAE8uae4=")</f>
        <v>#VALUE!</v>
      </c>
      <c r="IF63" t="e">
        <f>AND(DATA!K141,"AAAAAE8uae8=")</f>
        <v>#VALUE!</v>
      </c>
      <c r="IG63" t="b">
        <f>AND(DATA!L142,"AAAAAE8uafA=")</f>
        <v>1</v>
      </c>
      <c r="IH63" t="b">
        <f>AND(DATA!M142,"AAAAAE8uafE=")</f>
        <v>1</v>
      </c>
      <c r="II63" t="b">
        <f>AND(DATA!N142,"AAAAAE8uafI=")</f>
        <v>1</v>
      </c>
      <c r="IJ63" t="b">
        <f>AND(DATA!O142,"AAAAAE8uafM=")</f>
        <v>1</v>
      </c>
      <c r="IK63" t="b">
        <f>AND(DATA!P142,"AAAAAE8uafQ=")</f>
        <v>1</v>
      </c>
      <c r="IL63" t="b">
        <f>AND(DATA!Q142,"AAAAAE8uafU=")</f>
        <v>1</v>
      </c>
      <c r="IM63" t="b">
        <f>AND(DATA!R142,"AAAAAE8uafY=")</f>
        <v>1</v>
      </c>
      <c r="IN63" t="b">
        <f>AND(DATA!S142,"AAAAAE8uafc=")</f>
        <v>1</v>
      </c>
      <c r="IO63" t="b">
        <f>AND(DATA!T142,"AAAAAE8uafg=")</f>
        <v>1</v>
      </c>
      <c r="IP63" t="b">
        <f>AND(DATA!U142,"AAAAAE8uafk=")</f>
        <v>1</v>
      </c>
      <c r="IQ63" t="b">
        <f>AND(DATA!V142,"AAAAAE8uafo=")</f>
        <v>1</v>
      </c>
      <c r="IR63" t="e">
        <f>AND(DATA!W141,"AAAAAE8uafs=")</f>
        <v>#VALUE!</v>
      </c>
      <c r="IS63" t="e">
        <f>AND(DATA!X141,"AAAAAE8uafw=")</f>
        <v>#VALUE!</v>
      </c>
      <c r="IT63" t="e">
        <f>AND(DATA!Y141,"AAAAAE8uaf0=")</f>
        <v>#VALUE!</v>
      </c>
      <c r="IU63">
        <f>IF(DATA!142:142,"AAAAAE8uaf4=",0)</f>
        <v>0</v>
      </c>
      <c r="IV63" t="e">
        <f>AND(DATA!A142,"AAAAAE8uaf8=")</f>
        <v>#VALUE!</v>
      </c>
    </row>
    <row r="64" spans="1:256" x14ac:dyDescent="0.25">
      <c r="A64" t="e">
        <f>AND(DATA!B142,"AAAAAH6/7wA=")</f>
        <v>#VALUE!</v>
      </c>
      <c r="B64" t="e">
        <f>AND(DATA!C142,"AAAAAH6/7wE=")</f>
        <v>#VALUE!</v>
      </c>
      <c r="C64" t="e">
        <f>AND(DATA!D142,"AAAAAH6/7wI=")</f>
        <v>#VALUE!</v>
      </c>
      <c r="D64" t="e">
        <f>AND(DATA!E142,"AAAAAH6/7wM=")</f>
        <v>#VALUE!</v>
      </c>
      <c r="E64" t="e">
        <f>AND(DATA!F142,"AAAAAH6/7wQ=")</f>
        <v>#VALUE!</v>
      </c>
      <c r="F64" t="e">
        <f>AND(DATA!G142,"AAAAAH6/7wU=")</f>
        <v>#VALUE!</v>
      </c>
      <c r="G64" t="e">
        <f>AND(DATA!H142,"AAAAAH6/7wY=")</f>
        <v>#VALUE!</v>
      </c>
      <c r="H64" t="e">
        <f>AND(DATA!I142,"AAAAAH6/7wc=")</f>
        <v>#VALUE!</v>
      </c>
      <c r="I64" t="e">
        <f>AND(DATA!J142,"AAAAAH6/7wg=")</f>
        <v>#VALUE!</v>
      </c>
      <c r="J64" t="e">
        <f>AND(DATA!K142,"AAAAAH6/7wk=")</f>
        <v>#VALUE!</v>
      </c>
      <c r="K64" t="b">
        <f>AND(DATA!L143,"AAAAAH6/7wo=")</f>
        <v>1</v>
      </c>
      <c r="L64" t="b">
        <f>AND(DATA!M143,"AAAAAH6/7ws=")</f>
        <v>1</v>
      </c>
      <c r="M64" t="b">
        <f>AND(DATA!N143,"AAAAAH6/7ww=")</f>
        <v>1</v>
      </c>
      <c r="N64" t="b">
        <f>AND(DATA!O143,"AAAAAH6/7w0=")</f>
        <v>1</v>
      </c>
      <c r="O64" t="b">
        <f>AND(DATA!P143,"AAAAAH6/7w4=")</f>
        <v>1</v>
      </c>
      <c r="P64" t="b">
        <f>AND(DATA!Q143,"AAAAAH6/7w8=")</f>
        <v>1</v>
      </c>
      <c r="Q64" t="b">
        <f>AND(DATA!R143,"AAAAAH6/7xA=")</f>
        <v>1</v>
      </c>
      <c r="R64" t="b">
        <f>AND(DATA!S143,"AAAAAH6/7xE=")</f>
        <v>1</v>
      </c>
      <c r="S64" t="b">
        <f>AND(DATA!T143,"AAAAAH6/7xI=")</f>
        <v>1</v>
      </c>
      <c r="T64" t="b">
        <f>AND(DATA!U143,"AAAAAH6/7xM=")</f>
        <v>1</v>
      </c>
      <c r="U64" t="b">
        <f>AND(DATA!V143,"AAAAAH6/7xQ=")</f>
        <v>1</v>
      </c>
      <c r="V64" t="e">
        <f>AND(DATA!W142,"AAAAAH6/7xU=")</f>
        <v>#VALUE!</v>
      </c>
      <c r="W64" t="e">
        <f>AND(DATA!X142,"AAAAAH6/7xY=")</f>
        <v>#VALUE!</v>
      </c>
      <c r="X64" t="e">
        <f>AND(DATA!Y142,"AAAAAH6/7xc=")</f>
        <v>#VALUE!</v>
      </c>
      <c r="Y64">
        <f>IF(DATA!143:143,"AAAAAH6/7xg=",0)</f>
        <v>0</v>
      </c>
      <c r="Z64" t="e">
        <f>AND(DATA!A143,"AAAAAH6/7xk=")</f>
        <v>#VALUE!</v>
      </c>
      <c r="AA64" t="e">
        <f>AND(DATA!B143,"AAAAAH6/7xo=")</f>
        <v>#VALUE!</v>
      </c>
      <c r="AB64" t="e">
        <f>AND(DATA!C143,"AAAAAH6/7xs=")</f>
        <v>#VALUE!</v>
      </c>
      <c r="AC64" t="e">
        <f>AND(DATA!D143,"AAAAAH6/7xw=")</f>
        <v>#VALUE!</v>
      </c>
      <c r="AD64" t="e">
        <f>AND(DATA!E143,"AAAAAH6/7x0=")</f>
        <v>#VALUE!</v>
      </c>
      <c r="AE64" t="e">
        <f>AND(DATA!F143,"AAAAAH6/7x4=")</f>
        <v>#VALUE!</v>
      </c>
      <c r="AF64" t="e">
        <f>AND(DATA!G143,"AAAAAH6/7x8=")</f>
        <v>#VALUE!</v>
      </c>
      <c r="AG64" t="e">
        <f>AND(DATA!H143,"AAAAAH6/7yA=")</f>
        <v>#VALUE!</v>
      </c>
      <c r="AH64" t="e">
        <f>AND(DATA!I143,"AAAAAH6/7yE=")</f>
        <v>#VALUE!</v>
      </c>
      <c r="AI64" t="e">
        <f>AND(DATA!J143,"AAAAAH6/7yI=")</f>
        <v>#VALUE!</v>
      </c>
      <c r="AJ64" t="e">
        <f>AND(DATA!K143,"AAAAAH6/7yM=")</f>
        <v>#VALUE!</v>
      </c>
      <c r="AK64" t="b">
        <f>AND(DATA!L144,"AAAAAH6/7yQ=")</f>
        <v>1</v>
      </c>
      <c r="AL64" t="b">
        <f>AND(DATA!M144,"AAAAAH6/7yU=")</f>
        <v>1</v>
      </c>
      <c r="AM64" t="b">
        <f>AND(DATA!N144,"AAAAAH6/7yY=")</f>
        <v>1</v>
      </c>
      <c r="AN64" t="b">
        <f>AND(DATA!O144,"AAAAAH6/7yc=")</f>
        <v>1</v>
      </c>
      <c r="AO64" t="b">
        <f>AND(DATA!P144,"AAAAAH6/7yg=")</f>
        <v>1</v>
      </c>
      <c r="AP64" t="b">
        <f>AND(DATA!Q144,"AAAAAH6/7yk=")</f>
        <v>1</v>
      </c>
      <c r="AQ64" t="b">
        <f>AND(DATA!R144,"AAAAAH6/7yo=")</f>
        <v>1</v>
      </c>
      <c r="AR64" t="b">
        <f>AND(DATA!S144,"AAAAAH6/7ys=")</f>
        <v>1</v>
      </c>
      <c r="AS64" t="b">
        <f>AND(DATA!T144,"AAAAAH6/7yw=")</f>
        <v>1</v>
      </c>
      <c r="AT64" t="b">
        <f>AND(DATA!U144,"AAAAAH6/7y0=")</f>
        <v>1</v>
      </c>
      <c r="AU64" t="b">
        <f>AND(DATA!V144,"AAAAAH6/7y4=")</f>
        <v>1</v>
      </c>
      <c r="AV64" t="e">
        <f>AND(DATA!W143,"AAAAAH6/7y8=")</f>
        <v>#VALUE!</v>
      </c>
      <c r="AW64" t="e">
        <f>AND(DATA!X143,"AAAAAH6/7zA=")</f>
        <v>#VALUE!</v>
      </c>
      <c r="AX64" t="e">
        <f>AND(DATA!Y143,"AAAAAH6/7zE=")</f>
        <v>#VALUE!</v>
      </c>
      <c r="AY64">
        <f>IF(DATA!144:144,"AAAAAH6/7zI=",0)</f>
        <v>0</v>
      </c>
      <c r="AZ64" t="e">
        <f>AND(DATA!A144,"AAAAAH6/7zM=")</f>
        <v>#VALUE!</v>
      </c>
      <c r="BA64" t="e">
        <f>AND(DATA!B144,"AAAAAH6/7zQ=")</f>
        <v>#VALUE!</v>
      </c>
      <c r="BB64" t="e">
        <f>AND(DATA!C144,"AAAAAH6/7zU=")</f>
        <v>#VALUE!</v>
      </c>
      <c r="BC64" t="e">
        <f>AND(DATA!D144,"AAAAAH6/7zY=")</f>
        <v>#VALUE!</v>
      </c>
      <c r="BD64" t="e">
        <f>AND(DATA!E144,"AAAAAH6/7zc=")</f>
        <v>#VALUE!</v>
      </c>
      <c r="BE64" t="e">
        <f>AND(DATA!F144,"AAAAAH6/7zg=")</f>
        <v>#VALUE!</v>
      </c>
      <c r="BF64" t="e">
        <f>AND(DATA!G144,"AAAAAH6/7zk=")</f>
        <v>#VALUE!</v>
      </c>
      <c r="BG64" t="e">
        <f>AND(DATA!H144,"AAAAAH6/7zo=")</f>
        <v>#VALUE!</v>
      </c>
      <c r="BH64" t="e">
        <f>AND(DATA!I144,"AAAAAH6/7zs=")</f>
        <v>#VALUE!</v>
      </c>
      <c r="BI64" t="e">
        <f>AND(DATA!J144,"AAAAAH6/7zw=")</f>
        <v>#VALUE!</v>
      </c>
      <c r="BJ64" t="e">
        <f>AND(DATA!K144,"AAAAAH6/7z0=")</f>
        <v>#VALUE!</v>
      </c>
      <c r="BK64" t="b">
        <f>AND(DATA!L145,"AAAAAH6/7z4=")</f>
        <v>1</v>
      </c>
      <c r="BL64" t="b">
        <f>AND(DATA!M145,"AAAAAH6/7z8=")</f>
        <v>1</v>
      </c>
      <c r="BM64" t="b">
        <f>AND(DATA!N145,"AAAAAH6/70A=")</f>
        <v>1</v>
      </c>
      <c r="BN64" t="b">
        <f>AND(DATA!O145,"AAAAAH6/70E=")</f>
        <v>1</v>
      </c>
      <c r="BO64" t="b">
        <f>AND(DATA!P145,"AAAAAH6/70I=")</f>
        <v>1</v>
      </c>
      <c r="BP64" t="b">
        <f>AND(DATA!Q145,"AAAAAH6/70M=")</f>
        <v>1</v>
      </c>
      <c r="BQ64" t="b">
        <f>AND(DATA!R145,"AAAAAH6/70Q=")</f>
        <v>1</v>
      </c>
      <c r="BR64" t="b">
        <f>AND(DATA!S145,"AAAAAH6/70U=")</f>
        <v>1</v>
      </c>
      <c r="BS64" t="b">
        <f>AND(DATA!T145,"AAAAAH6/70Y=")</f>
        <v>1</v>
      </c>
      <c r="BT64" t="b">
        <f>AND(DATA!U145,"AAAAAH6/70c=")</f>
        <v>1</v>
      </c>
      <c r="BU64" t="b">
        <f>AND(DATA!V145,"AAAAAH6/70g=")</f>
        <v>1</v>
      </c>
      <c r="BV64" t="e">
        <f>AND(DATA!W144,"AAAAAH6/70k=")</f>
        <v>#VALUE!</v>
      </c>
      <c r="BW64" t="e">
        <f>AND(DATA!X144,"AAAAAH6/70o=")</f>
        <v>#VALUE!</v>
      </c>
      <c r="BX64" t="e">
        <f>AND(DATA!Y144,"AAAAAH6/70s=")</f>
        <v>#VALUE!</v>
      </c>
      <c r="BY64">
        <f>IF(DATA!145:145,"AAAAAH6/70w=",0)</f>
        <v>0</v>
      </c>
      <c r="BZ64" t="e">
        <f>AND(DATA!A145,"AAAAAH6/700=")</f>
        <v>#VALUE!</v>
      </c>
      <c r="CA64" t="e">
        <f>AND(DATA!B145,"AAAAAH6/704=")</f>
        <v>#VALUE!</v>
      </c>
      <c r="CB64" t="e">
        <f>AND(DATA!C145,"AAAAAH6/708=")</f>
        <v>#VALUE!</v>
      </c>
      <c r="CC64" t="e">
        <f>AND(DATA!D145,"AAAAAH6/71A=")</f>
        <v>#VALUE!</v>
      </c>
      <c r="CD64" t="e">
        <f>AND(DATA!E145,"AAAAAH6/71E=")</f>
        <v>#VALUE!</v>
      </c>
      <c r="CE64" t="e">
        <f>AND(DATA!F145,"AAAAAH6/71I=")</f>
        <v>#VALUE!</v>
      </c>
      <c r="CF64" t="e">
        <f>AND(DATA!G145,"AAAAAH6/71M=")</f>
        <v>#VALUE!</v>
      </c>
      <c r="CG64" t="e">
        <f>AND(DATA!H145,"AAAAAH6/71Q=")</f>
        <v>#VALUE!</v>
      </c>
      <c r="CH64" t="e">
        <f>AND(DATA!I145,"AAAAAH6/71U=")</f>
        <v>#VALUE!</v>
      </c>
      <c r="CI64" t="e">
        <f>AND(DATA!J145,"AAAAAH6/71Y=")</f>
        <v>#VALUE!</v>
      </c>
      <c r="CJ64" t="e">
        <f>AND(DATA!K145,"AAAAAH6/71c=")</f>
        <v>#VALUE!</v>
      </c>
      <c r="CK64" t="b">
        <f>AND(DATA!L146,"AAAAAH6/71g=")</f>
        <v>1</v>
      </c>
      <c r="CL64" t="b">
        <f>AND(DATA!M146,"AAAAAH6/71k=")</f>
        <v>1</v>
      </c>
      <c r="CM64" t="b">
        <f>AND(DATA!N146,"AAAAAH6/71o=")</f>
        <v>1</v>
      </c>
      <c r="CN64" t="b">
        <f>AND(DATA!O146,"AAAAAH6/71s=")</f>
        <v>1</v>
      </c>
      <c r="CO64" t="b">
        <f>AND(DATA!P146,"AAAAAH6/71w=")</f>
        <v>1</v>
      </c>
      <c r="CP64" t="b">
        <f>AND(DATA!Q146,"AAAAAH6/710=")</f>
        <v>1</v>
      </c>
      <c r="CQ64" t="b">
        <f>AND(DATA!R146,"AAAAAH6/714=")</f>
        <v>1</v>
      </c>
      <c r="CR64" t="b">
        <f>AND(DATA!S146,"AAAAAH6/718=")</f>
        <v>1</v>
      </c>
      <c r="CS64" t="b">
        <f>AND(DATA!T146,"AAAAAH6/72A=")</f>
        <v>1</v>
      </c>
      <c r="CT64" t="b">
        <f>AND(DATA!U146,"AAAAAH6/72E=")</f>
        <v>1</v>
      </c>
      <c r="CU64" t="b">
        <f>AND(DATA!V146,"AAAAAH6/72I=")</f>
        <v>1</v>
      </c>
      <c r="CV64" t="e">
        <f>AND(DATA!W145,"AAAAAH6/72M=")</f>
        <v>#VALUE!</v>
      </c>
      <c r="CW64" t="e">
        <f>AND(DATA!X145,"AAAAAH6/72Q=")</f>
        <v>#VALUE!</v>
      </c>
      <c r="CX64" t="e">
        <f>AND(DATA!Y145,"AAAAAH6/72U=")</f>
        <v>#VALUE!</v>
      </c>
      <c r="CY64">
        <f>IF(DATA!146:146,"AAAAAH6/72Y=",0)</f>
        <v>0</v>
      </c>
      <c r="CZ64" t="e">
        <f>AND(DATA!A146,"AAAAAH6/72c=")</f>
        <v>#VALUE!</v>
      </c>
      <c r="DA64" t="e">
        <f>AND(DATA!B146,"AAAAAH6/72g=")</f>
        <v>#VALUE!</v>
      </c>
      <c r="DB64" t="e">
        <f>AND(DATA!C146,"AAAAAH6/72k=")</f>
        <v>#VALUE!</v>
      </c>
      <c r="DC64" t="e">
        <f>AND(DATA!D146,"AAAAAH6/72o=")</f>
        <v>#VALUE!</v>
      </c>
      <c r="DD64" t="e">
        <f>AND(DATA!E146,"AAAAAH6/72s=")</f>
        <v>#VALUE!</v>
      </c>
      <c r="DE64" t="e">
        <f>AND(DATA!F146,"AAAAAH6/72w=")</f>
        <v>#VALUE!</v>
      </c>
      <c r="DF64" t="e">
        <f>AND(DATA!G146,"AAAAAH6/720=")</f>
        <v>#VALUE!</v>
      </c>
      <c r="DG64" t="e">
        <f>AND(DATA!H146,"AAAAAH6/724=")</f>
        <v>#VALUE!</v>
      </c>
      <c r="DH64" t="e">
        <f>AND(DATA!I146,"AAAAAH6/728=")</f>
        <v>#VALUE!</v>
      </c>
      <c r="DI64" t="e">
        <f>AND(DATA!J146,"AAAAAH6/73A=")</f>
        <v>#VALUE!</v>
      </c>
      <c r="DJ64" t="e">
        <f>AND(DATA!K146,"AAAAAH6/73E=")</f>
        <v>#VALUE!</v>
      </c>
      <c r="DK64" t="b">
        <f>AND(DATA!L147,"AAAAAH6/73I=")</f>
        <v>1</v>
      </c>
      <c r="DL64" t="b">
        <f>AND(DATA!M147,"AAAAAH6/73M=")</f>
        <v>1</v>
      </c>
      <c r="DM64" t="b">
        <f>AND(DATA!N147,"AAAAAH6/73Q=")</f>
        <v>1</v>
      </c>
      <c r="DN64" t="b">
        <f>AND(DATA!O147,"AAAAAH6/73U=")</f>
        <v>1</v>
      </c>
      <c r="DO64" t="b">
        <f>AND(DATA!P147,"AAAAAH6/73Y=")</f>
        <v>1</v>
      </c>
      <c r="DP64" t="b">
        <f>AND(DATA!Q147,"AAAAAH6/73c=")</f>
        <v>1</v>
      </c>
      <c r="DQ64" t="b">
        <f>AND(DATA!R147,"AAAAAH6/73g=")</f>
        <v>1</v>
      </c>
      <c r="DR64" t="b">
        <f>AND(DATA!S147,"AAAAAH6/73k=")</f>
        <v>1</v>
      </c>
      <c r="DS64" t="b">
        <f>AND(DATA!T147,"AAAAAH6/73o=")</f>
        <v>1</v>
      </c>
      <c r="DT64" t="b">
        <f>AND(DATA!U147,"AAAAAH6/73s=")</f>
        <v>1</v>
      </c>
      <c r="DU64" t="b">
        <f>AND(DATA!V147,"AAAAAH6/73w=")</f>
        <v>1</v>
      </c>
      <c r="DV64" t="e">
        <f>AND(DATA!W146,"AAAAAH6/730=")</f>
        <v>#VALUE!</v>
      </c>
      <c r="DW64" t="e">
        <f>AND(DATA!X146,"AAAAAH6/734=")</f>
        <v>#VALUE!</v>
      </c>
      <c r="DX64" t="e">
        <f>AND(DATA!Y146,"AAAAAH6/738=")</f>
        <v>#VALUE!</v>
      </c>
      <c r="DY64">
        <f>IF(DATA!147:147,"AAAAAH6/74A=",0)</f>
        <v>0</v>
      </c>
      <c r="DZ64" t="e">
        <f>AND(DATA!A147,"AAAAAH6/74E=")</f>
        <v>#VALUE!</v>
      </c>
      <c r="EA64" t="e">
        <f>AND(DATA!B147,"AAAAAH6/74I=")</f>
        <v>#VALUE!</v>
      </c>
      <c r="EB64" t="e">
        <f>AND(DATA!C147,"AAAAAH6/74M=")</f>
        <v>#VALUE!</v>
      </c>
      <c r="EC64" t="e">
        <f>AND(DATA!D147,"AAAAAH6/74Q=")</f>
        <v>#VALUE!</v>
      </c>
      <c r="ED64" t="e">
        <f>AND(DATA!E147,"AAAAAH6/74U=")</f>
        <v>#VALUE!</v>
      </c>
      <c r="EE64" t="e">
        <f>AND(DATA!F147,"AAAAAH6/74Y=")</f>
        <v>#VALUE!</v>
      </c>
      <c r="EF64" t="e">
        <f>AND(DATA!G147,"AAAAAH6/74c=")</f>
        <v>#VALUE!</v>
      </c>
      <c r="EG64" t="e">
        <f>AND(DATA!H147,"AAAAAH6/74g=")</f>
        <v>#VALUE!</v>
      </c>
      <c r="EH64" t="e">
        <f>AND(DATA!I147,"AAAAAH6/74k=")</f>
        <v>#VALUE!</v>
      </c>
      <c r="EI64" t="e">
        <f>AND(DATA!J147,"AAAAAH6/74o=")</f>
        <v>#VALUE!</v>
      </c>
      <c r="EJ64" t="e">
        <f>AND(DATA!K147,"AAAAAH6/74s=")</f>
        <v>#VALUE!</v>
      </c>
      <c r="EK64" t="b">
        <f>AND(DATA!L148,"AAAAAH6/74w=")</f>
        <v>1</v>
      </c>
      <c r="EL64" t="b">
        <f>AND(DATA!M148,"AAAAAH6/740=")</f>
        <v>1</v>
      </c>
      <c r="EM64" t="b">
        <f>AND(DATA!N148,"AAAAAH6/744=")</f>
        <v>1</v>
      </c>
      <c r="EN64" t="b">
        <f>AND(DATA!O148,"AAAAAH6/748=")</f>
        <v>1</v>
      </c>
      <c r="EO64" t="b">
        <f>AND(DATA!P148,"AAAAAH6/75A=")</f>
        <v>1</v>
      </c>
      <c r="EP64" t="b">
        <f>AND(DATA!Q148,"AAAAAH6/75E=")</f>
        <v>1</v>
      </c>
      <c r="EQ64" t="b">
        <f>AND(DATA!R148,"AAAAAH6/75I=")</f>
        <v>1</v>
      </c>
      <c r="ER64" t="b">
        <f>AND(DATA!S148,"AAAAAH6/75M=")</f>
        <v>1</v>
      </c>
      <c r="ES64" t="b">
        <f>AND(DATA!T148,"AAAAAH6/75Q=")</f>
        <v>1</v>
      </c>
      <c r="ET64" t="b">
        <f>AND(DATA!U148,"AAAAAH6/75U=")</f>
        <v>1</v>
      </c>
      <c r="EU64" t="b">
        <f>AND(DATA!V148,"AAAAAH6/75Y=")</f>
        <v>1</v>
      </c>
      <c r="EV64" t="e">
        <f>AND(DATA!W147,"AAAAAH6/75c=")</f>
        <v>#VALUE!</v>
      </c>
      <c r="EW64" t="e">
        <f>AND(DATA!X147,"AAAAAH6/75g=")</f>
        <v>#VALUE!</v>
      </c>
      <c r="EX64" t="e">
        <f>AND(DATA!Y147,"AAAAAH6/75k=")</f>
        <v>#VALUE!</v>
      </c>
      <c r="EY64">
        <f>IF(DATA!148:148,"AAAAAH6/75o=",0)</f>
        <v>0</v>
      </c>
      <c r="EZ64" t="e">
        <f>AND(DATA!A148,"AAAAAH6/75s=")</f>
        <v>#VALUE!</v>
      </c>
      <c r="FA64" t="e">
        <f>AND(DATA!B148,"AAAAAH6/75w=")</f>
        <v>#VALUE!</v>
      </c>
      <c r="FB64" t="e">
        <f>AND(DATA!C148,"AAAAAH6/750=")</f>
        <v>#VALUE!</v>
      </c>
      <c r="FC64" t="e">
        <f>AND(DATA!D148,"AAAAAH6/754=")</f>
        <v>#VALUE!</v>
      </c>
      <c r="FD64" t="e">
        <f>AND(DATA!E148,"AAAAAH6/758=")</f>
        <v>#VALUE!</v>
      </c>
      <c r="FE64" t="e">
        <f>AND(DATA!F148,"AAAAAH6/76A=")</f>
        <v>#VALUE!</v>
      </c>
      <c r="FF64" t="e">
        <f>AND(DATA!G148,"AAAAAH6/76E=")</f>
        <v>#VALUE!</v>
      </c>
      <c r="FG64" t="e">
        <f>AND(DATA!H148,"AAAAAH6/76I=")</f>
        <v>#VALUE!</v>
      </c>
      <c r="FH64" t="e">
        <f>AND(DATA!I148,"AAAAAH6/76M=")</f>
        <v>#VALUE!</v>
      </c>
      <c r="FI64" t="e">
        <f>AND(DATA!J148,"AAAAAH6/76Q=")</f>
        <v>#VALUE!</v>
      </c>
      <c r="FJ64" t="e">
        <f>AND(DATA!K148,"AAAAAH6/76U=")</f>
        <v>#VALUE!</v>
      </c>
      <c r="FK64" t="b">
        <f>AND(DATA!L149,"AAAAAH6/76Y=")</f>
        <v>1</v>
      </c>
      <c r="FL64" t="b">
        <f>AND(DATA!M149,"AAAAAH6/76c=")</f>
        <v>1</v>
      </c>
      <c r="FM64" t="b">
        <f>AND(DATA!N149,"AAAAAH6/76g=")</f>
        <v>1</v>
      </c>
      <c r="FN64" t="b">
        <f>AND(DATA!O149,"AAAAAH6/76k=")</f>
        <v>1</v>
      </c>
      <c r="FO64" t="b">
        <f>AND(DATA!P149,"AAAAAH6/76o=")</f>
        <v>1</v>
      </c>
      <c r="FP64" t="b">
        <f>AND(DATA!Q149,"AAAAAH6/76s=")</f>
        <v>1</v>
      </c>
      <c r="FQ64" t="b">
        <f>AND(DATA!R149,"AAAAAH6/76w=")</f>
        <v>1</v>
      </c>
      <c r="FR64" t="b">
        <f>AND(DATA!S149,"AAAAAH6/760=")</f>
        <v>1</v>
      </c>
      <c r="FS64" t="b">
        <f>AND(DATA!T149,"AAAAAH6/764=")</f>
        <v>1</v>
      </c>
      <c r="FT64" t="b">
        <f>AND(DATA!U149,"AAAAAH6/768=")</f>
        <v>1</v>
      </c>
      <c r="FU64" t="b">
        <f>AND(DATA!V149,"AAAAAH6/77A=")</f>
        <v>1</v>
      </c>
      <c r="FV64" t="e">
        <f>AND(DATA!W148,"AAAAAH6/77E=")</f>
        <v>#VALUE!</v>
      </c>
      <c r="FW64" t="e">
        <f>AND(DATA!X148,"AAAAAH6/77I=")</f>
        <v>#VALUE!</v>
      </c>
      <c r="FX64" t="e">
        <f>AND(DATA!Y148,"AAAAAH6/77M=")</f>
        <v>#VALUE!</v>
      </c>
      <c r="FY64">
        <f>IF(DATA!149:149,"AAAAAH6/77Q=",0)</f>
        <v>0</v>
      </c>
      <c r="FZ64" t="e">
        <f>AND(DATA!A149,"AAAAAH6/77U=")</f>
        <v>#VALUE!</v>
      </c>
      <c r="GA64" t="e">
        <f>AND(DATA!B149,"AAAAAH6/77Y=")</f>
        <v>#VALUE!</v>
      </c>
      <c r="GB64" t="e">
        <f>AND(DATA!C149,"AAAAAH6/77c=")</f>
        <v>#VALUE!</v>
      </c>
      <c r="GC64" t="e">
        <f>AND(DATA!D149,"AAAAAH6/77g=")</f>
        <v>#VALUE!</v>
      </c>
      <c r="GD64" t="e">
        <f>AND(DATA!E149,"AAAAAH6/77k=")</f>
        <v>#VALUE!</v>
      </c>
      <c r="GE64" t="e">
        <f>AND(DATA!F149,"AAAAAH6/77o=")</f>
        <v>#VALUE!</v>
      </c>
      <c r="GF64" t="e">
        <f>AND(DATA!G149,"AAAAAH6/77s=")</f>
        <v>#VALUE!</v>
      </c>
      <c r="GG64" t="e">
        <f>AND(DATA!H149,"AAAAAH6/77w=")</f>
        <v>#VALUE!</v>
      </c>
      <c r="GH64" t="e">
        <f>AND(DATA!I149,"AAAAAH6/770=")</f>
        <v>#VALUE!</v>
      </c>
      <c r="GI64" t="e">
        <f>AND(DATA!J149,"AAAAAH6/774=")</f>
        <v>#VALUE!</v>
      </c>
      <c r="GJ64" t="e">
        <f>AND(DATA!K149,"AAAAAH6/778=")</f>
        <v>#VALUE!</v>
      </c>
      <c r="GK64" t="b">
        <f>AND(DATA!L150,"AAAAAH6/78A=")</f>
        <v>1</v>
      </c>
      <c r="GL64" t="b">
        <f>AND(DATA!M150,"AAAAAH6/78E=")</f>
        <v>1</v>
      </c>
      <c r="GM64" t="b">
        <f>AND(DATA!N150,"AAAAAH6/78I=")</f>
        <v>1</v>
      </c>
      <c r="GN64" t="b">
        <f>AND(DATA!O150,"AAAAAH6/78M=")</f>
        <v>1</v>
      </c>
      <c r="GO64" t="b">
        <f>AND(DATA!P150,"AAAAAH6/78Q=")</f>
        <v>1</v>
      </c>
      <c r="GP64" t="b">
        <f>AND(DATA!Q150,"AAAAAH6/78U=")</f>
        <v>1</v>
      </c>
      <c r="GQ64" t="b">
        <f>AND(DATA!R150,"AAAAAH6/78Y=")</f>
        <v>1</v>
      </c>
      <c r="GR64" t="b">
        <f>AND(DATA!S150,"AAAAAH6/78c=")</f>
        <v>1</v>
      </c>
      <c r="GS64" t="b">
        <f>AND(DATA!T150,"AAAAAH6/78g=")</f>
        <v>1</v>
      </c>
      <c r="GT64" t="b">
        <f>AND(DATA!U150,"AAAAAH6/78k=")</f>
        <v>1</v>
      </c>
      <c r="GU64" t="b">
        <f>AND(DATA!V150,"AAAAAH6/78o=")</f>
        <v>1</v>
      </c>
      <c r="GV64" t="e">
        <f>AND(DATA!W149,"AAAAAH6/78s=")</f>
        <v>#VALUE!</v>
      </c>
      <c r="GW64" t="e">
        <f>AND(DATA!X149,"AAAAAH6/78w=")</f>
        <v>#VALUE!</v>
      </c>
      <c r="GX64" t="e">
        <f>AND(DATA!Y149,"AAAAAH6/780=")</f>
        <v>#VALUE!</v>
      </c>
      <c r="GY64">
        <f>IF(DATA!150:150,"AAAAAH6/784=",0)</f>
        <v>0</v>
      </c>
      <c r="GZ64" t="e">
        <f>AND(DATA!A150,"AAAAAH6/788=")</f>
        <v>#VALUE!</v>
      </c>
      <c r="HA64" t="e">
        <f>AND(DATA!B150,"AAAAAH6/79A=")</f>
        <v>#VALUE!</v>
      </c>
      <c r="HB64" t="e">
        <f>AND(DATA!C150,"AAAAAH6/79E=")</f>
        <v>#VALUE!</v>
      </c>
      <c r="HC64" t="e">
        <f>AND(DATA!D150,"AAAAAH6/79I=")</f>
        <v>#VALUE!</v>
      </c>
      <c r="HD64" t="e">
        <f>AND(DATA!E150,"AAAAAH6/79M=")</f>
        <v>#VALUE!</v>
      </c>
      <c r="HE64" t="e">
        <f>AND(DATA!F150,"AAAAAH6/79Q=")</f>
        <v>#VALUE!</v>
      </c>
      <c r="HF64" t="e">
        <f>AND(DATA!G150,"AAAAAH6/79U=")</f>
        <v>#VALUE!</v>
      </c>
      <c r="HG64" t="e">
        <f>AND(DATA!H150,"AAAAAH6/79Y=")</f>
        <v>#VALUE!</v>
      </c>
      <c r="HH64" t="e">
        <f>AND(DATA!I150,"AAAAAH6/79c=")</f>
        <v>#VALUE!</v>
      </c>
      <c r="HI64" t="e">
        <f>AND(DATA!J150,"AAAAAH6/79g=")</f>
        <v>#VALUE!</v>
      </c>
      <c r="HJ64" t="e">
        <f>AND(DATA!K150,"AAAAAH6/79k=")</f>
        <v>#VALUE!</v>
      </c>
      <c r="HK64" t="b">
        <f>AND(DATA!L151,"AAAAAH6/79o=")</f>
        <v>1</v>
      </c>
      <c r="HL64" t="b">
        <f>AND(DATA!M151,"AAAAAH6/79s=")</f>
        <v>1</v>
      </c>
      <c r="HM64" t="b">
        <f>AND(DATA!N151,"AAAAAH6/79w=")</f>
        <v>1</v>
      </c>
      <c r="HN64" t="b">
        <f>AND(DATA!O151,"AAAAAH6/790=")</f>
        <v>1</v>
      </c>
      <c r="HO64" t="b">
        <f>AND(DATA!P151,"AAAAAH6/794=")</f>
        <v>1</v>
      </c>
      <c r="HP64" t="b">
        <f>AND(DATA!Q151,"AAAAAH6/798=")</f>
        <v>1</v>
      </c>
      <c r="HQ64" t="b">
        <f>AND(DATA!R151,"AAAAAH6/7+A=")</f>
        <v>1</v>
      </c>
      <c r="HR64" t="b">
        <f>AND(DATA!S151,"AAAAAH6/7+E=")</f>
        <v>1</v>
      </c>
      <c r="HS64" t="b">
        <f>AND(DATA!T151,"AAAAAH6/7+I=")</f>
        <v>1</v>
      </c>
      <c r="HT64" t="b">
        <f>AND(DATA!U151,"AAAAAH6/7+M=")</f>
        <v>1</v>
      </c>
      <c r="HU64" t="b">
        <f>AND(DATA!V151,"AAAAAH6/7+Q=")</f>
        <v>1</v>
      </c>
      <c r="HV64" t="e">
        <f>AND(DATA!W150,"AAAAAH6/7+U=")</f>
        <v>#VALUE!</v>
      </c>
      <c r="HW64" t="e">
        <f>AND(DATA!X150,"AAAAAH6/7+Y=")</f>
        <v>#VALUE!</v>
      </c>
      <c r="HX64" t="e">
        <f>AND(DATA!Y150,"AAAAAH6/7+c=")</f>
        <v>#VALUE!</v>
      </c>
      <c r="HY64">
        <f>IF(DATA!151:151,"AAAAAH6/7+g=",0)</f>
        <v>0</v>
      </c>
      <c r="HZ64" t="e">
        <f>AND(DATA!A151,"AAAAAH6/7+k=")</f>
        <v>#VALUE!</v>
      </c>
      <c r="IA64" t="e">
        <f>AND(DATA!B151,"AAAAAH6/7+o=")</f>
        <v>#VALUE!</v>
      </c>
      <c r="IB64" t="e">
        <f>AND(DATA!C151,"AAAAAH6/7+s=")</f>
        <v>#VALUE!</v>
      </c>
      <c r="IC64" t="e">
        <f>AND(DATA!D151,"AAAAAH6/7+w=")</f>
        <v>#VALUE!</v>
      </c>
      <c r="ID64" t="e">
        <f>AND(DATA!E151,"AAAAAH6/7+0=")</f>
        <v>#VALUE!</v>
      </c>
      <c r="IE64" t="e">
        <f>AND(DATA!F151,"AAAAAH6/7+4=")</f>
        <v>#VALUE!</v>
      </c>
      <c r="IF64" t="e">
        <f>AND(DATA!G151,"AAAAAH6/7+8=")</f>
        <v>#VALUE!</v>
      </c>
      <c r="IG64" t="e">
        <f>AND(DATA!H151,"AAAAAH6/7/A=")</f>
        <v>#VALUE!</v>
      </c>
      <c r="IH64" t="e">
        <f>AND(DATA!I151,"AAAAAH6/7/E=")</f>
        <v>#VALUE!</v>
      </c>
      <c r="II64" t="e">
        <f>AND(DATA!J151,"AAAAAH6/7/I=")</f>
        <v>#VALUE!</v>
      </c>
      <c r="IJ64" t="e">
        <f>AND(DATA!K151,"AAAAAH6/7/M=")</f>
        <v>#VALUE!</v>
      </c>
      <c r="IK64" t="b">
        <f>AND(DATA!L152,"AAAAAH6/7/Q=")</f>
        <v>1</v>
      </c>
      <c r="IL64" t="b">
        <f>AND(DATA!M152,"AAAAAH6/7/U=")</f>
        <v>1</v>
      </c>
      <c r="IM64" t="b">
        <f>AND(DATA!N152,"AAAAAH6/7/Y=")</f>
        <v>1</v>
      </c>
      <c r="IN64" t="b">
        <f>AND(DATA!O152,"AAAAAH6/7/c=")</f>
        <v>1</v>
      </c>
      <c r="IO64" t="b">
        <f>AND(DATA!P152,"AAAAAH6/7/g=")</f>
        <v>1</v>
      </c>
      <c r="IP64" t="b">
        <f>AND(DATA!Q152,"AAAAAH6/7/k=")</f>
        <v>1</v>
      </c>
      <c r="IQ64" t="b">
        <f>AND(DATA!R152,"AAAAAH6/7/o=")</f>
        <v>1</v>
      </c>
      <c r="IR64" t="b">
        <f>AND(DATA!S152,"AAAAAH6/7/s=")</f>
        <v>1</v>
      </c>
      <c r="IS64" t="b">
        <f>AND(DATA!T152,"AAAAAH6/7/w=")</f>
        <v>1</v>
      </c>
      <c r="IT64" t="b">
        <f>AND(DATA!U152,"AAAAAH6/7/0=")</f>
        <v>1</v>
      </c>
      <c r="IU64" t="b">
        <f>AND(DATA!V152,"AAAAAH6/7/4=")</f>
        <v>1</v>
      </c>
      <c r="IV64" t="e">
        <f>AND(DATA!W151,"AAAAAH6/7/8=")</f>
        <v>#VALUE!</v>
      </c>
    </row>
    <row r="65" spans="1:256" x14ac:dyDescent="0.25">
      <c r="A65" t="e">
        <f>AND(DATA!X151,"AAAAAEf7sgA=")</f>
        <v>#VALUE!</v>
      </c>
      <c r="B65" t="e">
        <f>AND(DATA!Y151,"AAAAAEf7sgE=")</f>
        <v>#VALUE!</v>
      </c>
      <c r="C65">
        <f>IF(DATA!152:152,"AAAAAEf7sgI=",0)</f>
        <v>0</v>
      </c>
      <c r="D65" t="e">
        <f>AND(DATA!A152,"AAAAAEf7sgM=")</f>
        <v>#VALUE!</v>
      </c>
      <c r="E65" t="e">
        <f>AND(DATA!B152,"AAAAAEf7sgQ=")</f>
        <v>#VALUE!</v>
      </c>
      <c r="F65" t="e">
        <f>AND(DATA!C152,"AAAAAEf7sgU=")</f>
        <v>#VALUE!</v>
      </c>
      <c r="G65" t="e">
        <f>AND(DATA!D152,"AAAAAEf7sgY=")</f>
        <v>#VALUE!</v>
      </c>
      <c r="H65" t="e">
        <f>AND(DATA!E152,"AAAAAEf7sgc=")</f>
        <v>#VALUE!</v>
      </c>
      <c r="I65" t="e">
        <f>AND(DATA!F152,"AAAAAEf7sgg=")</f>
        <v>#VALUE!</v>
      </c>
      <c r="J65" t="e">
        <f>AND(DATA!G152,"AAAAAEf7sgk=")</f>
        <v>#VALUE!</v>
      </c>
      <c r="K65" t="e">
        <f>AND(DATA!H152,"AAAAAEf7sgo=")</f>
        <v>#VALUE!</v>
      </c>
      <c r="L65" t="e">
        <f>AND(DATA!I152,"AAAAAEf7sgs=")</f>
        <v>#VALUE!</v>
      </c>
      <c r="M65" t="e">
        <f>AND(DATA!J152,"AAAAAEf7sgw=")</f>
        <v>#VALUE!</v>
      </c>
      <c r="N65" t="e">
        <f>AND(DATA!K152,"AAAAAEf7sg0=")</f>
        <v>#VALUE!</v>
      </c>
      <c r="O65" t="b">
        <f>AND(DATA!L153,"AAAAAEf7sg4=")</f>
        <v>1</v>
      </c>
      <c r="P65" t="b">
        <f>AND(DATA!M153,"AAAAAEf7sg8=")</f>
        <v>1</v>
      </c>
      <c r="Q65" t="b">
        <f>AND(DATA!N153,"AAAAAEf7shA=")</f>
        <v>1</v>
      </c>
      <c r="R65" t="b">
        <f>AND(DATA!O153,"AAAAAEf7shE=")</f>
        <v>1</v>
      </c>
      <c r="S65" t="b">
        <f>AND(DATA!P153,"AAAAAEf7shI=")</f>
        <v>1</v>
      </c>
      <c r="T65" t="b">
        <f>AND(DATA!Q153,"AAAAAEf7shM=")</f>
        <v>1</v>
      </c>
      <c r="U65" t="b">
        <f>AND(DATA!R153,"AAAAAEf7shQ=")</f>
        <v>1</v>
      </c>
      <c r="V65" t="b">
        <f>AND(DATA!S153,"AAAAAEf7shU=")</f>
        <v>1</v>
      </c>
      <c r="W65" t="b">
        <f>AND(DATA!T153,"AAAAAEf7shY=")</f>
        <v>1</v>
      </c>
      <c r="X65" t="b">
        <f>AND(DATA!U153,"AAAAAEf7shc=")</f>
        <v>1</v>
      </c>
      <c r="Y65" t="b">
        <f>AND(DATA!V153,"AAAAAEf7shg=")</f>
        <v>1</v>
      </c>
      <c r="Z65" t="e">
        <f>AND(DATA!W152,"AAAAAEf7shk=")</f>
        <v>#VALUE!</v>
      </c>
      <c r="AA65" t="e">
        <f>AND(DATA!X152,"AAAAAEf7sho=")</f>
        <v>#VALUE!</v>
      </c>
      <c r="AB65" t="e">
        <f>AND(DATA!Y152,"AAAAAEf7shs=")</f>
        <v>#VALUE!</v>
      </c>
      <c r="AC65">
        <f>IF(DATA!153:153,"AAAAAEf7shw=",0)</f>
        <v>0</v>
      </c>
      <c r="AD65" t="e">
        <f>AND(DATA!A153,"AAAAAEf7sh0=")</f>
        <v>#VALUE!</v>
      </c>
      <c r="AE65" t="e">
        <f>AND(DATA!B153,"AAAAAEf7sh4=")</f>
        <v>#VALUE!</v>
      </c>
      <c r="AF65" t="e">
        <f>AND(DATA!C153,"AAAAAEf7sh8=")</f>
        <v>#VALUE!</v>
      </c>
      <c r="AG65" t="e">
        <f>AND(DATA!D153,"AAAAAEf7siA=")</f>
        <v>#VALUE!</v>
      </c>
      <c r="AH65" t="e">
        <f>AND(DATA!E153,"AAAAAEf7siE=")</f>
        <v>#VALUE!</v>
      </c>
      <c r="AI65" t="e">
        <f>AND(DATA!F153,"AAAAAEf7siI=")</f>
        <v>#VALUE!</v>
      </c>
      <c r="AJ65" t="e">
        <f>AND(DATA!G153,"AAAAAEf7siM=")</f>
        <v>#VALUE!</v>
      </c>
      <c r="AK65" t="e">
        <f>AND(DATA!H153,"AAAAAEf7siQ=")</f>
        <v>#VALUE!</v>
      </c>
      <c r="AL65" t="e">
        <f>AND(DATA!I153,"AAAAAEf7siU=")</f>
        <v>#VALUE!</v>
      </c>
      <c r="AM65" t="e">
        <f>AND(DATA!J153,"AAAAAEf7siY=")</f>
        <v>#VALUE!</v>
      </c>
      <c r="AN65" t="e">
        <f>AND(DATA!K153,"AAAAAEf7sic=")</f>
        <v>#VALUE!</v>
      </c>
      <c r="AO65" t="b">
        <f>AND(DATA!L154,"AAAAAEf7sig=")</f>
        <v>1</v>
      </c>
      <c r="AP65" t="b">
        <f>AND(DATA!M154,"AAAAAEf7sik=")</f>
        <v>1</v>
      </c>
      <c r="AQ65" t="b">
        <f>AND(DATA!N154,"AAAAAEf7sio=")</f>
        <v>1</v>
      </c>
      <c r="AR65" t="b">
        <f>AND(DATA!O154,"AAAAAEf7sis=")</f>
        <v>1</v>
      </c>
      <c r="AS65" t="b">
        <f>AND(DATA!P154,"AAAAAEf7siw=")</f>
        <v>1</v>
      </c>
      <c r="AT65" t="b">
        <f>AND(DATA!Q154,"AAAAAEf7si0=")</f>
        <v>1</v>
      </c>
      <c r="AU65" t="b">
        <f>AND(DATA!R154,"AAAAAEf7si4=")</f>
        <v>1</v>
      </c>
      <c r="AV65" t="b">
        <f>AND(DATA!S154,"AAAAAEf7si8=")</f>
        <v>1</v>
      </c>
      <c r="AW65" t="b">
        <f>AND(DATA!T154,"AAAAAEf7sjA=")</f>
        <v>1</v>
      </c>
      <c r="AX65" t="b">
        <f>AND(DATA!U154,"AAAAAEf7sjE=")</f>
        <v>1</v>
      </c>
      <c r="AY65" t="b">
        <f>AND(DATA!V154,"AAAAAEf7sjI=")</f>
        <v>1</v>
      </c>
      <c r="AZ65" t="e">
        <f>AND(DATA!W153,"AAAAAEf7sjM=")</f>
        <v>#VALUE!</v>
      </c>
      <c r="BA65" t="e">
        <f>AND(DATA!X153,"AAAAAEf7sjQ=")</f>
        <v>#VALUE!</v>
      </c>
      <c r="BB65" t="e">
        <f>AND(DATA!Y153,"AAAAAEf7sjU=")</f>
        <v>#VALUE!</v>
      </c>
      <c r="BC65">
        <f>IF(DATA!154:154,"AAAAAEf7sjY=",0)</f>
        <v>0</v>
      </c>
      <c r="BD65" t="e">
        <f>AND(DATA!A154,"AAAAAEf7sjc=")</f>
        <v>#VALUE!</v>
      </c>
      <c r="BE65" t="e">
        <f>AND(DATA!B154,"AAAAAEf7sjg=")</f>
        <v>#VALUE!</v>
      </c>
      <c r="BF65" t="e">
        <f>AND(DATA!C154,"AAAAAEf7sjk=")</f>
        <v>#VALUE!</v>
      </c>
      <c r="BG65" t="e">
        <f>AND(DATA!D154,"AAAAAEf7sjo=")</f>
        <v>#VALUE!</v>
      </c>
      <c r="BH65" t="e">
        <f>AND(DATA!E154,"AAAAAEf7sjs=")</f>
        <v>#VALUE!</v>
      </c>
      <c r="BI65" t="e">
        <f>AND(DATA!F154,"AAAAAEf7sjw=")</f>
        <v>#VALUE!</v>
      </c>
      <c r="BJ65" t="e">
        <f>AND(DATA!G154,"AAAAAEf7sj0=")</f>
        <v>#VALUE!</v>
      </c>
      <c r="BK65" t="e">
        <f>AND(DATA!H154,"AAAAAEf7sj4=")</f>
        <v>#VALUE!</v>
      </c>
      <c r="BL65" t="e">
        <f>AND(DATA!I154,"AAAAAEf7sj8=")</f>
        <v>#VALUE!</v>
      </c>
      <c r="BM65" t="e">
        <f>AND(DATA!J154,"AAAAAEf7skA=")</f>
        <v>#VALUE!</v>
      </c>
      <c r="BN65" t="e">
        <f>AND(DATA!K154,"AAAAAEf7skE=")</f>
        <v>#VALUE!</v>
      </c>
      <c r="BO65" t="b">
        <f>AND(DATA!L155,"AAAAAEf7skI=")</f>
        <v>1</v>
      </c>
      <c r="BP65" t="b">
        <f>AND(DATA!M155,"AAAAAEf7skM=")</f>
        <v>1</v>
      </c>
      <c r="BQ65" t="b">
        <f>AND(DATA!N155,"AAAAAEf7skQ=")</f>
        <v>1</v>
      </c>
      <c r="BR65" t="b">
        <f>AND(DATA!O155,"AAAAAEf7skU=")</f>
        <v>1</v>
      </c>
      <c r="BS65" t="b">
        <f>AND(DATA!P155,"AAAAAEf7skY=")</f>
        <v>1</v>
      </c>
      <c r="BT65" t="b">
        <f>AND(DATA!Q155,"AAAAAEf7skc=")</f>
        <v>1</v>
      </c>
      <c r="BU65" t="b">
        <f>AND(DATA!R155,"AAAAAEf7skg=")</f>
        <v>1</v>
      </c>
      <c r="BV65" t="b">
        <f>AND(DATA!S155,"AAAAAEf7skk=")</f>
        <v>1</v>
      </c>
      <c r="BW65" t="b">
        <f>AND(DATA!T155,"AAAAAEf7sko=")</f>
        <v>1</v>
      </c>
      <c r="BX65" t="b">
        <f>AND(DATA!U155,"AAAAAEf7sks=")</f>
        <v>1</v>
      </c>
      <c r="BY65" t="b">
        <f>AND(DATA!V155,"AAAAAEf7skw=")</f>
        <v>1</v>
      </c>
      <c r="BZ65" t="e">
        <f>AND(DATA!W154,"AAAAAEf7sk0=")</f>
        <v>#VALUE!</v>
      </c>
      <c r="CA65" t="e">
        <f>AND(DATA!X154,"AAAAAEf7sk4=")</f>
        <v>#VALUE!</v>
      </c>
      <c r="CB65" t="e">
        <f>AND(DATA!Y154,"AAAAAEf7sk8=")</f>
        <v>#VALUE!</v>
      </c>
      <c r="CC65">
        <f>IF(DATA!155:155,"AAAAAEf7slA=",0)</f>
        <v>0</v>
      </c>
      <c r="CD65" t="e">
        <f>AND(DATA!A155,"AAAAAEf7slE=")</f>
        <v>#VALUE!</v>
      </c>
      <c r="CE65" t="e">
        <f>AND(DATA!B155,"AAAAAEf7slI=")</f>
        <v>#VALUE!</v>
      </c>
      <c r="CF65" t="e">
        <f>AND(DATA!C155,"AAAAAEf7slM=")</f>
        <v>#VALUE!</v>
      </c>
      <c r="CG65" t="e">
        <f>AND(DATA!D155,"AAAAAEf7slQ=")</f>
        <v>#VALUE!</v>
      </c>
      <c r="CH65" t="e">
        <f>AND(DATA!E155,"AAAAAEf7slU=")</f>
        <v>#VALUE!</v>
      </c>
      <c r="CI65" t="e">
        <f>AND(DATA!F155,"AAAAAEf7slY=")</f>
        <v>#VALUE!</v>
      </c>
      <c r="CJ65" t="e">
        <f>AND(DATA!G155,"AAAAAEf7slc=")</f>
        <v>#VALUE!</v>
      </c>
      <c r="CK65" t="e">
        <f>AND(DATA!H155,"AAAAAEf7slg=")</f>
        <v>#VALUE!</v>
      </c>
      <c r="CL65" t="e">
        <f>AND(DATA!I155,"AAAAAEf7slk=")</f>
        <v>#VALUE!</v>
      </c>
      <c r="CM65" t="e">
        <f>AND(DATA!J155,"AAAAAEf7slo=")</f>
        <v>#VALUE!</v>
      </c>
      <c r="CN65" t="e">
        <f>AND(DATA!K155,"AAAAAEf7sls=")</f>
        <v>#VALUE!</v>
      </c>
      <c r="CO65" t="b">
        <f>AND(DATA!L156,"AAAAAEf7slw=")</f>
        <v>1</v>
      </c>
      <c r="CP65" t="b">
        <f>AND(DATA!M156,"AAAAAEf7sl0=")</f>
        <v>1</v>
      </c>
      <c r="CQ65" t="b">
        <f>AND(DATA!N156,"AAAAAEf7sl4=")</f>
        <v>1</v>
      </c>
      <c r="CR65" t="b">
        <f>AND(DATA!O156,"AAAAAEf7sl8=")</f>
        <v>1</v>
      </c>
      <c r="CS65" t="b">
        <f>AND(DATA!P156,"AAAAAEf7smA=")</f>
        <v>1</v>
      </c>
      <c r="CT65" t="b">
        <f>AND(DATA!Q156,"AAAAAEf7smE=")</f>
        <v>1</v>
      </c>
      <c r="CU65" t="b">
        <f>AND(DATA!R156,"AAAAAEf7smI=")</f>
        <v>1</v>
      </c>
      <c r="CV65" t="b">
        <f>AND(DATA!S156,"AAAAAEf7smM=")</f>
        <v>1</v>
      </c>
      <c r="CW65" t="b">
        <f>AND(DATA!T156,"AAAAAEf7smQ=")</f>
        <v>1</v>
      </c>
      <c r="CX65" t="b">
        <f>AND(DATA!U156,"AAAAAEf7smU=")</f>
        <v>1</v>
      </c>
      <c r="CY65" t="b">
        <f>AND(DATA!V156,"AAAAAEf7smY=")</f>
        <v>1</v>
      </c>
      <c r="CZ65" t="e">
        <f>AND(DATA!W155,"AAAAAEf7smc=")</f>
        <v>#VALUE!</v>
      </c>
      <c r="DA65" t="e">
        <f>AND(DATA!X155,"AAAAAEf7smg=")</f>
        <v>#VALUE!</v>
      </c>
      <c r="DB65" t="e">
        <f>AND(DATA!Y155,"AAAAAEf7smk=")</f>
        <v>#VALUE!</v>
      </c>
      <c r="DC65">
        <f>IF(DATA!156:156,"AAAAAEf7smo=",0)</f>
        <v>0</v>
      </c>
      <c r="DD65" t="e">
        <f>AND(DATA!A156,"AAAAAEf7sms=")</f>
        <v>#VALUE!</v>
      </c>
      <c r="DE65" t="e">
        <f>AND(DATA!B156,"AAAAAEf7smw=")</f>
        <v>#VALUE!</v>
      </c>
      <c r="DF65" t="e">
        <f>AND(DATA!C156,"AAAAAEf7sm0=")</f>
        <v>#VALUE!</v>
      </c>
      <c r="DG65" t="e">
        <f>AND(DATA!D156,"AAAAAEf7sm4=")</f>
        <v>#VALUE!</v>
      </c>
      <c r="DH65" t="e">
        <f>AND(DATA!E156,"AAAAAEf7sm8=")</f>
        <v>#VALUE!</v>
      </c>
      <c r="DI65" t="e">
        <f>AND(DATA!F156,"AAAAAEf7snA=")</f>
        <v>#VALUE!</v>
      </c>
      <c r="DJ65" t="e">
        <f>AND(DATA!G156,"AAAAAEf7snE=")</f>
        <v>#VALUE!</v>
      </c>
      <c r="DK65" t="e">
        <f>AND(DATA!H156,"AAAAAEf7snI=")</f>
        <v>#VALUE!</v>
      </c>
      <c r="DL65" t="e">
        <f>AND(DATA!I156,"AAAAAEf7snM=")</f>
        <v>#VALUE!</v>
      </c>
      <c r="DM65" t="e">
        <f>AND(DATA!J156,"AAAAAEf7snQ=")</f>
        <v>#VALUE!</v>
      </c>
      <c r="DN65" t="e">
        <f>AND(DATA!K156,"AAAAAEf7snU=")</f>
        <v>#VALUE!</v>
      </c>
      <c r="DO65" t="b">
        <f>AND(DATA!L157,"AAAAAEf7snY=")</f>
        <v>1</v>
      </c>
      <c r="DP65" t="b">
        <f>AND(DATA!M157,"AAAAAEf7snc=")</f>
        <v>1</v>
      </c>
      <c r="DQ65" t="b">
        <f>AND(DATA!N157,"AAAAAEf7sng=")</f>
        <v>1</v>
      </c>
      <c r="DR65" t="b">
        <f>AND(DATA!O157,"AAAAAEf7snk=")</f>
        <v>1</v>
      </c>
      <c r="DS65" t="b">
        <f>AND(DATA!P157,"AAAAAEf7sno=")</f>
        <v>1</v>
      </c>
      <c r="DT65" t="b">
        <f>AND(DATA!Q157,"AAAAAEf7sns=")</f>
        <v>1</v>
      </c>
      <c r="DU65" t="b">
        <f>AND(DATA!R157,"AAAAAEf7snw=")</f>
        <v>1</v>
      </c>
      <c r="DV65" t="b">
        <f>AND(DATA!S157,"AAAAAEf7sn0=")</f>
        <v>1</v>
      </c>
      <c r="DW65" t="b">
        <f>AND(DATA!T157,"AAAAAEf7sn4=")</f>
        <v>1</v>
      </c>
      <c r="DX65" t="b">
        <f>AND(DATA!U157,"AAAAAEf7sn8=")</f>
        <v>1</v>
      </c>
      <c r="DY65" t="b">
        <f>AND(DATA!V157,"AAAAAEf7soA=")</f>
        <v>1</v>
      </c>
      <c r="DZ65" t="e">
        <f>AND(DATA!W156,"AAAAAEf7soE=")</f>
        <v>#VALUE!</v>
      </c>
      <c r="EA65" t="e">
        <f>AND(DATA!X156,"AAAAAEf7soI=")</f>
        <v>#VALUE!</v>
      </c>
      <c r="EB65" t="e">
        <f>AND(DATA!Y156,"AAAAAEf7soM=")</f>
        <v>#VALUE!</v>
      </c>
      <c r="EC65">
        <f>IF(DATA!157:157,"AAAAAEf7soQ=",0)</f>
        <v>0</v>
      </c>
      <c r="ED65" t="e">
        <f>AND(DATA!A157,"AAAAAEf7soU=")</f>
        <v>#VALUE!</v>
      </c>
      <c r="EE65" t="e">
        <f>AND(DATA!B157,"AAAAAEf7soY=")</f>
        <v>#VALUE!</v>
      </c>
      <c r="EF65" t="e">
        <f>AND(DATA!C157,"AAAAAEf7soc=")</f>
        <v>#VALUE!</v>
      </c>
      <c r="EG65" t="e">
        <f>AND(DATA!D157,"AAAAAEf7sog=")</f>
        <v>#VALUE!</v>
      </c>
      <c r="EH65" t="e">
        <f>AND(DATA!E157,"AAAAAEf7sok=")</f>
        <v>#VALUE!</v>
      </c>
      <c r="EI65" t="e">
        <f>AND(DATA!F157,"AAAAAEf7soo=")</f>
        <v>#VALUE!</v>
      </c>
      <c r="EJ65" t="e">
        <f>AND(DATA!G157,"AAAAAEf7sos=")</f>
        <v>#VALUE!</v>
      </c>
      <c r="EK65" t="e">
        <f>AND(DATA!H157,"AAAAAEf7sow=")</f>
        <v>#VALUE!</v>
      </c>
      <c r="EL65" t="e">
        <f>AND(DATA!I157,"AAAAAEf7so0=")</f>
        <v>#VALUE!</v>
      </c>
      <c r="EM65" t="e">
        <f>AND(DATA!J157,"AAAAAEf7so4=")</f>
        <v>#VALUE!</v>
      </c>
      <c r="EN65" t="e">
        <f>AND(DATA!K157,"AAAAAEf7so8=")</f>
        <v>#VALUE!</v>
      </c>
      <c r="EO65" t="b">
        <f>AND(DATA!L158,"AAAAAEf7spA=")</f>
        <v>1</v>
      </c>
      <c r="EP65" t="b">
        <f>AND(DATA!M158,"AAAAAEf7spE=")</f>
        <v>1</v>
      </c>
      <c r="EQ65" t="b">
        <f>AND(DATA!N158,"AAAAAEf7spI=")</f>
        <v>1</v>
      </c>
      <c r="ER65" t="b">
        <f>AND(DATA!O158,"AAAAAEf7spM=")</f>
        <v>1</v>
      </c>
      <c r="ES65" t="b">
        <f>AND(DATA!P158,"AAAAAEf7spQ=")</f>
        <v>1</v>
      </c>
      <c r="ET65" t="b">
        <f>AND(DATA!Q158,"AAAAAEf7spU=")</f>
        <v>1</v>
      </c>
      <c r="EU65" t="b">
        <f>AND(DATA!R158,"AAAAAEf7spY=")</f>
        <v>1</v>
      </c>
      <c r="EV65" t="b">
        <f>AND(DATA!S158,"AAAAAEf7spc=")</f>
        <v>1</v>
      </c>
      <c r="EW65" t="b">
        <f>AND(DATA!T158,"AAAAAEf7spg=")</f>
        <v>1</v>
      </c>
      <c r="EX65" t="b">
        <f>AND(DATA!U158,"AAAAAEf7spk=")</f>
        <v>1</v>
      </c>
      <c r="EY65" t="b">
        <f>AND(DATA!V158,"AAAAAEf7spo=")</f>
        <v>1</v>
      </c>
      <c r="EZ65" t="e">
        <f>AND(DATA!W157,"AAAAAEf7sps=")</f>
        <v>#VALUE!</v>
      </c>
      <c r="FA65" t="e">
        <f>AND(DATA!X157,"AAAAAEf7spw=")</f>
        <v>#VALUE!</v>
      </c>
      <c r="FB65" t="e">
        <f>AND(DATA!Y157,"AAAAAEf7sp0=")</f>
        <v>#VALUE!</v>
      </c>
      <c r="FC65">
        <f>IF(DATA!158:158,"AAAAAEf7sp4=",0)</f>
        <v>0</v>
      </c>
      <c r="FD65" t="e">
        <f>AND(DATA!A158,"AAAAAEf7sp8=")</f>
        <v>#VALUE!</v>
      </c>
      <c r="FE65" t="e">
        <f>AND(DATA!B158,"AAAAAEf7sqA=")</f>
        <v>#VALUE!</v>
      </c>
      <c r="FF65" t="e">
        <f>AND(DATA!C158,"AAAAAEf7sqE=")</f>
        <v>#VALUE!</v>
      </c>
      <c r="FG65" t="e">
        <f>AND(DATA!D158,"AAAAAEf7sqI=")</f>
        <v>#VALUE!</v>
      </c>
      <c r="FH65" t="e">
        <f>AND(DATA!E158,"AAAAAEf7sqM=")</f>
        <v>#VALUE!</v>
      </c>
      <c r="FI65" t="e">
        <f>AND(DATA!F158,"AAAAAEf7sqQ=")</f>
        <v>#VALUE!</v>
      </c>
      <c r="FJ65" t="e">
        <f>AND(DATA!G158,"AAAAAEf7sqU=")</f>
        <v>#VALUE!</v>
      </c>
      <c r="FK65" t="e">
        <f>AND(DATA!H158,"AAAAAEf7sqY=")</f>
        <v>#VALUE!</v>
      </c>
      <c r="FL65" t="e">
        <f>AND(DATA!I158,"AAAAAEf7sqc=")</f>
        <v>#VALUE!</v>
      </c>
      <c r="FM65" t="e">
        <f>AND(DATA!J158,"AAAAAEf7sqg=")</f>
        <v>#VALUE!</v>
      </c>
      <c r="FN65" t="e">
        <f>AND(DATA!K158,"AAAAAEf7sqk=")</f>
        <v>#VALUE!</v>
      </c>
      <c r="FO65" t="b">
        <f>AND(DATA!L159,"AAAAAEf7sqo=")</f>
        <v>1</v>
      </c>
      <c r="FP65" t="b">
        <f>AND(DATA!M159,"AAAAAEf7sqs=")</f>
        <v>1</v>
      </c>
      <c r="FQ65" t="b">
        <f>AND(DATA!N159,"AAAAAEf7sqw=")</f>
        <v>1</v>
      </c>
      <c r="FR65" t="b">
        <f>AND(DATA!O159,"AAAAAEf7sq0=")</f>
        <v>1</v>
      </c>
      <c r="FS65" t="b">
        <f>AND(DATA!P159,"AAAAAEf7sq4=")</f>
        <v>1</v>
      </c>
      <c r="FT65" t="b">
        <f>AND(DATA!Q159,"AAAAAEf7sq8=")</f>
        <v>1</v>
      </c>
      <c r="FU65" t="b">
        <f>AND(DATA!R159,"AAAAAEf7srA=")</f>
        <v>1</v>
      </c>
      <c r="FV65" t="b">
        <f>AND(DATA!S159,"AAAAAEf7srE=")</f>
        <v>1</v>
      </c>
      <c r="FW65" t="b">
        <f>AND(DATA!T159,"AAAAAEf7srI=")</f>
        <v>1</v>
      </c>
      <c r="FX65" t="b">
        <f>AND(DATA!U159,"AAAAAEf7srM=")</f>
        <v>1</v>
      </c>
      <c r="FY65" t="b">
        <f>AND(DATA!V159,"AAAAAEf7srQ=")</f>
        <v>1</v>
      </c>
      <c r="FZ65" t="e">
        <f>AND(DATA!W158,"AAAAAEf7srU=")</f>
        <v>#VALUE!</v>
      </c>
      <c r="GA65" t="e">
        <f>AND(DATA!X158,"AAAAAEf7srY=")</f>
        <v>#VALUE!</v>
      </c>
      <c r="GB65" t="e">
        <f>AND(DATA!Y158,"AAAAAEf7src=")</f>
        <v>#VALUE!</v>
      </c>
      <c r="GC65">
        <f>IF(DATA!159:159,"AAAAAEf7srg=",0)</f>
        <v>0</v>
      </c>
      <c r="GD65" t="e">
        <f>AND(DATA!A159,"AAAAAEf7srk=")</f>
        <v>#VALUE!</v>
      </c>
      <c r="GE65" t="e">
        <f>AND(DATA!B159,"AAAAAEf7sro=")</f>
        <v>#VALUE!</v>
      </c>
      <c r="GF65" t="e">
        <f>AND(DATA!C159,"AAAAAEf7srs=")</f>
        <v>#VALUE!</v>
      </c>
      <c r="GG65" t="e">
        <f>AND(DATA!D159,"AAAAAEf7srw=")</f>
        <v>#VALUE!</v>
      </c>
      <c r="GH65" t="e">
        <f>AND(DATA!E159,"AAAAAEf7sr0=")</f>
        <v>#VALUE!</v>
      </c>
      <c r="GI65" t="e">
        <f>AND(DATA!F159,"AAAAAEf7sr4=")</f>
        <v>#VALUE!</v>
      </c>
      <c r="GJ65" t="e">
        <f>AND(DATA!G159,"AAAAAEf7sr8=")</f>
        <v>#VALUE!</v>
      </c>
      <c r="GK65" t="e">
        <f>AND(DATA!H159,"AAAAAEf7ssA=")</f>
        <v>#VALUE!</v>
      </c>
      <c r="GL65" t="e">
        <f>AND(DATA!I159,"AAAAAEf7ssE=")</f>
        <v>#VALUE!</v>
      </c>
      <c r="GM65" t="e">
        <f>AND(DATA!J159,"AAAAAEf7ssI=")</f>
        <v>#VALUE!</v>
      </c>
      <c r="GN65" t="e">
        <f>AND(DATA!K159,"AAAAAEf7ssM=")</f>
        <v>#VALUE!</v>
      </c>
      <c r="GO65" t="b">
        <f>AND(DATA!L160,"AAAAAEf7ssQ=")</f>
        <v>1</v>
      </c>
      <c r="GP65" t="b">
        <f>AND(DATA!M160,"AAAAAEf7ssU=")</f>
        <v>1</v>
      </c>
      <c r="GQ65" t="b">
        <f>AND(DATA!N160,"AAAAAEf7ssY=")</f>
        <v>1</v>
      </c>
      <c r="GR65" t="b">
        <f>AND(DATA!O160,"AAAAAEf7ssc=")</f>
        <v>1</v>
      </c>
      <c r="GS65" t="b">
        <f>AND(DATA!P160,"AAAAAEf7ssg=")</f>
        <v>1</v>
      </c>
      <c r="GT65" t="b">
        <f>AND(DATA!Q160,"AAAAAEf7ssk=")</f>
        <v>1</v>
      </c>
      <c r="GU65" t="b">
        <f>AND(DATA!R160,"AAAAAEf7sso=")</f>
        <v>1</v>
      </c>
      <c r="GV65" t="b">
        <f>AND(DATA!S160,"AAAAAEf7sss=")</f>
        <v>1</v>
      </c>
      <c r="GW65" t="b">
        <f>AND(DATA!T160,"AAAAAEf7ssw=")</f>
        <v>1</v>
      </c>
      <c r="GX65" t="b">
        <f>AND(DATA!U160,"AAAAAEf7ss0=")</f>
        <v>1</v>
      </c>
      <c r="GY65" t="b">
        <f>AND(DATA!V160,"AAAAAEf7ss4=")</f>
        <v>1</v>
      </c>
      <c r="GZ65" t="e">
        <f>AND(DATA!W159,"AAAAAEf7ss8=")</f>
        <v>#VALUE!</v>
      </c>
      <c r="HA65" t="e">
        <f>AND(DATA!X159,"AAAAAEf7stA=")</f>
        <v>#VALUE!</v>
      </c>
      <c r="HB65" t="e">
        <f>AND(DATA!Y159,"AAAAAEf7stE=")</f>
        <v>#VALUE!</v>
      </c>
      <c r="HC65">
        <f>IF(DATA!160:160,"AAAAAEf7stI=",0)</f>
        <v>0</v>
      </c>
      <c r="HD65" t="e">
        <f>AND(DATA!A160,"AAAAAEf7stM=")</f>
        <v>#VALUE!</v>
      </c>
      <c r="HE65" t="e">
        <f>AND(DATA!B160,"AAAAAEf7stQ=")</f>
        <v>#VALUE!</v>
      </c>
      <c r="HF65" t="e">
        <f>AND(DATA!C160,"AAAAAEf7stU=")</f>
        <v>#VALUE!</v>
      </c>
      <c r="HG65" t="e">
        <f>AND(DATA!D160,"AAAAAEf7stY=")</f>
        <v>#VALUE!</v>
      </c>
      <c r="HH65" t="e">
        <f>AND(DATA!E160,"AAAAAEf7stc=")</f>
        <v>#VALUE!</v>
      </c>
      <c r="HI65" t="e">
        <f>AND(DATA!F160,"AAAAAEf7stg=")</f>
        <v>#VALUE!</v>
      </c>
      <c r="HJ65" t="e">
        <f>AND(DATA!G160,"AAAAAEf7stk=")</f>
        <v>#VALUE!</v>
      </c>
      <c r="HK65" t="e">
        <f>AND(DATA!H160,"AAAAAEf7sto=")</f>
        <v>#VALUE!</v>
      </c>
      <c r="HL65" t="e">
        <f>AND(DATA!I160,"AAAAAEf7sts=")</f>
        <v>#VALUE!</v>
      </c>
      <c r="HM65" t="e">
        <f>AND(DATA!J160,"AAAAAEf7stw=")</f>
        <v>#VALUE!</v>
      </c>
      <c r="HN65" t="e">
        <f>AND(DATA!K160,"AAAAAEf7st0=")</f>
        <v>#VALUE!</v>
      </c>
      <c r="HO65" t="b">
        <f>AND(DATA!L161,"AAAAAEf7st4=")</f>
        <v>1</v>
      </c>
      <c r="HP65" t="b">
        <f>AND(DATA!M161,"AAAAAEf7st8=")</f>
        <v>1</v>
      </c>
      <c r="HQ65" t="b">
        <f>AND(DATA!N161,"AAAAAEf7suA=")</f>
        <v>1</v>
      </c>
      <c r="HR65" t="b">
        <f>AND(DATA!O161,"AAAAAEf7suE=")</f>
        <v>1</v>
      </c>
      <c r="HS65" t="b">
        <f>AND(DATA!P161,"AAAAAEf7suI=")</f>
        <v>1</v>
      </c>
      <c r="HT65" t="b">
        <f>AND(DATA!Q161,"AAAAAEf7suM=")</f>
        <v>1</v>
      </c>
      <c r="HU65" t="b">
        <f>AND(DATA!R161,"AAAAAEf7suQ=")</f>
        <v>1</v>
      </c>
      <c r="HV65" t="b">
        <f>AND(DATA!S161,"AAAAAEf7suU=")</f>
        <v>1</v>
      </c>
      <c r="HW65" t="b">
        <f>AND(DATA!T161,"AAAAAEf7suY=")</f>
        <v>1</v>
      </c>
      <c r="HX65" t="b">
        <f>AND(DATA!U161,"AAAAAEf7suc=")</f>
        <v>1</v>
      </c>
      <c r="HY65" t="b">
        <f>AND(DATA!V161,"AAAAAEf7sug=")</f>
        <v>1</v>
      </c>
      <c r="HZ65" t="e">
        <f>AND(DATA!W160,"AAAAAEf7suk=")</f>
        <v>#VALUE!</v>
      </c>
      <c r="IA65" t="e">
        <f>AND(DATA!X160,"AAAAAEf7suo=")</f>
        <v>#VALUE!</v>
      </c>
      <c r="IB65" t="e">
        <f>AND(DATA!Y160,"AAAAAEf7sus=")</f>
        <v>#VALUE!</v>
      </c>
      <c r="IC65">
        <f>IF(DATA!161:161,"AAAAAEf7suw=",0)</f>
        <v>0</v>
      </c>
      <c r="ID65" t="e">
        <f>AND(DATA!A161,"AAAAAEf7su0=")</f>
        <v>#VALUE!</v>
      </c>
      <c r="IE65" t="e">
        <f>AND(DATA!B161,"AAAAAEf7su4=")</f>
        <v>#VALUE!</v>
      </c>
      <c r="IF65" t="e">
        <f>AND(DATA!C161,"AAAAAEf7su8=")</f>
        <v>#VALUE!</v>
      </c>
      <c r="IG65" t="e">
        <f>AND(DATA!D161,"AAAAAEf7svA=")</f>
        <v>#VALUE!</v>
      </c>
      <c r="IH65" t="e">
        <f>AND(DATA!E161,"AAAAAEf7svE=")</f>
        <v>#VALUE!</v>
      </c>
      <c r="II65" t="e">
        <f>AND(DATA!F161,"AAAAAEf7svI=")</f>
        <v>#VALUE!</v>
      </c>
      <c r="IJ65" t="e">
        <f>AND(DATA!G161,"AAAAAEf7svM=")</f>
        <v>#VALUE!</v>
      </c>
      <c r="IK65" t="e">
        <f>AND(DATA!H161,"AAAAAEf7svQ=")</f>
        <v>#VALUE!</v>
      </c>
      <c r="IL65" t="e">
        <f>AND(DATA!I161,"AAAAAEf7svU=")</f>
        <v>#VALUE!</v>
      </c>
      <c r="IM65" t="e">
        <f>AND(DATA!J161,"AAAAAEf7svY=")</f>
        <v>#VALUE!</v>
      </c>
      <c r="IN65" t="e">
        <f>AND(DATA!K161,"AAAAAEf7svc=")</f>
        <v>#VALUE!</v>
      </c>
      <c r="IO65" t="b">
        <f>AND(DATA!L162,"AAAAAEf7svg=")</f>
        <v>1</v>
      </c>
      <c r="IP65" t="b">
        <f>AND(DATA!M162,"AAAAAEf7svk=")</f>
        <v>1</v>
      </c>
      <c r="IQ65" t="b">
        <f>AND(DATA!N162,"AAAAAEf7svo=")</f>
        <v>1</v>
      </c>
      <c r="IR65" t="b">
        <f>AND(DATA!O162,"AAAAAEf7svs=")</f>
        <v>1</v>
      </c>
      <c r="IS65" t="b">
        <f>AND(DATA!P162,"AAAAAEf7svw=")</f>
        <v>1</v>
      </c>
      <c r="IT65" t="b">
        <f>AND(DATA!Q162,"AAAAAEf7sv0=")</f>
        <v>1</v>
      </c>
      <c r="IU65" t="b">
        <f>AND(DATA!R162,"AAAAAEf7sv4=")</f>
        <v>1</v>
      </c>
      <c r="IV65" t="b">
        <f>AND(DATA!S162,"AAAAAEf7sv8=")</f>
        <v>1</v>
      </c>
    </row>
    <row r="66" spans="1:256" x14ac:dyDescent="0.25">
      <c r="A66" t="b">
        <f>AND(DATA!T162,"AAAAAG8+6gA=")</f>
        <v>1</v>
      </c>
      <c r="B66" t="b">
        <f>AND(DATA!U162,"AAAAAG8+6gE=")</f>
        <v>1</v>
      </c>
      <c r="C66" t="b">
        <f>AND(DATA!V162,"AAAAAG8+6gI=")</f>
        <v>1</v>
      </c>
      <c r="D66" t="e">
        <f>AND(DATA!W161,"AAAAAG8+6gM=")</f>
        <v>#VALUE!</v>
      </c>
      <c r="E66" t="e">
        <f>AND(DATA!X161,"AAAAAG8+6gQ=")</f>
        <v>#VALUE!</v>
      </c>
      <c r="F66" t="e">
        <f>AND(DATA!Y161,"AAAAAG8+6gU=")</f>
        <v>#VALUE!</v>
      </c>
      <c r="G66">
        <f>IF(DATA!162:162,"AAAAAG8+6gY=",0)</f>
        <v>0</v>
      </c>
      <c r="H66" t="e">
        <f>AND(DATA!A162,"AAAAAG8+6gc=")</f>
        <v>#VALUE!</v>
      </c>
      <c r="I66" t="e">
        <f>AND(DATA!B162,"AAAAAG8+6gg=")</f>
        <v>#VALUE!</v>
      </c>
      <c r="J66" t="e">
        <f>AND(DATA!C162,"AAAAAG8+6gk=")</f>
        <v>#VALUE!</v>
      </c>
      <c r="K66" t="e">
        <f>AND(DATA!D162,"AAAAAG8+6go=")</f>
        <v>#VALUE!</v>
      </c>
      <c r="L66" t="e">
        <f>AND(DATA!E162,"AAAAAG8+6gs=")</f>
        <v>#VALUE!</v>
      </c>
      <c r="M66" t="e">
        <f>AND(DATA!F162,"AAAAAG8+6gw=")</f>
        <v>#VALUE!</v>
      </c>
      <c r="N66" t="e">
        <f>AND(DATA!G162,"AAAAAG8+6g0=")</f>
        <v>#VALUE!</v>
      </c>
      <c r="O66" t="e">
        <f>AND(DATA!H162,"AAAAAG8+6g4=")</f>
        <v>#VALUE!</v>
      </c>
      <c r="P66" t="e">
        <f>AND(DATA!I162,"AAAAAG8+6g8=")</f>
        <v>#VALUE!</v>
      </c>
      <c r="Q66" t="e">
        <f>AND(DATA!J162,"AAAAAG8+6hA=")</f>
        <v>#VALUE!</v>
      </c>
      <c r="R66" t="e">
        <f>AND(DATA!K162,"AAAAAG8+6hE=")</f>
        <v>#VALUE!</v>
      </c>
      <c r="S66" t="b">
        <f>AND(DATA!L163,"AAAAAG8+6hI=")</f>
        <v>1</v>
      </c>
      <c r="T66" t="b">
        <f>AND(DATA!M163,"AAAAAG8+6hM=")</f>
        <v>1</v>
      </c>
      <c r="U66" t="b">
        <f>AND(DATA!N163,"AAAAAG8+6hQ=")</f>
        <v>1</v>
      </c>
      <c r="V66" t="b">
        <f>AND(DATA!O163,"AAAAAG8+6hU=")</f>
        <v>1</v>
      </c>
      <c r="W66" t="b">
        <f>AND(DATA!P163,"AAAAAG8+6hY=")</f>
        <v>1</v>
      </c>
      <c r="X66" t="b">
        <f>AND(DATA!Q163,"AAAAAG8+6hc=")</f>
        <v>1</v>
      </c>
      <c r="Y66" t="b">
        <f>AND(DATA!R163,"AAAAAG8+6hg=")</f>
        <v>1</v>
      </c>
      <c r="Z66" t="b">
        <f>AND(DATA!S163,"AAAAAG8+6hk=")</f>
        <v>1</v>
      </c>
      <c r="AA66" t="b">
        <f>AND(DATA!T163,"AAAAAG8+6ho=")</f>
        <v>1</v>
      </c>
      <c r="AB66" t="b">
        <f>AND(DATA!U163,"AAAAAG8+6hs=")</f>
        <v>1</v>
      </c>
      <c r="AC66" t="b">
        <f>AND(DATA!V163,"AAAAAG8+6hw=")</f>
        <v>1</v>
      </c>
      <c r="AD66" t="e">
        <f>AND(DATA!W162,"AAAAAG8+6h0=")</f>
        <v>#VALUE!</v>
      </c>
      <c r="AE66" t="e">
        <f>AND(DATA!X162,"AAAAAG8+6h4=")</f>
        <v>#VALUE!</v>
      </c>
      <c r="AF66" t="e">
        <f>AND(DATA!Y162,"AAAAAG8+6h8=")</f>
        <v>#VALUE!</v>
      </c>
      <c r="AG66">
        <f>IF(DATA!163:163,"AAAAAG8+6iA=",0)</f>
        <v>0</v>
      </c>
      <c r="AH66" t="e">
        <f>AND(DATA!A163,"AAAAAG8+6iE=")</f>
        <v>#VALUE!</v>
      </c>
      <c r="AI66" t="e">
        <f>AND(DATA!B163,"AAAAAG8+6iI=")</f>
        <v>#VALUE!</v>
      </c>
      <c r="AJ66" t="e">
        <f>AND(DATA!C163,"AAAAAG8+6iM=")</f>
        <v>#VALUE!</v>
      </c>
      <c r="AK66" t="e">
        <f>AND(DATA!D163,"AAAAAG8+6iQ=")</f>
        <v>#VALUE!</v>
      </c>
      <c r="AL66" t="e">
        <f>AND(DATA!E163,"AAAAAG8+6iU=")</f>
        <v>#VALUE!</v>
      </c>
      <c r="AM66" t="e">
        <f>AND(DATA!F163,"AAAAAG8+6iY=")</f>
        <v>#VALUE!</v>
      </c>
      <c r="AN66" t="e">
        <f>AND(DATA!G163,"AAAAAG8+6ic=")</f>
        <v>#VALUE!</v>
      </c>
      <c r="AO66" t="e">
        <f>AND(DATA!H163,"AAAAAG8+6ig=")</f>
        <v>#VALUE!</v>
      </c>
      <c r="AP66" t="e">
        <f>AND(DATA!I163,"AAAAAG8+6ik=")</f>
        <v>#VALUE!</v>
      </c>
      <c r="AQ66" t="e">
        <f>AND(DATA!J163,"AAAAAG8+6io=")</f>
        <v>#VALUE!</v>
      </c>
      <c r="AR66" t="e">
        <f>AND(DATA!K163,"AAAAAG8+6is=")</f>
        <v>#VALUE!</v>
      </c>
      <c r="AS66" t="b">
        <f>AND(DATA!L164,"AAAAAG8+6iw=")</f>
        <v>1</v>
      </c>
      <c r="AT66" t="b">
        <f>AND(DATA!M164,"AAAAAG8+6i0=")</f>
        <v>1</v>
      </c>
      <c r="AU66" t="b">
        <f>AND(DATA!N164,"AAAAAG8+6i4=")</f>
        <v>1</v>
      </c>
      <c r="AV66" t="b">
        <f>AND(DATA!O164,"AAAAAG8+6i8=")</f>
        <v>1</v>
      </c>
      <c r="AW66" t="b">
        <f>AND(DATA!P164,"AAAAAG8+6jA=")</f>
        <v>1</v>
      </c>
      <c r="AX66" t="b">
        <f>AND(DATA!Q164,"AAAAAG8+6jE=")</f>
        <v>1</v>
      </c>
      <c r="AY66" t="b">
        <f>AND(DATA!R164,"AAAAAG8+6jI=")</f>
        <v>1</v>
      </c>
      <c r="AZ66" t="b">
        <f>AND(DATA!S164,"AAAAAG8+6jM=")</f>
        <v>1</v>
      </c>
      <c r="BA66" t="b">
        <f>AND(DATA!T164,"AAAAAG8+6jQ=")</f>
        <v>1</v>
      </c>
      <c r="BB66" t="b">
        <f>AND(DATA!U164,"AAAAAG8+6jU=")</f>
        <v>1</v>
      </c>
      <c r="BC66" t="b">
        <f>AND(DATA!V164,"AAAAAG8+6jY=")</f>
        <v>1</v>
      </c>
      <c r="BD66" t="e">
        <f>AND(DATA!W163,"AAAAAG8+6jc=")</f>
        <v>#VALUE!</v>
      </c>
      <c r="BE66" t="e">
        <f>AND(DATA!X163,"AAAAAG8+6jg=")</f>
        <v>#VALUE!</v>
      </c>
      <c r="BF66" t="e">
        <f>AND(DATA!Y163,"AAAAAG8+6jk=")</f>
        <v>#VALUE!</v>
      </c>
      <c r="BG66">
        <f>IF(DATA!164:164,"AAAAAG8+6jo=",0)</f>
        <v>0</v>
      </c>
      <c r="BH66" t="e">
        <f>AND(DATA!A164,"AAAAAG8+6js=")</f>
        <v>#VALUE!</v>
      </c>
      <c r="BI66" t="e">
        <f>AND(DATA!B164,"AAAAAG8+6jw=")</f>
        <v>#VALUE!</v>
      </c>
      <c r="BJ66" t="e">
        <f>AND(DATA!C164,"AAAAAG8+6j0=")</f>
        <v>#VALUE!</v>
      </c>
      <c r="BK66" t="e">
        <f>AND(DATA!D164,"AAAAAG8+6j4=")</f>
        <v>#VALUE!</v>
      </c>
      <c r="BL66" t="e">
        <f>AND(DATA!E164,"AAAAAG8+6j8=")</f>
        <v>#VALUE!</v>
      </c>
      <c r="BM66" t="e">
        <f>AND(DATA!F164,"AAAAAG8+6kA=")</f>
        <v>#VALUE!</v>
      </c>
      <c r="BN66" t="e">
        <f>AND(DATA!G164,"AAAAAG8+6kE=")</f>
        <v>#VALUE!</v>
      </c>
      <c r="BO66" t="e">
        <f>AND(DATA!H164,"AAAAAG8+6kI=")</f>
        <v>#VALUE!</v>
      </c>
      <c r="BP66" t="e">
        <f>AND(DATA!I164,"AAAAAG8+6kM=")</f>
        <v>#VALUE!</v>
      </c>
      <c r="BQ66" t="e">
        <f>AND(DATA!J164,"AAAAAG8+6kQ=")</f>
        <v>#VALUE!</v>
      </c>
      <c r="BR66" t="e">
        <f>AND(DATA!K164,"AAAAAG8+6kU=")</f>
        <v>#VALUE!</v>
      </c>
      <c r="BS66" t="b">
        <f>AND(DATA!L165,"AAAAAG8+6kY=")</f>
        <v>1</v>
      </c>
      <c r="BT66" t="b">
        <f>AND(DATA!M165,"AAAAAG8+6kc=")</f>
        <v>1</v>
      </c>
      <c r="BU66" t="b">
        <f>AND(DATA!N165,"AAAAAG8+6kg=")</f>
        <v>1</v>
      </c>
      <c r="BV66" t="b">
        <f>AND(DATA!O165,"AAAAAG8+6kk=")</f>
        <v>1</v>
      </c>
      <c r="BW66" t="b">
        <f>AND(DATA!P165,"AAAAAG8+6ko=")</f>
        <v>1</v>
      </c>
      <c r="BX66" t="b">
        <f>AND(DATA!Q165,"AAAAAG8+6ks=")</f>
        <v>1</v>
      </c>
      <c r="BY66" t="b">
        <f>AND(DATA!R165,"AAAAAG8+6kw=")</f>
        <v>1</v>
      </c>
      <c r="BZ66" t="b">
        <f>AND(DATA!S165,"AAAAAG8+6k0=")</f>
        <v>1</v>
      </c>
      <c r="CA66" t="b">
        <f>AND(DATA!T165,"AAAAAG8+6k4=")</f>
        <v>1</v>
      </c>
      <c r="CB66" t="b">
        <f>AND(DATA!U165,"AAAAAG8+6k8=")</f>
        <v>1</v>
      </c>
      <c r="CC66" t="b">
        <f>AND(DATA!V165,"AAAAAG8+6lA=")</f>
        <v>1</v>
      </c>
      <c r="CD66" t="e">
        <f>AND(DATA!W164,"AAAAAG8+6lE=")</f>
        <v>#VALUE!</v>
      </c>
      <c r="CE66" t="e">
        <f>AND(DATA!X164,"AAAAAG8+6lI=")</f>
        <v>#VALUE!</v>
      </c>
      <c r="CF66" t="e">
        <f>AND(DATA!Y164,"AAAAAG8+6lM=")</f>
        <v>#VALUE!</v>
      </c>
      <c r="CG66">
        <f>IF(DATA!165:165,"AAAAAG8+6lQ=",0)</f>
        <v>0</v>
      </c>
      <c r="CH66" t="e">
        <f>AND(DATA!A165,"AAAAAG8+6lU=")</f>
        <v>#VALUE!</v>
      </c>
      <c r="CI66" t="e">
        <f>AND(DATA!B165,"AAAAAG8+6lY=")</f>
        <v>#VALUE!</v>
      </c>
      <c r="CJ66" t="e">
        <f>AND(DATA!C165,"AAAAAG8+6lc=")</f>
        <v>#VALUE!</v>
      </c>
      <c r="CK66" t="e">
        <f>AND(DATA!D165,"AAAAAG8+6lg=")</f>
        <v>#VALUE!</v>
      </c>
      <c r="CL66" t="e">
        <f>AND(DATA!E165,"AAAAAG8+6lk=")</f>
        <v>#VALUE!</v>
      </c>
      <c r="CM66" t="e">
        <f>AND(DATA!F165,"AAAAAG8+6lo=")</f>
        <v>#VALUE!</v>
      </c>
      <c r="CN66" t="e">
        <f>AND(DATA!G165,"AAAAAG8+6ls=")</f>
        <v>#VALUE!</v>
      </c>
      <c r="CO66" t="e">
        <f>AND(DATA!H165,"AAAAAG8+6lw=")</f>
        <v>#VALUE!</v>
      </c>
      <c r="CP66" t="e">
        <f>AND(DATA!I165,"AAAAAG8+6l0=")</f>
        <v>#VALUE!</v>
      </c>
      <c r="CQ66" t="e">
        <f>AND(DATA!J165,"AAAAAG8+6l4=")</f>
        <v>#VALUE!</v>
      </c>
      <c r="CR66" t="e">
        <f>AND(DATA!K165,"AAAAAG8+6l8=")</f>
        <v>#VALUE!</v>
      </c>
      <c r="CS66" t="b">
        <f>AND(DATA!L166,"AAAAAG8+6mA=")</f>
        <v>1</v>
      </c>
      <c r="CT66" t="b">
        <f>AND(DATA!M166,"AAAAAG8+6mE=")</f>
        <v>1</v>
      </c>
      <c r="CU66" t="b">
        <f>AND(DATA!N166,"AAAAAG8+6mI=")</f>
        <v>1</v>
      </c>
      <c r="CV66" t="b">
        <f>AND(DATA!O166,"AAAAAG8+6mM=")</f>
        <v>1</v>
      </c>
      <c r="CW66" t="b">
        <f>AND(DATA!P166,"AAAAAG8+6mQ=")</f>
        <v>1</v>
      </c>
      <c r="CX66" t="b">
        <f>AND(DATA!Q166,"AAAAAG8+6mU=")</f>
        <v>1</v>
      </c>
      <c r="CY66" t="b">
        <f>AND(DATA!R166,"AAAAAG8+6mY=")</f>
        <v>1</v>
      </c>
      <c r="CZ66" t="b">
        <f>AND(DATA!S166,"AAAAAG8+6mc=")</f>
        <v>1</v>
      </c>
      <c r="DA66" t="b">
        <f>AND(DATA!T166,"AAAAAG8+6mg=")</f>
        <v>1</v>
      </c>
      <c r="DB66" t="b">
        <f>AND(DATA!U166,"AAAAAG8+6mk=")</f>
        <v>1</v>
      </c>
      <c r="DC66" t="b">
        <f>AND(DATA!V166,"AAAAAG8+6mo=")</f>
        <v>1</v>
      </c>
      <c r="DD66" t="e">
        <f>AND(DATA!W165,"AAAAAG8+6ms=")</f>
        <v>#VALUE!</v>
      </c>
      <c r="DE66" t="e">
        <f>AND(DATA!X165,"AAAAAG8+6mw=")</f>
        <v>#VALUE!</v>
      </c>
      <c r="DF66" t="e">
        <f>AND(DATA!Y165,"AAAAAG8+6m0=")</f>
        <v>#VALUE!</v>
      </c>
      <c r="DG66">
        <f>IF(DATA!166:166,"AAAAAG8+6m4=",0)</f>
        <v>0</v>
      </c>
      <c r="DH66" t="e">
        <f>AND(DATA!A166,"AAAAAG8+6m8=")</f>
        <v>#VALUE!</v>
      </c>
      <c r="DI66" t="e">
        <f>AND(DATA!B166,"AAAAAG8+6nA=")</f>
        <v>#VALUE!</v>
      </c>
      <c r="DJ66" t="e">
        <f>AND(DATA!C166,"AAAAAG8+6nE=")</f>
        <v>#VALUE!</v>
      </c>
      <c r="DK66" t="e">
        <f>AND(DATA!D166,"AAAAAG8+6nI=")</f>
        <v>#VALUE!</v>
      </c>
      <c r="DL66" t="e">
        <f>AND(DATA!E166,"AAAAAG8+6nM=")</f>
        <v>#VALUE!</v>
      </c>
      <c r="DM66" t="e">
        <f>AND(DATA!F166,"AAAAAG8+6nQ=")</f>
        <v>#VALUE!</v>
      </c>
      <c r="DN66" t="e">
        <f>AND(DATA!G166,"AAAAAG8+6nU=")</f>
        <v>#VALUE!</v>
      </c>
      <c r="DO66" t="e">
        <f>AND(DATA!H166,"AAAAAG8+6nY=")</f>
        <v>#VALUE!</v>
      </c>
      <c r="DP66" t="e">
        <f>AND(DATA!I166,"AAAAAG8+6nc=")</f>
        <v>#VALUE!</v>
      </c>
      <c r="DQ66" t="e">
        <f>AND(DATA!J166,"AAAAAG8+6ng=")</f>
        <v>#VALUE!</v>
      </c>
      <c r="DR66" t="e">
        <f>AND(DATA!K166,"AAAAAG8+6nk=")</f>
        <v>#VALUE!</v>
      </c>
      <c r="DS66" t="b">
        <f>AND(DATA!L167,"AAAAAG8+6no=")</f>
        <v>1</v>
      </c>
      <c r="DT66" t="b">
        <f>AND(DATA!M167,"AAAAAG8+6ns=")</f>
        <v>1</v>
      </c>
      <c r="DU66" t="b">
        <f>AND(DATA!N167,"AAAAAG8+6nw=")</f>
        <v>1</v>
      </c>
      <c r="DV66" t="b">
        <f>AND(DATA!O167,"AAAAAG8+6n0=")</f>
        <v>1</v>
      </c>
      <c r="DW66" t="b">
        <f>AND(DATA!P167,"AAAAAG8+6n4=")</f>
        <v>1</v>
      </c>
      <c r="DX66" t="b">
        <f>AND(DATA!Q167,"AAAAAG8+6n8=")</f>
        <v>1</v>
      </c>
      <c r="DY66" t="b">
        <f>AND(DATA!R167,"AAAAAG8+6oA=")</f>
        <v>1</v>
      </c>
      <c r="DZ66" t="b">
        <f>AND(DATA!S167,"AAAAAG8+6oE=")</f>
        <v>1</v>
      </c>
      <c r="EA66" t="b">
        <f>AND(DATA!T167,"AAAAAG8+6oI=")</f>
        <v>1</v>
      </c>
      <c r="EB66" t="b">
        <f>AND(DATA!U167,"AAAAAG8+6oM=")</f>
        <v>1</v>
      </c>
      <c r="EC66" t="b">
        <f>AND(DATA!V167,"AAAAAG8+6oQ=")</f>
        <v>1</v>
      </c>
      <c r="ED66" t="e">
        <f>AND(DATA!W166,"AAAAAG8+6oU=")</f>
        <v>#VALUE!</v>
      </c>
      <c r="EE66" t="e">
        <f>AND(DATA!X166,"AAAAAG8+6oY=")</f>
        <v>#VALUE!</v>
      </c>
      <c r="EF66" t="e">
        <f>AND(DATA!Y166,"AAAAAG8+6oc=")</f>
        <v>#VALUE!</v>
      </c>
      <c r="EG66">
        <f>IF(DATA!167:167,"AAAAAG8+6og=",0)</f>
        <v>0</v>
      </c>
      <c r="EH66" t="e">
        <f>AND(DATA!A167,"AAAAAG8+6ok=")</f>
        <v>#VALUE!</v>
      </c>
      <c r="EI66" t="e">
        <f>AND(DATA!B167,"AAAAAG8+6oo=")</f>
        <v>#VALUE!</v>
      </c>
      <c r="EJ66" t="e">
        <f>AND(DATA!C167,"AAAAAG8+6os=")</f>
        <v>#VALUE!</v>
      </c>
      <c r="EK66" t="e">
        <f>AND(DATA!D167,"AAAAAG8+6ow=")</f>
        <v>#VALUE!</v>
      </c>
      <c r="EL66" t="e">
        <f>AND(DATA!E167,"AAAAAG8+6o0=")</f>
        <v>#VALUE!</v>
      </c>
      <c r="EM66" t="e">
        <f>AND(DATA!F167,"AAAAAG8+6o4=")</f>
        <v>#VALUE!</v>
      </c>
      <c r="EN66" t="e">
        <f>AND(DATA!G167,"AAAAAG8+6o8=")</f>
        <v>#VALUE!</v>
      </c>
      <c r="EO66" t="e">
        <f>AND(DATA!H167,"AAAAAG8+6pA=")</f>
        <v>#VALUE!</v>
      </c>
      <c r="EP66" t="e">
        <f>AND(DATA!I167,"AAAAAG8+6pE=")</f>
        <v>#VALUE!</v>
      </c>
      <c r="EQ66" t="e">
        <f>AND(DATA!J167,"AAAAAG8+6pI=")</f>
        <v>#VALUE!</v>
      </c>
      <c r="ER66" t="e">
        <f>AND(DATA!K167,"AAAAAG8+6pM=")</f>
        <v>#VALUE!</v>
      </c>
      <c r="ES66" t="b">
        <f>AND(DATA!L168,"AAAAAG8+6pQ=")</f>
        <v>1</v>
      </c>
      <c r="ET66" t="b">
        <f>AND(DATA!M168,"AAAAAG8+6pU=")</f>
        <v>1</v>
      </c>
      <c r="EU66" t="b">
        <f>AND(DATA!N168,"AAAAAG8+6pY=")</f>
        <v>1</v>
      </c>
      <c r="EV66" t="b">
        <f>AND(DATA!O168,"AAAAAG8+6pc=")</f>
        <v>1</v>
      </c>
      <c r="EW66" t="b">
        <f>AND(DATA!P168,"AAAAAG8+6pg=")</f>
        <v>1</v>
      </c>
      <c r="EX66" t="b">
        <f>AND(DATA!Q168,"AAAAAG8+6pk=")</f>
        <v>1</v>
      </c>
      <c r="EY66" t="b">
        <f>AND(DATA!R168,"AAAAAG8+6po=")</f>
        <v>1</v>
      </c>
      <c r="EZ66" t="b">
        <f>AND(DATA!S168,"AAAAAG8+6ps=")</f>
        <v>1</v>
      </c>
      <c r="FA66" t="b">
        <f>AND(DATA!T168,"AAAAAG8+6pw=")</f>
        <v>1</v>
      </c>
      <c r="FB66" t="b">
        <f>AND(DATA!U168,"AAAAAG8+6p0=")</f>
        <v>1</v>
      </c>
      <c r="FC66" t="b">
        <f>AND(DATA!V168,"AAAAAG8+6p4=")</f>
        <v>1</v>
      </c>
      <c r="FD66" t="e">
        <f>AND(DATA!W167,"AAAAAG8+6p8=")</f>
        <v>#VALUE!</v>
      </c>
      <c r="FE66" t="e">
        <f>AND(DATA!X167,"AAAAAG8+6qA=")</f>
        <v>#VALUE!</v>
      </c>
      <c r="FF66" t="e">
        <f>AND(DATA!Y167,"AAAAAG8+6qE=")</f>
        <v>#VALUE!</v>
      </c>
      <c r="FG66">
        <f>IF(DATA!168:168,"AAAAAG8+6qI=",0)</f>
        <v>0</v>
      </c>
      <c r="FH66" t="e">
        <f>AND(DATA!A168,"AAAAAG8+6qM=")</f>
        <v>#VALUE!</v>
      </c>
      <c r="FI66" t="e">
        <f>AND(DATA!B168,"AAAAAG8+6qQ=")</f>
        <v>#VALUE!</v>
      </c>
      <c r="FJ66" t="e">
        <f>AND(DATA!C168,"AAAAAG8+6qU=")</f>
        <v>#VALUE!</v>
      </c>
      <c r="FK66" t="e">
        <f>AND(DATA!D168,"AAAAAG8+6qY=")</f>
        <v>#VALUE!</v>
      </c>
      <c r="FL66" t="e">
        <f>AND(DATA!E168,"AAAAAG8+6qc=")</f>
        <v>#VALUE!</v>
      </c>
      <c r="FM66" t="e">
        <f>AND(DATA!F168,"AAAAAG8+6qg=")</f>
        <v>#VALUE!</v>
      </c>
      <c r="FN66" t="e">
        <f>AND(DATA!G168,"AAAAAG8+6qk=")</f>
        <v>#VALUE!</v>
      </c>
      <c r="FO66" t="e">
        <f>AND(DATA!H168,"AAAAAG8+6qo=")</f>
        <v>#VALUE!</v>
      </c>
      <c r="FP66" t="e">
        <f>AND(DATA!I168,"AAAAAG8+6qs=")</f>
        <v>#VALUE!</v>
      </c>
      <c r="FQ66" t="e">
        <f>AND(DATA!J168,"AAAAAG8+6qw=")</f>
        <v>#VALUE!</v>
      </c>
      <c r="FR66" t="e">
        <f>AND(DATA!K168,"AAAAAG8+6q0=")</f>
        <v>#VALUE!</v>
      </c>
      <c r="FS66" t="b">
        <f>AND(DATA!L169,"AAAAAG8+6q4=")</f>
        <v>1</v>
      </c>
      <c r="FT66" t="b">
        <f>AND(DATA!M169,"AAAAAG8+6q8=")</f>
        <v>1</v>
      </c>
      <c r="FU66" t="b">
        <f>AND(DATA!N169,"AAAAAG8+6rA=")</f>
        <v>1</v>
      </c>
      <c r="FV66" t="b">
        <f>AND(DATA!O169,"AAAAAG8+6rE=")</f>
        <v>1</v>
      </c>
      <c r="FW66" t="b">
        <f>AND(DATA!P169,"AAAAAG8+6rI=")</f>
        <v>1</v>
      </c>
      <c r="FX66" t="b">
        <f>AND(DATA!Q169,"AAAAAG8+6rM=")</f>
        <v>1</v>
      </c>
      <c r="FY66" t="b">
        <f>AND(DATA!R169,"AAAAAG8+6rQ=")</f>
        <v>1</v>
      </c>
      <c r="FZ66" t="b">
        <f>AND(DATA!S169,"AAAAAG8+6rU=")</f>
        <v>1</v>
      </c>
      <c r="GA66" t="b">
        <f>AND(DATA!T169,"AAAAAG8+6rY=")</f>
        <v>1</v>
      </c>
      <c r="GB66" t="b">
        <f>AND(DATA!U169,"AAAAAG8+6rc=")</f>
        <v>1</v>
      </c>
      <c r="GC66" t="b">
        <f>AND(DATA!V169,"AAAAAG8+6rg=")</f>
        <v>1</v>
      </c>
      <c r="GD66" t="e">
        <f>AND(DATA!W168,"AAAAAG8+6rk=")</f>
        <v>#VALUE!</v>
      </c>
      <c r="GE66" t="e">
        <f>AND(DATA!X168,"AAAAAG8+6ro=")</f>
        <v>#VALUE!</v>
      </c>
      <c r="GF66" t="e">
        <f>AND(DATA!Y168,"AAAAAG8+6rs=")</f>
        <v>#VALUE!</v>
      </c>
      <c r="GG66">
        <f>IF(DATA!169:169,"AAAAAG8+6rw=",0)</f>
        <v>0</v>
      </c>
      <c r="GH66" t="e">
        <f>AND(DATA!A169,"AAAAAG8+6r0=")</f>
        <v>#VALUE!</v>
      </c>
      <c r="GI66" t="e">
        <f>AND(DATA!B169,"AAAAAG8+6r4=")</f>
        <v>#VALUE!</v>
      </c>
      <c r="GJ66" t="e">
        <f>AND(DATA!C169,"AAAAAG8+6r8=")</f>
        <v>#VALUE!</v>
      </c>
      <c r="GK66" t="e">
        <f>AND(DATA!D169,"AAAAAG8+6sA=")</f>
        <v>#VALUE!</v>
      </c>
      <c r="GL66" t="e">
        <f>AND(DATA!E169,"AAAAAG8+6sE=")</f>
        <v>#VALUE!</v>
      </c>
      <c r="GM66" t="e">
        <f>AND(DATA!F169,"AAAAAG8+6sI=")</f>
        <v>#VALUE!</v>
      </c>
      <c r="GN66" t="e">
        <f>AND(DATA!G169,"AAAAAG8+6sM=")</f>
        <v>#VALUE!</v>
      </c>
      <c r="GO66" t="e">
        <f>AND(DATA!H169,"AAAAAG8+6sQ=")</f>
        <v>#VALUE!</v>
      </c>
      <c r="GP66" t="e">
        <f>AND(DATA!I169,"AAAAAG8+6sU=")</f>
        <v>#VALUE!</v>
      </c>
      <c r="GQ66" t="e">
        <f>AND(DATA!J169,"AAAAAG8+6sY=")</f>
        <v>#VALUE!</v>
      </c>
      <c r="GR66" t="e">
        <f>AND(DATA!K169,"AAAAAG8+6sc=")</f>
        <v>#VALUE!</v>
      </c>
      <c r="GS66" t="b">
        <f>AND(DATA!L170,"AAAAAG8+6sg=")</f>
        <v>1</v>
      </c>
      <c r="GT66" t="b">
        <f>AND(DATA!M170,"AAAAAG8+6sk=")</f>
        <v>1</v>
      </c>
      <c r="GU66" t="b">
        <f>AND(DATA!N170,"AAAAAG8+6so=")</f>
        <v>1</v>
      </c>
      <c r="GV66" t="b">
        <f>AND(DATA!O170,"AAAAAG8+6ss=")</f>
        <v>1</v>
      </c>
      <c r="GW66" t="b">
        <f>AND(DATA!P170,"AAAAAG8+6sw=")</f>
        <v>1</v>
      </c>
      <c r="GX66" t="b">
        <f>AND(DATA!Q170,"AAAAAG8+6s0=")</f>
        <v>1</v>
      </c>
      <c r="GY66" t="b">
        <f>AND(DATA!R170,"AAAAAG8+6s4=")</f>
        <v>1</v>
      </c>
      <c r="GZ66" t="b">
        <f>AND(DATA!S170,"AAAAAG8+6s8=")</f>
        <v>1</v>
      </c>
      <c r="HA66" t="b">
        <f>AND(DATA!T170,"AAAAAG8+6tA=")</f>
        <v>1</v>
      </c>
      <c r="HB66" t="b">
        <f>AND(DATA!U170,"AAAAAG8+6tE=")</f>
        <v>1</v>
      </c>
      <c r="HC66" t="b">
        <f>AND(DATA!V170,"AAAAAG8+6tI=")</f>
        <v>1</v>
      </c>
      <c r="HD66" t="e">
        <f>AND(DATA!W169,"AAAAAG8+6tM=")</f>
        <v>#VALUE!</v>
      </c>
      <c r="HE66" t="e">
        <f>AND(DATA!X169,"AAAAAG8+6tQ=")</f>
        <v>#VALUE!</v>
      </c>
      <c r="HF66" t="e">
        <f>AND(DATA!Y169,"AAAAAG8+6tU=")</f>
        <v>#VALUE!</v>
      </c>
      <c r="HG66">
        <f>IF(DATA!170:170,"AAAAAG8+6tY=",0)</f>
        <v>0</v>
      </c>
      <c r="HH66" t="e">
        <f>AND(DATA!A170,"AAAAAG8+6tc=")</f>
        <v>#VALUE!</v>
      </c>
      <c r="HI66" t="e">
        <f>AND(DATA!B170,"AAAAAG8+6tg=")</f>
        <v>#VALUE!</v>
      </c>
      <c r="HJ66" t="e">
        <f>AND(DATA!C170,"AAAAAG8+6tk=")</f>
        <v>#VALUE!</v>
      </c>
      <c r="HK66" t="e">
        <f>AND(DATA!D170,"AAAAAG8+6to=")</f>
        <v>#VALUE!</v>
      </c>
      <c r="HL66" t="e">
        <f>AND(DATA!E170,"AAAAAG8+6ts=")</f>
        <v>#VALUE!</v>
      </c>
      <c r="HM66" t="e">
        <f>AND(DATA!F170,"AAAAAG8+6tw=")</f>
        <v>#VALUE!</v>
      </c>
      <c r="HN66" t="e">
        <f>AND(DATA!G170,"AAAAAG8+6t0=")</f>
        <v>#VALUE!</v>
      </c>
      <c r="HO66" t="e">
        <f>AND(DATA!H170,"AAAAAG8+6t4=")</f>
        <v>#VALUE!</v>
      </c>
      <c r="HP66" t="e">
        <f>AND(DATA!I170,"AAAAAG8+6t8=")</f>
        <v>#VALUE!</v>
      </c>
      <c r="HQ66" t="e">
        <f>AND(DATA!J170,"AAAAAG8+6uA=")</f>
        <v>#VALUE!</v>
      </c>
      <c r="HR66" t="e">
        <f>AND(DATA!K170,"AAAAAG8+6uE=")</f>
        <v>#VALUE!</v>
      </c>
      <c r="HS66" t="b">
        <f>AND(DATA!L171,"AAAAAG8+6uI=")</f>
        <v>1</v>
      </c>
      <c r="HT66" t="b">
        <f>AND(DATA!M171,"AAAAAG8+6uM=")</f>
        <v>1</v>
      </c>
      <c r="HU66" t="b">
        <f>AND(DATA!N171,"AAAAAG8+6uQ=")</f>
        <v>1</v>
      </c>
      <c r="HV66" t="b">
        <f>AND(DATA!O171,"AAAAAG8+6uU=")</f>
        <v>1</v>
      </c>
      <c r="HW66" t="b">
        <f>AND(DATA!P171,"AAAAAG8+6uY=")</f>
        <v>1</v>
      </c>
      <c r="HX66" t="b">
        <f>AND(DATA!Q171,"AAAAAG8+6uc=")</f>
        <v>1</v>
      </c>
      <c r="HY66" t="b">
        <f>AND(DATA!R171,"AAAAAG8+6ug=")</f>
        <v>1</v>
      </c>
      <c r="HZ66" t="b">
        <f>AND(DATA!S171,"AAAAAG8+6uk=")</f>
        <v>1</v>
      </c>
      <c r="IA66" t="b">
        <f>AND(DATA!T171,"AAAAAG8+6uo=")</f>
        <v>1</v>
      </c>
      <c r="IB66" t="b">
        <f>AND(DATA!U171,"AAAAAG8+6us=")</f>
        <v>1</v>
      </c>
      <c r="IC66" t="b">
        <f>AND(DATA!V171,"AAAAAG8+6uw=")</f>
        <v>1</v>
      </c>
      <c r="ID66" t="e">
        <f>AND(DATA!W170,"AAAAAG8+6u0=")</f>
        <v>#VALUE!</v>
      </c>
      <c r="IE66" t="e">
        <f>AND(DATA!X170,"AAAAAG8+6u4=")</f>
        <v>#VALUE!</v>
      </c>
      <c r="IF66" t="e">
        <f>AND(DATA!Y170,"AAAAAG8+6u8=")</f>
        <v>#VALUE!</v>
      </c>
      <c r="IG66">
        <f>IF(DATA!171:171,"AAAAAG8+6vA=",0)</f>
        <v>0</v>
      </c>
      <c r="IH66" t="e">
        <f>AND(DATA!A171,"AAAAAG8+6vE=")</f>
        <v>#VALUE!</v>
      </c>
      <c r="II66" t="e">
        <f>AND(DATA!B171,"AAAAAG8+6vI=")</f>
        <v>#VALUE!</v>
      </c>
      <c r="IJ66" t="e">
        <f>AND(DATA!C171,"AAAAAG8+6vM=")</f>
        <v>#VALUE!</v>
      </c>
      <c r="IK66" t="e">
        <f>AND(DATA!D171,"AAAAAG8+6vQ=")</f>
        <v>#VALUE!</v>
      </c>
      <c r="IL66" t="e">
        <f>AND(DATA!E171,"AAAAAG8+6vU=")</f>
        <v>#VALUE!</v>
      </c>
      <c r="IM66" t="e">
        <f>AND(DATA!F171,"AAAAAG8+6vY=")</f>
        <v>#VALUE!</v>
      </c>
      <c r="IN66" t="e">
        <f>AND(DATA!G171,"AAAAAG8+6vc=")</f>
        <v>#VALUE!</v>
      </c>
      <c r="IO66" t="e">
        <f>AND(DATA!H171,"AAAAAG8+6vg=")</f>
        <v>#VALUE!</v>
      </c>
      <c r="IP66" t="e">
        <f>AND(DATA!I171,"AAAAAG8+6vk=")</f>
        <v>#VALUE!</v>
      </c>
      <c r="IQ66" t="e">
        <f>AND(DATA!J171,"AAAAAG8+6vo=")</f>
        <v>#VALUE!</v>
      </c>
      <c r="IR66" t="e">
        <f>AND(DATA!K171,"AAAAAG8+6vs=")</f>
        <v>#VALUE!</v>
      </c>
      <c r="IS66" t="b">
        <f>AND(DATA!L172,"AAAAAG8+6vw=")</f>
        <v>1</v>
      </c>
      <c r="IT66" t="b">
        <f>AND(DATA!M172,"AAAAAG8+6v0=")</f>
        <v>1</v>
      </c>
      <c r="IU66" t="b">
        <f>AND(DATA!N172,"AAAAAG8+6v4=")</f>
        <v>1</v>
      </c>
      <c r="IV66" t="b">
        <f>AND(DATA!O172,"AAAAAG8+6v8=")</f>
        <v>1</v>
      </c>
    </row>
    <row r="67" spans="1:256" x14ac:dyDescent="0.25">
      <c r="A67" t="b">
        <f>AND(DATA!P172,"AAAAAG/79QA=")</f>
        <v>1</v>
      </c>
      <c r="B67" t="b">
        <f>AND(DATA!Q172,"AAAAAG/79QE=")</f>
        <v>1</v>
      </c>
      <c r="C67" t="b">
        <f>AND(DATA!R172,"AAAAAG/79QI=")</f>
        <v>1</v>
      </c>
      <c r="D67" t="b">
        <f>AND(DATA!S172,"AAAAAG/79QM=")</f>
        <v>1</v>
      </c>
      <c r="E67" t="b">
        <f>AND(DATA!T172,"AAAAAG/79QQ=")</f>
        <v>1</v>
      </c>
      <c r="F67" t="b">
        <f>AND(DATA!U172,"AAAAAG/79QU=")</f>
        <v>1</v>
      </c>
      <c r="G67" t="b">
        <f>AND(DATA!V172,"AAAAAG/79QY=")</f>
        <v>1</v>
      </c>
      <c r="H67" t="e">
        <f>AND(DATA!W171,"AAAAAG/79Qc=")</f>
        <v>#VALUE!</v>
      </c>
      <c r="I67" t="e">
        <f>AND(DATA!X171,"AAAAAG/79Qg=")</f>
        <v>#VALUE!</v>
      </c>
      <c r="J67" t="e">
        <f>AND(DATA!Y171,"AAAAAG/79Qk=")</f>
        <v>#VALUE!</v>
      </c>
      <c r="K67">
        <f>IF(DATA!172:172,"AAAAAG/79Qo=",0)</f>
        <v>0</v>
      </c>
      <c r="L67" t="e">
        <f>AND(DATA!A172,"AAAAAG/79Qs=")</f>
        <v>#VALUE!</v>
      </c>
      <c r="M67" t="e">
        <f>AND(DATA!B172,"AAAAAG/79Qw=")</f>
        <v>#VALUE!</v>
      </c>
      <c r="N67" t="e">
        <f>AND(DATA!C172,"AAAAAG/79Q0=")</f>
        <v>#VALUE!</v>
      </c>
      <c r="O67" t="e">
        <f>AND(DATA!D172,"AAAAAG/79Q4=")</f>
        <v>#VALUE!</v>
      </c>
      <c r="P67" t="e">
        <f>AND(DATA!E172,"AAAAAG/79Q8=")</f>
        <v>#VALUE!</v>
      </c>
      <c r="Q67" t="e">
        <f>AND(DATA!F172,"AAAAAG/79RA=")</f>
        <v>#VALUE!</v>
      </c>
      <c r="R67" t="e">
        <f>AND(DATA!G172,"AAAAAG/79RE=")</f>
        <v>#VALUE!</v>
      </c>
      <c r="S67" t="e">
        <f>AND(DATA!H172,"AAAAAG/79RI=")</f>
        <v>#VALUE!</v>
      </c>
      <c r="T67" t="e">
        <f>AND(DATA!I172,"AAAAAG/79RM=")</f>
        <v>#VALUE!</v>
      </c>
      <c r="U67" t="e">
        <f>AND(DATA!J172,"AAAAAG/79RQ=")</f>
        <v>#VALUE!</v>
      </c>
      <c r="V67" t="e">
        <f>AND(DATA!K172,"AAAAAG/79RU=")</f>
        <v>#VALUE!</v>
      </c>
      <c r="W67" t="b">
        <f>AND(DATA!L173,"AAAAAG/79RY=")</f>
        <v>1</v>
      </c>
      <c r="X67" t="b">
        <f>AND(DATA!M173,"AAAAAG/79Rc=")</f>
        <v>1</v>
      </c>
      <c r="Y67" t="b">
        <f>AND(DATA!N173,"AAAAAG/79Rg=")</f>
        <v>1</v>
      </c>
      <c r="Z67" t="b">
        <f>AND(DATA!O173,"AAAAAG/79Rk=")</f>
        <v>1</v>
      </c>
      <c r="AA67" t="b">
        <f>AND(DATA!P173,"AAAAAG/79Ro=")</f>
        <v>1</v>
      </c>
      <c r="AB67" t="b">
        <f>AND(DATA!Q173,"AAAAAG/79Rs=")</f>
        <v>1</v>
      </c>
      <c r="AC67" t="b">
        <f>AND(DATA!R173,"AAAAAG/79Rw=")</f>
        <v>1</v>
      </c>
      <c r="AD67" t="b">
        <f>AND(DATA!S173,"AAAAAG/79R0=")</f>
        <v>1</v>
      </c>
      <c r="AE67" t="b">
        <f>AND(DATA!T173,"AAAAAG/79R4=")</f>
        <v>1</v>
      </c>
      <c r="AF67" t="b">
        <f>AND(DATA!U173,"AAAAAG/79R8=")</f>
        <v>1</v>
      </c>
      <c r="AG67" t="b">
        <f>AND(DATA!V173,"AAAAAG/79SA=")</f>
        <v>1</v>
      </c>
      <c r="AH67" t="e">
        <f>AND(DATA!W172,"AAAAAG/79SE=")</f>
        <v>#VALUE!</v>
      </c>
      <c r="AI67" t="e">
        <f>AND(DATA!X172,"AAAAAG/79SI=")</f>
        <v>#VALUE!</v>
      </c>
      <c r="AJ67" t="e">
        <f>AND(DATA!Y172,"AAAAAG/79SM=")</f>
        <v>#VALUE!</v>
      </c>
      <c r="AK67">
        <f>IF(DATA!173:173,"AAAAAG/79SQ=",0)</f>
        <v>0</v>
      </c>
      <c r="AL67" t="e">
        <f>AND(DATA!A173,"AAAAAG/79SU=")</f>
        <v>#VALUE!</v>
      </c>
      <c r="AM67" t="e">
        <f>AND(DATA!B173,"AAAAAG/79SY=")</f>
        <v>#VALUE!</v>
      </c>
      <c r="AN67" t="e">
        <f>AND(DATA!C173,"AAAAAG/79Sc=")</f>
        <v>#VALUE!</v>
      </c>
      <c r="AO67" t="e">
        <f>AND(DATA!D173,"AAAAAG/79Sg=")</f>
        <v>#VALUE!</v>
      </c>
      <c r="AP67" t="e">
        <f>AND(DATA!E173,"AAAAAG/79Sk=")</f>
        <v>#VALUE!</v>
      </c>
      <c r="AQ67" t="e">
        <f>AND(DATA!F173,"AAAAAG/79So=")</f>
        <v>#VALUE!</v>
      </c>
      <c r="AR67" t="e">
        <f>AND(DATA!G173,"AAAAAG/79Ss=")</f>
        <v>#VALUE!</v>
      </c>
      <c r="AS67" t="e">
        <f>AND(DATA!H173,"AAAAAG/79Sw=")</f>
        <v>#VALUE!</v>
      </c>
      <c r="AT67" t="e">
        <f>AND(DATA!I173,"AAAAAG/79S0=")</f>
        <v>#VALUE!</v>
      </c>
      <c r="AU67" t="e">
        <f>AND(DATA!J173,"AAAAAG/79S4=")</f>
        <v>#VALUE!</v>
      </c>
      <c r="AV67" t="e">
        <f>AND(DATA!K173,"AAAAAG/79S8=")</f>
        <v>#VALUE!</v>
      </c>
      <c r="AW67" t="b">
        <f>AND(DATA!L174,"AAAAAG/79TA=")</f>
        <v>1</v>
      </c>
      <c r="AX67" t="b">
        <f>AND(DATA!M174,"AAAAAG/79TE=")</f>
        <v>1</v>
      </c>
      <c r="AY67" t="b">
        <f>AND(DATA!N174,"AAAAAG/79TI=")</f>
        <v>1</v>
      </c>
      <c r="AZ67" t="b">
        <f>AND(DATA!O174,"AAAAAG/79TM=")</f>
        <v>1</v>
      </c>
      <c r="BA67" t="b">
        <f>AND(DATA!P174,"AAAAAG/79TQ=")</f>
        <v>1</v>
      </c>
      <c r="BB67" t="b">
        <f>AND(DATA!Q174,"AAAAAG/79TU=")</f>
        <v>1</v>
      </c>
      <c r="BC67" t="b">
        <f>AND(DATA!R174,"AAAAAG/79TY=")</f>
        <v>1</v>
      </c>
      <c r="BD67" t="b">
        <f>AND(DATA!S174,"AAAAAG/79Tc=")</f>
        <v>1</v>
      </c>
      <c r="BE67" t="b">
        <f>AND(DATA!T174,"AAAAAG/79Tg=")</f>
        <v>1</v>
      </c>
      <c r="BF67" t="b">
        <f>AND(DATA!U174,"AAAAAG/79Tk=")</f>
        <v>1</v>
      </c>
      <c r="BG67" t="b">
        <f>AND(DATA!V174,"AAAAAG/79To=")</f>
        <v>1</v>
      </c>
      <c r="BH67" t="e">
        <f>AND(DATA!W173,"AAAAAG/79Ts=")</f>
        <v>#VALUE!</v>
      </c>
      <c r="BI67" t="e">
        <f>AND(DATA!X173,"AAAAAG/79Tw=")</f>
        <v>#VALUE!</v>
      </c>
      <c r="BJ67" t="e">
        <f>AND(DATA!Y173,"AAAAAG/79T0=")</f>
        <v>#VALUE!</v>
      </c>
      <c r="BK67">
        <f>IF(DATA!174:174,"AAAAAG/79T4=",0)</f>
        <v>0</v>
      </c>
      <c r="BL67" t="e">
        <f>AND(DATA!A174,"AAAAAG/79T8=")</f>
        <v>#VALUE!</v>
      </c>
      <c r="BM67" t="e">
        <f>AND(DATA!B174,"AAAAAG/79UA=")</f>
        <v>#VALUE!</v>
      </c>
      <c r="BN67" t="e">
        <f>AND(DATA!C174,"AAAAAG/79UE=")</f>
        <v>#VALUE!</v>
      </c>
      <c r="BO67" t="e">
        <f>AND(DATA!D174,"AAAAAG/79UI=")</f>
        <v>#VALUE!</v>
      </c>
      <c r="BP67" t="e">
        <f>AND(DATA!E174,"AAAAAG/79UM=")</f>
        <v>#VALUE!</v>
      </c>
      <c r="BQ67" t="e">
        <f>AND(DATA!F174,"AAAAAG/79UQ=")</f>
        <v>#VALUE!</v>
      </c>
      <c r="BR67" t="e">
        <f>AND(DATA!G174,"AAAAAG/79UU=")</f>
        <v>#VALUE!</v>
      </c>
      <c r="BS67" t="e">
        <f>AND(DATA!H174,"AAAAAG/79UY=")</f>
        <v>#VALUE!</v>
      </c>
      <c r="BT67" t="e">
        <f>AND(DATA!I174,"AAAAAG/79Uc=")</f>
        <v>#VALUE!</v>
      </c>
      <c r="BU67" t="e">
        <f>AND(DATA!J174,"AAAAAG/79Ug=")</f>
        <v>#VALUE!</v>
      </c>
      <c r="BV67" t="e">
        <f>AND(DATA!K174,"AAAAAG/79Uk=")</f>
        <v>#VALUE!</v>
      </c>
      <c r="BW67" t="b">
        <f>AND(DATA!L175,"AAAAAG/79Uo=")</f>
        <v>1</v>
      </c>
      <c r="BX67" t="b">
        <f>AND(DATA!M175,"AAAAAG/79Us=")</f>
        <v>1</v>
      </c>
      <c r="BY67" t="b">
        <f>AND(DATA!N175,"AAAAAG/79Uw=")</f>
        <v>1</v>
      </c>
      <c r="BZ67" t="b">
        <f>AND(DATA!O175,"AAAAAG/79U0=")</f>
        <v>1</v>
      </c>
      <c r="CA67" t="b">
        <f>AND(DATA!P175,"AAAAAG/79U4=")</f>
        <v>1</v>
      </c>
      <c r="CB67" t="b">
        <f>AND(DATA!Q175,"AAAAAG/79U8=")</f>
        <v>1</v>
      </c>
      <c r="CC67" t="b">
        <f>AND(DATA!R175,"AAAAAG/79VA=")</f>
        <v>1</v>
      </c>
      <c r="CD67" t="b">
        <f>AND(DATA!S175,"AAAAAG/79VE=")</f>
        <v>1</v>
      </c>
      <c r="CE67" t="b">
        <f>AND(DATA!T175,"AAAAAG/79VI=")</f>
        <v>1</v>
      </c>
      <c r="CF67" t="b">
        <f>AND(DATA!U175,"AAAAAG/79VM=")</f>
        <v>1</v>
      </c>
      <c r="CG67" t="b">
        <f>AND(DATA!V175,"AAAAAG/79VQ=")</f>
        <v>1</v>
      </c>
      <c r="CH67" t="e">
        <f>AND(DATA!W174,"AAAAAG/79VU=")</f>
        <v>#VALUE!</v>
      </c>
      <c r="CI67" t="e">
        <f>AND(DATA!X174,"AAAAAG/79VY=")</f>
        <v>#VALUE!</v>
      </c>
      <c r="CJ67" t="e">
        <f>AND(DATA!Y174,"AAAAAG/79Vc=")</f>
        <v>#VALUE!</v>
      </c>
      <c r="CK67">
        <f>IF(DATA!175:175,"AAAAAG/79Vg=",0)</f>
        <v>0</v>
      </c>
      <c r="CL67" t="e">
        <f>AND(DATA!A175,"AAAAAG/79Vk=")</f>
        <v>#VALUE!</v>
      </c>
      <c r="CM67" t="e">
        <f>AND(DATA!B175,"AAAAAG/79Vo=")</f>
        <v>#VALUE!</v>
      </c>
      <c r="CN67" t="e">
        <f>AND(DATA!C175,"AAAAAG/79Vs=")</f>
        <v>#VALUE!</v>
      </c>
      <c r="CO67" t="e">
        <f>AND(DATA!D175,"AAAAAG/79Vw=")</f>
        <v>#VALUE!</v>
      </c>
      <c r="CP67" t="e">
        <f>AND(DATA!E175,"AAAAAG/79V0=")</f>
        <v>#VALUE!</v>
      </c>
      <c r="CQ67" t="e">
        <f>AND(DATA!F175,"AAAAAG/79V4=")</f>
        <v>#VALUE!</v>
      </c>
      <c r="CR67" t="e">
        <f>AND(DATA!G175,"AAAAAG/79V8=")</f>
        <v>#VALUE!</v>
      </c>
      <c r="CS67" t="e">
        <f>AND(DATA!H175,"AAAAAG/79WA=")</f>
        <v>#VALUE!</v>
      </c>
      <c r="CT67" t="e">
        <f>AND(DATA!I175,"AAAAAG/79WE=")</f>
        <v>#VALUE!</v>
      </c>
      <c r="CU67" t="e">
        <f>AND(DATA!J175,"AAAAAG/79WI=")</f>
        <v>#VALUE!</v>
      </c>
      <c r="CV67" t="e">
        <f>AND(DATA!K175,"AAAAAG/79WM=")</f>
        <v>#VALUE!</v>
      </c>
      <c r="CW67" t="b">
        <f>AND(DATA!L176,"AAAAAG/79WQ=")</f>
        <v>1</v>
      </c>
      <c r="CX67" t="b">
        <f>AND(DATA!M176,"AAAAAG/79WU=")</f>
        <v>1</v>
      </c>
      <c r="CY67" t="b">
        <f>AND(DATA!N176,"AAAAAG/79WY=")</f>
        <v>1</v>
      </c>
      <c r="CZ67" t="b">
        <f>AND(DATA!O176,"AAAAAG/79Wc=")</f>
        <v>1</v>
      </c>
      <c r="DA67" t="b">
        <f>AND(DATA!P176,"AAAAAG/79Wg=")</f>
        <v>1</v>
      </c>
      <c r="DB67" t="b">
        <f>AND(DATA!Q176,"AAAAAG/79Wk=")</f>
        <v>1</v>
      </c>
      <c r="DC67" t="b">
        <f>AND(DATA!R176,"AAAAAG/79Wo=")</f>
        <v>1</v>
      </c>
      <c r="DD67" t="b">
        <f>AND(DATA!S176,"AAAAAG/79Ws=")</f>
        <v>1</v>
      </c>
      <c r="DE67" t="b">
        <f>AND(DATA!T176,"AAAAAG/79Ww=")</f>
        <v>1</v>
      </c>
      <c r="DF67" t="b">
        <f>AND(DATA!U176,"AAAAAG/79W0=")</f>
        <v>1</v>
      </c>
      <c r="DG67" t="b">
        <f>AND(DATA!V176,"AAAAAG/79W4=")</f>
        <v>1</v>
      </c>
      <c r="DH67" t="e">
        <f>AND(DATA!W175,"AAAAAG/79W8=")</f>
        <v>#VALUE!</v>
      </c>
      <c r="DI67" t="e">
        <f>AND(DATA!X175,"AAAAAG/79XA=")</f>
        <v>#VALUE!</v>
      </c>
      <c r="DJ67" t="e">
        <f>AND(DATA!Y175,"AAAAAG/79XE=")</f>
        <v>#VALUE!</v>
      </c>
      <c r="DK67">
        <f>IF(DATA!176:176,"AAAAAG/79XI=",0)</f>
        <v>0</v>
      </c>
      <c r="DL67" t="e">
        <f>AND(DATA!A176,"AAAAAG/79XM=")</f>
        <v>#VALUE!</v>
      </c>
      <c r="DM67" t="e">
        <f>AND(DATA!B176,"AAAAAG/79XQ=")</f>
        <v>#VALUE!</v>
      </c>
      <c r="DN67" t="e">
        <f>AND(DATA!C176,"AAAAAG/79XU=")</f>
        <v>#VALUE!</v>
      </c>
      <c r="DO67" t="e">
        <f>AND(DATA!D176,"AAAAAG/79XY=")</f>
        <v>#VALUE!</v>
      </c>
      <c r="DP67" t="e">
        <f>AND(DATA!E176,"AAAAAG/79Xc=")</f>
        <v>#VALUE!</v>
      </c>
      <c r="DQ67" t="e">
        <f>AND(DATA!F176,"AAAAAG/79Xg=")</f>
        <v>#VALUE!</v>
      </c>
      <c r="DR67" t="e">
        <f>AND(DATA!G176,"AAAAAG/79Xk=")</f>
        <v>#VALUE!</v>
      </c>
      <c r="DS67" t="e">
        <f>AND(DATA!H176,"AAAAAG/79Xo=")</f>
        <v>#VALUE!</v>
      </c>
      <c r="DT67" t="e">
        <f>AND(DATA!I176,"AAAAAG/79Xs=")</f>
        <v>#VALUE!</v>
      </c>
      <c r="DU67" t="e">
        <f>AND(DATA!J176,"AAAAAG/79Xw=")</f>
        <v>#VALUE!</v>
      </c>
      <c r="DV67" t="e">
        <f>AND(DATA!K176,"AAAAAG/79X0=")</f>
        <v>#VALUE!</v>
      </c>
      <c r="DW67" t="b">
        <f>AND(DATA!L177,"AAAAAG/79X4=")</f>
        <v>1</v>
      </c>
      <c r="DX67" t="b">
        <f>AND(DATA!M177,"AAAAAG/79X8=")</f>
        <v>1</v>
      </c>
      <c r="DY67" t="b">
        <f>AND(DATA!N177,"AAAAAG/79YA=")</f>
        <v>1</v>
      </c>
      <c r="DZ67" t="b">
        <f>AND(DATA!O177,"AAAAAG/79YE=")</f>
        <v>1</v>
      </c>
      <c r="EA67" t="b">
        <f>AND(DATA!P177,"AAAAAG/79YI=")</f>
        <v>1</v>
      </c>
      <c r="EB67" t="b">
        <f>AND(DATA!Q177,"AAAAAG/79YM=")</f>
        <v>1</v>
      </c>
      <c r="EC67" t="b">
        <f>AND(DATA!R177,"AAAAAG/79YQ=")</f>
        <v>1</v>
      </c>
      <c r="ED67" t="b">
        <f>AND(DATA!S177,"AAAAAG/79YU=")</f>
        <v>1</v>
      </c>
      <c r="EE67" t="b">
        <f>AND(DATA!T177,"AAAAAG/79YY=")</f>
        <v>1</v>
      </c>
      <c r="EF67" t="b">
        <f>AND(DATA!U177,"AAAAAG/79Yc=")</f>
        <v>1</v>
      </c>
      <c r="EG67" t="b">
        <f>AND(DATA!V177,"AAAAAG/79Yg=")</f>
        <v>1</v>
      </c>
      <c r="EH67" t="e">
        <f>AND(DATA!W176,"AAAAAG/79Yk=")</f>
        <v>#VALUE!</v>
      </c>
      <c r="EI67" t="e">
        <f>AND(DATA!X176,"AAAAAG/79Yo=")</f>
        <v>#VALUE!</v>
      </c>
      <c r="EJ67" t="e">
        <f>AND(DATA!Y176,"AAAAAG/79Ys=")</f>
        <v>#VALUE!</v>
      </c>
      <c r="EK67">
        <f>IF(DATA!177:177,"AAAAAG/79Yw=",0)</f>
        <v>0</v>
      </c>
      <c r="EL67" t="e">
        <f>AND(DATA!A177,"AAAAAG/79Y0=")</f>
        <v>#VALUE!</v>
      </c>
      <c r="EM67" t="e">
        <f>AND(DATA!B177,"AAAAAG/79Y4=")</f>
        <v>#VALUE!</v>
      </c>
      <c r="EN67" t="e">
        <f>AND(DATA!C177,"AAAAAG/79Y8=")</f>
        <v>#VALUE!</v>
      </c>
      <c r="EO67" t="e">
        <f>AND(DATA!D177,"AAAAAG/79ZA=")</f>
        <v>#VALUE!</v>
      </c>
      <c r="EP67" t="e">
        <f>AND(DATA!E177,"AAAAAG/79ZE=")</f>
        <v>#VALUE!</v>
      </c>
      <c r="EQ67" t="e">
        <f>AND(DATA!F177,"AAAAAG/79ZI=")</f>
        <v>#VALUE!</v>
      </c>
      <c r="ER67" t="e">
        <f>AND(DATA!G177,"AAAAAG/79ZM=")</f>
        <v>#VALUE!</v>
      </c>
      <c r="ES67" t="e">
        <f>AND(DATA!H177,"AAAAAG/79ZQ=")</f>
        <v>#VALUE!</v>
      </c>
      <c r="ET67" t="e">
        <f>AND(DATA!I177,"AAAAAG/79ZU=")</f>
        <v>#VALUE!</v>
      </c>
      <c r="EU67" t="e">
        <f>AND(DATA!J177,"AAAAAG/79ZY=")</f>
        <v>#VALUE!</v>
      </c>
      <c r="EV67" t="e">
        <f>AND(DATA!K177,"AAAAAG/79Zc=")</f>
        <v>#VALUE!</v>
      </c>
      <c r="EW67" t="b">
        <f>AND(DATA!L178,"AAAAAG/79Zg=")</f>
        <v>1</v>
      </c>
      <c r="EX67" t="b">
        <f>AND(DATA!M178,"AAAAAG/79Zk=")</f>
        <v>1</v>
      </c>
      <c r="EY67" t="b">
        <f>AND(DATA!N178,"AAAAAG/79Zo=")</f>
        <v>1</v>
      </c>
      <c r="EZ67" t="b">
        <f>AND(DATA!O178,"AAAAAG/79Zs=")</f>
        <v>1</v>
      </c>
      <c r="FA67" t="b">
        <f>AND(DATA!P178,"AAAAAG/79Zw=")</f>
        <v>1</v>
      </c>
      <c r="FB67" t="b">
        <f>AND(DATA!Q178,"AAAAAG/79Z0=")</f>
        <v>1</v>
      </c>
      <c r="FC67" t="b">
        <f>AND(DATA!R178,"AAAAAG/79Z4=")</f>
        <v>1</v>
      </c>
      <c r="FD67" t="b">
        <f>AND(DATA!S178,"AAAAAG/79Z8=")</f>
        <v>1</v>
      </c>
      <c r="FE67" t="b">
        <f>AND(DATA!T178,"AAAAAG/79aA=")</f>
        <v>1</v>
      </c>
      <c r="FF67" t="b">
        <f>AND(DATA!U178,"AAAAAG/79aE=")</f>
        <v>1</v>
      </c>
      <c r="FG67" t="b">
        <f>AND(DATA!V178,"AAAAAG/79aI=")</f>
        <v>1</v>
      </c>
      <c r="FH67" t="e">
        <f>AND(DATA!W177,"AAAAAG/79aM=")</f>
        <v>#VALUE!</v>
      </c>
      <c r="FI67" t="e">
        <f>AND(DATA!X177,"AAAAAG/79aQ=")</f>
        <v>#VALUE!</v>
      </c>
      <c r="FJ67" t="e">
        <f>AND(DATA!Y177,"AAAAAG/79aU=")</f>
        <v>#VALUE!</v>
      </c>
      <c r="FK67">
        <f>IF(DATA!178:178,"AAAAAG/79aY=",0)</f>
        <v>0</v>
      </c>
      <c r="FL67" t="e">
        <f>AND(DATA!A178,"AAAAAG/79ac=")</f>
        <v>#VALUE!</v>
      </c>
      <c r="FM67" t="e">
        <f>AND(DATA!B178,"AAAAAG/79ag=")</f>
        <v>#VALUE!</v>
      </c>
      <c r="FN67" t="e">
        <f>AND(DATA!C178,"AAAAAG/79ak=")</f>
        <v>#VALUE!</v>
      </c>
      <c r="FO67" t="e">
        <f>AND(DATA!D178,"AAAAAG/79ao=")</f>
        <v>#VALUE!</v>
      </c>
      <c r="FP67" t="e">
        <f>AND(DATA!E178,"AAAAAG/79as=")</f>
        <v>#VALUE!</v>
      </c>
      <c r="FQ67" t="e">
        <f>AND(DATA!F178,"AAAAAG/79aw=")</f>
        <v>#VALUE!</v>
      </c>
      <c r="FR67" t="e">
        <f>AND(DATA!G178,"AAAAAG/79a0=")</f>
        <v>#VALUE!</v>
      </c>
      <c r="FS67" t="e">
        <f>AND(DATA!H178,"AAAAAG/79a4=")</f>
        <v>#VALUE!</v>
      </c>
      <c r="FT67" t="e">
        <f>AND(DATA!I178,"AAAAAG/79a8=")</f>
        <v>#VALUE!</v>
      </c>
      <c r="FU67" t="e">
        <f>AND(DATA!J178,"AAAAAG/79bA=")</f>
        <v>#VALUE!</v>
      </c>
      <c r="FV67" t="e">
        <f>AND(DATA!K178,"AAAAAG/79bE=")</f>
        <v>#VALUE!</v>
      </c>
      <c r="FW67" t="b">
        <f>AND(DATA!L179,"AAAAAG/79bI=")</f>
        <v>1</v>
      </c>
      <c r="FX67" t="b">
        <f>AND(DATA!M179,"AAAAAG/79bM=")</f>
        <v>1</v>
      </c>
      <c r="FY67" t="b">
        <f>AND(DATA!N179,"AAAAAG/79bQ=")</f>
        <v>1</v>
      </c>
      <c r="FZ67" t="b">
        <f>AND(DATA!O179,"AAAAAG/79bU=")</f>
        <v>1</v>
      </c>
      <c r="GA67" t="b">
        <f>AND(DATA!P179,"AAAAAG/79bY=")</f>
        <v>1</v>
      </c>
      <c r="GB67" t="b">
        <f>AND(DATA!Q179,"AAAAAG/79bc=")</f>
        <v>1</v>
      </c>
      <c r="GC67" t="b">
        <f>AND(DATA!R179,"AAAAAG/79bg=")</f>
        <v>1</v>
      </c>
      <c r="GD67" t="b">
        <f>AND(DATA!S179,"AAAAAG/79bk=")</f>
        <v>1</v>
      </c>
      <c r="GE67" t="b">
        <f>AND(DATA!T179,"AAAAAG/79bo=")</f>
        <v>1</v>
      </c>
      <c r="GF67" t="b">
        <f>AND(DATA!U179,"AAAAAG/79bs=")</f>
        <v>1</v>
      </c>
      <c r="GG67" t="b">
        <f>AND(DATA!V179,"AAAAAG/79bw=")</f>
        <v>1</v>
      </c>
      <c r="GH67" t="e">
        <f>AND(DATA!W178,"AAAAAG/79b0=")</f>
        <v>#VALUE!</v>
      </c>
      <c r="GI67" t="e">
        <f>AND(DATA!X178,"AAAAAG/79b4=")</f>
        <v>#VALUE!</v>
      </c>
      <c r="GJ67" t="e">
        <f>AND(DATA!Y178,"AAAAAG/79b8=")</f>
        <v>#VALUE!</v>
      </c>
      <c r="GK67">
        <f>IF(DATA!179:179,"AAAAAG/79cA=",0)</f>
        <v>0</v>
      </c>
      <c r="GL67" t="e">
        <f>AND(DATA!A179,"AAAAAG/79cE=")</f>
        <v>#VALUE!</v>
      </c>
      <c r="GM67" t="e">
        <f>AND(DATA!B179,"AAAAAG/79cI=")</f>
        <v>#VALUE!</v>
      </c>
      <c r="GN67" t="e">
        <f>AND(DATA!C179,"AAAAAG/79cM=")</f>
        <v>#VALUE!</v>
      </c>
      <c r="GO67" t="e">
        <f>AND(DATA!D179,"AAAAAG/79cQ=")</f>
        <v>#VALUE!</v>
      </c>
      <c r="GP67" t="e">
        <f>AND(DATA!E179,"AAAAAG/79cU=")</f>
        <v>#VALUE!</v>
      </c>
      <c r="GQ67" t="e">
        <f>AND(DATA!F179,"AAAAAG/79cY=")</f>
        <v>#VALUE!</v>
      </c>
      <c r="GR67" t="e">
        <f>AND(DATA!G179,"AAAAAG/79cc=")</f>
        <v>#VALUE!</v>
      </c>
      <c r="GS67" t="e">
        <f>AND(DATA!H179,"AAAAAG/79cg=")</f>
        <v>#VALUE!</v>
      </c>
      <c r="GT67" t="e">
        <f>AND(DATA!I179,"AAAAAG/79ck=")</f>
        <v>#VALUE!</v>
      </c>
      <c r="GU67" t="e">
        <f>AND(DATA!J179,"AAAAAG/79co=")</f>
        <v>#VALUE!</v>
      </c>
      <c r="GV67" t="e">
        <f>AND(DATA!K179,"AAAAAG/79cs=")</f>
        <v>#VALUE!</v>
      </c>
      <c r="GW67" t="b">
        <f>AND(DATA!L180,"AAAAAG/79cw=")</f>
        <v>1</v>
      </c>
      <c r="GX67" t="b">
        <f>AND(DATA!M180,"AAAAAG/79c0=")</f>
        <v>1</v>
      </c>
      <c r="GY67" t="b">
        <f>AND(DATA!N180,"AAAAAG/79c4=")</f>
        <v>1</v>
      </c>
      <c r="GZ67" t="b">
        <f>AND(DATA!O180,"AAAAAG/79c8=")</f>
        <v>1</v>
      </c>
      <c r="HA67" t="b">
        <f>AND(DATA!P180,"AAAAAG/79dA=")</f>
        <v>1</v>
      </c>
      <c r="HB67" t="b">
        <f>AND(DATA!Q180,"AAAAAG/79dE=")</f>
        <v>1</v>
      </c>
      <c r="HC67" t="b">
        <f>AND(DATA!R180,"AAAAAG/79dI=")</f>
        <v>1</v>
      </c>
      <c r="HD67" t="b">
        <f>AND(DATA!S180,"AAAAAG/79dM=")</f>
        <v>1</v>
      </c>
      <c r="HE67" t="b">
        <f>AND(DATA!T180,"AAAAAG/79dQ=")</f>
        <v>1</v>
      </c>
      <c r="HF67" t="b">
        <f>AND(DATA!U180,"AAAAAG/79dU=")</f>
        <v>1</v>
      </c>
      <c r="HG67" t="b">
        <f>AND(DATA!V180,"AAAAAG/79dY=")</f>
        <v>1</v>
      </c>
      <c r="HH67" t="e">
        <f>AND(DATA!W179,"AAAAAG/79dc=")</f>
        <v>#VALUE!</v>
      </c>
      <c r="HI67" t="e">
        <f>AND(DATA!X179,"AAAAAG/79dg=")</f>
        <v>#VALUE!</v>
      </c>
      <c r="HJ67" t="e">
        <f>AND(DATA!Y179,"AAAAAG/79dk=")</f>
        <v>#VALUE!</v>
      </c>
      <c r="HK67">
        <f>IF(DATA!180:180,"AAAAAG/79do=",0)</f>
        <v>0</v>
      </c>
      <c r="HL67" t="e">
        <f>AND(DATA!A180,"AAAAAG/79ds=")</f>
        <v>#VALUE!</v>
      </c>
      <c r="HM67" t="e">
        <f>AND(DATA!B180,"AAAAAG/79dw=")</f>
        <v>#VALUE!</v>
      </c>
      <c r="HN67" t="e">
        <f>AND(DATA!C180,"AAAAAG/79d0=")</f>
        <v>#VALUE!</v>
      </c>
      <c r="HO67" t="e">
        <f>AND(DATA!D180,"AAAAAG/79d4=")</f>
        <v>#VALUE!</v>
      </c>
      <c r="HP67" t="e">
        <f>AND(DATA!E180,"AAAAAG/79d8=")</f>
        <v>#VALUE!</v>
      </c>
      <c r="HQ67" t="e">
        <f>AND(DATA!F180,"AAAAAG/79eA=")</f>
        <v>#VALUE!</v>
      </c>
      <c r="HR67" t="e">
        <f>AND(DATA!G180,"AAAAAG/79eE=")</f>
        <v>#VALUE!</v>
      </c>
      <c r="HS67" t="e">
        <f>AND(DATA!H180,"AAAAAG/79eI=")</f>
        <v>#VALUE!</v>
      </c>
      <c r="HT67" t="e">
        <f>AND(DATA!I180,"AAAAAG/79eM=")</f>
        <v>#VALUE!</v>
      </c>
      <c r="HU67" t="e">
        <f>AND(DATA!J180,"AAAAAG/79eQ=")</f>
        <v>#VALUE!</v>
      </c>
      <c r="HV67" t="e">
        <f>AND(DATA!K180,"AAAAAG/79eU=")</f>
        <v>#VALUE!</v>
      </c>
      <c r="HW67" t="b">
        <f>AND(DATA!L181,"AAAAAG/79eY=")</f>
        <v>1</v>
      </c>
      <c r="HX67" t="b">
        <f>AND(DATA!M181,"AAAAAG/79ec=")</f>
        <v>1</v>
      </c>
      <c r="HY67" t="b">
        <f>AND(DATA!N181,"AAAAAG/79eg=")</f>
        <v>1</v>
      </c>
      <c r="HZ67" t="b">
        <f>AND(DATA!O181,"AAAAAG/79ek=")</f>
        <v>1</v>
      </c>
      <c r="IA67" t="b">
        <f>AND(DATA!P181,"AAAAAG/79eo=")</f>
        <v>1</v>
      </c>
      <c r="IB67" t="b">
        <f>AND(DATA!Q181,"AAAAAG/79es=")</f>
        <v>1</v>
      </c>
      <c r="IC67" t="b">
        <f>AND(DATA!R181,"AAAAAG/79ew=")</f>
        <v>1</v>
      </c>
      <c r="ID67" t="b">
        <f>AND(DATA!S181,"AAAAAG/79e0=")</f>
        <v>1</v>
      </c>
      <c r="IE67" t="b">
        <f>AND(DATA!T181,"AAAAAG/79e4=")</f>
        <v>1</v>
      </c>
      <c r="IF67" t="b">
        <f>AND(DATA!U181,"AAAAAG/79e8=")</f>
        <v>1</v>
      </c>
      <c r="IG67" t="b">
        <f>AND(DATA!V181,"AAAAAG/79fA=")</f>
        <v>1</v>
      </c>
      <c r="IH67" t="e">
        <f>AND(DATA!W180,"AAAAAG/79fE=")</f>
        <v>#VALUE!</v>
      </c>
      <c r="II67" t="e">
        <f>AND(DATA!X180,"AAAAAG/79fI=")</f>
        <v>#VALUE!</v>
      </c>
      <c r="IJ67" t="e">
        <f>AND(DATA!Y180,"AAAAAG/79fM=")</f>
        <v>#VALUE!</v>
      </c>
      <c r="IK67">
        <f>IF(DATA!181:181,"AAAAAG/79fQ=",0)</f>
        <v>0</v>
      </c>
      <c r="IL67" t="e">
        <f>AND(DATA!A181,"AAAAAG/79fU=")</f>
        <v>#VALUE!</v>
      </c>
      <c r="IM67" t="e">
        <f>AND(DATA!B181,"AAAAAG/79fY=")</f>
        <v>#VALUE!</v>
      </c>
      <c r="IN67" t="e">
        <f>AND(DATA!C181,"AAAAAG/79fc=")</f>
        <v>#VALUE!</v>
      </c>
      <c r="IO67" t="e">
        <f>AND(DATA!D181,"AAAAAG/79fg=")</f>
        <v>#VALUE!</v>
      </c>
      <c r="IP67" t="e">
        <f>AND(DATA!E181,"AAAAAG/79fk=")</f>
        <v>#VALUE!</v>
      </c>
      <c r="IQ67" t="e">
        <f>AND(DATA!F181,"AAAAAG/79fo=")</f>
        <v>#VALUE!</v>
      </c>
      <c r="IR67" t="e">
        <f>AND(DATA!G181,"AAAAAG/79fs=")</f>
        <v>#VALUE!</v>
      </c>
      <c r="IS67" t="e">
        <f>AND(DATA!H181,"AAAAAG/79fw=")</f>
        <v>#VALUE!</v>
      </c>
      <c r="IT67" t="e">
        <f>AND(DATA!I181,"AAAAAG/79f0=")</f>
        <v>#VALUE!</v>
      </c>
      <c r="IU67" t="e">
        <f>AND(DATA!J181,"AAAAAG/79f4=")</f>
        <v>#VALUE!</v>
      </c>
      <c r="IV67" t="e">
        <f>AND(DATA!K181,"AAAAAG/79f8=")</f>
        <v>#VALUE!</v>
      </c>
    </row>
    <row r="68" spans="1:256" x14ac:dyDescent="0.25">
      <c r="A68" t="b">
        <f>AND(DATA!L182,"AAAAAHHq8gA=")</f>
        <v>1</v>
      </c>
      <c r="B68" t="b">
        <f>AND(DATA!M182,"AAAAAHHq8gE=")</f>
        <v>1</v>
      </c>
      <c r="C68" t="b">
        <f>AND(DATA!N182,"AAAAAHHq8gI=")</f>
        <v>1</v>
      </c>
      <c r="D68" t="b">
        <f>AND(DATA!O182,"AAAAAHHq8gM=")</f>
        <v>1</v>
      </c>
      <c r="E68" t="b">
        <f>AND(DATA!P182,"AAAAAHHq8gQ=")</f>
        <v>1</v>
      </c>
      <c r="F68" t="b">
        <f>AND(DATA!Q182,"AAAAAHHq8gU=")</f>
        <v>1</v>
      </c>
      <c r="G68" t="b">
        <f>AND(DATA!R182,"AAAAAHHq8gY=")</f>
        <v>1</v>
      </c>
      <c r="H68" t="b">
        <f>AND(DATA!S182,"AAAAAHHq8gc=")</f>
        <v>1</v>
      </c>
      <c r="I68" t="b">
        <f>AND(DATA!T182,"AAAAAHHq8gg=")</f>
        <v>1</v>
      </c>
      <c r="J68" t="b">
        <f>AND(DATA!U182,"AAAAAHHq8gk=")</f>
        <v>1</v>
      </c>
      <c r="K68" t="b">
        <f>AND(DATA!V182,"AAAAAHHq8go=")</f>
        <v>1</v>
      </c>
      <c r="L68" t="e">
        <f>AND(DATA!W181,"AAAAAHHq8gs=")</f>
        <v>#VALUE!</v>
      </c>
      <c r="M68" t="e">
        <f>AND(DATA!X181,"AAAAAHHq8gw=")</f>
        <v>#VALUE!</v>
      </c>
      <c r="N68" t="e">
        <f>AND(DATA!Y181,"AAAAAHHq8g0=")</f>
        <v>#VALUE!</v>
      </c>
      <c r="O68" t="str">
        <f>IF(DATA!182:182,"AAAAAHHq8g4=",0)</f>
        <v>AAAAAHHq8g4=</v>
      </c>
      <c r="P68" t="e">
        <f>AND(DATA!A182,"AAAAAHHq8g8=")</f>
        <v>#VALUE!</v>
      </c>
      <c r="Q68" t="e">
        <f>AND(DATA!B182,"AAAAAHHq8hA=")</f>
        <v>#VALUE!</v>
      </c>
      <c r="R68" t="e">
        <f>AND(DATA!C182,"AAAAAHHq8hE=")</f>
        <v>#VALUE!</v>
      </c>
      <c r="S68" t="e">
        <f>AND(DATA!D182,"AAAAAHHq8hI=")</f>
        <v>#VALUE!</v>
      </c>
      <c r="T68" t="e">
        <f>AND(DATA!E182,"AAAAAHHq8hM=")</f>
        <v>#VALUE!</v>
      </c>
      <c r="U68" t="e">
        <f>AND(DATA!F182,"AAAAAHHq8hQ=")</f>
        <v>#VALUE!</v>
      </c>
      <c r="V68" t="e">
        <f>AND(DATA!G182,"AAAAAHHq8hU=")</f>
        <v>#VALUE!</v>
      </c>
      <c r="W68" t="e">
        <f>AND(DATA!H182,"AAAAAHHq8hY=")</f>
        <v>#VALUE!</v>
      </c>
      <c r="X68" t="e">
        <f>AND(DATA!I182,"AAAAAHHq8hc=")</f>
        <v>#VALUE!</v>
      </c>
      <c r="Y68" t="e">
        <f>AND(DATA!J182,"AAAAAHHq8hg=")</f>
        <v>#VALUE!</v>
      </c>
      <c r="Z68" t="e">
        <f>AND(DATA!K182,"AAAAAHHq8hk=")</f>
        <v>#VALUE!</v>
      </c>
      <c r="AA68" t="b">
        <f>AND(DATA!L183,"AAAAAHHq8ho=")</f>
        <v>1</v>
      </c>
      <c r="AB68" t="b">
        <f>AND(DATA!M183,"AAAAAHHq8hs=")</f>
        <v>1</v>
      </c>
      <c r="AC68" t="b">
        <f>AND(DATA!N183,"AAAAAHHq8hw=")</f>
        <v>1</v>
      </c>
      <c r="AD68" t="b">
        <f>AND(DATA!O183,"AAAAAHHq8h0=")</f>
        <v>1</v>
      </c>
      <c r="AE68" t="b">
        <f>AND(DATA!P183,"AAAAAHHq8h4=")</f>
        <v>1</v>
      </c>
      <c r="AF68" t="b">
        <f>AND(DATA!Q183,"AAAAAHHq8h8=")</f>
        <v>1</v>
      </c>
      <c r="AG68" t="b">
        <f>AND(DATA!R183,"AAAAAHHq8iA=")</f>
        <v>1</v>
      </c>
      <c r="AH68" t="b">
        <f>AND(DATA!S183,"AAAAAHHq8iE=")</f>
        <v>1</v>
      </c>
      <c r="AI68" t="b">
        <f>AND(DATA!T183,"AAAAAHHq8iI=")</f>
        <v>1</v>
      </c>
      <c r="AJ68" t="b">
        <f>AND(DATA!U183,"AAAAAHHq8iM=")</f>
        <v>1</v>
      </c>
      <c r="AK68" t="b">
        <f>AND(DATA!V183,"AAAAAHHq8iQ=")</f>
        <v>1</v>
      </c>
      <c r="AL68" t="e">
        <f>AND(DATA!W182,"AAAAAHHq8iU=")</f>
        <v>#VALUE!</v>
      </c>
      <c r="AM68" t="e">
        <f>AND(DATA!X182,"AAAAAHHq8iY=")</f>
        <v>#VALUE!</v>
      </c>
      <c r="AN68" t="e">
        <f>AND(DATA!Y182,"AAAAAHHq8ic=")</f>
        <v>#VALUE!</v>
      </c>
      <c r="AO68">
        <f>IF(DATA!183:183,"AAAAAHHq8ig=",0)</f>
        <v>0</v>
      </c>
      <c r="AP68" t="e">
        <f>AND(DATA!A183,"AAAAAHHq8ik=")</f>
        <v>#VALUE!</v>
      </c>
      <c r="AQ68" t="e">
        <f>AND(DATA!B183,"AAAAAHHq8io=")</f>
        <v>#VALUE!</v>
      </c>
      <c r="AR68" t="e">
        <f>AND(DATA!C183,"AAAAAHHq8is=")</f>
        <v>#VALUE!</v>
      </c>
      <c r="AS68" t="e">
        <f>AND(DATA!D183,"AAAAAHHq8iw=")</f>
        <v>#VALUE!</v>
      </c>
      <c r="AT68" t="e">
        <f>AND(DATA!E183,"AAAAAHHq8i0=")</f>
        <v>#VALUE!</v>
      </c>
      <c r="AU68" t="e">
        <f>AND(DATA!F183,"AAAAAHHq8i4=")</f>
        <v>#VALUE!</v>
      </c>
      <c r="AV68" t="e">
        <f>AND(DATA!G183,"AAAAAHHq8i8=")</f>
        <v>#VALUE!</v>
      </c>
      <c r="AW68" t="e">
        <f>AND(DATA!H183,"AAAAAHHq8jA=")</f>
        <v>#VALUE!</v>
      </c>
      <c r="AX68" t="e">
        <f>AND(DATA!I183,"AAAAAHHq8jE=")</f>
        <v>#VALUE!</v>
      </c>
      <c r="AY68" t="e">
        <f>AND(DATA!J183,"AAAAAHHq8jI=")</f>
        <v>#VALUE!</v>
      </c>
      <c r="AZ68" t="e">
        <f>AND(DATA!K183,"AAAAAHHq8jM=")</f>
        <v>#VALUE!</v>
      </c>
      <c r="BA68" t="b">
        <f>AND(DATA!L184,"AAAAAHHq8jQ=")</f>
        <v>1</v>
      </c>
      <c r="BB68" t="b">
        <f>AND(DATA!M184,"AAAAAHHq8jU=")</f>
        <v>1</v>
      </c>
      <c r="BC68" t="b">
        <f>AND(DATA!N184,"AAAAAHHq8jY=")</f>
        <v>1</v>
      </c>
      <c r="BD68" t="b">
        <f>AND(DATA!O184,"AAAAAHHq8jc=")</f>
        <v>1</v>
      </c>
      <c r="BE68" t="b">
        <f>AND(DATA!P184,"AAAAAHHq8jg=")</f>
        <v>1</v>
      </c>
      <c r="BF68" t="b">
        <f>AND(DATA!Q184,"AAAAAHHq8jk=")</f>
        <v>1</v>
      </c>
      <c r="BG68" t="b">
        <f>AND(DATA!R184,"AAAAAHHq8jo=")</f>
        <v>1</v>
      </c>
      <c r="BH68" t="b">
        <f>AND(DATA!S184,"AAAAAHHq8js=")</f>
        <v>1</v>
      </c>
      <c r="BI68" t="b">
        <f>AND(DATA!T184,"AAAAAHHq8jw=")</f>
        <v>1</v>
      </c>
      <c r="BJ68" t="b">
        <f>AND(DATA!U184,"AAAAAHHq8j0=")</f>
        <v>1</v>
      </c>
      <c r="BK68" t="b">
        <f>AND(DATA!V184,"AAAAAHHq8j4=")</f>
        <v>1</v>
      </c>
      <c r="BL68" t="e">
        <f>AND(DATA!W183,"AAAAAHHq8j8=")</f>
        <v>#VALUE!</v>
      </c>
      <c r="BM68" t="e">
        <f>AND(DATA!X183,"AAAAAHHq8kA=")</f>
        <v>#VALUE!</v>
      </c>
      <c r="BN68" t="e">
        <f>AND(DATA!Y183,"AAAAAHHq8kE=")</f>
        <v>#VALUE!</v>
      </c>
      <c r="BO68">
        <f>IF(DATA!184:184,"AAAAAHHq8kI=",0)</f>
        <v>0</v>
      </c>
      <c r="BP68" t="e">
        <f>AND(DATA!A184,"AAAAAHHq8kM=")</f>
        <v>#VALUE!</v>
      </c>
      <c r="BQ68" t="e">
        <f>AND(DATA!B184,"AAAAAHHq8kQ=")</f>
        <v>#VALUE!</v>
      </c>
      <c r="BR68" t="e">
        <f>AND(DATA!C184,"AAAAAHHq8kU=")</f>
        <v>#VALUE!</v>
      </c>
      <c r="BS68" t="e">
        <f>AND(DATA!D184,"AAAAAHHq8kY=")</f>
        <v>#VALUE!</v>
      </c>
      <c r="BT68" t="e">
        <f>AND(DATA!E184,"AAAAAHHq8kc=")</f>
        <v>#VALUE!</v>
      </c>
      <c r="BU68" t="e">
        <f>AND(DATA!F184,"AAAAAHHq8kg=")</f>
        <v>#VALUE!</v>
      </c>
      <c r="BV68" t="e">
        <f>AND(DATA!G184,"AAAAAHHq8kk=")</f>
        <v>#VALUE!</v>
      </c>
      <c r="BW68" t="e">
        <f>AND(DATA!H184,"AAAAAHHq8ko=")</f>
        <v>#VALUE!</v>
      </c>
      <c r="BX68" t="e">
        <f>AND(DATA!I184,"AAAAAHHq8ks=")</f>
        <v>#VALUE!</v>
      </c>
      <c r="BY68" t="e">
        <f>AND(DATA!J184,"AAAAAHHq8kw=")</f>
        <v>#VALUE!</v>
      </c>
      <c r="BZ68" t="e">
        <f>AND(DATA!K184,"AAAAAHHq8k0=")</f>
        <v>#VALUE!</v>
      </c>
      <c r="CA68" t="b">
        <f>AND(DATA!L185,"AAAAAHHq8k4=")</f>
        <v>1</v>
      </c>
      <c r="CB68" t="b">
        <f>AND(DATA!M185,"AAAAAHHq8k8=")</f>
        <v>1</v>
      </c>
      <c r="CC68" t="b">
        <f>AND(DATA!N185,"AAAAAHHq8lA=")</f>
        <v>1</v>
      </c>
      <c r="CD68" t="b">
        <f>AND(DATA!O185,"AAAAAHHq8lE=")</f>
        <v>1</v>
      </c>
      <c r="CE68" t="b">
        <f>AND(DATA!P185,"AAAAAHHq8lI=")</f>
        <v>1</v>
      </c>
      <c r="CF68" t="b">
        <f>AND(DATA!Q185,"AAAAAHHq8lM=")</f>
        <v>1</v>
      </c>
      <c r="CG68" t="b">
        <f>AND(DATA!R185,"AAAAAHHq8lQ=")</f>
        <v>1</v>
      </c>
      <c r="CH68" t="b">
        <f>AND(DATA!S185,"AAAAAHHq8lU=")</f>
        <v>1</v>
      </c>
      <c r="CI68" t="b">
        <f>AND(DATA!T185,"AAAAAHHq8lY=")</f>
        <v>1</v>
      </c>
      <c r="CJ68" t="b">
        <f>AND(DATA!U185,"AAAAAHHq8lc=")</f>
        <v>1</v>
      </c>
      <c r="CK68" t="b">
        <f>AND(DATA!V185,"AAAAAHHq8lg=")</f>
        <v>1</v>
      </c>
      <c r="CL68" t="e">
        <f>AND(DATA!W184,"AAAAAHHq8lk=")</f>
        <v>#VALUE!</v>
      </c>
      <c r="CM68" t="e">
        <f>AND(DATA!X184,"AAAAAHHq8lo=")</f>
        <v>#VALUE!</v>
      </c>
      <c r="CN68" t="e">
        <f>AND(DATA!Y184,"AAAAAHHq8ls=")</f>
        <v>#VALUE!</v>
      </c>
      <c r="CO68">
        <f>IF(DATA!185:185,"AAAAAHHq8lw=",0)</f>
        <v>0</v>
      </c>
      <c r="CP68" t="e">
        <f>AND(DATA!A185,"AAAAAHHq8l0=")</f>
        <v>#VALUE!</v>
      </c>
      <c r="CQ68" t="e">
        <f>AND(DATA!B185,"AAAAAHHq8l4=")</f>
        <v>#VALUE!</v>
      </c>
      <c r="CR68" t="e">
        <f>AND(DATA!C185,"AAAAAHHq8l8=")</f>
        <v>#VALUE!</v>
      </c>
      <c r="CS68" t="e">
        <f>AND(DATA!D185,"AAAAAHHq8mA=")</f>
        <v>#VALUE!</v>
      </c>
      <c r="CT68" t="e">
        <f>AND(DATA!E185,"AAAAAHHq8mE=")</f>
        <v>#VALUE!</v>
      </c>
      <c r="CU68" t="e">
        <f>AND(DATA!F185,"AAAAAHHq8mI=")</f>
        <v>#VALUE!</v>
      </c>
      <c r="CV68" t="e">
        <f>AND(DATA!G185,"AAAAAHHq8mM=")</f>
        <v>#VALUE!</v>
      </c>
      <c r="CW68" t="e">
        <f>AND(DATA!H185,"AAAAAHHq8mQ=")</f>
        <v>#VALUE!</v>
      </c>
      <c r="CX68" t="e">
        <f>AND(DATA!I185,"AAAAAHHq8mU=")</f>
        <v>#VALUE!</v>
      </c>
      <c r="CY68" t="e">
        <f>AND(DATA!J185,"AAAAAHHq8mY=")</f>
        <v>#VALUE!</v>
      </c>
      <c r="CZ68" t="e">
        <f>AND(DATA!K185,"AAAAAHHq8mc=")</f>
        <v>#VALUE!</v>
      </c>
      <c r="DA68" t="b">
        <f>AND(DATA!L186,"AAAAAHHq8mg=")</f>
        <v>1</v>
      </c>
      <c r="DB68" t="b">
        <f>AND(DATA!M186,"AAAAAHHq8mk=")</f>
        <v>1</v>
      </c>
      <c r="DC68" t="b">
        <f>AND(DATA!N186,"AAAAAHHq8mo=")</f>
        <v>1</v>
      </c>
      <c r="DD68" t="b">
        <f>AND(DATA!O186,"AAAAAHHq8ms=")</f>
        <v>1</v>
      </c>
      <c r="DE68" t="b">
        <f>AND(DATA!P186,"AAAAAHHq8mw=")</f>
        <v>1</v>
      </c>
      <c r="DF68" t="b">
        <f>AND(DATA!Q186,"AAAAAHHq8m0=")</f>
        <v>1</v>
      </c>
      <c r="DG68" t="b">
        <f>AND(DATA!R186,"AAAAAHHq8m4=")</f>
        <v>1</v>
      </c>
      <c r="DH68" t="b">
        <f>AND(DATA!S186,"AAAAAHHq8m8=")</f>
        <v>1</v>
      </c>
      <c r="DI68" t="b">
        <f>AND(DATA!T186,"AAAAAHHq8nA=")</f>
        <v>1</v>
      </c>
      <c r="DJ68" t="b">
        <f>AND(DATA!U186,"AAAAAHHq8nE=")</f>
        <v>1</v>
      </c>
      <c r="DK68" t="b">
        <f>AND(DATA!V186,"AAAAAHHq8nI=")</f>
        <v>1</v>
      </c>
      <c r="DL68" t="e">
        <f>AND(DATA!W185,"AAAAAHHq8nM=")</f>
        <v>#VALUE!</v>
      </c>
      <c r="DM68" t="e">
        <f>AND(DATA!X185,"AAAAAHHq8nQ=")</f>
        <v>#VALUE!</v>
      </c>
      <c r="DN68" t="e">
        <f>AND(DATA!Y185,"AAAAAHHq8nU=")</f>
        <v>#VALUE!</v>
      </c>
      <c r="DO68">
        <f>IF(DATA!186:186,"AAAAAHHq8nY=",0)</f>
        <v>0</v>
      </c>
      <c r="DP68" t="e">
        <f>AND(DATA!A186,"AAAAAHHq8nc=")</f>
        <v>#VALUE!</v>
      </c>
      <c r="DQ68" t="e">
        <f>AND(DATA!B186,"AAAAAHHq8ng=")</f>
        <v>#VALUE!</v>
      </c>
      <c r="DR68" t="e">
        <f>AND(DATA!C186,"AAAAAHHq8nk=")</f>
        <v>#VALUE!</v>
      </c>
      <c r="DS68" t="e">
        <f>AND(DATA!D186,"AAAAAHHq8no=")</f>
        <v>#VALUE!</v>
      </c>
      <c r="DT68" t="e">
        <f>AND(DATA!E186,"AAAAAHHq8ns=")</f>
        <v>#VALUE!</v>
      </c>
      <c r="DU68" t="e">
        <f>AND(DATA!F186,"AAAAAHHq8nw=")</f>
        <v>#VALUE!</v>
      </c>
      <c r="DV68" t="e">
        <f>AND(DATA!G186,"AAAAAHHq8n0=")</f>
        <v>#VALUE!</v>
      </c>
      <c r="DW68" t="e">
        <f>AND(DATA!H186,"AAAAAHHq8n4=")</f>
        <v>#VALUE!</v>
      </c>
      <c r="DX68" t="e">
        <f>AND(DATA!I186,"AAAAAHHq8n8=")</f>
        <v>#VALUE!</v>
      </c>
      <c r="DY68" t="e">
        <f>AND(DATA!J186,"AAAAAHHq8oA=")</f>
        <v>#VALUE!</v>
      </c>
      <c r="DZ68" t="e">
        <f>AND(DATA!K186,"AAAAAHHq8oE=")</f>
        <v>#VALUE!</v>
      </c>
      <c r="EA68" t="b">
        <f>AND(DATA!L187,"AAAAAHHq8oI=")</f>
        <v>1</v>
      </c>
      <c r="EB68" t="b">
        <f>AND(DATA!M187,"AAAAAHHq8oM=")</f>
        <v>1</v>
      </c>
      <c r="EC68" t="b">
        <f>AND(DATA!N187,"AAAAAHHq8oQ=")</f>
        <v>1</v>
      </c>
      <c r="ED68" t="b">
        <f>AND(DATA!O187,"AAAAAHHq8oU=")</f>
        <v>1</v>
      </c>
      <c r="EE68" t="b">
        <f>AND(DATA!P187,"AAAAAHHq8oY=")</f>
        <v>1</v>
      </c>
      <c r="EF68" t="b">
        <f>AND(DATA!Q187,"AAAAAHHq8oc=")</f>
        <v>1</v>
      </c>
      <c r="EG68" t="b">
        <f>AND(DATA!R187,"AAAAAHHq8og=")</f>
        <v>1</v>
      </c>
      <c r="EH68" t="b">
        <f>AND(DATA!S187,"AAAAAHHq8ok=")</f>
        <v>1</v>
      </c>
      <c r="EI68" t="b">
        <f>AND(DATA!T187,"AAAAAHHq8oo=")</f>
        <v>1</v>
      </c>
      <c r="EJ68" t="b">
        <f>AND(DATA!U187,"AAAAAHHq8os=")</f>
        <v>1</v>
      </c>
      <c r="EK68" t="b">
        <f>AND(DATA!V187,"AAAAAHHq8ow=")</f>
        <v>1</v>
      </c>
      <c r="EL68" t="e">
        <f>AND(DATA!W186,"AAAAAHHq8o0=")</f>
        <v>#VALUE!</v>
      </c>
      <c r="EM68" t="e">
        <f>AND(DATA!X186,"AAAAAHHq8o4=")</f>
        <v>#VALUE!</v>
      </c>
      <c r="EN68" t="e">
        <f>AND(DATA!Y186,"AAAAAHHq8o8=")</f>
        <v>#VALUE!</v>
      </c>
      <c r="EO68">
        <f>IF(DATA!187:187,"AAAAAHHq8pA=",0)</f>
        <v>0</v>
      </c>
      <c r="EP68" t="e">
        <f>AND(DATA!A187,"AAAAAHHq8pE=")</f>
        <v>#VALUE!</v>
      </c>
      <c r="EQ68" t="e">
        <f>AND(DATA!B187,"AAAAAHHq8pI=")</f>
        <v>#VALUE!</v>
      </c>
      <c r="ER68" t="e">
        <f>AND(DATA!C187,"AAAAAHHq8pM=")</f>
        <v>#VALUE!</v>
      </c>
      <c r="ES68" t="e">
        <f>AND(DATA!D187,"AAAAAHHq8pQ=")</f>
        <v>#VALUE!</v>
      </c>
      <c r="ET68" t="e">
        <f>AND(DATA!E187,"AAAAAHHq8pU=")</f>
        <v>#VALUE!</v>
      </c>
      <c r="EU68" t="e">
        <f>AND(DATA!F187,"AAAAAHHq8pY=")</f>
        <v>#VALUE!</v>
      </c>
      <c r="EV68" t="e">
        <f>AND(DATA!G187,"AAAAAHHq8pc=")</f>
        <v>#VALUE!</v>
      </c>
      <c r="EW68" t="e">
        <f>AND(DATA!H187,"AAAAAHHq8pg=")</f>
        <v>#VALUE!</v>
      </c>
      <c r="EX68" t="e">
        <f>AND(DATA!I187,"AAAAAHHq8pk=")</f>
        <v>#VALUE!</v>
      </c>
      <c r="EY68" t="e">
        <f>AND(DATA!J187,"AAAAAHHq8po=")</f>
        <v>#VALUE!</v>
      </c>
      <c r="EZ68" t="e">
        <f>AND(DATA!K187,"AAAAAHHq8ps=")</f>
        <v>#VALUE!</v>
      </c>
      <c r="FA68" t="b">
        <f>AND(DATA!L188,"AAAAAHHq8pw=")</f>
        <v>1</v>
      </c>
      <c r="FB68" t="b">
        <f>AND(DATA!M188,"AAAAAHHq8p0=")</f>
        <v>1</v>
      </c>
      <c r="FC68" t="b">
        <f>AND(DATA!N188,"AAAAAHHq8p4=")</f>
        <v>1</v>
      </c>
      <c r="FD68" t="b">
        <f>AND(DATA!O188,"AAAAAHHq8p8=")</f>
        <v>1</v>
      </c>
      <c r="FE68" t="b">
        <f>AND(DATA!P188,"AAAAAHHq8qA=")</f>
        <v>1</v>
      </c>
      <c r="FF68" t="b">
        <f>AND(DATA!Q188,"AAAAAHHq8qE=")</f>
        <v>1</v>
      </c>
      <c r="FG68" t="b">
        <f>AND(DATA!R188,"AAAAAHHq8qI=")</f>
        <v>1</v>
      </c>
      <c r="FH68" t="b">
        <f>AND(DATA!S188,"AAAAAHHq8qM=")</f>
        <v>1</v>
      </c>
      <c r="FI68" t="b">
        <f>AND(DATA!T188,"AAAAAHHq8qQ=")</f>
        <v>1</v>
      </c>
      <c r="FJ68" t="b">
        <f>AND(DATA!U188,"AAAAAHHq8qU=")</f>
        <v>1</v>
      </c>
      <c r="FK68" t="b">
        <f>AND(DATA!V188,"AAAAAHHq8qY=")</f>
        <v>1</v>
      </c>
      <c r="FL68" t="e">
        <f>AND(DATA!W187,"AAAAAHHq8qc=")</f>
        <v>#VALUE!</v>
      </c>
      <c r="FM68" t="e">
        <f>AND(DATA!X187,"AAAAAHHq8qg=")</f>
        <v>#VALUE!</v>
      </c>
      <c r="FN68" t="e">
        <f>AND(DATA!Y187,"AAAAAHHq8qk=")</f>
        <v>#VALUE!</v>
      </c>
      <c r="FO68">
        <f>IF(DATA!188:188,"AAAAAHHq8qo=",0)</f>
        <v>0</v>
      </c>
      <c r="FP68" t="e">
        <f>AND(DATA!A188,"AAAAAHHq8qs=")</f>
        <v>#VALUE!</v>
      </c>
      <c r="FQ68" t="e">
        <f>AND(DATA!B188,"AAAAAHHq8qw=")</f>
        <v>#VALUE!</v>
      </c>
      <c r="FR68" t="e">
        <f>AND(DATA!C188,"AAAAAHHq8q0=")</f>
        <v>#VALUE!</v>
      </c>
      <c r="FS68" t="e">
        <f>AND(DATA!D188,"AAAAAHHq8q4=")</f>
        <v>#VALUE!</v>
      </c>
      <c r="FT68" t="e">
        <f>AND(DATA!E188,"AAAAAHHq8q8=")</f>
        <v>#VALUE!</v>
      </c>
      <c r="FU68" t="e">
        <f>AND(DATA!F188,"AAAAAHHq8rA=")</f>
        <v>#VALUE!</v>
      </c>
      <c r="FV68" t="e">
        <f>AND(DATA!G188,"AAAAAHHq8rE=")</f>
        <v>#VALUE!</v>
      </c>
      <c r="FW68" t="e">
        <f>AND(DATA!H188,"AAAAAHHq8rI=")</f>
        <v>#VALUE!</v>
      </c>
      <c r="FX68" t="e">
        <f>AND(DATA!I188,"AAAAAHHq8rM=")</f>
        <v>#VALUE!</v>
      </c>
      <c r="FY68" t="e">
        <f>AND(DATA!J188,"AAAAAHHq8rQ=")</f>
        <v>#VALUE!</v>
      </c>
      <c r="FZ68" t="e">
        <f>AND(DATA!K188,"AAAAAHHq8rU=")</f>
        <v>#VALUE!</v>
      </c>
      <c r="GA68" t="b">
        <f>AND(DATA!L189,"AAAAAHHq8rY=")</f>
        <v>1</v>
      </c>
      <c r="GB68" t="b">
        <f>AND(DATA!M189,"AAAAAHHq8rc=")</f>
        <v>1</v>
      </c>
      <c r="GC68" t="b">
        <f>AND(DATA!N189,"AAAAAHHq8rg=")</f>
        <v>1</v>
      </c>
      <c r="GD68" t="b">
        <f>AND(DATA!O189,"AAAAAHHq8rk=")</f>
        <v>1</v>
      </c>
      <c r="GE68" t="b">
        <f>AND(DATA!P189,"AAAAAHHq8ro=")</f>
        <v>1</v>
      </c>
      <c r="GF68" t="b">
        <f>AND(DATA!Q189,"AAAAAHHq8rs=")</f>
        <v>1</v>
      </c>
      <c r="GG68" t="b">
        <f>AND(DATA!R189,"AAAAAHHq8rw=")</f>
        <v>1</v>
      </c>
      <c r="GH68" t="b">
        <f>AND(DATA!S189,"AAAAAHHq8r0=")</f>
        <v>1</v>
      </c>
      <c r="GI68" t="b">
        <f>AND(DATA!T189,"AAAAAHHq8r4=")</f>
        <v>1</v>
      </c>
      <c r="GJ68" t="b">
        <f>AND(DATA!U189,"AAAAAHHq8r8=")</f>
        <v>1</v>
      </c>
      <c r="GK68" t="b">
        <f>AND(DATA!V189,"AAAAAHHq8sA=")</f>
        <v>1</v>
      </c>
      <c r="GL68" t="e">
        <f>AND(DATA!W188,"AAAAAHHq8sE=")</f>
        <v>#VALUE!</v>
      </c>
      <c r="GM68" t="e">
        <f>AND(DATA!X188,"AAAAAHHq8sI=")</f>
        <v>#VALUE!</v>
      </c>
      <c r="GN68" t="e">
        <f>AND(DATA!Y188,"AAAAAHHq8sM=")</f>
        <v>#VALUE!</v>
      </c>
      <c r="GO68">
        <f>IF(DATA!189:189,"AAAAAHHq8sQ=",0)</f>
        <v>0</v>
      </c>
      <c r="GP68" t="e">
        <f>AND(DATA!A189,"AAAAAHHq8sU=")</f>
        <v>#VALUE!</v>
      </c>
      <c r="GQ68" t="e">
        <f>AND(DATA!B189,"AAAAAHHq8sY=")</f>
        <v>#VALUE!</v>
      </c>
      <c r="GR68" t="e">
        <f>AND(DATA!C189,"AAAAAHHq8sc=")</f>
        <v>#VALUE!</v>
      </c>
      <c r="GS68" t="e">
        <f>AND(DATA!D189,"AAAAAHHq8sg=")</f>
        <v>#VALUE!</v>
      </c>
      <c r="GT68" t="e">
        <f>AND(DATA!E189,"AAAAAHHq8sk=")</f>
        <v>#VALUE!</v>
      </c>
      <c r="GU68" t="e">
        <f>AND(DATA!F189,"AAAAAHHq8so=")</f>
        <v>#VALUE!</v>
      </c>
      <c r="GV68" t="e">
        <f>AND(DATA!G189,"AAAAAHHq8ss=")</f>
        <v>#VALUE!</v>
      </c>
      <c r="GW68" t="e">
        <f>AND(DATA!H189,"AAAAAHHq8sw=")</f>
        <v>#VALUE!</v>
      </c>
      <c r="GX68" t="e">
        <f>AND(DATA!I189,"AAAAAHHq8s0=")</f>
        <v>#VALUE!</v>
      </c>
      <c r="GY68" t="e">
        <f>AND(DATA!J189,"AAAAAHHq8s4=")</f>
        <v>#VALUE!</v>
      </c>
      <c r="GZ68" t="e">
        <f>AND(DATA!K189,"AAAAAHHq8s8=")</f>
        <v>#VALUE!</v>
      </c>
      <c r="HA68" t="b">
        <f>AND(DATA!L190,"AAAAAHHq8tA=")</f>
        <v>1</v>
      </c>
      <c r="HB68" t="b">
        <f>AND(DATA!M190,"AAAAAHHq8tE=")</f>
        <v>1</v>
      </c>
      <c r="HC68" t="b">
        <f>AND(DATA!N190,"AAAAAHHq8tI=")</f>
        <v>1</v>
      </c>
      <c r="HD68" t="b">
        <f>AND(DATA!O190,"AAAAAHHq8tM=")</f>
        <v>1</v>
      </c>
      <c r="HE68" t="b">
        <f>AND(DATA!P190,"AAAAAHHq8tQ=")</f>
        <v>1</v>
      </c>
      <c r="HF68" t="b">
        <f>AND(DATA!Q190,"AAAAAHHq8tU=")</f>
        <v>1</v>
      </c>
      <c r="HG68" t="b">
        <f>AND(DATA!R190,"AAAAAHHq8tY=")</f>
        <v>1</v>
      </c>
      <c r="HH68" t="b">
        <f>AND(DATA!S190,"AAAAAHHq8tc=")</f>
        <v>1</v>
      </c>
      <c r="HI68" t="b">
        <f>AND(DATA!T190,"AAAAAHHq8tg=")</f>
        <v>1</v>
      </c>
      <c r="HJ68" t="b">
        <f>AND(DATA!U190,"AAAAAHHq8tk=")</f>
        <v>1</v>
      </c>
      <c r="HK68" t="b">
        <f>AND(DATA!V190,"AAAAAHHq8to=")</f>
        <v>1</v>
      </c>
      <c r="HL68" t="e">
        <f>AND(DATA!W189,"AAAAAHHq8ts=")</f>
        <v>#VALUE!</v>
      </c>
      <c r="HM68" t="e">
        <f>AND(DATA!X189,"AAAAAHHq8tw=")</f>
        <v>#VALUE!</v>
      </c>
      <c r="HN68" t="e">
        <f>AND(DATA!Y189,"AAAAAHHq8t0=")</f>
        <v>#VALUE!</v>
      </c>
      <c r="HO68">
        <f>IF(DATA!190:190,"AAAAAHHq8t4=",0)</f>
        <v>0</v>
      </c>
      <c r="HP68" t="e">
        <f>AND(DATA!A190,"AAAAAHHq8t8=")</f>
        <v>#VALUE!</v>
      </c>
      <c r="HQ68" t="e">
        <f>AND(DATA!B190,"AAAAAHHq8uA=")</f>
        <v>#VALUE!</v>
      </c>
      <c r="HR68" t="e">
        <f>AND(DATA!C190,"AAAAAHHq8uE=")</f>
        <v>#VALUE!</v>
      </c>
      <c r="HS68" t="e">
        <f>AND(DATA!D190,"AAAAAHHq8uI=")</f>
        <v>#VALUE!</v>
      </c>
      <c r="HT68" t="e">
        <f>AND(DATA!E190,"AAAAAHHq8uM=")</f>
        <v>#VALUE!</v>
      </c>
      <c r="HU68" t="e">
        <f>AND(DATA!F190,"AAAAAHHq8uQ=")</f>
        <v>#VALUE!</v>
      </c>
      <c r="HV68" t="e">
        <f>AND(DATA!G190,"AAAAAHHq8uU=")</f>
        <v>#VALUE!</v>
      </c>
      <c r="HW68" t="e">
        <f>AND(DATA!H190,"AAAAAHHq8uY=")</f>
        <v>#VALUE!</v>
      </c>
      <c r="HX68" t="e">
        <f>AND(DATA!I190,"AAAAAHHq8uc=")</f>
        <v>#VALUE!</v>
      </c>
      <c r="HY68" t="e">
        <f>AND(DATA!J190,"AAAAAHHq8ug=")</f>
        <v>#VALUE!</v>
      </c>
      <c r="HZ68" t="e">
        <f>AND(DATA!K190,"AAAAAHHq8uk=")</f>
        <v>#VALUE!</v>
      </c>
      <c r="IA68" t="b">
        <f>AND(DATA!L191,"AAAAAHHq8uo=")</f>
        <v>1</v>
      </c>
      <c r="IB68" t="b">
        <f>AND(DATA!M191,"AAAAAHHq8us=")</f>
        <v>1</v>
      </c>
      <c r="IC68" t="b">
        <f>AND(DATA!N191,"AAAAAHHq8uw=")</f>
        <v>1</v>
      </c>
      <c r="ID68" t="b">
        <f>AND(DATA!O191,"AAAAAHHq8u0=")</f>
        <v>1</v>
      </c>
      <c r="IE68" t="b">
        <f>AND(DATA!P191,"AAAAAHHq8u4=")</f>
        <v>1</v>
      </c>
      <c r="IF68" t="b">
        <f>AND(DATA!Q191,"AAAAAHHq8u8=")</f>
        <v>1</v>
      </c>
      <c r="IG68" t="b">
        <f>AND(DATA!R191,"AAAAAHHq8vA=")</f>
        <v>1</v>
      </c>
      <c r="IH68" t="b">
        <f>AND(DATA!S191,"AAAAAHHq8vE=")</f>
        <v>1</v>
      </c>
      <c r="II68" t="b">
        <f>AND(DATA!T191,"AAAAAHHq8vI=")</f>
        <v>1</v>
      </c>
      <c r="IJ68" t="b">
        <f>AND(DATA!U191,"AAAAAHHq8vM=")</f>
        <v>1</v>
      </c>
      <c r="IK68" t="b">
        <f>AND(DATA!V191,"AAAAAHHq8vQ=")</f>
        <v>1</v>
      </c>
      <c r="IL68" t="e">
        <f>AND(DATA!W190,"AAAAAHHq8vU=")</f>
        <v>#VALUE!</v>
      </c>
      <c r="IM68" t="e">
        <f>AND(DATA!X190,"AAAAAHHq8vY=")</f>
        <v>#VALUE!</v>
      </c>
      <c r="IN68" t="e">
        <f>AND(DATA!Y190,"AAAAAHHq8vc=")</f>
        <v>#VALUE!</v>
      </c>
      <c r="IO68">
        <f>IF(DATA!191:191,"AAAAAHHq8vg=",0)</f>
        <v>0</v>
      </c>
      <c r="IP68" t="e">
        <f>AND(DATA!A191,"AAAAAHHq8vk=")</f>
        <v>#VALUE!</v>
      </c>
      <c r="IQ68" t="e">
        <f>AND(DATA!B191,"AAAAAHHq8vo=")</f>
        <v>#VALUE!</v>
      </c>
      <c r="IR68" t="e">
        <f>AND(DATA!C191,"AAAAAHHq8vs=")</f>
        <v>#VALUE!</v>
      </c>
      <c r="IS68" t="e">
        <f>AND(DATA!D191,"AAAAAHHq8vw=")</f>
        <v>#VALUE!</v>
      </c>
      <c r="IT68" t="e">
        <f>AND(DATA!E191,"AAAAAHHq8v0=")</f>
        <v>#VALUE!</v>
      </c>
      <c r="IU68" t="e">
        <f>AND(DATA!F191,"AAAAAHHq8v4=")</f>
        <v>#VALUE!</v>
      </c>
      <c r="IV68" t="e">
        <f>AND(DATA!G191,"AAAAAHHq8v8=")</f>
        <v>#VALUE!</v>
      </c>
    </row>
    <row r="69" spans="1:256" x14ac:dyDescent="0.25">
      <c r="A69" t="e">
        <f>AND(DATA!H191,"AAAAAEleuwA=")</f>
        <v>#VALUE!</v>
      </c>
      <c r="B69" t="e">
        <f>AND(DATA!I191,"AAAAAEleuwE=")</f>
        <v>#VALUE!</v>
      </c>
      <c r="C69" t="e">
        <f>AND(DATA!J191,"AAAAAEleuwI=")</f>
        <v>#VALUE!</v>
      </c>
      <c r="D69" t="e">
        <f>AND(DATA!K191,"AAAAAEleuwM=")</f>
        <v>#VALUE!</v>
      </c>
      <c r="E69" t="b">
        <f>AND(DATA!L192,"AAAAAEleuwQ=")</f>
        <v>1</v>
      </c>
      <c r="F69" t="b">
        <f>AND(DATA!M192,"AAAAAEleuwU=")</f>
        <v>1</v>
      </c>
      <c r="G69" t="b">
        <f>AND(DATA!N192,"AAAAAEleuwY=")</f>
        <v>1</v>
      </c>
      <c r="H69" t="b">
        <f>AND(DATA!O192,"AAAAAEleuwc=")</f>
        <v>1</v>
      </c>
      <c r="I69" t="b">
        <f>AND(DATA!P192,"AAAAAEleuwg=")</f>
        <v>1</v>
      </c>
      <c r="J69" t="b">
        <f>AND(DATA!Q192,"AAAAAEleuwk=")</f>
        <v>1</v>
      </c>
      <c r="K69" t="b">
        <f>AND(DATA!R192,"AAAAAEleuwo=")</f>
        <v>1</v>
      </c>
      <c r="L69" t="b">
        <f>AND(DATA!S192,"AAAAAEleuws=")</f>
        <v>1</v>
      </c>
      <c r="M69" t="b">
        <f>AND(DATA!T192,"AAAAAEleuww=")</f>
        <v>1</v>
      </c>
      <c r="N69" t="b">
        <f>AND(DATA!U192,"AAAAAEleuw0=")</f>
        <v>1</v>
      </c>
      <c r="O69" t="b">
        <f>AND(DATA!V192,"AAAAAEleuw4=")</f>
        <v>1</v>
      </c>
      <c r="P69" t="e">
        <f>AND(DATA!W191,"AAAAAEleuw8=")</f>
        <v>#VALUE!</v>
      </c>
      <c r="Q69" t="e">
        <f>AND(DATA!X191,"AAAAAEleuxA=")</f>
        <v>#VALUE!</v>
      </c>
      <c r="R69" t="e">
        <f>AND(DATA!Y191,"AAAAAEleuxE=")</f>
        <v>#VALUE!</v>
      </c>
      <c r="S69" t="str">
        <f>IF(DATA!192:192,"AAAAAEleuxI=",0)</f>
        <v>AAAAAEleuxI=</v>
      </c>
      <c r="T69" t="e">
        <f>AND(DATA!A192,"AAAAAEleuxM=")</f>
        <v>#VALUE!</v>
      </c>
      <c r="U69" t="e">
        <f>AND(DATA!B192,"AAAAAEleuxQ=")</f>
        <v>#VALUE!</v>
      </c>
      <c r="V69" t="e">
        <f>AND(DATA!C192,"AAAAAEleuxU=")</f>
        <v>#VALUE!</v>
      </c>
      <c r="W69" t="e">
        <f>AND(DATA!D192,"AAAAAEleuxY=")</f>
        <v>#VALUE!</v>
      </c>
      <c r="X69" t="e">
        <f>AND(DATA!E192,"AAAAAEleuxc=")</f>
        <v>#VALUE!</v>
      </c>
      <c r="Y69" t="e">
        <f>AND(DATA!F192,"AAAAAEleuxg=")</f>
        <v>#VALUE!</v>
      </c>
      <c r="Z69" t="e">
        <f>AND(DATA!G192,"AAAAAEleuxk=")</f>
        <v>#VALUE!</v>
      </c>
      <c r="AA69" t="e">
        <f>AND(DATA!H192,"AAAAAEleuxo=")</f>
        <v>#VALUE!</v>
      </c>
      <c r="AB69" t="e">
        <f>AND(DATA!I192,"AAAAAEleuxs=")</f>
        <v>#VALUE!</v>
      </c>
      <c r="AC69" t="e">
        <f>AND(DATA!J192,"AAAAAEleuxw=")</f>
        <v>#VALUE!</v>
      </c>
      <c r="AD69" t="e">
        <f>AND(DATA!K192,"AAAAAEleux0=")</f>
        <v>#VALUE!</v>
      </c>
      <c r="AE69" t="b">
        <f>AND(DATA!L193,"AAAAAEleux4=")</f>
        <v>1</v>
      </c>
      <c r="AF69" t="b">
        <f>AND(DATA!M193,"AAAAAEleux8=")</f>
        <v>1</v>
      </c>
      <c r="AG69" t="b">
        <f>AND(DATA!N193,"AAAAAEleuyA=")</f>
        <v>1</v>
      </c>
      <c r="AH69" t="b">
        <f>AND(DATA!O193,"AAAAAEleuyE=")</f>
        <v>1</v>
      </c>
      <c r="AI69" t="b">
        <f>AND(DATA!P193,"AAAAAEleuyI=")</f>
        <v>1</v>
      </c>
      <c r="AJ69" t="b">
        <f>AND(DATA!Q193,"AAAAAEleuyM=")</f>
        <v>1</v>
      </c>
      <c r="AK69" t="b">
        <f>AND(DATA!R193,"AAAAAEleuyQ=")</f>
        <v>1</v>
      </c>
      <c r="AL69" t="b">
        <f>AND(DATA!S193,"AAAAAEleuyU=")</f>
        <v>1</v>
      </c>
      <c r="AM69" t="b">
        <f>AND(DATA!T193,"AAAAAEleuyY=")</f>
        <v>1</v>
      </c>
      <c r="AN69" t="b">
        <f>AND(DATA!U193,"AAAAAEleuyc=")</f>
        <v>1</v>
      </c>
      <c r="AO69" t="b">
        <f>AND(DATA!V193,"AAAAAEleuyg=")</f>
        <v>1</v>
      </c>
      <c r="AP69" t="e">
        <f>AND(DATA!W192,"AAAAAEleuyk=")</f>
        <v>#VALUE!</v>
      </c>
      <c r="AQ69" t="e">
        <f>AND(DATA!X192,"AAAAAEleuyo=")</f>
        <v>#VALUE!</v>
      </c>
      <c r="AR69" t="e">
        <f>AND(DATA!Y192,"AAAAAEleuys=")</f>
        <v>#VALUE!</v>
      </c>
      <c r="AS69">
        <f>IF(DATA!193:193,"AAAAAEleuyw=",0)</f>
        <v>0</v>
      </c>
      <c r="AT69" t="e">
        <f>AND(DATA!A193,"AAAAAEleuy0=")</f>
        <v>#VALUE!</v>
      </c>
      <c r="AU69" t="e">
        <f>AND(DATA!B193,"AAAAAEleuy4=")</f>
        <v>#VALUE!</v>
      </c>
      <c r="AV69" t="e">
        <f>AND(DATA!C193,"AAAAAEleuy8=")</f>
        <v>#VALUE!</v>
      </c>
      <c r="AW69" t="e">
        <f>AND(DATA!D193,"AAAAAEleuzA=")</f>
        <v>#VALUE!</v>
      </c>
      <c r="AX69" t="e">
        <f>AND(DATA!E193,"AAAAAEleuzE=")</f>
        <v>#VALUE!</v>
      </c>
      <c r="AY69" t="e">
        <f>AND(DATA!F193,"AAAAAEleuzI=")</f>
        <v>#VALUE!</v>
      </c>
      <c r="AZ69" t="e">
        <f>AND(DATA!G193,"AAAAAEleuzM=")</f>
        <v>#VALUE!</v>
      </c>
      <c r="BA69" t="e">
        <f>AND(DATA!H193,"AAAAAEleuzQ=")</f>
        <v>#VALUE!</v>
      </c>
      <c r="BB69" t="e">
        <f>AND(DATA!I193,"AAAAAEleuzU=")</f>
        <v>#VALUE!</v>
      </c>
      <c r="BC69" t="e">
        <f>AND(DATA!J193,"AAAAAEleuzY=")</f>
        <v>#VALUE!</v>
      </c>
      <c r="BD69" t="e">
        <f>AND(DATA!K193,"AAAAAEleuzc=")</f>
        <v>#VALUE!</v>
      </c>
      <c r="BE69" t="b">
        <f>AND(DATA!L194,"AAAAAEleuzg=")</f>
        <v>1</v>
      </c>
      <c r="BF69" t="b">
        <f>AND(DATA!M194,"AAAAAEleuzk=")</f>
        <v>1</v>
      </c>
      <c r="BG69" t="b">
        <f>AND(DATA!N194,"AAAAAEleuzo=")</f>
        <v>1</v>
      </c>
      <c r="BH69" t="b">
        <f>AND(DATA!O194,"AAAAAEleuzs=")</f>
        <v>1</v>
      </c>
      <c r="BI69" t="b">
        <f>AND(DATA!P194,"AAAAAEleuzw=")</f>
        <v>1</v>
      </c>
      <c r="BJ69" t="b">
        <f>AND(DATA!Q194,"AAAAAEleuz0=")</f>
        <v>1</v>
      </c>
      <c r="BK69" t="b">
        <f>AND(DATA!R194,"AAAAAEleuz4=")</f>
        <v>1</v>
      </c>
      <c r="BL69" t="b">
        <f>AND(DATA!S194,"AAAAAEleuz8=")</f>
        <v>1</v>
      </c>
      <c r="BM69" t="b">
        <f>AND(DATA!T194,"AAAAAEleu0A=")</f>
        <v>1</v>
      </c>
      <c r="BN69" t="b">
        <f>AND(DATA!U194,"AAAAAEleu0E=")</f>
        <v>1</v>
      </c>
      <c r="BO69" t="b">
        <f>AND(DATA!V194,"AAAAAEleu0I=")</f>
        <v>1</v>
      </c>
      <c r="BP69" t="e">
        <f>AND(DATA!W193,"AAAAAEleu0M=")</f>
        <v>#VALUE!</v>
      </c>
      <c r="BQ69" t="e">
        <f>AND(DATA!X193,"AAAAAEleu0Q=")</f>
        <v>#VALUE!</v>
      </c>
      <c r="BR69" t="e">
        <f>AND(DATA!Y193,"AAAAAEleu0U=")</f>
        <v>#VALUE!</v>
      </c>
      <c r="BS69">
        <f>IF(DATA!194:194,"AAAAAEleu0Y=",0)</f>
        <v>0</v>
      </c>
      <c r="BT69" t="e">
        <f>AND(DATA!A194,"AAAAAEleu0c=")</f>
        <v>#VALUE!</v>
      </c>
      <c r="BU69" t="e">
        <f>AND(DATA!B194,"AAAAAEleu0g=")</f>
        <v>#VALUE!</v>
      </c>
      <c r="BV69" t="e">
        <f>AND(DATA!C194,"AAAAAEleu0k=")</f>
        <v>#VALUE!</v>
      </c>
      <c r="BW69" t="e">
        <f>AND(DATA!D194,"AAAAAEleu0o=")</f>
        <v>#VALUE!</v>
      </c>
      <c r="BX69" t="e">
        <f>AND(DATA!E194,"AAAAAEleu0s=")</f>
        <v>#VALUE!</v>
      </c>
      <c r="BY69" t="e">
        <f>AND(DATA!F194,"AAAAAEleu0w=")</f>
        <v>#VALUE!</v>
      </c>
      <c r="BZ69" t="e">
        <f>AND(DATA!G194,"AAAAAEleu00=")</f>
        <v>#VALUE!</v>
      </c>
      <c r="CA69" t="e">
        <f>AND(DATA!H194,"AAAAAEleu04=")</f>
        <v>#VALUE!</v>
      </c>
      <c r="CB69" t="e">
        <f>AND(DATA!I194,"AAAAAEleu08=")</f>
        <v>#VALUE!</v>
      </c>
      <c r="CC69" t="e">
        <f>AND(DATA!J194,"AAAAAEleu1A=")</f>
        <v>#VALUE!</v>
      </c>
      <c r="CD69" t="e">
        <f>AND(DATA!K194,"AAAAAEleu1E=")</f>
        <v>#VALUE!</v>
      </c>
      <c r="CE69" t="b">
        <f>AND(DATA!L195,"AAAAAEleu1I=")</f>
        <v>1</v>
      </c>
      <c r="CF69" t="b">
        <f>AND(DATA!M195,"AAAAAEleu1M=")</f>
        <v>1</v>
      </c>
      <c r="CG69" t="b">
        <f>AND(DATA!N195,"AAAAAEleu1Q=")</f>
        <v>1</v>
      </c>
      <c r="CH69" t="b">
        <f>AND(DATA!O195,"AAAAAEleu1U=")</f>
        <v>1</v>
      </c>
      <c r="CI69" t="b">
        <f>AND(DATA!P195,"AAAAAEleu1Y=")</f>
        <v>1</v>
      </c>
      <c r="CJ69" t="b">
        <f>AND(DATA!Q195,"AAAAAEleu1c=")</f>
        <v>1</v>
      </c>
      <c r="CK69" t="b">
        <f>AND(DATA!R195,"AAAAAEleu1g=")</f>
        <v>1</v>
      </c>
      <c r="CL69" t="b">
        <f>AND(DATA!S195,"AAAAAEleu1k=")</f>
        <v>1</v>
      </c>
      <c r="CM69" t="b">
        <f>AND(DATA!T195,"AAAAAEleu1o=")</f>
        <v>1</v>
      </c>
      <c r="CN69" t="b">
        <f>AND(DATA!U195,"AAAAAEleu1s=")</f>
        <v>1</v>
      </c>
      <c r="CO69" t="b">
        <f>AND(DATA!V195,"AAAAAEleu1w=")</f>
        <v>1</v>
      </c>
      <c r="CP69" t="e">
        <f>AND(DATA!W194,"AAAAAEleu10=")</f>
        <v>#VALUE!</v>
      </c>
      <c r="CQ69" t="e">
        <f>AND(DATA!X194,"AAAAAEleu14=")</f>
        <v>#VALUE!</v>
      </c>
      <c r="CR69" t="e">
        <f>AND(DATA!Y194,"AAAAAEleu18=")</f>
        <v>#VALUE!</v>
      </c>
      <c r="CS69">
        <f>IF(DATA!195:195,"AAAAAEleu2A=",0)</f>
        <v>0</v>
      </c>
      <c r="CT69" t="e">
        <f>AND(DATA!A195,"AAAAAEleu2E=")</f>
        <v>#VALUE!</v>
      </c>
      <c r="CU69" t="e">
        <f>AND(DATA!B195,"AAAAAEleu2I=")</f>
        <v>#VALUE!</v>
      </c>
      <c r="CV69" t="e">
        <f>AND(DATA!C195,"AAAAAEleu2M=")</f>
        <v>#VALUE!</v>
      </c>
      <c r="CW69" t="e">
        <f>AND(DATA!D195,"AAAAAEleu2Q=")</f>
        <v>#VALUE!</v>
      </c>
      <c r="CX69" t="e">
        <f>AND(DATA!E195,"AAAAAEleu2U=")</f>
        <v>#VALUE!</v>
      </c>
      <c r="CY69" t="e">
        <f>AND(DATA!F195,"AAAAAEleu2Y=")</f>
        <v>#VALUE!</v>
      </c>
      <c r="CZ69" t="e">
        <f>AND(DATA!G195,"AAAAAEleu2c=")</f>
        <v>#VALUE!</v>
      </c>
      <c r="DA69" t="e">
        <f>AND(DATA!H195,"AAAAAEleu2g=")</f>
        <v>#VALUE!</v>
      </c>
      <c r="DB69" t="e">
        <f>AND(DATA!I195,"AAAAAEleu2k=")</f>
        <v>#VALUE!</v>
      </c>
      <c r="DC69" t="e">
        <f>AND(DATA!J195,"AAAAAEleu2o=")</f>
        <v>#VALUE!</v>
      </c>
      <c r="DD69" t="e">
        <f>AND(DATA!K195,"AAAAAEleu2s=")</f>
        <v>#VALUE!</v>
      </c>
      <c r="DE69" t="b">
        <f>AND(DATA!L196,"AAAAAEleu2w=")</f>
        <v>1</v>
      </c>
      <c r="DF69" t="b">
        <f>AND(DATA!M196,"AAAAAEleu20=")</f>
        <v>1</v>
      </c>
      <c r="DG69" t="b">
        <f>AND(DATA!N196,"AAAAAEleu24=")</f>
        <v>1</v>
      </c>
      <c r="DH69" t="b">
        <f>AND(DATA!O196,"AAAAAEleu28=")</f>
        <v>1</v>
      </c>
      <c r="DI69" t="b">
        <f>AND(DATA!P196,"AAAAAEleu3A=")</f>
        <v>1</v>
      </c>
      <c r="DJ69" t="b">
        <f>AND(DATA!Q196,"AAAAAEleu3E=")</f>
        <v>1</v>
      </c>
      <c r="DK69" t="b">
        <f>AND(DATA!R196,"AAAAAEleu3I=")</f>
        <v>1</v>
      </c>
      <c r="DL69" t="b">
        <f>AND(DATA!S196,"AAAAAEleu3M=")</f>
        <v>1</v>
      </c>
      <c r="DM69" t="b">
        <f>AND(DATA!T196,"AAAAAEleu3Q=")</f>
        <v>1</v>
      </c>
      <c r="DN69" t="b">
        <f>AND(DATA!U196,"AAAAAEleu3U=")</f>
        <v>1</v>
      </c>
      <c r="DO69" t="b">
        <f>AND(DATA!V196,"AAAAAEleu3Y=")</f>
        <v>1</v>
      </c>
      <c r="DP69" t="e">
        <f>AND(DATA!W195,"AAAAAEleu3c=")</f>
        <v>#VALUE!</v>
      </c>
      <c r="DQ69" t="e">
        <f>AND(DATA!X195,"AAAAAEleu3g=")</f>
        <v>#VALUE!</v>
      </c>
      <c r="DR69" t="e">
        <f>AND(DATA!Y195,"AAAAAEleu3k=")</f>
        <v>#VALUE!</v>
      </c>
      <c r="DS69">
        <f>IF(DATA!196:196,"AAAAAEleu3o=",0)</f>
        <v>0</v>
      </c>
      <c r="DT69" t="e">
        <f>AND(DATA!A196,"AAAAAEleu3s=")</f>
        <v>#VALUE!</v>
      </c>
      <c r="DU69" t="e">
        <f>AND(DATA!B196,"AAAAAEleu3w=")</f>
        <v>#VALUE!</v>
      </c>
      <c r="DV69" t="e">
        <f>AND(DATA!C196,"AAAAAEleu30=")</f>
        <v>#VALUE!</v>
      </c>
      <c r="DW69" t="e">
        <f>AND(DATA!D196,"AAAAAEleu34=")</f>
        <v>#VALUE!</v>
      </c>
      <c r="DX69" t="e">
        <f>AND(DATA!E196,"AAAAAEleu38=")</f>
        <v>#VALUE!</v>
      </c>
      <c r="DY69" t="e">
        <f>AND(DATA!F196,"AAAAAEleu4A=")</f>
        <v>#VALUE!</v>
      </c>
      <c r="DZ69" t="e">
        <f>AND(DATA!G196,"AAAAAEleu4E=")</f>
        <v>#VALUE!</v>
      </c>
      <c r="EA69" t="e">
        <f>AND(DATA!H196,"AAAAAEleu4I=")</f>
        <v>#VALUE!</v>
      </c>
      <c r="EB69" t="e">
        <f>AND(DATA!I196,"AAAAAEleu4M=")</f>
        <v>#VALUE!</v>
      </c>
      <c r="EC69" t="e">
        <f>AND(DATA!J196,"AAAAAEleu4Q=")</f>
        <v>#VALUE!</v>
      </c>
      <c r="ED69" t="e">
        <f>AND(DATA!K196,"AAAAAEleu4U=")</f>
        <v>#VALUE!</v>
      </c>
      <c r="EE69" t="b">
        <f>AND(DATA!L197,"AAAAAEleu4Y=")</f>
        <v>1</v>
      </c>
      <c r="EF69" t="b">
        <f>AND(DATA!M197,"AAAAAEleu4c=")</f>
        <v>1</v>
      </c>
      <c r="EG69" t="b">
        <f>AND(DATA!N197,"AAAAAEleu4g=")</f>
        <v>1</v>
      </c>
      <c r="EH69" t="b">
        <f>AND(DATA!O197,"AAAAAEleu4k=")</f>
        <v>1</v>
      </c>
      <c r="EI69" t="b">
        <f>AND(DATA!P197,"AAAAAEleu4o=")</f>
        <v>1</v>
      </c>
      <c r="EJ69" t="b">
        <f>AND(DATA!Q197,"AAAAAEleu4s=")</f>
        <v>1</v>
      </c>
      <c r="EK69" t="b">
        <f>AND(DATA!R197,"AAAAAEleu4w=")</f>
        <v>1</v>
      </c>
      <c r="EL69" t="b">
        <f>AND(DATA!S197,"AAAAAEleu40=")</f>
        <v>1</v>
      </c>
      <c r="EM69" t="b">
        <f>AND(DATA!T197,"AAAAAEleu44=")</f>
        <v>1</v>
      </c>
      <c r="EN69" t="b">
        <f>AND(DATA!U197,"AAAAAEleu48=")</f>
        <v>1</v>
      </c>
      <c r="EO69" t="b">
        <f>AND(DATA!V197,"AAAAAEleu5A=")</f>
        <v>1</v>
      </c>
      <c r="EP69" t="e">
        <f>AND(DATA!W196,"AAAAAEleu5E=")</f>
        <v>#VALUE!</v>
      </c>
      <c r="EQ69" t="e">
        <f>AND(DATA!X196,"AAAAAEleu5I=")</f>
        <v>#VALUE!</v>
      </c>
      <c r="ER69" t="e">
        <f>AND(DATA!Y196,"AAAAAEleu5M=")</f>
        <v>#VALUE!</v>
      </c>
      <c r="ES69">
        <f>IF(DATA!197:197,"AAAAAEleu5Q=",0)</f>
        <v>0</v>
      </c>
      <c r="ET69" t="e">
        <f>AND(DATA!A197,"AAAAAEleu5U=")</f>
        <v>#VALUE!</v>
      </c>
      <c r="EU69" t="e">
        <f>AND(DATA!B197,"AAAAAEleu5Y=")</f>
        <v>#VALUE!</v>
      </c>
      <c r="EV69" t="e">
        <f>AND(DATA!C197,"AAAAAEleu5c=")</f>
        <v>#VALUE!</v>
      </c>
      <c r="EW69" t="e">
        <f>AND(DATA!D197,"AAAAAEleu5g=")</f>
        <v>#VALUE!</v>
      </c>
      <c r="EX69" t="e">
        <f>AND(DATA!E197,"AAAAAEleu5k=")</f>
        <v>#VALUE!</v>
      </c>
      <c r="EY69" t="e">
        <f>AND(DATA!F197,"AAAAAEleu5o=")</f>
        <v>#VALUE!</v>
      </c>
      <c r="EZ69" t="e">
        <f>AND(DATA!G197,"AAAAAEleu5s=")</f>
        <v>#VALUE!</v>
      </c>
      <c r="FA69" t="e">
        <f>AND(DATA!H197,"AAAAAEleu5w=")</f>
        <v>#VALUE!</v>
      </c>
      <c r="FB69" t="e">
        <f>AND(DATA!I197,"AAAAAEleu50=")</f>
        <v>#VALUE!</v>
      </c>
      <c r="FC69" t="e">
        <f>AND(DATA!J197,"AAAAAEleu54=")</f>
        <v>#VALUE!</v>
      </c>
      <c r="FD69" t="e">
        <f>AND(DATA!K197,"AAAAAEleu58=")</f>
        <v>#VALUE!</v>
      </c>
      <c r="FE69" t="b">
        <f>AND(DATA!L198,"AAAAAEleu6A=")</f>
        <v>1</v>
      </c>
      <c r="FF69" t="b">
        <f>AND(DATA!M198,"AAAAAEleu6E=")</f>
        <v>1</v>
      </c>
      <c r="FG69" t="b">
        <f>AND(DATA!N198,"AAAAAEleu6I=")</f>
        <v>1</v>
      </c>
      <c r="FH69" t="b">
        <f>AND(DATA!O198,"AAAAAEleu6M=")</f>
        <v>1</v>
      </c>
      <c r="FI69" t="b">
        <f>AND(DATA!P198,"AAAAAEleu6Q=")</f>
        <v>1</v>
      </c>
      <c r="FJ69" t="b">
        <f>AND(DATA!Q198,"AAAAAEleu6U=")</f>
        <v>1</v>
      </c>
      <c r="FK69" t="b">
        <f>AND(DATA!R198,"AAAAAEleu6Y=")</f>
        <v>1</v>
      </c>
      <c r="FL69" t="b">
        <f>AND(DATA!S198,"AAAAAEleu6c=")</f>
        <v>1</v>
      </c>
      <c r="FM69" t="b">
        <f>AND(DATA!T198,"AAAAAEleu6g=")</f>
        <v>1</v>
      </c>
      <c r="FN69" t="b">
        <f>AND(DATA!U198,"AAAAAEleu6k=")</f>
        <v>1</v>
      </c>
      <c r="FO69" t="b">
        <f>AND(DATA!V198,"AAAAAEleu6o=")</f>
        <v>1</v>
      </c>
      <c r="FP69" t="e">
        <f>AND(DATA!W197,"AAAAAEleu6s=")</f>
        <v>#VALUE!</v>
      </c>
      <c r="FQ69" t="e">
        <f>AND(DATA!X197,"AAAAAEleu6w=")</f>
        <v>#VALUE!</v>
      </c>
      <c r="FR69" t="e">
        <f>AND(DATA!Y197,"AAAAAEleu60=")</f>
        <v>#VALUE!</v>
      </c>
      <c r="FS69">
        <f>IF(DATA!198:198,"AAAAAEleu64=",0)</f>
        <v>0</v>
      </c>
      <c r="FT69" t="e">
        <f>AND(DATA!A198,"AAAAAEleu68=")</f>
        <v>#VALUE!</v>
      </c>
      <c r="FU69" t="e">
        <f>AND(DATA!B198,"AAAAAEleu7A=")</f>
        <v>#VALUE!</v>
      </c>
      <c r="FV69" t="e">
        <f>AND(DATA!C198,"AAAAAEleu7E=")</f>
        <v>#VALUE!</v>
      </c>
      <c r="FW69" t="e">
        <f>AND(DATA!D198,"AAAAAEleu7I=")</f>
        <v>#VALUE!</v>
      </c>
      <c r="FX69" t="e">
        <f>AND(DATA!E198,"AAAAAEleu7M=")</f>
        <v>#VALUE!</v>
      </c>
      <c r="FY69" t="e">
        <f>AND(DATA!F198,"AAAAAEleu7Q=")</f>
        <v>#VALUE!</v>
      </c>
      <c r="FZ69" t="e">
        <f>AND(DATA!G198,"AAAAAEleu7U=")</f>
        <v>#VALUE!</v>
      </c>
      <c r="GA69" t="e">
        <f>AND(DATA!H198,"AAAAAEleu7Y=")</f>
        <v>#VALUE!</v>
      </c>
      <c r="GB69" t="e">
        <f>AND(DATA!I198,"AAAAAEleu7c=")</f>
        <v>#VALUE!</v>
      </c>
      <c r="GC69" t="e">
        <f>AND(DATA!J198,"AAAAAEleu7g=")</f>
        <v>#VALUE!</v>
      </c>
      <c r="GD69" t="e">
        <f>AND(DATA!K198,"AAAAAEleu7k=")</f>
        <v>#VALUE!</v>
      </c>
      <c r="GE69" t="b">
        <f>AND(DATA!L199,"AAAAAEleu7o=")</f>
        <v>1</v>
      </c>
      <c r="GF69" t="b">
        <f>AND(DATA!M199,"AAAAAEleu7s=")</f>
        <v>1</v>
      </c>
      <c r="GG69" t="b">
        <f>AND(DATA!N199,"AAAAAEleu7w=")</f>
        <v>1</v>
      </c>
      <c r="GH69" t="b">
        <f>AND(DATA!O199,"AAAAAEleu70=")</f>
        <v>1</v>
      </c>
      <c r="GI69" t="b">
        <f>AND(DATA!P199,"AAAAAEleu74=")</f>
        <v>1</v>
      </c>
      <c r="GJ69" t="b">
        <f>AND(DATA!Q199,"AAAAAEleu78=")</f>
        <v>1</v>
      </c>
      <c r="GK69" t="b">
        <f>AND(DATA!R199,"AAAAAEleu8A=")</f>
        <v>1</v>
      </c>
      <c r="GL69" t="b">
        <f>AND(DATA!S199,"AAAAAEleu8E=")</f>
        <v>1</v>
      </c>
      <c r="GM69" t="b">
        <f>AND(DATA!T199,"AAAAAEleu8I=")</f>
        <v>1</v>
      </c>
      <c r="GN69" t="b">
        <f>AND(DATA!U199,"AAAAAEleu8M=")</f>
        <v>1</v>
      </c>
      <c r="GO69" t="b">
        <f>AND(DATA!V199,"AAAAAEleu8Q=")</f>
        <v>1</v>
      </c>
      <c r="GP69" t="e">
        <f>AND(DATA!W198,"AAAAAEleu8U=")</f>
        <v>#VALUE!</v>
      </c>
      <c r="GQ69" t="e">
        <f>AND(DATA!X198,"AAAAAEleu8Y=")</f>
        <v>#VALUE!</v>
      </c>
      <c r="GR69" t="e">
        <f>AND(DATA!Y198,"AAAAAEleu8c=")</f>
        <v>#VALUE!</v>
      </c>
      <c r="GS69">
        <f>IF(DATA!199:199,"AAAAAEleu8g=",0)</f>
        <v>0</v>
      </c>
      <c r="GT69" t="e">
        <f>AND(DATA!A199,"AAAAAEleu8k=")</f>
        <v>#VALUE!</v>
      </c>
      <c r="GU69" t="e">
        <f>AND(DATA!B199,"AAAAAEleu8o=")</f>
        <v>#VALUE!</v>
      </c>
      <c r="GV69" t="e">
        <f>AND(DATA!C199,"AAAAAEleu8s=")</f>
        <v>#VALUE!</v>
      </c>
      <c r="GW69" t="e">
        <f>AND(DATA!D199,"AAAAAEleu8w=")</f>
        <v>#VALUE!</v>
      </c>
      <c r="GX69" t="e">
        <f>AND(DATA!E199,"AAAAAEleu80=")</f>
        <v>#VALUE!</v>
      </c>
      <c r="GY69" t="e">
        <f>AND(DATA!F199,"AAAAAEleu84=")</f>
        <v>#VALUE!</v>
      </c>
      <c r="GZ69" t="e">
        <f>AND(DATA!G199,"AAAAAEleu88=")</f>
        <v>#VALUE!</v>
      </c>
      <c r="HA69" t="e">
        <f>AND(DATA!H199,"AAAAAEleu9A=")</f>
        <v>#VALUE!</v>
      </c>
      <c r="HB69" t="e">
        <f>AND(DATA!I199,"AAAAAEleu9E=")</f>
        <v>#VALUE!</v>
      </c>
      <c r="HC69" t="e">
        <f>AND(DATA!J199,"AAAAAEleu9I=")</f>
        <v>#VALUE!</v>
      </c>
      <c r="HD69" t="e">
        <f>AND(DATA!K199,"AAAAAEleu9M=")</f>
        <v>#VALUE!</v>
      </c>
      <c r="HE69" t="b">
        <f>AND(DATA!L200,"AAAAAEleu9Q=")</f>
        <v>1</v>
      </c>
      <c r="HF69" t="b">
        <f>AND(DATA!M200,"AAAAAEleu9U=")</f>
        <v>1</v>
      </c>
      <c r="HG69" t="b">
        <f>AND(DATA!N200,"AAAAAEleu9Y=")</f>
        <v>1</v>
      </c>
      <c r="HH69" t="b">
        <f>AND(DATA!O200,"AAAAAEleu9c=")</f>
        <v>1</v>
      </c>
      <c r="HI69" t="b">
        <f>AND(DATA!P200,"AAAAAEleu9g=")</f>
        <v>1</v>
      </c>
      <c r="HJ69" t="b">
        <f>AND(DATA!Q200,"AAAAAEleu9k=")</f>
        <v>1</v>
      </c>
      <c r="HK69" t="b">
        <f>AND(DATA!R200,"AAAAAEleu9o=")</f>
        <v>1</v>
      </c>
      <c r="HL69" t="b">
        <f>AND(DATA!S200,"AAAAAEleu9s=")</f>
        <v>1</v>
      </c>
      <c r="HM69" t="b">
        <f>AND(DATA!T200,"AAAAAEleu9w=")</f>
        <v>1</v>
      </c>
      <c r="HN69" t="b">
        <f>AND(DATA!U200,"AAAAAEleu90=")</f>
        <v>1</v>
      </c>
      <c r="HO69" t="b">
        <f>AND(DATA!V200,"AAAAAEleu94=")</f>
        <v>1</v>
      </c>
      <c r="HP69" t="e">
        <f>AND(DATA!W199,"AAAAAEleu98=")</f>
        <v>#VALUE!</v>
      </c>
      <c r="HQ69" t="e">
        <f>AND(DATA!X199,"AAAAAEleu+A=")</f>
        <v>#VALUE!</v>
      </c>
      <c r="HR69" t="e">
        <f>AND(DATA!Y199,"AAAAAEleu+E=")</f>
        <v>#VALUE!</v>
      </c>
      <c r="HS69">
        <f>IF(DATA!200:200,"AAAAAEleu+I=",0)</f>
        <v>0</v>
      </c>
      <c r="HT69" t="e">
        <f>AND(DATA!A200,"AAAAAEleu+M=")</f>
        <v>#VALUE!</v>
      </c>
      <c r="HU69" t="e">
        <f>AND(DATA!B200,"AAAAAEleu+Q=")</f>
        <v>#VALUE!</v>
      </c>
      <c r="HV69" t="e">
        <f>AND(DATA!C200,"AAAAAEleu+U=")</f>
        <v>#VALUE!</v>
      </c>
      <c r="HW69" t="e">
        <f>AND(DATA!D200,"AAAAAEleu+Y=")</f>
        <v>#VALUE!</v>
      </c>
      <c r="HX69" t="e">
        <f>AND(DATA!E200,"AAAAAEleu+c=")</f>
        <v>#VALUE!</v>
      </c>
      <c r="HY69" t="e">
        <f>AND(DATA!F200,"AAAAAEleu+g=")</f>
        <v>#VALUE!</v>
      </c>
      <c r="HZ69" t="e">
        <f>AND(DATA!G200,"AAAAAEleu+k=")</f>
        <v>#VALUE!</v>
      </c>
      <c r="IA69" t="e">
        <f>AND(DATA!H200,"AAAAAEleu+o=")</f>
        <v>#VALUE!</v>
      </c>
      <c r="IB69" t="e">
        <f>AND(DATA!I200,"AAAAAEleu+s=")</f>
        <v>#VALUE!</v>
      </c>
      <c r="IC69" t="e">
        <f>AND(DATA!J200,"AAAAAEleu+w=")</f>
        <v>#VALUE!</v>
      </c>
      <c r="ID69" t="e">
        <f>AND(DATA!K200,"AAAAAEleu+0=")</f>
        <v>#VALUE!</v>
      </c>
      <c r="IE69" t="b">
        <f>AND(DATA!L201,"AAAAAEleu+4=")</f>
        <v>1</v>
      </c>
      <c r="IF69" t="b">
        <f>AND(DATA!M201,"AAAAAEleu+8=")</f>
        <v>1</v>
      </c>
      <c r="IG69" t="b">
        <f>AND(DATA!N201,"AAAAAEleu/A=")</f>
        <v>1</v>
      </c>
      <c r="IH69" t="b">
        <f>AND(DATA!O201,"AAAAAEleu/E=")</f>
        <v>1</v>
      </c>
      <c r="II69" t="b">
        <f>AND(DATA!P201,"AAAAAEleu/I=")</f>
        <v>1</v>
      </c>
      <c r="IJ69" t="b">
        <f>AND(DATA!Q201,"AAAAAEleu/M=")</f>
        <v>1</v>
      </c>
      <c r="IK69" t="b">
        <f>AND(DATA!R201,"AAAAAEleu/Q=")</f>
        <v>1</v>
      </c>
      <c r="IL69" t="b">
        <f>AND(DATA!S201,"AAAAAEleu/U=")</f>
        <v>1</v>
      </c>
      <c r="IM69" t="b">
        <f>AND(DATA!T201,"AAAAAEleu/Y=")</f>
        <v>1</v>
      </c>
      <c r="IN69" t="b">
        <f>AND(DATA!U201,"AAAAAEleu/c=")</f>
        <v>1</v>
      </c>
      <c r="IO69" t="b">
        <f>AND(DATA!V201,"AAAAAEleu/g=")</f>
        <v>1</v>
      </c>
      <c r="IP69" t="e">
        <f>AND(DATA!W200,"AAAAAEleu/k=")</f>
        <v>#VALUE!</v>
      </c>
      <c r="IQ69" t="e">
        <f>AND(DATA!X200,"AAAAAEleu/o=")</f>
        <v>#VALUE!</v>
      </c>
      <c r="IR69" t="e">
        <f>AND(DATA!Y200,"AAAAAEleu/s=")</f>
        <v>#VALUE!</v>
      </c>
      <c r="IS69">
        <f>IF(DATA!201:201,"AAAAAEleu/w=",0)</f>
        <v>0</v>
      </c>
      <c r="IT69" t="e">
        <f>AND(DATA!A201,"AAAAAEleu/0=")</f>
        <v>#VALUE!</v>
      </c>
      <c r="IU69" t="e">
        <f>AND(DATA!B201,"AAAAAEleu/4=")</f>
        <v>#VALUE!</v>
      </c>
      <c r="IV69" t="e">
        <f>AND(DATA!C201,"AAAAAEleu/8=")</f>
        <v>#VALUE!</v>
      </c>
    </row>
    <row r="70" spans="1:256" x14ac:dyDescent="0.25">
      <c r="A70" t="e">
        <f>AND(DATA!D201,"AAAAAH+X/wA=")</f>
        <v>#VALUE!</v>
      </c>
      <c r="B70" t="e">
        <f>AND(DATA!E201,"AAAAAH+X/wE=")</f>
        <v>#VALUE!</v>
      </c>
      <c r="C70" t="e">
        <f>AND(DATA!F201,"AAAAAH+X/wI=")</f>
        <v>#VALUE!</v>
      </c>
      <c r="D70" t="e">
        <f>AND(DATA!G201,"AAAAAH+X/wM=")</f>
        <v>#VALUE!</v>
      </c>
      <c r="E70" t="e">
        <f>AND(DATA!H201,"AAAAAH+X/wQ=")</f>
        <v>#VALUE!</v>
      </c>
      <c r="F70" t="e">
        <f>AND(DATA!I201,"AAAAAH+X/wU=")</f>
        <v>#VALUE!</v>
      </c>
      <c r="G70" t="e">
        <f>AND(DATA!J201,"AAAAAH+X/wY=")</f>
        <v>#VALUE!</v>
      </c>
      <c r="H70" t="e">
        <f>AND(DATA!K201,"AAAAAH+X/wc=")</f>
        <v>#VALUE!</v>
      </c>
      <c r="I70" t="b">
        <f>AND(DATA!L202,"AAAAAH+X/wg=")</f>
        <v>1</v>
      </c>
      <c r="J70" t="b">
        <f>AND(DATA!M202,"AAAAAH+X/wk=")</f>
        <v>1</v>
      </c>
      <c r="K70" t="b">
        <f>AND(DATA!N202,"AAAAAH+X/wo=")</f>
        <v>1</v>
      </c>
      <c r="L70" t="b">
        <f>AND(DATA!O202,"AAAAAH+X/ws=")</f>
        <v>1</v>
      </c>
      <c r="M70" t="b">
        <f>AND(DATA!P202,"AAAAAH+X/ww=")</f>
        <v>1</v>
      </c>
      <c r="N70" t="b">
        <f>AND(DATA!Q202,"AAAAAH+X/w0=")</f>
        <v>1</v>
      </c>
      <c r="O70" t="b">
        <f>AND(DATA!R202,"AAAAAH+X/w4=")</f>
        <v>1</v>
      </c>
      <c r="P70" t="b">
        <f>AND(DATA!S202,"AAAAAH+X/w8=")</f>
        <v>1</v>
      </c>
      <c r="Q70" t="b">
        <f>AND(DATA!T202,"AAAAAH+X/xA=")</f>
        <v>1</v>
      </c>
      <c r="R70" t="b">
        <f>AND(DATA!U202,"AAAAAH+X/xE=")</f>
        <v>1</v>
      </c>
      <c r="S70" t="b">
        <f>AND(DATA!V202,"AAAAAH+X/xI=")</f>
        <v>1</v>
      </c>
      <c r="T70" t="e">
        <f>AND(DATA!W201,"AAAAAH+X/xM=")</f>
        <v>#VALUE!</v>
      </c>
      <c r="U70" t="e">
        <f>AND(DATA!X201,"AAAAAH+X/xQ=")</f>
        <v>#VALUE!</v>
      </c>
      <c r="V70" t="e">
        <f>AND(DATA!Y201,"AAAAAH+X/xU=")</f>
        <v>#VALUE!</v>
      </c>
      <c r="W70">
        <f>IF(DATA!202:202,"AAAAAH+X/xY=",0)</f>
        <v>0</v>
      </c>
      <c r="X70" t="e">
        <f>AND(DATA!A202,"AAAAAH+X/xc=")</f>
        <v>#VALUE!</v>
      </c>
      <c r="Y70" t="e">
        <f>AND(DATA!B202,"AAAAAH+X/xg=")</f>
        <v>#VALUE!</v>
      </c>
      <c r="Z70" t="e">
        <f>AND(DATA!C202,"AAAAAH+X/xk=")</f>
        <v>#VALUE!</v>
      </c>
      <c r="AA70" t="e">
        <f>AND(DATA!D202,"AAAAAH+X/xo=")</f>
        <v>#VALUE!</v>
      </c>
      <c r="AB70" t="e">
        <f>AND(DATA!E202,"AAAAAH+X/xs=")</f>
        <v>#VALUE!</v>
      </c>
      <c r="AC70" t="e">
        <f>AND(DATA!F202,"AAAAAH+X/xw=")</f>
        <v>#VALUE!</v>
      </c>
      <c r="AD70" t="e">
        <f>AND(DATA!G202,"AAAAAH+X/x0=")</f>
        <v>#VALUE!</v>
      </c>
      <c r="AE70" t="e">
        <f>AND(DATA!H202,"AAAAAH+X/x4=")</f>
        <v>#VALUE!</v>
      </c>
      <c r="AF70" t="e">
        <f>AND(DATA!I202,"AAAAAH+X/x8=")</f>
        <v>#VALUE!</v>
      </c>
      <c r="AG70" t="e">
        <f>AND(DATA!J202,"AAAAAH+X/yA=")</f>
        <v>#VALUE!</v>
      </c>
      <c r="AH70" t="e">
        <f>AND(DATA!K202,"AAAAAH+X/yE=")</f>
        <v>#VALUE!</v>
      </c>
      <c r="AI70" t="b">
        <f>AND(DATA!L203,"AAAAAH+X/yI=")</f>
        <v>1</v>
      </c>
      <c r="AJ70" t="b">
        <f>AND(DATA!M203,"AAAAAH+X/yM=")</f>
        <v>1</v>
      </c>
      <c r="AK70" t="b">
        <f>AND(DATA!N203,"AAAAAH+X/yQ=")</f>
        <v>1</v>
      </c>
      <c r="AL70" t="b">
        <f>AND(DATA!O203,"AAAAAH+X/yU=")</f>
        <v>1</v>
      </c>
      <c r="AM70" t="b">
        <f>AND(DATA!P203,"AAAAAH+X/yY=")</f>
        <v>1</v>
      </c>
      <c r="AN70" t="b">
        <f>AND(DATA!Q203,"AAAAAH+X/yc=")</f>
        <v>1</v>
      </c>
      <c r="AO70" t="b">
        <f>AND(DATA!R203,"AAAAAH+X/yg=")</f>
        <v>1</v>
      </c>
      <c r="AP70" t="b">
        <f>AND(DATA!S203,"AAAAAH+X/yk=")</f>
        <v>1</v>
      </c>
      <c r="AQ70" t="b">
        <f>AND(DATA!T203,"AAAAAH+X/yo=")</f>
        <v>1</v>
      </c>
      <c r="AR70" t="b">
        <f>AND(DATA!U203,"AAAAAH+X/ys=")</f>
        <v>1</v>
      </c>
      <c r="AS70" t="b">
        <f>AND(DATA!V203,"AAAAAH+X/yw=")</f>
        <v>1</v>
      </c>
      <c r="AT70" t="e">
        <f>AND(DATA!W202,"AAAAAH+X/y0=")</f>
        <v>#VALUE!</v>
      </c>
      <c r="AU70" t="e">
        <f>AND(DATA!X202,"AAAAAH+X/y4=")</f>
        <v>#VALUE!</v>
      </c>
      <c r="AV70" t="e">
        <f>AND(DATA!Y202,"AAAAAH+X/y8=")</f>
        <v>#VALUE!</v>
      </c>
      <c r="AW70">
        <f>IF(DATA!203:203,"AAAAAH+X/zA=",0)</f>
        <v>0</v>
      </c>
      <c r="AX70" t="e">
        <f>AND(DATA!A203,"AAAAAH+X/zE=")</f>
        <v>#VALUE!</v>
      </c>
      <c r="AY70" t="e">
        <f>AND(DATA!B203,"AAAAAH+X/zI=")</f>
        <v>#VALUE!</v>
      </c>
      <c r="AZ70" t="e">
        <f>AND(DATA!C203,"AAAAAH+X/zM=")</f>
        <v>#VALUE!</v>
      </c>
      <c r="BA70" t="e">
        <f>AND(DATA!D203,"AAAAAH+X/zQ=")</f>
        <v>#VALUE!</v>
      </c>
      <c r="BB70" t="e">
        <f>AND(DATA!E203,"AAAAAH+X/zU=")</f>
        <v>#VALUE!</v>
      </c>
      <c r="BC70" t="e">
        <f>AND(DATA!F203,"AAAAAH+X/zY=")</f>
        <v>#VALUE!</v>
      </c>
      <c r="BD70" t="e">
        <f>AND(DATA!G203,"AAAAAH+X/zc=")</f>
        <v>#VALUE!</v>
      </c>
      <c r="BE70" t="e">
        <f>AND(DATA!H203,"AAAAAH+X/zg=")</f>
        <v>#VALUE!</v>
      </c>
      <c r="BF70" t="e">
        <f>AND(DATA!I203,"AAAAAH+X/zk=")</f>
        <v>#VALUE!</v>
      </c>
      <c r="BG70" t="e">
        <f>AND(DATA!J203,"AAAAAH+X/zo=")</f>
        <v>#VALUE!</v>
      </c>
      <c r="BH70" t="e">
        <f>AND(DATA!K203,"AAAAAH+X/zs=")</f>
        <v>#VALUE!</v>
      </c>
      <c r="BI70" t="b">
        <f>AND(DATA!L204,"AAAAAH+X/zw=")</f>
        <v>1</v>
      </c>
      <c r="BJ70" t="b">
        <f>AND(DATA!M204,"AAAAAH+X/z0=")</f>
        <v>1</v>
      </c>
      <c r="BK70" t="b">
        <f>AND(DATA!N204,"AAAAAH+X/z4=")</f>
        <v>1</v>
      </c>
      <c r="BL70" t="b">
        <f>AND(DATA!O204,"AAAAAH+X/z8=")</f>
        <v>1</v>
      </c>
      <c r="BM70" t="b">
        <f>AND(DATA!P204,"AAAAAH+X/0A=")</f>
        <v>1</v>
      </c>
      <c r="BN70" t="b">
        <f>AND(DATA!Q204,"AAAAAH+X/0E=")</f>
        <v>1</v>
      </c>
      <c r="BO70" t="b">
        <f>AND(DATA!R204,"AAAAAH+X/0I=")</f>
        <v>1</v>
      </c>
      <c r="BP70" t="b">
        <f>AND(DATA!S204,"AAAAAH+X/0M=")</f>
        <v>1</v>
      </c>
      <c r="BQ70" t="b">
        <f>AND(DATA!T204,"AAAAAH+X/0Q=")</f>
        <v>1</v>
      </c>
      <c r="BR70" t="b">
        <f>AND(DATA!U204,"AAAAAH+X/0U=")</f>
        <v>1</v>
      </c>
      <c r="BS70" t="b">
        <f>AND(DATA!V204,"AAAAAH+X/0Y=")</f>
        <v>1</v>
      </c>
      <c r="BT70" t="e">
        <f>AND(DATA!W203,"AAAAAH+X/0c=")</f>
        <v>#VALUE!</v>
      </c>
      <c r="BU70" t="e">
        <f>AND(DATA!X203,"AAAAAH+X/0g=")</f>
        <v>#VALUE!</v>
      </c>
      <c r="BV70" t="e">
        <f>AND(DATA!Y203,"AAAAAH+X/0k=")</f>
        <v>#VALUE!</v>
      </c>
      <c r="BW70">
        <f>IF(DATA!204:204,"AAAAAH+X/0o=",0)</f>
        <v>0</v>
      </c>
      <c r="BX70" t="e">
        <f>AND(DATA!A204,"AAAAAH+X/0s=")</f>
        <v>#VALUE!</v>
      </c>
      <c r="BY70" t="e">
        <f>AND(DATA!B204,"AAAAAH+X/0w=")</f>
        <v>#VALUE!</v>
      </c>
      <c r="BZ70" t="e">
        <f>AND(DATA!C204,"AAAAAH+X/00=")</f>
        <v>#VALUE!</v>
      </c>
      <c r="CA70" t="e">
        <f>AND(DATA!D204,"AAAAAH+X/04=")</f>
        <v>#VALUE!</v>
      </c>
      <c r="CB70" t="e">
        <f>AND(DATA!E204,"AAAAAH+X/08=")</f>
        <v>#VALUE!</v>
      </c>
      <c r="CC70" t="e">
        <f>AND(DATA!F204,"AAAAAH+X/1A=")</f>
        <v>#VALUE!</v>
      </c>
      <c r="CD70" t="e">
        <f>AND(DATA!G204,"AAAAAH+X/1E=")</f>
        <v>#VALUE!</v>
      </c>
      <c r="CE70" t="e">
        <f>AND(DATA!H204,"AAAAAH+X/1I=")</f>
        <v>#VALUE!</v>
      </c>
      <c r="CF70" t="e">
        <f>AND(DATA!I204,"AAAAAH+X/1M=")</f>
        <v>#VALUE!</v>
      </c>
      <c r="CG70" t="e">
        <f>AND(DATA!J204,"AAAAAH+X/1Q=")</f>
        <v>#VALUE!</v>
      </c>
      <c r="CH70" t="e">
        <f>AND(DATA!K204,"AAAAAH+X/1U=")</f>
        <v>#VALUE!</v>
      </c>
      <c r="CI70" t="b">
        <f>AND(DATA!L205,"AAAAAH+X/1Y=")</f>
        <v>1</v>
      </c>
      <c r="CJ70" t="b">
        <f>AND(DATA!M205,"AAAAAH+X/1c=")</f>
        <v>1</v>
      </c>
      <c r="CK70" t="b">
        <f>AND(DATA!N205,"AAAAAH+X/1g=")</f>
        <v>1</v>
      </c>
      <c r="CL70" t="b">
        <f>AND(DATA!O205,"AAAAAH+X/1k=")</f>
        <v>1</v>
      </c>
      <c r="CM70" t="b">
        <f>AND(DATA!P205,"AAAAAH+X/1o=")</f>
        <v>1</v>
      </c>
      <c r="CN70" t="b">
        <f>AND(DATA!Q205,"AAAAAH+X/1s=")</f>
        <v>1</v>
      </c>
      <c r="CO70" t="b">
        <f>AND(DATA!R205,"AAAAAH+X/1w=")</f>
        <v>1</v>
      </c>
      <c r="CP70" t="b">
        <f>AND(DATA!S205,"AAAAAH+X/10=")</f>
        <v>1</v>
      </c>
      <c r="CQ70" t="b">
        <f>AND(DATA!T205,"AAAAAH+X/14=")</f>
        <v>1</v>
      </c>
      <c r="CR70" t="b">
        <f>AND(DATA!U205,"AAAAAH+X/18=")</f>
        <v>1</v>
      </c>
      <c r="CS70" t="b">
        <f>AND(DATA!V205,"AAAAAH+X/2A=")</f>
        <v>1</v>
      </c>
      <c r="CT70" t="e">
        <f>AND(DATA!W204,"AAAAAH+X/2E=")</f>
        <v>#VALUE!</v>
      </c>
      <c r="CU70" t="e">
        <f>AND(DATA!X204,"AAAAAH+X/2I=")</f>
        <v>#VALUE!</v>
      </c>
      <c r="CV70" t="e">
        <f>AND(DATA!Y204,"AAAAAH+X/2M=")</f>
        <v>#VALUE!</v>
      </c>
      <c r="CW70">
        <f>IF(DATA!205:205,"AAAAAH+X/2Q=",0)</f>
        <v>0</v>
      </c>
      <c r="CX70" t="e">
        <f>AND(DATA!A205,"AAAAAH+X/2U=")</f>
        <v>#VALUE!</v>
      </c>
      <c r="CY70" t="e">
        <f>AND(DATA!B205,"AAAAAH+X/2Y=")</f>
        <v>#VALUE!</v>
      </c>
      <c r="CZ70" t="e">
        <f>AND(DATA!C205,"AAAAAH+X/2c=")</f>
        <v>#VALUE!</v>
      </c>
      <c r="DA70" t="e">
        <f>AND(DATA!D205,"AAAAAH+X/2g=")</f>
        <v>#VALUE!</v>
      </c>
      <c r="DB70" t="e">
        <f>AND(DATA!E205,"AAAAAH+X/2k=")</f>
        <v>#VALUE!</v>
      </c>
      <c r="DC70" t="e">
        <f>AND(DATA!F205,"AAAAAH+X/2o=")</f>
        <v>#VALUE!</v>
      </c>
      <c r="DD70" t="e">
        <f>AND(DATA!G205,"AAAAAH+X/2s=")</f>
        <v>#VALUE!</v>
      </c>
      <c r="DE70" t="e">
        <f>AND(DATA!H205,"AAAAAH+X/2w=")</f>
        <v>#VALUE!</v>
      </c>
      <c r="DF70" t="e">
        <f>AND(DATA!I205,"AAAAAH+X/20=")</f>
        <v>#VALUE!</v>
      </c>
      <c r="DG70" t="e">
        <f>AND(DATA!J205,"AAAAAH+X/24=")</f>
        <v>#VALUE!</v>
      </c>
      <c r="DH70" t="e">
        <f>AND(DATA!K205,"AAAAAH+X/28=")</f>
        <v>#VALUE!</v>
      </c>
      <c r="DI70" t="b">
        <f>AND(DATA!L206,"AAAAAH+X/3A=")</f>
        <v>1</v>
      </c>
      <c r="DJ70" t="b">
        <f>AND(DATA!M206,"AAAAAH+X/3E=")</f>
        <v>1</v>
      </c>
      <c r="DK70" t="b">
        <f>AND(DATA!N206,"AAAAAH+X/3I=")</f>
        <v>1</v>
      </c>
      <c r="DL70" t="b">
        <f>AND(DATA!O206,"AAAAAH+X/3M=")</f>
        <v>1</v>
      </c>
      <c r="DM70" t="b">
        <f>AND(DATA!P206,"AAAAAH+X/3Q=")</f>
        <v>1</v>
      </c>
      <c r="DN70" t="b">
        <f>AND(DATA!Q206,"AAAAAH+X/3U=")</f>
        <v>1</v>
      </c>
      <c r="DO70" t="b">
        <f>AND(DATA!R206,"AAAAAH+X/3Y=")</f>
        <v>1</v>
      </c>
      <c r="DP70" t="b">
        <f>AND(DATA!S206,"AAAAAH+X/3c=")</f>
        <v>1</v>
      </c>
      <c r="DQ70" t="b">
        <f>AND(DATA!T206,"AAAAAH+X/3g=")</f>
        <v>1</v>
      </c>
      <c r="DR70" t="b">
        <f>AND(DATA!U206,"AAAAAH+X/3k=")</f>
        <v>1</v>
      </c>
      <c r="DS70" t="b">
        <f>AND(DATA!V206,"AAAAAH+X/3o=")</f>
        <v>1</v>
      </c>
      <c r="DT70" t="e">
        <f>AND(DATA!W205,"AAAAAH+X/3s=")</f>
        <v>#VALUE!</v>
      </c>
      <c r="DU70" t="e">
        <f>AND(DATA!X205,"AAAAAH+X/3w=")</f>
        <v>#VALUE!</v>
      </c>
      <c r="DV70" t="e">
        <f>AND(DATA!Y205,"AAAAAH+X/30=")</f>
        <v>#VALUE!</v>
      </c>
      <c r="DW70">
        <f>IF(DATA!206:206,"AAAAAH+X/34=",0)</f>
        <v>0</v>
      </c>
      <c r="DX70" t="e">
        <f>AND(DATA!A206,"AAAAAH+X/38=")</f>
        <v>#VALUE!</v>
      </c>
      <c r="DY70" t="e">
        <f>AND(DATA!B206,"AAAAAH+X/4A=")</f>
        <v>#VALUE!</v>
      </c>
      <c r="DZ70" t="e">
        <f>AND(DATA!C206,"AAAAAH+X/4E=")</f>
        <v>#VALUE!</v>
      </c>
      <c r="EA70" t="e">
        <f>AND(DATA!D206,"AAAAAH+X/4I=")</f>
        <v>#VALUE!</v>
      </c>
      <c r="EB70" t="e">
        <f>AND(DATA!E206,"AAAAAH+X/4M=")</f>
        <v>#VALUE!</v>
      </c>
      <c r="EC70" t="e">
        <f>AND(DATA!F206,"AAAAAH+X/4Q=")</f>
        <v>#VALUE!</v>
      </c>
      <c r="ED70" t="e">
        <f>AND(DATA!G206,"AAAAAH+X/4U=")</f>
        <v>#VALUE!</v>
      </c>
      <c r="EE70" t="e">
        <f>AND(DATA!H206,"AAAAAH+X/4Y=")</f>
        <v>#VALUE!</v>
      </c>
      <c r="EF70" t="e">
        <f>AND(DATA!I206,"AAAAAH+X/4c=")</f>
        <v>#VALUE!</v>
      </c>
      <c r="EG70" t="e">
        <f>AND(DATA!J206,"AAAAAH+X/4g=")</f>
        <v>#VALUE!</v>
      </c>
      <c r="EH70" t="e">
        <f>AND(DATA!K206,"AAAAAH+X/4k=")</f>
        <v>#VALUE!</v>
      </c>
      <c r="EI70" t="b">
        <f>AND(DATA!L207,"AAAAAH+X/4o=")</f>
        <v>1</v>
      </c>
      <c r="EJ70" t="b">
        <f>AND(DATA!M207,"AAAAAH+X/4s=")</f>
        <v>1</v>
      </c>
      <c r="EK70" t="b">
        <f>AND(DATA!N207,"AAAAAH+X/4w=")</f>
        <v>1</v>
      </c>
      <c r="EL70" t="b">
        <f>AND(DATA!O207,"AAAAAH+X/40=")</f>
        <v>1</v>
      </c>
      <c r="EM70" t="b">
        <f>AND(DATA!P207,"AAAAAH+X/44=")</f>
        <v>1</v>
      </c>
      <c r="EN70" t="b">
        <f>AND(DATA!Q207,"AAAAAH+X/48=")</f>
        <v>1</v>
      </c>
      <c r="EO70" t="b">
        <f>AND(DATA!R207,"AAAAAH+X/5A=")</f>
        <v>1</v>
      </c>
      <c r="EP70" t="b">
        <f>AND(DATA!S207,"AAAAAH+X/5E=")</f>
        <v>1</v>
      </c>
      <c r="EQ70" t="b">
        <f>AND(DATA!T207,"AAAAAH+X/5I=")</f>
        <v>1</v>
      </c>
      <c r="ER70" t="b">
        <f>AND(DATA!U207,"AAAAAH+X/5M=")</f>
        <v>1</v>
      </c>
      <c r="ES70" t="b">
        <f>AND(DATA!V207,"AAAAAH+X/5Q=")</f>
        <v>1</v>
      </c>
      <c r="ET70" t="e">
        <f>AND(DATA!W206,"AAAAAH+X/5U=")</f>
        <v>#VALUE!</v>
      </c>
      <c r="EU70" t="e">
        <f>AND(DATA!X206,"AAAAAH+X/5Y=")</f>
        <v>#VALUE!</v>
      </c>
      <c r="EV70" t="e">
        <f>AND(DATA!Y206,"AAAAAH+X/5c=")</f>
        <v>#VALUE!</v>
      </c>
      <c r="EW70">
        <f>IF(DATA!207:207,"AAAAAH+X/5g=",0)</f>
        <v>0</v>
      </c>
      <c r="EX70" t="e">
        <f>AND(DATA!A207,"AAAAAH+X/5k=")</f>
        <v>#VALUE!</v>
      </c>
      <c r="EY70" t="e">
        <f>AND(DATA!B207,"AAAAAH+X/5o=")</f>
        <v>#VALUE!</v>
      </c>
      <c r="EZ70" t="e">
        <f>AND(DATA!C207,"AAAAAH+X/5s=")</f>
        <v>#VALUE!</v>
      </c>
      <c r="FA70" t="e">
        <f>AND(DATA!D207,"AAAAAH+X/5w=")</f>
        <v>#VALUE!</v>
      </c>
      <c r="FB70" t="e">
        <f>AND(DATA!E207,"AAAAAH+X/50=")</f>
        <v>#VALUE!</v>
      </c>
      <c r="FC70" t="e">
        <f>AND(DATA!F207,"AAAAAH+X/54=")</f>
        <v>#VALUE!</v>
      </c>
      <c r="FD70" t="e">
        <f>AND(DATA!G207,"AAAAAH+X/58=")</f>
        <v>#VALUE!</v>
      </c>
      <c r="FE70" t="e">
        <f>AND(DATA!H207,"AAAAAH+X/6A=")</f>
        <v>#VALUE!</v>
      </c>
      <c r="FF70" t="e">
        <f>AND(DATA!I207,"AAAAAH+X/6E=")</f>
        <v>#VALUE!</v>
      </c>
      <c r="FG70" t="e">
        <f>AND(DATA!J207,"AAAAAH+X/6I=")</f>
        <v>#VALUE!</v>
      </c>
      <c r="FH70" t="e">
        <f>AND(DATA!K207,"AAAAAH+X/6M=")</f>
        <v>#VALUE!</v>
      </c>
      <c r="FI70" t="b">
        <f>AND(DATA!L208,"AAAAAH+X/6Q=")</f>
        <v>1</v>
      </c>
      <c r="FJ70" t="b">
        <f>AND(DATA!M208,"AAAAAH+X/6U=")</f>
        <v>1</v>
      </c>
      <c r="FK70" t="b">
        <f>AND(DATA!N208,"AAAAAH+X/6Y=")</f>
        <v>1</v>
      </c>
      <c r="FL70" t="b">
        <f>AND(DATA!O208,"AAAAAH+X/6c=")</f>
        <v>1</v>
      </c>
      <c r="FM70" t="b">
        <f>AND(DATA!P208,"AAAAAH+X/6g=")</f>
        <v>1</v>
      </c>
      <c r="FN70" t="b">
        <f>AND(DATA!Q208,"AAAAAH+X/6k=")</f>
        <v>1</v>
      </c>
      <c r="FO70" t="b">
        <f>AND(DATA!R208,"AAAAAH+X/6o=")</f>
        <v>1</v>
      </c>
      <c r="FP70" t="b">
        <f>AND(DATA!S208,"AAAAAH+X/6s=")</f>
        <v>1</v>
      </c>
      <c r="FQ70" t="b">
        <f>AND(DATA!T208,"AAAAAH+X/6w=")</f>
        <v>1</v>
      </c>
      <c r="FR70" t="b">
        <f>AND(DATA!U208,"AAAAAH+X/60=")</f>
        <v>1</v>
      </c>
      <c r="FS70" t="b">
        <f>AND(DATA!V208,"AAAAAH+X/64=")</f>
        <v>1</v>
      </c>
      <c r="FT70" t="e">
        <f>AND(DATA!W207,"AAAAAH+X/68=")</f>
        <v>#VALUE!</v>
      </c>
      <c r="FU70" t="e">
        <f>AND(DATA!X207,"AAAAAH+X/7A=")</f>
        <v>#VALUE!</v>
      </c>
      <c r="FV70" t="e">
        <f>AND(DATA!Y207,"AAAAAH+X/7E=")</f>
        <v>#VALUE!</v>
      </c>
      <c r="FW70">
        <f>IF(DATA!208:208,"AAAAAH+X/7I=",0)</f>
        <v>0</v>
      </c>
      <c r="FX70" t="e">
        <f>AND(DATA!A208,"AAAAAH+X/7M=")</f>
        <v>#VALUE!</v>
      </c>
      <c r="FY70" t="e">
        <f>AND(DATA!B208,"AAAAAH+X/7Q=")</f>
        <v>#VALUE!</v>
      </c>
      <c r="FZ70" t="e">
        <f>AND(DATA!C208,"AAAAAH+X/7U=")</f>
        <v>#VALUE!</v>
      </c>
      <c r="GA70" t="e">
        <f>AND(DATA!D208,"AAAAAH+X/7Y=")</f>
        <v>#VALUE!</v>
      </c>
      <c r="GB70" t="e">
        <f>AND(DATA!E208,"AAAAAH+X/7c=")</f>
        <v>#VALUE!</v>
      </c>
      <c r="GC70" t="e">
        <f>AND(DATA!F208,"AAAAAH+X/7g=")</f>
        <v>#VALUE!</v>
      </c>
      <c r="GD70" t="e">
        <f>AND(DATA!G208,"AAAAAH+X/7k=")</f>
        <v>#VALUE!</v>
      </c>
      <c r="GE70" t="e">
        <f>AND(DATA!H208,"AAAAAH+X/7o=")</f>
        <v>#VALUE!</v>
      </c>
      <c r="GF70" t="e">
        <f>AND(DATA!I208,"AAAAAH+X/7s=")</f>
        <v>#VALUE!</v>
      </c>
      <c r="GG70" t="e">
        <f>AND(DATA!J208,"AAAAAH+X/7w=")</f>
        <v>#VALUE!</v>
      </c>
      <c r="GH70" t="e">
        <f>AND(DATA!K208,"AAAAAH+X/70=")</f>
        <v>#VALUE!</v>
      </c>
      <c r="GI70" t="b">
        <f>AND(DATA!L209,"AAAAAH+X/74=")</f>
        <v>1</v>
      </c>
      <c r="GJ70" t="b">
        <f>AND(DATA!M209,"AAAAAH+X/78=")</f>
        <v>1</v>
      </c>
      <c r="GK70" t="b">
        <f>AND(DATA!N209,"AAAAAH+X/8A=")</f>
        <v>1</v>
      </c>
      <c r="GL70" t="b">
        <f>AND(DATA!O209,"AAAAAH+X/8E=")</f>
        <v>1</v>
      </c>
      <c r="GM70" t="b">
        <f>AND(DATA!P209,"AAAAAH+X/8I=")</f>
        <v>1</v>
      </c>
      <c r="GN70" t="b">
        <f>AND(DATA!Q209,"AAAAAH+X/8M=")</f>
        <v>1</v>
      </c>
      <c r="GO70" t="b">
        <f>AND(DATA!R209,"AAAAAH+X/8Q=")</f>
        <v>1</v>
      </c>
      <c r="GP70" t="b">
        <f>AND(DATA!S209,"AAAAAH+X/8U=")</f>
        <v>1</v>
      </c>
      <c r="GQ70" t="b">
        <f>AND(DATA!T209,"AAAAAH+X/8Y=")</f>
        <v>1</v>
      </c>
      <c r="GR70" t="b">
        <f>AND(DATA!U209,"AAAAAH+X/8c=")</f>
        <v>1</v>
      </c>
      <c r="GS70" t="b">
        <f>AND(DATA!V209,"AAAAAH+X/8g=")</f>
        <v>1</v>
      </c>
      <c r="GT70" t="e">
        <f>AND(DATA!W208,"AAAAAH+X/8k=")</f>
        <v>#VALUE!</v>
      </c>
      <c r="GU70" t="e">
        <f>AND(DATA!X208,"AAAAAH+X/8o=")</f>
        <v>#VALUE!</v>
      </c>
      <c r="GV70" t="e">
        <f>AND(DATA!Y208,"AAAAAH+X/8s=")</f>
        <v>#VALUE!</v>
      </c>
      <c r="GW70">
        <f>IF(DATA!209:209,"AAAAAH+X/8w=",0)</f>
        <v>0</v>
      </c>
      <c r="GX70" t="e">
        <f>AND(DATA!A209,"AAAAAH+X/80=")</f>
        <v>#VALUE!</v>
      </c>
      <c r="GY70" t="e">
        <f>AND(DATA!B209,"AAAAAH+X/84=")</f>
        <v>#VALUE!</v>
      </c>
      <c r="GZ70" t="e">
        <f>AND(DATA!C209,"AAAAAH+X/88=")</f>
        <v>#VALUE!</v>
      </c>
      <c r="HA70" t="e">
        <f>AND(DATA!D209,"AAAAAH+X/9A=")</f>
        <v>#VALUE!</v>
      </c>
      <c r="HB70" t="e">
        <f>AND(DATA!E209,"AAAAAH+X/9E=")</f>
        <v>#VALUE!</v>
      </c>
      <c r="HC70" t="e">
        <f>AND(DATA!F209,"AAAAAH+X/9I=")</f>
        <v>#VALUE!</v>
      </c>
      <c r="HD70" t="e">
        <f>AND(DATA!G209,"AAAAAH+X/9M=")</f>
        <v>#VALUE!</v>
      </c>
      <c r="HE70" t="e">
        <f>AND(DATA!H209,"AAAAAH+X/9Q=")</f>
        <v>#VALUE!</v>
      </c>
      <c r="HF70" t="e">
        <f>AND(DATA!I209,"AAAAAH+X/9U=")</f>
        <v>#VALUE!</v>
      </c>
      <c r="HG70" t="e">
        <f>AND(DATA!J209,"AAAAAH+X/9Y=")</f>
        <v>#VALUE!</v>
      </c>
      <c r="HH70" t="e">
        <f>AND(DATA!K209,"AAAAAH+X/9c=")</f>
        <v>#VALUE!</v>
      </c>
      <c r="HI70" t="b">
        <f>AND(DATA!L210,"AAAAAH+X/9g=")</f>
        <v>1</v>
      </c>
      <c r="HJ70" t="b">
        <f>AND(DATA!M210,"AAAAAH+X/9k=")</f>
        <v>1</v>
      </c>
      <c r="HK70" t="b">
        <f>AND(DATA!N210,"AAAAAH+X/9o=")</f>
        <v>1</v>
      </c>
      <c r="HL70" t="b">
        <f>AND(DATA!O210,"AAAAAH+X/9s=")</f>
        <v>1</v>
      </c>
      <c r="HM70" t="b">
        <f>AND(DATA!P210,"AAAAAH+X/9w=")</f>
        <v>1</v>
      </c>
      <c r="HN70" t="b">
        <f>AND(DATA!Q210,"AAAAAH+X/90=")</f>
        <v>1</v>
      </c>
      <c r="HO70" t="b">
        <f>AND(DATA!R210,"AAAAAH+X/94=")</f>
        <v>1</v>
      </c>
      <c r="HP70" t="b">
        <f>AND(DATA!S210,"AAAAAH+X/98=")</f>
        <v>1</v>
      </c>
      <c r="HQ70" t="b">
        <f>AND(DATA!T210,"AAAAAH+X/+A=")</f>
        <v>1</v>
      </c>
      <c r="HR70" t="b">
        <f>AND(DATA!U210,"AAAAAH+X/+E=")</f>
        <v>1</v>
      </c>
      <c r="HS70" t="b">
        <f>AND(DATA!V210,"AAAAAH+X/+I=")</f>
        <v>1</v>
      </c>
      <c r="HT70" t="e">
        <f>AND(DATA!W209,"AAAAAH+X/+M=")</f>
        <v>#VALUE!</v>
      </c>
      <c r="HU70" t="e">
        <f>AND(DATA!X209,"AAAAAH+X/+Q=")</f>
        <v>#VALUE!</v>
      </c>
      <c r="HV70" t="e">
        <f>AND(DATA!Y209,"AAAAAH+X/+U=")</f>
        <v>#VALUE!</v>
      </c>
      <c r="HW70">
        <f>IF(DATA!210:210,"AAAAAH+X/+Y=",0)</f>
        <v>0</v>
      </c>
      <c r="HX70" t="e">
        <f>AND(DATA!A210,"AAAAAH+X/+c=")</f>
        <v>#VALUE!</v>
      </c>
      <c r="HY70" t="e">
        <f>AND(DATA!B210,"AAAAAH+X/+g=")</f>
        <v>#VALUE!</v>
      </c>
      <c r="HZ70" t="e">
        <f>AND(DATA!C210,"AAAAAH+X/+k=")</f>
        <v>#VALUE!</v>
      </c>
      <c r="IA70" t="e">
        <f>AND(DATA!D210,"AAAAAH+X/+o=")</f>
        <v>#VALUE!</v>
      </c>
      <c r="IB70" t="e">
        <f>AND(DATA!E210,"AAAAAH+X/+s=")</f>
        <v>#VALUE!</v>
      </c>
      <c r="IC70" t="e">
        <f>AND(DATA!F210,"AAAAAH+X/+w=")</f>
        <v>#VALUE!</v>
      </c>
      <c r="ID70" t="e">
        <f>AND(DATA!G210,"AAAAAH+X/+0=")</f>
        <v>#VALUE!</v>
      </c>
      <c r="IE70" t="e">
        <f>AND(DATA!H210,"AAAAAH+X/+4=")</f>
        <v>#VALUE!</v>
      </c>
      <c r="IF70" t="e">
        <f>AND(DATA!I210,"AAAAAH+X/+8=")</f>
        <v>#VALUE!</v>
      </c>
      <c r="IG70" t="e">
        <f>AND(DATA!J210,"AAAAAH+X//A=")</f>
        <v>#VALUE!</v>
      </c>
      <c r="IH70" t="e">
        <f>AND(DATA!K210,"AAAAAH+X//E=")</f>
        <v>#VALUE!</v>
      </c>
      <c r="II70" t="b">
        <f>AND(DATA!L211,"AAAAAH+X//I=")</f>
        <v>1</v>
      </c>
      <c r="IJ70" t="b">
        <f>AND(DATA!M211,"AAAAAH+X//M=")</f>
        <v>1</v>
      </c>
      <c r="IK70" t="b">
        <f>AND(DATA!N211,"AAAAAH+X//Q=")</f>
        <v>1</v>
      </c>
      <c r="IL70" t="b">
        <f>AND(DATA!O211,"AAAAAH+X//U=")</f>
        <v>1</v>
      </c>
      <c r="IM70" t="b">
        <f>AND(DATA!P211,"AAAAAH+X//Y=")</f>
        <v>1</v>
      </c>
      <c r="IN70" t="b">
        <f>AND(DATA!Q211,"AAAAAH+X//c=")</f>
        <v>1</v>
      </c>
      <c r="IO70" t="b">
        <f>AND(DATA!R211,"AAAAAH+X//g=")</f>
        <v>1</v>
      </c>
      <c r="IP70" t="b">
        <f>AND(DATA!S211,"AAAAAH+X//k=")</f>
        <v>1</v>
      </c>
      <c r="IQ70" t="b">
        <f>AND(DATA!T211,"AAAAAH+X//o=")</f>
        <v>1</v>
      </c>
      <c r="IR70" t="b">
        <f>AND(DATA!U211,"AAAAAH+X//s=")</f>
        <v>1</v>
      </c>
      <c r="IS70" t="b">
        <f>AND(DATA!V211,"AAAAAH+X//w=")</f>
        <v>1</v>
      </c>
      <c r="IT70" t="e">
        <f>AND(DATA!W210,"AAAAAH+X//0=")</f>
        <v>#VALUE!</v>
      </c>
      <c r="IU70" t="e">
        <f>AND(DATA!X210,"AAAAAH+X//4=")</f>
        <v>#VALUE!</v>
      </c>
      <c r="IV70" t="e">
        <f>AND(DATA!Y210,"AAAAAH+X//8=")</f>
        <v>#VALUE!</v>
      </c>
    </row>
    <row r="71" spans="1:256" x14ac:dyDescent="0.25">
      <c r="A71">
        <f>IF(DATA!211:211,"AAAAAHvrfwA=",0)</f>
        <v>0</v>
      </c>
      <c r="B71" t="e">
        <f>AND(DATA!A211,"AAAAAHvrfwE=")</f>
        <v>#VALUE!</v>
      </c>
      <c r="C71" t="e">
        <f>AND(DATA!B211,"AAAAAHvrfwI=")</f>
        <v>#VALUE!</v>
      </c>
      <c r="D71" t="e">
        <f>AND(DATA!C211,"AAAAAHvrfwM=")</f>
        <v>#VALUE!</v>
      </c>
      <c r="E71" t="e">
        <f>AND(DATA!D211,"AAAAAHvrfwQ=")</f>
        <v>#VALUE!</v>
      </c>
      <c r="F71" t="e">
        <f>AND(DATA!E211,"AAAAAHvrfwU=")</f>
        <v>#VALUE!</v>
      </c>
      <c r="G71" t="e">
        <f>AND(DATA!F211,"AAAAAHvrfwY=")</f>
        <v>#VALUE!</v>
      </c>
      <c r="H71" t="e">
        <f>AND(DATA!G211,"AAAAAHvrfwc=")</f>
        <v>#VALUE!</v>
      </c>
      <c r="I71" t="e">
        <f>AND(DATA!H211,"AAAAAHvrfwg=")</f>
        <v>#VALUE!</v>
      </c>
      <c r="J71" t="e">
        <f>AND(DATA!I211,"AAAAAHvrfwk=")</f>
        <v>#VALUE!</v>
      </c>
      <c r="K71" t="e">
        <f>AND(DATA!J211,"AAAAAHvrfwo=")</f>
        <v>#VALUE!</v>
      </c>
      <c r="L71" t="e">
        <f>AND(DATA!K211,"AAAAAHvrfws=")</f>
        <v>#VALUE!</v>
      </c>
      <c r="M71" t="b">
        <f>AND(DATA!L212,"AAAAAHvrfww=")</f>
        <v>1</v>
      </c>
      <c r="N71" t="b">
        <f>AND(DATA!M212,"AAAAAHvrfw0=")</f>
        <v>1</v>
      </c>
      <c r="O71" t="b">
        <f>AND(DATA!N212,"AAAAAHvrfw4=")</f>
        <v>1</v>
      </c>
      <c r="P71" t="b">
        <f>AND(DATA!O212,"AAAAAHvrfw8=")</f>
        <v>1</v>
      </c>
      <c r="Q71" t="b">
        <f>AND(DATA!P212,"AAAAAHvrfxA=")</f>
        <v>1</v>
      </c>
      <c r="R71" t="b">
        <f>AND(DATA!Q212,"AAAAAHvrfxE=")</f>
        <v>1</v>
      </c>
      <c r="S71" t="b">
        <f>AND(DATA!R212,"AAAAAHvrfxI=")</f>
        <v>1</v>
      </c>
      <c r="T71" t="b">
        <f>AND(DATA!S212,"AAAAAHvrfxM=")</f>
        <v>1</v>
      </c>
      <c r="U71" t="b">
        <f>AND(DATA!T212,"AAAAAHvrfxQ=")</f>
        <v>1</v>
      </c>
      <c r="V71" t="b">
        <f>AND(DATA!U212,"AAAAAHvrfxU=")</f>
        <v>1</v>
      </c>
      <c r="W71" t="b">
        <f>AND(DATA!V212,"AAAAAHvrfxY=")</f>
        <v>1</v>
      </c>
      <c r="X71" t="e">
        <f>AND(DATA!W211,"AAAAAHvrfxc=")</f>
        <v>#VALUE!</v>
      </c>
      <c r="Y71" t="e">
        <f>AND(DATA!X211,"AAAAAHvrfxg=")</f>
        <v>#VALUE!</v>
      </c>
      <c r="Z71" t="e">
        <f>AND(DATA!Y211,"AAAAAHvrfxk=")</f>
        <v>#VALUE!</v>
      </c>
      <c r="AA71">
        <f>IF(DATA!212:212,"AAAAAHvrfxo=",0)</f>
        <v>0</v>
      </c>
      <c r="AB71" t="e">
        <f>AND(DATA!A212,"AAAAAHvrfxs=")</f>
        <v>#VALUE!</v>
      </c>
      <c r="AC71" t="e">
        <f>AND(DATA!B212,"AAAAAHvrfxw=")</f>
        <v>#VALUE!</v>
      </c>
      <c r="AD71" t="e">
        <f>AND(DATA!C212,"AAAAAHvrfx0=")</f>
        <v>#VALUE!</v>
      </c>
      <c r="AE71" t="e">
        <f>AND(DATA!D212,"AAAAAHvrfx4=")</f>
        <v>#VALUE!</v>
      </c>
      <c r="AF71" t="e">
        <f>AND(DATA!E212,"AAAAAHvrfx8=")</f>
        <v>#VALUE!</v>
      </c>
      <c r="AG71" t="e">
        <f>AND(DATA!F212,"AAAAAHvrfyA=")</f>
        <v>#VALUE!</v>
      </c>
      <c r="AH71" t="e">
        <f>AND(DATA!G212,"AAAAAHvrfyE=")</f>
        <v>#VALUE!</v>
      </c>
      <c r="AI71" t="e">
        <f>AND(DATA!H212,"AAAAAHvrfyI=")</f>
        <v>#VALUE!</v>
      </c>
      <c r="AJ71" t="e">
        <f>AND(DATA!I212,"AAAAAHvrfyM=")</f>
        <v>#VALUE!</v>
      </c>
      <c r="AK71" t="e">
        <f>AND(DATA!J212,"AAAAAHvrfyQ=")</f>
        <v>#VALUE!</v>
      </c>
      <c r="AL71" t="e">
        <f>AND(DATA!K212,"AAAAAHvrfyU=")</f>
        <v>#VALUE!</v>
      </c>
      <c r="AM71" t="b">
        <f>AND(DATA!L213,"AAAAAHvrfyY=")</f>
        <v>1</v>
      </c>
      <c r="AN71" t="b">
        <f>AND(DATA!M213,"AAAAAHvrfyc=")</f>
        <v>1</v>
      </c>
      <c r="AO71" t="b">
        <f>AND(DATA!N213,"AAAAAHvrfyg=")</f>
        <v>1</v>
      </c>
      <c r="AP71" t="b">
        <f>AND(DATA!O213,"AAAAAHvrfyk=")</f>
        <v>1</v>
      </c>
      <c r="AQ71" t="b">
        <f>AND(DATA!P213,"AAAAAHvrfyo=")</f>
        <v>1</v>
      </c>
      <c r="AR71" t="b">
        <f>AND(DATA!Q213,"AAAAAHvrfys=")</f>
        <v>1</v>
      </c>
      <c r="AS71" t="b">
        <f>AND(DATA!R213,"AAAAAHvrfyw=")</f>
        <v>1</v>
      </c>
      <c r="AT71" t="b">
        <f>AND(DATA!S213,"AAAAAHvrfy0=")</f>
        <v>1</v>
      </c>
      <c r="AU71" t="b">
        <f>AND(DATA!T213,"AAAAAHvrfy4=")</f>
        <v>1</v>
      </c>
      <c r="AV71" t="b">
        <f>AND(DATA!U213,"AAAAAHvrfy8=")</f>
        <v>1</v>
      </c>
      <c r="AW71" t="b">
        <f>AND(DATA!V213,"AAAAAHvrfzA=")</f>
        <v>1</v>
      </c>
      <c r="AX71" t="e">
        <f>AND(DATA!W212,"AAAAAHvrfzE=")</f>
        <v>#VALUE!</v>
      </c>
      <c r="AY71" t="e">
        <f>AND(DATA!X212,"AAAAAHvrfzI=")</f>
        <v>#VALUE!</v>
      </c>
      <c r="AZ71" t="e">
        <f>AND(DATA!Y212,"AAAAAHvrfzM=")</f>
        <v>#VALUE!</v>
      </c>
      <c r="BA71">
        <f>IF(DATA!213:213,"AAAAAHvrfzQ=",0)</f>
        <v>0</v>
      </c>
      <c r="BB71" t="e">
        <f>AND(DATA!A213,"AAAAAHvrfzU=")</f>
        <v>#VALUE!</v>
      </c>
      <c r="BC71" t="e">
        <f>AND(DATA!B213,"AAAAAHvrfzY=")</f>
        <v>#VALUE!</v>
      </c>
      <c r="BD71" t="e">
        <f>AND(DATA!C213,"AAAAAHvrfzc=")</f>
        <v>#VALUE!</v>
      </c>
      <c r="BE71" t="e">
        <f>AND(DATA!D213,"AAAAAHvrfzg=")</f>
        <v>#VALUE!</v>
      </c>
      <c r="BF71" t="e">
        <f>AND(DATA!E213,"AAAAAHvrfzk=")</f>
        <v>#VALUE!</v>
      </c>
      <c r="BG71" t="e">
        <f>AND(DATA!F213,"AAAAAHvrfzo=")</f>
        <v>#VALUE!</v>
      </c>
      <c r="BH71" t="e">
        <f>AND(DATA!G213,"AAAAAHvrfzs=")</f>
        <v>#VALUE!</v>
      </c>
      <c r="BI71" t="e">
        <f>AND(DATA!H213,"AAAAAHvrfzw=")</f>
        <v>#VALUE!</v>
      </c>
      <c r="BJ71" t="e">
        <f>AND(DATA!I213,"AAAAAHvrfz0=")</f>
        <v>#VALUE!</v>
      </c>
      <c r="BK71" t="e">
        <f>AND(DATA!J213,"AAAAAHvrfz4=")</f>
        <v>#VALUE!</v>
      </c>
      <c r="BL71" t="e">
        <f>AND(DATA!K213,"AAAAAHvrfz8=")</f>
        <v>#VALUE!</v>
      </c>
      <c r="BM71" t="b">
        <f>AND(DATA!L214,"AAAAAHvrf0A=")</f>
        <v>1</v>
      </c>
      <c r="BN71" t="b">
        <f>AND(DATA!M214,"AAAAAHvrf0E=")</f>
        <v>1</v>
      </c>
      <c r="BO71" t="b">
        <f>AND(DATA!N214,"AAAAAHvrf0I=")</f>
        <v>1</v>
      </c>
      <c r="BP71" t="b">
        <f>AND(DATA!O214,"AAAAAHvrf0M=")</f>
        <v>1</v>
      </c>
      <c r="BQ71" t="b">
        <f>AND(DATA!P214,"AAAAAHvrf0Q=")</f>
        <v>1</v>
      </c>
      <c r="BR71" t="b">
        <f>AND(DATA!Q214,"AAAAAHvrf0U=")</f>
        <v>1</v>
      </c>
      <c r="BS71" t="b">
        <f>AND(DATA!R214,"AAAAAHvrf0Y=")</f>
        <v>1</v>
      </c>
      <c r="BT71" t="b">
        <f>AND(DATA!S214,"AAAAAHvrf0c=")</f>
        <v>1</v>
      </c>
      <c r="BU71" t="b">
        <f>AND(DATA!T214,"AAAAAHvrf0g=")</f>
        <v>1</v>
      </c>
      <c r="BV71" t="b">
        <f>AND(DATA!U214,"AAAAAHvrf0k=")</f>
        <v>1</v>
      </c>
      <c r="BW71" t="b">
        <f>AND(DATA!V214,"AAAAAHvrf0o=")</f>
        <v>1</v>
      </c>
      <c r="BX71" t="e">
        <f>AND(DATA!W213,"AAAAAHvrf0s=")</f>
        <v>#VALUE!</v>
      </c>
      <c r="BY71" t="e">
        <f>AND(DATA!X213,"AAAAAHvrf0w=")</f>
        <v>#VALUE!</v>
      </c>
      <c r="BZ71" t="e">
        <f>AND(DATA!Y213,"AAAAAHvrf00=")</f>
        <v>#VALUE!</v>
      </c>
      <c r="CA71">
        <f>IF(DATA!214:214,"AAAAAHvrf04=",0)</f>
        <v>0</v>
      </c>
      <c r="CB71" t="e">
        <f>AND(DATA!A214,"AAAAAHvrf08=")</f>
        <v>#VALUE!</v>
      </c>
      <c r="CC71" t="e">
        <f>AND(DATA!B214,"AAAAAHvrf1A=")</f>
        <v>#VALUE!</v>
      </c>
      <c r="CD71" t="e">
        <f>AND(DATA!C214,"AAAAAHvrf1E=")</f>
        <v>#VALUE!</v>
      </c>
      <c r="CE71" t="e">
        <f>AND(DATA!D214,"AAAAAHvrf1I=")</f>
        <v>#VALUE!</v>
      </c>
      <c r="CF71" t="e">
        <f>AND(DATA!E214,"AAAAAHvrf1M=")</f>
        <v>#VALUE!</v>
      </c>
      <c r="CG71" t="e">
        <f>AND(DATA!F214,"AAAAAHvrf1Q=")</f>
        <v>#VALUE!</v>
      </c>
      <c r="CH71" t="e">
        <f>AND(DATA!G214,"AAAAAHvrf1U=")</f>
        <v>#VALUE!</v>
      </c>
      <c r="CI71" t="e">
        <f>AND(DATA!H214,"AAAAAHvrf1Y=")</f>
        <v>#VALUE!</v>
      </c>
      <c r="CJ71" t="e">
        <f>AND(DATA!I214,"AAAAAHvrf1c=")</f>
        <v>#VALUE!</v>
      </c>
      <c r="CK71" t="e">
        <f>AND(DATA!J214,"AAAAAHvrf1g=")</f>
        <v>#VALUE!</v>
      </c>
      <c r="CL71" t="e">
        <f>AND(DATA!K214,"AAAAAHvrf1k=")</f>
        <v>#VALUE!</v>
      </c>
      <c r="CM71" t="b">
        <f>AND(DATA!L215,"AAAAAHvrf1o=")</f>
        <v>1</v>
      </c>
      <c r="CN71" t="b">
        <f>AND(DATA!M215,"AAAAAHvrf1s=")</f>
        <v>1</v>
      </c>
      <c r="CO71" t="b">
        <f>AND(DATA!N215,"AAAAAHvrf1w=")</f>
        <v>1</v>
      </c>
      <c r="CP71" t="b">
        <f>AND(DATA!O215,"AAAAAHvrf10=")</f>
        <v>1</v>
      </c>
      <c r="CQ71" t="b">
        <f>AND(DATA!P215,"AAAAAHvrf14=")</f>
        <v>1</v>
      </c>
      <c r="CR71" t="b">
        <f>AND(DATA!Q215,"AAAAAHvrf18=")</f>
        <v>1</v>
      </c>
      <c r="CS71" t="b">
        <f>AND(DATA!R215,"AAAAAHvrf2A=")</f>
        <v>1</v>
      </c>
      <c r="CT71" t="b">
        <f>AND(DATA!S215,"AAAAAHvrf2E=")</f>
        <v>1</v>
      </c>
      <c r="CU71" t="b">
        <f>AND(DATA!T215,"AAAAAHvrf2I=")</f>
        <v>1</v>
      </c>
      <c r="CV71" t="b">
        <f>AND(DATA!U215,"AAAAAHvrf2M=")</f>
        <v>1</v>
      </c>
      <c r="CW71" t="b">
        <f>AND(DATA!V215,"AAAAAHvrf2Q=")</f>
        <v>1</v>
      </c>
      <c r="CX71" t="e">
        <f>AND(DATA!W214,"AAAAAHvrf2U=")</f>
        <v>#VALUE!</v>
      </c>
      <c r="CY71" t="e">
        <f>AND(DATA!X214,"AAAAAHvrf2Y=")</f>
        <v>#VALUE!</v>
      </c>
      <c r="CZ71" t="e">
        <f>AND(DATA!Y214,"AAAAAHvrf2c=")</f>
        <v>#VALUE!</v>
      </c>
      <c r="DA71">
        <f>IF(DATA!215:215,"AAAAAHvrf2g=",0)</f>
        <v>0</v>
      </c>
      <c r="DB71" t="e">
        <f>AND(DATA!A215,"AAAAAHvrf2k=")</f>
        <v>#VALUE!</v>
      </c>
      <c r="DC71" t="e">
        <f>AND(DATA!B215,"AAAAAHvrf2o=")</f>
        <v>#VALUE!</v>
      </c>
      <c r="DD71" t="e">
        <f>AND(DATA!C215,"AAAAAHvrf2s=")</f>
        <v>#VALUE!</v>
      </c>
      <c r="DE71" t="e">
        <f>AND(DATA!D215,"AAAAAHvrf2w=")</f>
        <v>#VALUE!</v>
      </c>
      <c r="DF71" t="e">
        <f>AND(DATA!E215,"AAAAAHvrf20=")</f>
        <v>#VALUE!</v>
      </c>
      <c r="DG71" t="e">
        <f>AND(DATA!F215,"AAAAAHvrf24=")</f>
        <v>#VALUE!</v>
      </c>
      <c r="DH71" t="e">
        <f>AND(DATA!G215,"AAAAAHvrf28=")</f>
        <v>#VALUE!</v>
      </c>
      <c r="DI71" t="e">
        <f>AND(DATA!H215,"AAAAAHvrf3A=")</f>
        <v>#VALUE!</v>
      </c>
      <c r="DJ71" t="e">
        <f>AND(DATA!I215,"AAAAAHvrf3E=")</f>
        <v>#VALUE!</v>
      </c>
      <c r="DK71" t="e">
        <f>AND(DATA!J215,"AAAAAHvrf3I=")</f>
        <v>#VALUE!</v>
      </c>
      <c r="DL71" t="e">
        <f>AND(DATA!K215,"AAAAAHvrf3M=")</f>
        <v>#VALUE!</v>
      </c>
      <c r="DM71" t="b">
        <f>AND(DATA!L216,"AAAAAHvrf3Q=")</f>
        <v>1</v>
      </c>
      <c r="DN71" t="b">
        <f>AND(DATA!M216,"AAAAAHvrf3U=")</f>
        <v>1</v>
      </c>
      <c r="DO71" t="b">
        <f>AND(DATA!N216,"AAAAAHvrf3Y=")</f>
        <v>1</v>
      </c>
      <c r="DP71" t="b">
        <f>AND(DATA!O216,"AAAAAHvrf3c=")</f>
        <v>1</v>
      </c>
      <c r="DQ71" t="b">
        <f>AND(DATA!P216,"AAAAAHvrf3g=")</f>
        <v>1</v>
      </c>
      <c r="DR71" t="b">
        <f>AND(DATA!Q216,"AAAAAHvrf3k=")</f>
        <v>1</v>
      </c>
      <c r="DS71" t="b">
        <f>AND(DATA!R216,"AAAAAHvrf3o=")</f>
        <v>1</v>
      </c>
      <c r="DT71" t="b">
        <f>AND(DATA!S216,"AAAAAHvrf3s=")</f>
        <v>1</v>
      </c>
      <c r="DU71" t="b">
        <f>AND(DATA!T216,"AAAAAHvrf3w=")</f>
        <v>1</v>
      </c>
      <c r="DV71" t="b">
        <f>AND(DATA!U216,"AAAAAHvrf30=")</f>
        <v>1</v>
      </c>
      <c r="DW71" t="b">
        <f>AND(DATA!V216,"AAAAAHvrf34=")</f>
        <v>1</v>
      </c>
      <c r="DX71" t="e">
        <f>AND(DATA!W215,"AAAAAHvrf38=")</f>
        <v>#VALUE!</v>
      </c>
      <c r="DY71" t="e">
        <f>AND(DATA!X215,"AAAAAHvrf4A=")</f>
        <v>#VALUE!</v>
      </c>
      <c r="DZ71" t="e">
        <f>AND(DATA!Y215,"AAAAAHvrf4E=")</f>
        <v>#VALUE!</v>
      </c>
      <c r="EA71">
        <f>IF(DATA!216:216,"AAAAAHvrf4I=",0)</f>
        <v>0</v>
      </c>
      <c r="EB71" t="e">
        <f>AND(DATA!A216,"AAAAAHvrf4M=")</f>
        <v>#VALUE!</v>
      </c>
      <c r="EC71" t="e">
        <f>AND(DATA!B216,"AAAAAHvrf4Q=")</f>
        <v>#VALUE!</v>
      </c>
      <c r="ED71" t="e">
        <f>AND(DATA!C216,"AAAAAHvrf4U=")</f>
        <v>#VALUE!</v>
      </c>
      <c r="EE71" t="e">
        <f>AND(DATA!D216,"AAAAAHvrf4Y=")</f>
        <v>#VALUE!</v>
      </c>
      <c r="EF71" t="e">
        <f>AND(DATA!E216,"AAAAAHvrf4c=")</f>
        <v>#VALUE!</v>
      </c>
      <c r="EG71" t="e">
        <f>AND(DATA!F216,"AAAAAHvrf4g=")</f>
        <v>#VALUE!</v>
      </c>
      <c r="EH71" t="e">
        <f>AND(DATA!G216,"AAAAAHvrf4k=")</f>
        <v>#VALUE!</v>
      </c>
      <c r="EI71" t="e">
        <f>AND(DATA!H216,"AAAAAHvrf4o=")</f>
        <v>#VALUE!</v>
      </c>
      <c r="EJ71" t="e">
        <f>AND(DATA!I216,"AAAAAHvrf4s=")</f>
        <v>#VALUE!</v>
      </c>
      <c r="EK71" t="e">
        <f>AND(DATA!J216,"AAAAAHvrf4w=")</f>
        <v>#VALUE!</v>
      </c>
      <c r="EL71" t="e">
        <f>AND(DATA!K216,"AAAAAHvrf40=")</f>
        <v>#VALUE!</v>
      </c>
      <c r="EM71" t="b">
        <f>AND(DATA!L217,"AAAAAHvrf44=")</f>
        <v>1</v>
      </c>
      <c r="EN71" t="b">
        <f>AND(DATA!M217,"AAAAAHvrf48=")</f>
        <v>1</v>
      </c>
      <c r="EO71" t="b">
        <f>AND(DATA!N217,"AAAAAHvrf5A=")</f>
        <v>1</v>
      </c>
      <c r="EP71" t="b">
        <f>AND(DATA!O217,"AAAAAHvrf5E=")</f>
        <v>1</v>
      </c>
      <c r="EQ71" t="b">
        <f>AND(DATA!P217,"AAAAAHvrf5I=")</f>
        <v>1</v>
      </c>
      <c r="ER71" t="b">
        <f>AND(DATA!Q217,"AAAAAHvrf5M=")</f>
        <v>1</v>
      </c>
      <c r="ES71" t="b">
        <f>AND(DATA!R217,"AAAAAHvrf5Q=")</f>
        <v>1</v>
      </c>
      <c r="ET71" t="b">
        <f>AND(DATA!S217,"AAAAAHvrf5U=")</f>
        <v>1</v>
      </c>
      <c r="EU71" t="b">
        <f>AND(DATA!T217,"AAAAAHvrf5Y=")</f>
        <v>1</v>
      </c>
      <c r="EV71" t="b">
        <f>AND(DATA!U217,"AAAAAHvrf5c=")</f>
        <v>1</v>
      </c>
      <c r="EW71" t="b">
        <f>AND(DATA!V217,"AAAAAHvrf5g=")</f>
        <v>1</v>
      </c>
      <c r="EX71" t="e">
        <f>AND(DATA!W216,"AAAAAHvrf5k=")</f>
        <v>#VALUE!</v>
      </c>
      <c r="EY71" t="e">
        <f>AND(DATA!X216,"AAAAAHvrf5o=")</f>
        <v>#VALUE!</v>
      </c>
      <c r="EZ71" t="e">
        <f>AND(DATA!Y216,"AAAAAHvrf5s=")</f>
        <v>#VALUE!</v>
      </c>
      <c r="FA71">
        <f>IF(DATA!217:217,"AAAAAHvrf5w=",0)</f>
        <v>0</v>
      </c>
      <c r="FB71" t="e">
        <f>AND(DATA!A217,"AAAAAHvrf50=")</f>
        <v>#VALUE!</v>
      </c>
      <c r="FC71" t="e">
        <f>AND(DATA!B217,"AAAAAHvrf54=")</f>
        <v>#VALUE!</v>
      </c>
      <c r="FD71" t="e">
        <f>AND(DATA!C217,"AAAAAHvrf58=")</f>
        <v>#VALUE!</v>
      </c>
      <c r="FE71" t="e">
        <f>AND(DATA!D217,"AAAAAHvrf6A=")</f>
        <v>#VALUE!</v>
      </c>
      <c r="FF71" t="e">
        <f>AND(DATA!E217,"AAAAAHvrf6E=")</f>
        <v>#VALUE!</v>
      </c>
      <c r="FG71" t="e">
        <f>AND(DATA!F217,"AAAAAHvrf6I=")</f>
        <v>#VALUE!</v>
      </c>
      <c r="FH71" t="e">
        <f>AND(DATA!G217,"AAAAAHvrf6M=")</f>
        <v>#VALUE!</v>
      </c>
      <c r="FI71" t="e">
        <f>AND(DATA!H217,"AAAAAHvrf6Q=")</f>
        <v>#VALUE!</v>
      </c>
      <c r="FJ71" t="e">
        <f>AND(DATA!I217,"AAAAAHvrf6U=")</f>
        <v>#VALUE!</v>
      </c>
      <c r="FK71" t="e">
        <f>AND(DATA!J217,"AAAAAHvrf6Y=")</f>
        <v>#VALUE!</v>
      </c>
      <c r="FL71" t="e">
        <f>AND(DATA!K217,"AAAAAHvrf6c=")</f>
        <v>#VALUE!</v>
      </c>
      <c r="FM71" t="b">
        <f>AND(DATA!L218,"AAAAAHvrf6g=")</f>
        <v>1</v>
      </c>
      <c r="FN71" t="b">
        <f>AND(DATA!M218,"AAAAAHvrf6k=")</f>
        <v>1</v>
      </c>
      <c r="FO71" t="b">
        <f>AND(DATA!N218,"AAAAAHvrf6o=")</f>
        <v>1</v>
      </c>
      <c r="FP71" t="b">
        <f>AND(DATA!O218,"AAAAAHvrf6s=")</f>
        <v>1</v>
      </c>
      <c r="FQ71" t="b">
        <f>AND(DATA!P218,"AAAAAHvrf6w=")</f>
        <v>1</v>
      </c>
      <c r="FR71" t="b">
        <f>AND(DATA!Q218,"AAAAAHvrf60=")</f>
        <v>1</v>
      </c>
      <c r="FS71" t="b">
        <f>AND(DATA!R218,"AAAAAHvrf64=")</f>
        <v>1</v>
      </c>
      <c r="FT71" t="b">
        <f>AND(DATA!S218,"AAAAAHvrf68=")</f>
        <v>1</v>
      </c>
      <c r="FU71" t="b">
        <f>AND(DATA!T218,"AAAAAHvrf7A=")</f>
        <v>1</v>
      </c>
      <c r="FV71" t="b">
        <f>AND(DATA!U218,"AAAAAHvrf7E=")</f>
        <v>1</v>
      </c>
      <c r="FW71" t="b">
        <f>AND(DATA!V218,"AAAAAHvrf7I=")</f>
        <v>1</v>
      </c>
      <c r="FX71" t="e">
        <f>AND(DATA!W217,"AAAAAHvrf7M=")</f>
        <v>#VALUE!</v>
      </c>
      <c r="FY71" t="e">
        <f>AND(DATA!X217,"AAAAAHvrf7Q=")</f>
        <v>#VALUE!</v>
      </c>
      <c r="FZ71" t="e">
        <f>AND(DATA!Y217,"AAAAAHvrf7U=")</f>
        <v>#VALUE!</v>
      </c>
      <c r="GA71">
        <f>IF(DATA!218:218,"AAAAAHvrf7Y=",0)</f>
        <v>0</v>
      </c>
      <c r="GB71" t="e">
        <f>AND(DATA!A218,"AAAAAHvrf7c=")</f>
        <v>#VALUE!</v>
      </c>
      <c r="GC71" t="e">
        <f>AND(DATA!B218,"AAAAAHvrf7g=")</f>
        <v>#VALUE!</v>
      </c>
      <c r="GD71" t="e">
        <f>AND(DATA!C218,"AAAAAHvrf7k=")</f>
        <v>#VALUE!</v>
      </c>
      <c r="GE71" t="e">
        <f>AND(DATA!D218,"AAAAAHvrf7o=")</f>
        <v>#VALUE!</v>
      </c>
      <c r="GF71" t="e">
        <f>AND(DATA!E218,"AAAAAHvrf7s=")</f>
        <v>#VALUE!</v>
      </c>
      <c r="GG71" t="e">
        <f>AND(DATA!F218,"AAAAAHvrf7w=")</f>
        <v>#VALUE!</v>
      </c>
      <c r="GH71" t="e">
        <f>AND(DATA!G218,"AAAAAHvrf70=")</f>
        <v>#VALUE!</v>
      </c>
      <c r="GI71" t="e">
        <f>AND(DATA!H218,"AAAAAHvrf74=")</f>
        <v>#VALUE!</v>
      </c>
      <c r="GJ71" t="e">
        <f>AND(DATA!I218,"AAAAAHvrf78=")</f>
        <v>#VALUE!</v>
      </c>
      <c r="GK71" t="e">
        <f>AND(DATA!J218,"AAAAAHvrf8A=")</f>
        <v>#VALUE!</v>
      </c>
      <c r="GL71" t="e">
        <f>AND(DATA!K218,"AAAAAHvrf8E=")</f>
        <v>#VALUE!</v>
      </c>
      <c r="GM71" t="b">
        <f>AND(DATA!L219,"AAAAAHvrf8I=")</f>
        <v>1</v>
      </c>
      <c r="GN71" t="b">
        <f>AND(DATA!M219,"AAAAAHvrf8M=")</f>
        <v>1</v>
      </c>
      <c r="GO71" t="b">
        <f>AND(DATA!N219,"AAAAAHvrf8Q=")</f>
        <v>1</v>
      </c>
      <c r="GP71" t="b">
        <f>AND(DATA!O219,"AAAAAHvrf8U=")</f>
        <v>1</v>
      </c>
      <c r="GQ71" t="b">
        <f>AND(DATA!P219,"AAAAAHvrf8Y=")</f>
        <v>1</v>
      </c>
      <c r="GR71" t="b">
        <f>AND(DATA!Q219,"AAAAAHvrf8c=")</f>
        <v>1</v>
      </c>
      <c r="GS71" t="b">
        <f>AND(DATA!R219,"AAAAAHvrf8g=")</f>
        <v>1</v>
      </c>
      <c r="GT71" t="b">
        <f>AND(DATA!S219,"AAAAAHvrf8k=")</f>
        <v>1</v>
      </c>
      <c r="GU71" t="b">
        <f>AND(DATA!T219,"AAAAAHvrf8o=")</f>
        <v>1</v>
      </c>
      <c r="GV71" t="b">
        <f>AND(DATA!U219,"AAAAAHvrf8s=")</f>
        <v>1</v>
      </c>
      <c r="GW71" t="b">
        <f>AND(DATA!V219,"AAAAAHvrf8w=")</f>
        <v>1</v>
      </c>
      <c r="GX71" t="e">
        <f>AND(DATA!W218,"AAAAAHvrf80=")</f>
        <v>#VALUE!</v>
      </c>
      <c r="GY71" t="e">
        <f>AND(DATA!X218,"AAAAAHvrf84=")</f>
        <v>#VALUE!</v>
      </c>
      <c r="GZ71" t="e">
        <f>AND(DATA!Y218,"AAAAAHvrf88=")</f>
        <v>#VALUE!</v>
      </c>
      <c r="HA71">
        <f>IF(DATA!219:219,"AAAAAHvrf9A=",0)</f>
        <v>0</v>
      </c>
      <c r="HB71" t="e">
        <f>AND(DATA!A219,"AAAAAHvrf9E=")</f>
        <v>#VALUE!</v>
      </c>
      <c r="HC71" t="e">
        <f>AND(DATA!B219,"AAAAAHvrf9I=")</f>
        <v>#VALUE!</v>
      </c>
      <c r="HD71" t="e">
        <f>AND(DATA!C219,"AAAAAHvrf9M=")</f>
        <v>#VALUE!</v>
      </c>
      <c r="HE71" t="e">
        <f>AND(DATA!D219,"AAAAAHvrf9Q=")</f>
        <v>#VALUE!</v>
      </c>
      <c r="HF71" t="e">
        <f>AND(DATA!E219,"AAAAAHvrf9U=")</f>
        <v>#VALUE!</v>
      </c>
      <c r="HG71" t="e">
        <f>AND(DATA!F219,"AAAAAHvrf9Y=")</f>
        <v>#VALUE!</v>
      </c>
      <c r="HH71" t="e">
        <f>AND(DATA!G219,"AAAAAHvrf9c=")</f>
        <v>#VALUE!</v>
      </c>
      <c r="HI71" t="e">
        <f>AND(DATA!H219,"AAAAAHvrf9g=")</f>
        <v>#VALUE!</v>
      </c>
      <c r="HJ71" t="e">
        <f>AND(DATA!I219,"AAAAAHvrf9k=")</f>
        <v>#VALUE!</v>
      </c>
      <c r="HK71" t="e">
        <f>AND(DATA!J219,"AAAAAHvrf9o=")</f>
        <v>#VALUE!</v>
      </c>
      <c r="HL71" t="e">
        <f>AND(DATA!K219,"AAAAAHvrf9s=")</f>
        <v>#VALUE!</v>
      </c>
      <c r="HM71" t="b">
        <f>AND(DATA!L220,"AAAAAHvrf9w=")</f>
        <v>1</v>
      </c>
      <c r="HN71" t="b">
        <f>AND(DATA!M220,"AAAAAHvrf90=")</f>
        <v>1</v>
      </c>
      <c r="HO71" t="b">
        <f>AND(DATA!N220,"AAAAAHvrf94=")</f>
        <v>1</v>
      </c>
      <c r="HP71" t="b">
        <f>AND(DATA!O220,"AAAAAHvrf98=")</f>
        <v>1</v>
      </c>
      <c r="HQ71" t="b">
        <f>AND(DATA!P220,"AAAAAHvrf+A=")</f>
        <v>1</v>
      </c>
      <c r="HR71" t="b">
        <f>AND(DATA!Q220,"AAAAAHvrf+E=")</f>
        <v>1</v>
      </c>
      <c r="HS71" t="b">
        <f>AND(DATA!R220,"AAAAAHvrf+I=")</f>
        <v>1</v>
      </c>
      <c r="HT71" t="b">
        <f>AND(DATA!S220,"AAAAAHvrf+M=")</f>
        <v>1</v>
      </c>
      <c r="HU71" t="b">
        <f>AND(DATA!T220,"AAAAAHvrf+Q=")</f>
        <v>1</v>
      </c>
      <c r="HV71" t="b">
        <f>AND(DATA!U220,"AAAAAHvrf+U=")</f>
        <v>1</v>
      </c>
      <c r="HW71" t="b">
        <f>AND(DATA!V220,"AAAAAHvrf+Y=")</f>
        <v>1</v>
      </c>
      <c r="HX71" t="e">
        <f>AND(DATA!W219,"AAAAAHvrf+c=")</f>
        <v>#VALUE!</v>
      </c>
      <c r="HY71" t="e">
        <f>AND(DATA!X219,"AAAAAHvrf+g=")</f>
        <v>#VALUE!</v>
      </c>
      <c r="HZ71" t="e">
        <f>AND(DATA!Y219,"AAAAAHvrf+k=")</f>
        <v>#VALUE!</v>
      </c>
      <c r="IA71">
        <f>IF(DATA!220:220,"AAAAAHvrf+o=",0)</f>
        <v>0</v>
      </c>
      <c r="IB71" t="e">
        <f>AND(DATA!A220,"AAAAAHvrf+s=")</f>
        <v>#VALUE!</v>
      </c>
      <c r="IC71" t="e">
        <f>AND(DATA!B220,"AAAAAHvrf+w=")</f>
        <v>#VALUE!</v>
      </c>
      <c r="ID71" t="e">
        <f>AND(DATA!C220,"AAAAAHvrf+0=")</f>
        <v>#VALUE!</v>
      </c>
      <c r="IE71" t="e">
        <f>AND(DATA!D220,"AAAAAHvrf+4=")</f>
        <v>#VALUE!</v>
      </c>
      <c r="IF71" t="e">
        <f>AND(DATA!E220,"AAAAAHvrf+8=")</f>
        <v>#VALUE!</v>
      </c>
      <c r="IG71" t="e">
        <f>AND(DATA!F220,"AAAAAHvrf/A=")</f>
        <v>#VALUE!</v>
      </c>
      <c r="IH71" t="e">
        <f>AND(DATA!G220,"AAAAAHvrf/E=")</f>
        <v>#VALUE!</v>
      </c>
      <c r="II71" t="e">
        <f>AND(DATA!H220,"AAAAAHvrf/I=")</f>
        <v>#VALUE!</v>
      </c>
      <c r="IJ71" t="e">
        <f>AND(DATA!I220,"AAAAAHvrf/M=")</f>
        <v>#VALUE!</v>
      </c>
      <c r="IK71" t="e">
        <f>AND(DATA!J220,"AAAAAHvrf/Q=")</f>
        <v>#VALUE!</v>
      </c>
      <c r="IL71" t="e">
        <f>AND(DATA!K220,"AAAAAHvrf/U=")</f>
        <v>#VALUE!</v>
      </c>
      <c r="IM71" t="b">
        <f>AND(DATA!L221,"AAAAAHvrf/Y=")</f>
        <v>1</v>
      </c>
      <c r="IN71" t="b">
        <f>AND(DATA!M221,"AAAAAHvrf/c=")</f>
        <v>1</v>
      </c>
      <c r="IO71" t="b">
        <f>AND(DATA!N221,"AAAAAHvrf/g=")</f>
        <v>1</v>
      </c>
      <c r="IP71" t="b">
        <f>AND(DATA!O221,"AAAAAHvrf/k=")</f>
        <v>1</v>
      </c>
      <c r="IQ71" t="b">
        <f>AND(DATA!P221,"AAAAAHvrf/o=")</f>
        <v>1</v>
      </c>
      <c r="IR71" t="b">
        <f>AND(DATA!Q221,"AAAAAHvrf/s=")</f>
        <v>1</v>
      </c>
      <c r="IS71" t="b">
        <f>AND(DATA!R221,"AAAAAHvrf/w=")</f>
        <v>1</v>
      </c>
      <c r="IT71" t="b">
        <f>AND(DATA!S221,"AAAAAHvrf/0=")</f>
        <v>1</v>
      </c>
      <c r="IU71" t="b">
        <f>AND(DATA!T221,"AAAAAHvrf/4=")</f>
        <v>1</v>
      </c>
      <c r="IV71" t="b">
        <f>AND(DATA!U221,"AAAAAHvrf/8=")</f>
        <v>1</v>
      </c>
    </row>
    <row r="72" spans="1:256" x14ac:dyDescent="0.25">
      <c r="A72" t="b">
        <f>AND(DATA!V221,"AAAAADv79wA=")</f>
        <v>1</v>
      </c>
      <c r="B72" t="e">
        <f>AND(DATA!W220,"AAAAADv79wE=")</f>
        <v>#VALUE!</v>
      </c>
      <c r="C72" t="e">
        <f>AND(DATA!X220,"AAAAADv79wI=")</f>
        <v>#VALUE!</v>
      </c>
      <c r="D72" t="e">
        <f>AND(DATA!Y220,"AAAAADv79wM=")</f>
        <v>#VALUE!</v>
      </c>
      <c r="E72">
        <f>IF(DATA!221:221,"AAAAADv79wQ=",0)</f>
        <v>0</v>
      </c>
      <c r="F72" t="e">
        <f>AND(DATA!A221,"AAAAADv79wU=")</f>
        <v>#VALUE!</v>
      </c>
      <c r="G72" t="e">
        <f>AND(DATA!B221,"AAAAADv79wY=")</f>
        <v>#VALUE!</v>
      </c>
      <c r="H72" t="e">
        <f>AND(DATA!C221,"AAAAADv79wc=")</f>
        <v>#VALUE!</v>
      </c>
      <c r="I72" t="e">
        <f>AND(DATA!D221,"AAAAADv79wg=")</f>
        <v>#VALUE!</v>
      </c>
      <c r="J72" t="e">
        <f>AND(DATA!E221,"AAAAADv79wk=")</f>
        <v>#VALUE!</v>
      </c>
      <c r="K72" t="e">
        <f>AND(DATA!F221,"AAAAADv79wo=")</f>
        <v>#VALUE!</v>
      </c>
      <c r="L72" t="e">
        <f>AND(DATA!G221,"AAAAADv79ws=")</f>
        <v>#VALUE!</v>
      </c>
      <c r="M72" t="e">
        <f>AND(DATA!H221,"AAAAADv79ww=")</f>
        <v>#VALUE!</v>
      </c>
      <c r="N72" t="e">
        <f>AND(DATA!I221,"AAAAADv79w0=")</f>
        <v>#VALUE!</v>
      </c>
      <c r="O72" t="e">
        <f>AND(DATA!J221,"AAAAADv79w4=")</f>
        <v>#VALUE!</v>
      </c>
      <c r="P72" t="e">
        <f>AND(DATA!K221,"AAAAADv79w8=")</f>
        <v>#VALUE!</v>
      </c>
      <c r="Q72" t="b">
        <f>AND(DATA!L222,"AAAAADv79xA=")</f>
        <v>1</v>
      </c>
      <c r="R72" t="b">
        <f>AND(DATA!M222,"AAAAADv79xE=")</f>
        <v>1</v>
      </c>
      <c r="S72" t="b">
        <f>AND(DATA!N222,"AAAAADv79xI=")</f>
        <v>1</v>
      </c>
      <c r="T72" t="b">
        <f>AND(DATA!O222,"AAAAADv79xM=")</f>
        <v>1</v>
      </c>
      <c r="U72" t="b">
        <f>AND(DATA!P222,"AAAAADv79xQ=")</f>
        <v>1</v>
      </c>
      <c r="V72" t="b">
        <f>AND(DATA!Q222,"AAAAADv79xU=")</f>
        <v>1</v>
      </c>
      <c r="W72" t="b">
        <f>AND(DATA!R222,"AAAAADv79xY=")</f>
        <v>1</v>
      </c>
      <c r="X72" t="b">
        <f>AND(DATA!S222,"AAAAADv79xc=")</f>
        <v>1</v>
      </c>
      <c r="Y72" t="b">
        <f>AND(DATA!T222,"AAAAADv79xg=")</f>
        <v>1</v>
      </c>
      <c r="Z72" t="b">
        <f>AND(DATA!U222,"AAAAADv79xk=")</f>
        <v>1</v>
      </c>
      <c r="AA72" t="b">
        <f>AND(DATA!V222,"AAAAADv79xo=")</f>
        <v>1</v>
      </c>
      <c r="AB72" t="e">
        <f>AND(DATA!W221,"AAAAADv79xs=")</f>
        <v>#VALUE!</v>
      </c>
      <c r="AC72" t="e">
        <f>AND(DATA!X221,"AAAAADv79xw=")</f>
        <v>#VALUE!</v>
      </c>
      <c r="AD72" t="e">
        <f>AND(DATA!Y221,"AAAAADv79x0=")</f>
        <v>#VALUE!</v>
      </c>
      <c r="AE72">
        <f>IF(DATA!222:222,"AAAAADv79x4=",0)</f>
        <v>0</v>
      </c>
      <c r="AF72" t="e">
        <f>AND(DATA!A222,"AAAAADv79x8=")</f>
        <v>#VALUE!</v>
      </c>
      <c r="AG72" t="e">
        <f>AND(DATA!B222,"AAAAADv79yA=")</f>
        <v>#VALUE!</v>
      </c>
      <c r="AH72" t="e">
        <f>AND(DATA!C222,"AAAAADv79yE=")</f>
        <v>#VALUE!</v>
      </c>
      <c r="AI72" t="e">
        <f>AND(DATA!D222,"AAAAADv79yI=")</f>
        <v>#VALUE!</v>
      </c>
      <c r="AJ72" t="e">
        <f>AND(DATA!E222,"AAAAADv79yM=")</f>
        <v>#VALUE!</v>
      </c>
      <c r="AK72" t="e">
        <f>AND(DATA!F222,"AAAAADv79yQ=")</f>
        <v>#VALUE!</v>
      </c>
      <c r="AL72" t="e">
        <f>AND(DATA!G222,"AAAAADv79yU=")</f>
        <v>#VALUE!</v>
      </c>
      <c r="AM72" t="e">
        <f>AND(DATA!H222,"AAAAADv79yY=")</f>
        <v>#VALUE!</v>
      </c>
      <c r="AN72" t="e">
        <f>AND(DATA!I222,"AAAAADv79yc=")</f>
        <v>#VALUE!</v>
      </c>
      <c r="AO72" t="e">
        <f>AND(DATA!J222,"AAAAADv79yg=")</f>
        <v>#VALUE!</v>
      </c>
      <c r="AP72" t="e">
        <f>AND(DATA!K222,"AAAAADv79yk=")</f>
        <v>#VALUE!</v>
      </c>
      <c r="AQ72" t="b">
        <f>AND(DATA!L223,"AAAAADv79yo=")</f>
        <v>1</v>
      </c>
      <c r="AR72" t="b">
        <f>AND(DATA!M223,"AAAAADv79ys=")</f>
        <v>1</v>
      </c>
      <c r="AS72" t="b">
        <f>AND(DATA!N223,"AAAAADv79yw=")</f>
        <v>1</v>
      </c>
      <c r="AT72" t="b">
        <f>AND(DATA!O223,"AAAAADv79y0=")</f>
        <v>1</v>
      </c>
      <c r="AU72" t="b">
        <f>AND(DATA!P223,"AAAAADv79y4=")</f>
        <v>1</v>
      </c>
      <c r="AV72" t="b">
        <f>AND(DATA!Q223,"AAAAADv79y8=")</f>
        <v>1</v>
      </c>
      <c r="AW72" t="b">
        <f>AND(DATA!R223,"AAAAADv79zA=")</f>
        <v>1</v>
      </c>
      <c r="AX72" t="b">
        <f>AND(DATA!S223,"AAAAADv79zE=")</f>
        <v>1</v>
      </c>
      <c r="AY72" t="b">
        <f>AND(DATA!T223,"AAAAADv79zI=")</f>
        <v>1</v>
      </c>
      <c r="AZ72" t="b">
        <f>AND(DATA!U223,"AAAAADv79zM=")</f>
        <v>1</v>
      </c>
      <c r="BA72" t="b">
        <f>AND(DATA!V223,"AAAAADv79zQ=")</f>
        <v>1</v>
      </c>
      <c r="BB72" t="e">
        <f>AND(DATA!W222,"AAAAADv79zU=")</f>
        <v>#VALUE!</v>
      </c>
      <c r="BC72" t="e">
        <f>AND(DATA!X222,"AAAAADv79zY=")</f>
        <v>#VALUE!</v>
      </c>
      <c r="BD72" t="e">
        <f>AND(DATA!Y222,"AAAAADv79zc=")</f>
        <v>#VALUE!</v>
      </c>
      <c r="BE72">
        <f>IF(DATA!223:223,"AAAAADv79zg=",0)</f>
        <v>0</v>
      </c>
      <c r="BF72" t="e">
        <f>AND(DATA!A223,"AAAAADv79zk=")</f>
        <v>#VALUE!</v>
      </c>
      <c r="BG72" t="e">
        <f>AND(DATA!B223,"AAAAADv79zo=")</f>
        <v>#VALUE!</v>
      </c>
      <c r="BH72" t="e">
        <f>AND(DATA!C223,"AAAAADv79zs=")</f>
        <v>#VALUE!</v>
      </c>
      <c r="BI72" t="e">
        <f>AND(DATA!D223,"AAAAADv79zw=")</f>
        <v>#VALUE!</v>
      </c>
      <c r="BJ72" t="e">
        <f>AND(DATA!E223,"AAAAADv79z0=")</f>
        <v>#VALUE!</v>
      </c>
      <c r="BK72" t="e">
        <f>AND(DATA!F223,"AAAAADv79z4=")</f>
        <v>#VALUE!</v>
      </c>
      <c r="BL72" t="e">
        <f>AND(DATA!G223,"AAAAADv79z8=")</f>
        <v>#VALUE!</v>
      </c>
      <c r="BM72" t="e">
        <f>AND(DATA!H223,"AAAAADv790A=")</f>
        <v>#VALUE!</v>
      </c>
      <c r="BN72" t="e">
        <f>AND(DATA!I223,"AAAAADv790E=")</f>
        <v>#VALUE!</v>
      </c>
      <c r="BO72" t="e">
        <f>AND(DATA!J223,"AAAAADv790I=")</f>
        <v>#VALUE!</v>
      </c>
      <c r="BP72" t="e">
        <f>AND(DATA!K223,"AAAAADv790M=")</f>
        <v>#VALUE!</v>
      </c>
      <c r="BQ72" t="b">
        <f>AND(DATA!L224,"AAAAADv790Q=")</f>
        <v>1</v>
      </c>
      <c r="BR72" t="b">
        <f>AND(DATA!M224,"AAAAADv790U=")</f>
        <v>1</v>
      </c>
      <c r="BS72" t="b">
        <f>AND(DATA!N224,"AAAAADv790Y=")</f>
        <v>1</v>
      </c>
      <c r="BT72" t="b">
        <f>AND(DATA!O224,"AAAAADv790c=")</f>
        <v>1</v>
      </c>
      <c r="BU72" t="b">
        <f>AND(DATA!P224,"AAAAADv790g=")</f>
        <v>1</v>
      </c>
      <c r="BV72" t="b">
        <f>AND(DATA!Q224,"AAAAADv790k=")</f>
        <v>1</v>
      </c>
      <c r="BW72" t="b">
        <f>AND(DATA!R224,"AAAAADv790o=")</f>
        <v>1</v>
      </c>
      <c r="BX72" t="b">
        <f>AND(DATA!S224,"AAAAADv790s=")</f>
        <v>1</v>
      </c>
      <c r="BY72" t="b">
        <f>AND(DATA!T224,"AAAAADv790w=")</f>
        <v>1</v>
      </c>
      <c r="BZ72" t="b">
        <f>AND(DATA!U224,"AAAAADv7900=")</f>
        <v>1</v>
      </c>
      <c r="CA72" t="b">
        <f>AND(DATA!V224,"AAAAADv7904=")</f>
        <v>1</v>
      </c>
      <c r="CB72" t="e">
        <f>AND(DATA!W223,"AAAAADv7908=")</f>
        <v>#VALUE!</v>
      </c>
      <c r="CC72" t="e">
        <f>AND(DATA!X223,"AAAAADv791A=")</f>
        <v>#VALUE!</v>
      </c>
      <c r="CD72" t="e">
        <f>AND(DATA!Y223,"AAAAADv791E=")</f>
        <v>#VALUE!</v>
      </c>
      <c r="CE72">
        <f>IF(DATA!224:224,"AAAAADv791I=",0)</f>
        <v>0</v>
      </c>
      <c r="CF72" t="e">
        <f>AND(DATA!A224,"AAAAADv791M=")</f>
        <v>#VALUE!</v>
      </c>
      <c r="CG72" t="e">
        <f>AND(DATA!B224,"AAAAADv791Q=")</f>
        <v>#VALUE!</v>
      </c>
      <c r="CH72" t="e">
        <f>AND(DATA!C224,"AAAAADv791U=")</f>
        <v>#VALUE!</v>
      </c>
      <c r="CI72" t="e">
        <f>AND(DATA!D224,"AAAAADv791Y=")</f>
        <v>#VALUE!</v>
      </c>
      <c r="CJ72" t="e">
        <f>AND(DATA!E224,"AAAAADv791c=")</f>
        <v>#VALUE!</v>
      </c>
      <c r="CK72" t="e">
        <f>AND(DATA!F224,"AAAAADv791g=")</f>
        <v>#VALUE!</v>
      </c>
      <c r="CL72" t="e">
        <f>AND(DATA!G224,"AAAAADv791k=")</f>
        <v>#VALUE!</v>
      </c>
      <c r="CM72" t="e">
        <f>AND(DATA!H224,"AAAAADv791o=")</f>
        <v>#VALUE!</v>
      </c>
      <c r="CN72" t="e">
        <f>AND(DATA!I224,"AAAAADv791s=")</f>
        <v>#VALUE!</v>
      </c>
      <c r="CO72" t="e">
        <f>AND(DATA!J224,"AAAAADv791w=")</f>
        <v>#VALUE!</v>
      </c>
      <c r="CP72" t="e">
        <f>AND(DATA!K224,"AAAAADv7910=")</f>
        <v>#VALUE!</v>
      </c>
      <c r="CQ72" t="b">
        <f>AND(DATA!L225,"AAAAADv7914=")</f>
        <v>1</v>
      </c>
      <c r="CR72" t="b">
        <f>AND(DATA!M225,"AAAAADv7918=")</f>
        <v>1</v>
      </c>
      <c r="CS72" t="b">
        <f>AND(DATA!N225,"AAAAADv792A=")</f>
        <v>1</v>
      </c>
      <c r="CT72" t="b">
        <f>AND(DATA!O225,"AAAAADv792E=")</f>
        <v>1</v>
      </c>
      <c r="CU72" t="b">
        <f>AND(DATA!P225,"AAAAADv792I=")</f>
        <v>1</v>
      </c>
      <c r="CV72" t="b">
        <f>AND(DATA!Q225,"AAAAADv792M=")</f>
        <v>1</v>
      </c>
      <c r="CW72" t="b">
        <f>AND(DATA!R225,"AAAAADv792Q=")</f>
        <v>1</v>
      </c>
      <c r="CX72" t="b">
        <f>AND(DATA!S225,"AAAAADv792U=")</f>
        <v>1</v>
      </c>
      <c r="CY72" t="b">
        <f>AND(DATA!T225,"AAAAADv792Y=")</f>
        <v>1</v>
      </c>
      <c r="CZ72" t="b">
        <f>AND(DATA!U225,"AAAAADv792c=")</f>
        <v>1</v>
      </c>
      <c r="DA72" t="b">
        <f>AND(DATA!V225,"AAAAADv792g=")</f>
        <v>1</v>
      </c>
      <c r="DB72" t="e">
        <f>AND(DATA!W224,"AAAAADv792k=")</f>
        <v>#VALUE!</v>
      </c>
      <c r="DC72" t="e">
        <f>AND(DATA!X224,"AAAAADv792o=")</f>
        <v>#VALUE!</v>
      </c>
      <c r="DD72" t="e">
        <f>AND(DATA!Y224,"AAAAADv792s=")</f>
        <v>#VALUE!</v>
      </c>
      <c r="DE72">
        <f>IF(DATA!225:225,"AAAAADv792w=",0)</f>
        <v>0</v>
      </c>
      <c r="DF72" t="e">
        <f>AND(DATA!A225,"AAAAADv7920=")</f>
        <v>#VALUE!</v>
      </c>
      <c r="DG72" t="e">
        <f>AND(DATA!B225,"AAAAADv7924=")</f>
        <v>#VALUE!</v>
      </c>
      <c r="DH72" t="e">
        <f>AND(DATA!C225,"AAAAADv7928=")</f>
        <v>#VALUE!</v>
      </c>
      <c r="DI72" t="e">
        <f>AND(DATA!D225,"AAAAADv793A=")</f>
        <v>#VALUE!</v>
      </c>
      <c r="DJ72" t="e">
        <f>AND(DATA!E225,"AAAAADv793E=")</f>
        <v>#VALUE!</v>
      </c>
      <c r="DK72" t="e">
        <f>AND(DATA!F225,"AAAAADv793I=")</f>
        <v>#VALUE!</v>
      </c>
      <c r="DL72" t="e">
        <f>AND(DATA!G225,"AAAAADv793M=")</f>
        <v>#VALUE!</v>
      </c>
      <c r="DM72" t="e">
        <f>AND(DATA!H225,"AAAAADv793Q=")</f>
        <v>#VALUE!</v>
      </c>
      <c r="DN72" t="e">
        <f>AND(DATA!I225,"AAAAADv793U=")</f>
        <v>#VALUE!</v>
      </c>
      <c r="DO72" t="e">
        <f>AND(DATA!J225,"AAAAADv793Y=")</f>
        <v>#VALUE!</v>
      </c>
      <c r="DP72" t="e">
        <f>AND(DATA!K225,"AAAAADv793c=")</f>
        <v>#VALUE!</v>
      </c>
      <c r="DQ72" t="b">
        <f>AND(DATA!L226,"AAAAADv793g=")</f>
        <v>1</v>
      </c>
      <c r="DR72" t="b">
        <f>AND(DATA!M226,"AAAAADv793k=")</f>
        <v>1</v>
      </c>
      <c r="DS72" t="b">
        <f>AND(DATA!N226,"AAAAADv793o=")</f>
        <v>1</v>
      </c>
      <c r="DT72" t="b">
        <f>AND(DATA!O226,"AAAAADv793s=")</f>
        <v>1</v>
      </c>
      <c r="DU72" t="b">
        <f>AND(DATA!P226,"AAAAADv793w=")</f>
        <v>1</v>
      </c>
      <c r="DV72" t="b">
        <f>AND(DATA!Q226,"AAAAADv7930=")</f>
        <v>1</v>
      </c>
      <c r="DW72" t="b">
        <f>AND(DATA!R226,"AAAAADv7934=")</f>
        <v>1</v>
      </c>
      <c r="DX72" t="b">
        <f>AND(DATA!S226,"AAAAADv7938=")</f>
        <v>1</v>
      </c>
      <c r="DY72" t="b">
        <f>AND(DATA!T226,"AAAAADv794A=")</f>
        <v>1</v>
      </c>
      <c r="DZ72" t="b">
        <f>AND(DATA!U226,"AAAAADv794E=")</f>
        <v>1</v>
      </c>
      <c r="EA72" t="b">
        <f>AND(DATA!V226,"AAAAADv794I=")</f>
        <v>1</v>
      </c>
      <c r="EB72" t="e">
        <f>AND(DATA!W225,"AAAAADv794M=")</f>
        <v>#VALUE!</v>
      </c>
      <c r="EC72" t="e">
        <f>AND(DATA!X225,"AAAAADv794Q=")</f>
        <v>#VALUE!</v>
      </c>
      <c r="ED72" t="e">
        <f>AND(DATA!Y225,"AAAAADv794U=")</f>
        <v>#VALUE!</v>
      </c>
      <c r="EE72">
        <f>IF(DATA!226:226,"AAAAADv794Y=",0)</f>
        <v>0</v>
      </c>
      <c r="EF72" t="e">
        <f>AND(DATA!A226,"AAAAADv794c=")</f>
        <v>#VALUE!</v>
      </c>
      <c r="EG72" t="e">
        <f>AND(DATA!B226,"AAAAADv794g=")</f>
        <v>#VALUE!</v>
      </c>
      <c r="EH72" t="e">
        <f>AND(DATA!C226,"AAAAADv794k=")</f>
        <v>#VALUE!</v>
      </c>
      <c r="EI72" t="e">
        <f>AND(DATA!D226,"AAAAADv794o=")</f>
        <v>#VALUE!</v>
      </c>
      <c r="EJ72" t="e">
        <f>AND(DATA!E226,"AAAAADv794s=")</f>
        <v>#VALUE!</v>
      </c>
      <c r="EK72" t="e">
        <f>AND(DATA!F226,"AAAAADv794w=")</f>
        <v>#VALUE!</v>
      </c>
      <c r="EL72" t="e">
        <f>AND(DATA!G226,"AAAAADv7940=")</f>
        <v>#VALUE!</v>
      </c>
      <c r="EM72" t="e">
        <f>AND(DATA!H226,"AAAAADv7944=")</f>
        <v>#VALUE!</v>
      </c>
      <c r="EN72" t="e">
        <f>AND(DATA!I226,"AAAAADv7948=")</f>
        <v>#VALUE!</v>
      </c>
      <c r="EO72" t="e">
        <f>AND(DATA!J226,"AAAAADv795A=")</f>
        <v>#VALUE!</v>
      </c>
      <c r="EP72" t="e">
        <f>AND(DATA!K226,"AAAAADv795E=")</f>
        <v>#VALUE!</v>
      </c>
      <c r="EQ72" t="b">
        <f>AND(DATA!L227,"AAAAADv795I=")</f>
        <v>1</v>
      </c>
      <c r="ER72" t="b">
        <f>AND(DATA!M227,"AAAAADv795M=")</f>
        <v>1</v>
      </c>
      <c r="ES72" t="b">
        <f>AND(DATA!N227,"AAAAADv795Q=")</f>
        <v>1</v>
      </c>
      <c r="ET72" t="b">
        <f>AND(DATA!O227,"AAAAADv795U=")</f>
        <v>1</v>
      </c>
      <c r="EU72" t="b">
        <f>AND(DATA!P227,"AAAAADv795Y=")</f>
        <v>1</v>
      </c>
      <c r="EV72" t="b">
        <f>AND(DATA!Q227,"AAAAADv795c=")</f>
        <v>1</v>
      </c>
      <c r="EW72" t="b">
        <f>AND(DATA!R227,"AAAAADv795g=")</f>
        <v>1</v>
      </c>
      <c r="EX72" t="b">
        <f>AND(DATA!S227,"AAAAADv795k=")</f>
        <v>1</v>
      </c>
      <c r="EY72" t="b">
        <f>AND(DATA!T227,"AAAAADv795o=")</f>
        <v>1</v>
      </c>
      <c r="EZ72" t="b">
        <f>AND(DATA!U227,"AAAAADv795s=")</f>
        <v>1</v>
      </c>
      <c r="FA72" t="b">
        <f>AND(DATA!V227,"AAAAADv795w=")</f>
        <v>1</v>
      </c>
      <c r="FB72" t="e">
        <f>AND(DATA!W226,"AAAAADv7950=")</f>
        <v>#VALUE!</v>
      </c>
      <c r="FC72" t="e">
        <f>AND(DATA!X226,"AAAAADv7954=")</f>
        <v>#VALUE!</v>
      </c>
      <c r="FD72" t="e">
        <f>AND(DATA!Y226,"AAAAADv7958=")</f>
        <v>#VALUE!</v>
      </c>
      <c r="FE72">
        <f>IF(DATA!227:227,"AAAAADv796A=",0)</f>
        <v>0</v>
      </c>
      <c r="FF72" t="e">
        <f>AND(DATA!A227,"AAAAADv796E=")</f>
        <v>#VALUE!</v>
      </c>
      <c r="FG72" t="e">
        <f>AND(DATA!B227,"AAAAADv796I=")</f>
        <v>#VALUE!</v>
      </c>
      <c r="FH72" t="e">
        <f>AND(DATA!C227,"AAAAADv796M=")</f>
        <v>#VALUE!</v>
      </c>
      <c r="FI72" t="e">
        <f>AND(DATA!D227,"AAAAADv796Q=")</f>
        <v>#VALUE!</v>
      </c>
      <c r="FJ72" t="e">
        <f>AND(DATA!E227,"AAAAADv796U=")</f>
        <v>#VALUE!</v>
      </c>
      <c r="FK72" t="e">
        <f>AND(DATA!F227,"AAAAADv796Y=")</f>
        <v>#VALUE!</v>
      </c>
      <c r="FL72" t="e">
        <f>AND(DATA!G227,"AAAAADv796c=")</f>
        <v>#VALUE!</v>
      </c>
      <c r="FM72" t="e">
        <f>AND(DATA!H227,"AAAAADv796g=")</f>
        <v>#VALUE!</v>
      </c>
      <c r="FN72" t="e">
        <f>AND(DATA!I227,"AAAAADv796k=")</f>
        <v>#VALUE!</v>
      </c>
      <c r="FO72" t="e">
        <f>AND(DATA!J227,"AAAAADv796o=")</f>
        <v>#VALUE!</v>
      </c>
      <c r="FP72" t="e">
        <f>AND(DATA!K227,"AAAAADv796s=")</f>
        <v>#VALUE!</v>
      </c>
      <c r="FQ72" t="b">
        <f>AND(DATA!L228,"AAAAADv796w=")</f>
        <v>1</v>
      </c>
      <c r="FR72" t="b">
        <f>AND(DATA!M228,"AAAAADv7960=")</f>
        <v>1</v>
      </c>
      <c r="FS72" t="b">
        <f>AND(DATA!N228,"AAAAADv7964=")</f>
        <v>1</v>
      </c>
      <c r="FT72" t="b">
        <f>AND(DATA!O228,"AAAAADv7968=")</f>
        <v>1</v>
      </c>
      <c r="FU72" t="b">
        <f>AND(DATA!P228,"AAAAADv797A=")</f>
        <v>1</v>
      </c>
      <c r="FV72" t="b">
        <f>AND(DATA!Q228,"AAAAADv797E=")</f>
        <v>1</v>
      </c>
      <c r="FW72" t="b">
        <f>AND(DATA!R228,"AAAAADv797I=")</f>
        <v>1</v>
      </c>
      <c r="FX72" t="b">
        <f>AND(DATA!S228,"AAAAADv797M=")</f>
        <v>1</v>
      </c>
      <c r="FY72" t="b">
        <f>AND(DATA!T228,"AAAAADv797Q=")</f>
        <v>1</v>
      </c>
      <c r="FZ72" t="b">
        <f>AND(DATA!U228,"AAAAADv797U=")</f>
        <v>1</v>
      </c>
      <c r="GA72" t="b">
        <f>AND(DATA!V228,"AAAAADv797Y=")</f>
        <v>1</v>
      </c>
      <c r="GB72" t="e">
        <f>AND(DATA!W227,"AAAAADv797c=")</f>
        <v>#VALUE!</v>
      </c>
      <c r="GC72" t="e">
        <f>AND(DATA!X227,"AAAAADv797g=")</f>
        <v>#VALUE!</v>
      </c>
      <c r="GD72" t="e">
        <f>AND(DATA!Y227,"AAAAADv797k=")</f>
        <v>#VALUE!</v>
      </c>
      <c r="GE72">
        <f>IF(DATA!228:228,"AAAAADv797o=",0)</f>
        <v>0</v>
      </c>
      <c r="GF72" t="e">
        <f>AND(DATA!A228,"AAAAADv797s=")</f>
        <v>#VALUE!</v>
      </c>
      <c r="GG72" t="e">
        <f>AND(DATA!B228,"AAAAADv797w=")</f>
        <v>#VALUE!</v>
      </c>
      <c r="GH72" t="e">
        <f>AND(DATA!C228,"AAAAADv7970=")</f>
        <v>#VALUE!</v>
      </c>
      <c r="GI72" t="e">
        <f>AND(DATA!D228,"AAAAADv7974=")</f>
        <v>#VALUE!</v>
      </c>
      <c r="GJ72" t="e">
        <f>AND(DATA!E228,"AAAAADv7978=")</f>
        <v>#VALUE!</v>
      </c>
      <c r="GK72" t="e">
        <f>AND(DATA!F228,"AAAAADv798A=")</f>
        <v>#VALUE!</v>
      </c>
      <c r="GL72" t="e">
        <f>AND(DATA!G228,"AAAAADv798E=")</f>
        <v>#VALUE!</v>
      </c>
      <c r="GM72" t="e">
        <f>AND(DATA!H228,"AAAAADv798I=")</f>
        <v>#VALUE!</v>
      </c>
      <c r="GN72" t="e">
        <f>AND(DATA!I228,"AAAAADv798M=")</f>
        <v>#VALUE!</v>
      </c>
      <c r="GO72" t="e">
        <f>AND(DATA!J228,"AAAAADv798Q=")</f>
        <v>#VALUE!</v>
      </c>
      <c r="GP72" t="e">
        <f>AND(DATA!K228,"AAAAADv798U=")</f>
        <v>#VALUE!</v>
      </c>
      <c r="GQ72" t="b">
        <f>AND(DATA!L229,"AAAAADv798Y=")</f>
        <v>1</v>
      </c>
      <c r="GR72" t="b">
        <f>AND(DATA!M229,"AAAAADv798c=")</f>
        <v>1</v>
      </c>
      <c r="GS72" t="b">
        <f>AND(DATA!N229,"AAAAADv798g=")</f>
        <v>1</v>
      </c>
      <c r="GT72" t="b">
        <f>AND(DATA!O229,"AAAAADv798k=")</f>
        <v>1</v>
      </c>
      <c r="GU72" t="b">
        <f>AND(DATA!P229,"AAAAADv798o=")</f>
        <v>1</v>
      </c>
      <c r="GV72" t="b">
        <f>AND(DATA!Q229,"AAAAADv798s=")</f>
        <v>1</v>
      </c>
      <c r="GW72" t="b">
        <f>AND(DATA!R229,"AAAAADv798w=")</f>
        <v>1</v>
      </c>
      <c r="GX72" t="b">
        <f>AND(DATA!S229,"AAAAADv7980=")</f>
        <v>1</v>
      </c>
      <c r="GY72" t="b">
        <f>AND(DATA!T229,"AAAAADv7984=")</f>
        <v>1</v>
      </c>
      <c r="GZ72" t="b">
        <f>AND(DATA!U229,"AAAAADv7988=")</f>
        <v>1</v>
      </c>
      <c r="HA72" t="b">
        <f>AND(DATA!V229,"AAAAADv799A=")</f>
        <v>1</v>
      </c>
      <c r="HB72" t="e">
        <f>AND(DATA!W228,"AAAAADv799E=")</f>
        <v>#VALUE!</v>
      </c>
      <c r="HC72" t="e">
        <f>AND(DATA!X228,"AAAAADv799I=")</f>
        <v>#VALUE!</v>
      </c>
      <c r="HD72" t="e">
        <f>AND(DATA!Y228,"AAAAADv799M=")</f>
        <v>#VALUE!</v>
      </c>
      <c r="HE72">
        <f>IF(DATA!229:229,"AAAAADv799Q=",0)</f>
        <v>0</v>
      </c>
      <c r="HF72" t="e">
        <f>AND(DATA!A229,"AAAAADv799U=")</f>
        <v>#VALUE!</v>
      </c>
      <c r="HG72" t="e">
        <f>AND(DATA!B229,"AAAAADv799Y=")</f>
        <v>#VALUE!</v>
      </c>
      <c r="HH72" t="e">
        <f>AND(DATA!C229,"AAAAADv799c=")</f>
        <v>#VALUE!</v>
      </c>
      <c r="HI72" t="e">
        <f>AND(DATA!D229,"AAAAADv799g=")</f>
        <v>#VALUE!</v>
      </c>
      <c r="HJ72" t="e">
        <f>AND(DATA!E229,"AAAAADv799k=")</f>
        <v>#VALUE!</v>
      </c>
      <c r="HK72" t="e">
        <f>AND(DATA!F229,"AAAAADv799o=")</f>
        <v>#VALUE!</v>
      </c>
      <c r="HL72" t="e">
        <f>AND(DATA!G229,"AAAAADv799s=")</f>
        <v>#VALUE!</v>
      </c>
      <c r="HM72" t="e">
        <f>AND(DATA!H229,"AAAAADv799w=")</f>
        <v>#VALUE!</v>
      </c>
      <c r="HN72" t="e">
        <f>AND(DATA!I229,"AAAAADv7990=")</f>
        <v>#VALUE!</v>
      </c>
      <c r="HO72" t="e">
        <f>AND(DATA!J229,"AAAAADv7994=")</f>
        <v>#VALUE!</v>
      </c>
      <c r="HP72" t="e">
        <f>AND(DATA!K229,"AAAAADv7998=")</f>
        <v>#VALUE!</v>
      </c>
      <c r="HQ72" t="b">
        <f>AND(DATA!L230,"AAAAADv79+A=")</f>
        <v>1</v>
      </c>
      <c r="HR72" t="b">
        <f>AND(DATA!M230,"AAAAADv79+E=")</f>
        <v>1</v>
      </c>
      <c r="HS72" t="b">
        <f>AND(DATA!N230,"AAAAADv79+I=")</f>
        <v>1</v>
      </c>
      <c r="HT72" t="b">
        <f>AND(DATA!O230,"AAAAADv79+M=")</f>
        <v>1</v>
      </c>
      <c r="HU72" t="b">
        <f>AND(DATA!P230,"AAAAADv79+Q=")</f>
        <v>1</v>
      </c>
      <c r="HV72" t="b">
        <f>AND(DATA!Q230,"AAAAADv79+U=")</f>
        <v>1</v>
      </c>
      <c r="HW72" t="b">
        <f>AND(DATA!R230,"AAAAADv79+Y=")</f>
        <v>1</v>
      </c>
      <c r="HX72" t="b">
        <f>AND(DATA!S230,"AAAAADv79+c=")</f>
        <v>1</v>
      </c>
      <c r="HY72" t="b">
        <f>AND(DATA!T230,"AAAAADv79+g=")</f>
        <v>1</v>
      </c>
      <c r="HZ72" t="b">
        <f>AND(DATA!U230,"AAAAADv79+k=")</f>
        <v>1</v>
      </c>
      <c r="IA72" t="b">
        <f>AND(DATA!V230,"AAAAADv79+o=")</f>
        <v>1</v>
      </c>
      <c r="IB72" t="e">
        <f>AND(DATA!W229,"AAAAADv79+s=")</f>
        <v>#VALUE!</v>
      </c>
      <c r="IC72" t="e">
        <f>AND(DATA!X229,"AAAAADv79+w=")</f>
        <v>#VALUE!</v>
      </c>
      <c r="ID72" t="e">
        <f>AND(DATA!Y229,"AAAAADv79+0=")</f>
        <v>#VALUE!</v>
      </c>
      <c r="IE72">
        <f>IF(DATA!230:230,"AAAAADv79+4=",0)</f>
        <v>0</v>
      </c>
      <c r="IF72" t="e">
        <f>AND(DATA!A230,"AAAAADv79+8=")</f>
        <v>#VALUE!</v>
      </c>
      <c r="IG72" t="e">
        <f>AND(DATA!B230,"AAAAADv79/A=")</f>
        <v>#VALUE!</v>
      </c>
      <c r="IH72" t="e">
        <f>AND(DATA!C230,"AAAAADv79/E=")</f>
        <v>#VALUE!</v>
      </c>
      <c r="II72" t="e">
        <f>AND(DATA!D230,"AAAAADv79/I=")</f>
        <v>#VALUE!</v>
      </c>
      <c r="IJ72" t="e">
        <f>AND(DATA!E230,"AAAAADv79/M=")</f>
        <v>#VALUE!</v>
      </c>
      <c r="IK72" t="e">
        <f>AND(DATA!F230,"AAAAADv79/Q=")</f>
        <v>#VALUE!</v>
      </c>
      <c r="IL72" t="e">
        <f>AND(DATA!G230,"AAAAADv79/U=")</f>
        <v>#VALUE!</v>
      </c>
      <c r="IM72" t="e">
        <f>AND(DATA!H230,"AAAAADv79/Y=")</f>
        <v>#VALUE!</v>
      </c>
      <c r="IN72" t="e">
        <f>AND(DATA!I230,"AAAAADv79/c=")</f>
        <v>#VALUE!</v>
      </c>
      <c r="IO72" t="e">
        <f>AND(DATA!J230,"AAAAADv79/g=")</f>
        <v>#VALUE!</v>
      </c>
      <c r="IP72" t="e">
        <f>AND(DATA!K230,"AAAAADv79/k=")</f>
        <v>#VALUE!</v>
      </c>
      <c r="IQ72" t="b">
        <f>AND(DATA!L231,"AAAAADv79/o=")</f>
        <v>1</v>
      </c>
      <c r="IR72" t="b">
        <f>AND(DATA!M231,"AAAAADv79/s=")</f>
        <v>1</v>
      </c>
      <c r="IS72" t="b">
        <f>AND(DATA!N231,"AAAAADv79/w=")</f>
        <v>1</v>
      </c>
      <c r="IT72" t="b">
        <f>AND(DATA!O231,"AAAAADv79/0=")</f>
        <v>1</v>
      </c>
      <c r="IU72" t="b">
        <f>AND(DATA!P231,"AAAAADv79/4=")</f>
        <v>1</v>
      </c>
      <c r="IV72" t="b">
        <f>AND(DATA!Q231,"AAAAADv79/8=")</f>
        <v>1</v>
      </c>
    </row>
    <row r="73" spans="1:256" x14ac:dyDescent="0.25">
      <c r="A73" t="b">
        <f>AND(DATA!R231,"AAAAAG79vwA=")</f>
        <v>1</v>
      </c>
      <c r="B73" t="b">
        <f>AND(DATA!S231,"AAAAAG79vwE=")</f>
        <v>1</v>
      </c>
      <c r="C73" t="b">
        <f>AND(DATA!T231,"AAAAAG79vwI=")</f>
        <v>1</v>
      </c>
      <c r="D73" t="b">
        <f>AND(DATA!U231,"AAAAAG79vwM=")</f>
        <v>1</v>
      </c>
      <c r="E73" t="b">
        <f>AND(DATA!V231,"AAAAAG79vwQ=")</f>
        <v>1</v>
      </c>
      <c r="F73" t="e">
        <f>AND(DATA!W230,"AAAAAG79vwU=")</f>
        <v>#VALUE!</v>
      </c>
      <c r="G73" t="e">
        <f>AND(DATA!X230,"AAAAAG79vwY=")</f>
        <v>#VALUE!</v>
      </c>
      <c r="H73" t="e">
        <f>AND(DATA!Y230,"AAAAAG79vwc=")</f>
        <v>#VALUE!</v>
      </c>
      <c r="I73">
        <f>IF(DATA!231:231,"AAAAAG79vwg=",0)</f>
        <v>0</v>
      </c>
      <c r="J73" t="e">
        <f>AND(DATA!A231,"AAAAAG79vwk=")</f>
        <v>#VALUE!</v>
      </c>
      <c r="K73" t="e">
        <f>AND(DATA!B231,"AAAAAG79vwo=")</f>
        <v>#VALUE!</v>
      </c>
      <c r="L73" t="e">
        <f>AND(DATA!C231,"AAAAAG79vws=")</f>
        <v>#VALUE!</v>
      </c>
      <c r="M73" t="e">
        <f>AND(DATA!D231,"AAAAAG79vww=")</f>
        <v>#VALUE!</v>
      </c>
      <c r="N73" t="e">
        <f>AND(DATA!E231,"AAAAAG79vw0=")</f>
        <v>#VALUE!</v>
      </c>
      <c r="O73" t="e">
        <f>AND(DATA!F231,"AAAAAG79vw4=")</f>
        <v>#VALUE!</v>
      </c>
      <c r="P73" t="e">
        <f>AND(DATA!G231,"AAAAAG79vw8=")</f>
        <v>#VALUE!</v>
      </c>
      <c r="Q73" t="e">
        <f>AND(DATA!H231,"AAAAAG79vxA=")</f>
        <v>#VALUE!</v>
      </c>
      <c r="R73" t="e">
        <f>AND(DATA!I231,"AAAAAG79vxE=")</f>
        <v>#VALUE!</v>
      </c>
      <c r="S73" t="e">
        <f>AND(DATA!J231,"AAAAAG79vxI=")</f>
        <v>#VALUE!</v>
      </c>
      <c r="T73" t="e">
        <f>AND(DATA!K231,"AAAAAG79vxM=")</f>
        <v>#VALUE!</v>
      </c>
      <c r="U73" t="b">
        <f>AND(DATA!L232,"AAAAAG79vxQ=")</f>
        <v>1</v>
      </c>
      <c r="V73" t="b">
        <f>AND(DATA!M232,"AAAAAG79vxU=")</f>
        <v>1</v>
      </c>
      <c r="W73" t="b">
        <f>AND(DATA!N232,"AAAAAG79vxY=")</f>
        <v>1</v>
      </c>
      <c r="X73" t="b">
        <f>AND(DATA!O232,"AAAAAG79vxc=")</f>
        <v>1</v>
      </c>
      <c r="Y73" t="b">
        <f>AND(DATA!P232,"AAAAAG79vxg=")</f>
        <v>1</v>
      </c>
      <c r="Z73" t="b">
        <f>AND(DATA!Q232,"AAAAAG79vxk=")</f>
        <v>1</v>
      </c>
      <c r="AA73" t="b">
        <f>AND(DATA!R232,"AAAAAG79vxo=")</f>
        <v>1</v>
      </c>
      <c r="AB73" t="b">
        <f>AND(DATA!S232,"AAAAAG79vxs=")</f>
        <v>1</v>
      </c>
      <c r="AC73" t="b">
        <f>AND(DATA!T232,"AAAAAG79vxw=")</f>
        <v>1</v>
      </c>
      <c r="AD73" t="b">
        <f>AND(DATA!U232,"AAAAAG79vx0=")</f>
        <v>1</v>
      </c>
      <c r="AE73" t="b">
        <f>AND(DATA!V232,"AAAAAG79vx4=")</f>
        <v>1</v>
      </c>
      <c r="AF73" t="e">
        <f>AND(DATA!W231,"AAAAAG79vx8=")</f>
        <v>#VALUE!</v>
      </c>
      <c r="AG73" t="e">
        <f>AND(DATA!X231,"AAAAAG79vyA=")</f>
        <v>#VALUE!</v>
      </c>
      <c r="AH73" t="e">
        <f>AND(DATA!Y231,"AAAAAG79vyE=")</f>
        <v>#VALUE!</v>
      </c>
      <c r="AI73">
        <f>IF(DATA!232:232,"AAAAAG79vyI=",0)</f>
        <v>0</v>
      </c>
      <c r="AJ73" t="e">
        <f>AND(DATA!A232,"AAAAAG79vyM=")</f>
        <v>#VALUE!</v>
      </c>
      <c r="AK73" t="e">
        <f>AND(DATA!B232,"AAAAAG79vyQ=")</f>
        <v>#VALUE!</v>
      </c>
      <c r="AL73" t="e">
        <f>AND(DATA!C232,"AAAAAG79vyU=")</f>
        <v>#VALUE!</v>
      </c>
      <c r="AM73" t="e">
        <f>AND(DATA!D232,"AAAAAG79vyY=")</f>
        <v>#VALUE!</v>
      </c>
      <c r="AN73" t="e">
        <f>AND(DATA!E232,"AAAAAG79vyc=")</f>
        <v>#VALUE!</v>
      </c>
      <c r="AO73" t="e">
        <f>AND(DATA!F232,"AAAAAG79vyg=")</f>
        <v>#VALUE!</v>
      </c>
      <c r="AP73" t="e">
        <f>AND(DATA!G232,"AAAAAG79vyk=")</f>
        <v>#VALUE!</v>
      </c>
      <c r="AQ73" t="e">
        <f>AND(DATA!H232,"AAAAAG79vyo=")</f>
        <v>#VALUE!</v>
      </c>
      <c r="AR73" t="e">
        <f>AND(DATA!I232,"AAAAAG79vys=")</f>
        <v>#VALUE!</v>
      </c>
      <c r="AS73" t="e">
        <f>AND(DATA!J232,"AAAAAG79vyw=")</f>
        <v>#VALUE!</v>
      </c>
      <c r="AT73" t="e">
        <f>AND(DATA!K232,"AAAAAG79vy0=")</f>
        <v>#VALUE!</v>
      </c>
      <c r="AU73" t="b">
        <f>AND(DATA!L233,"AAAAAG79vy4=")</f>
        <v>1</v>
      </c>
      <c r="AV73" t="b">
        <f>AND(DATA!M233,"AAAAAG79vy8=")</f>
        <v>1</v>
      </c>
      <c r="AW73" t="b">
        <f>AND(DATA!N233,"AAAAAG79vzA=")</f>
        <v>1</v>
      </c>
      <c r="AX73" t="b">
        <f>AND(DATA!O233,"AAAAAG79vzE=")</f>
        <v>1</v>
      </c>
      <c r="AY73" t="b">
        <f>AND(DATA!P233,"AAAAAG79vzI=")</f>
        <v>1</v>
      </c>
      <c r="AZ73" t="b">
        <f>AND(DATA!Q233,"AAAAAG79vzM=")</f>
        <v>1</v>
      </c>
      <c r="BA73" t="b">
        <f>AND(DATA!R233,"AAAAAG79vzQ=")</f>
        <v>1</v>
      </c>
      <c r="BB73" t="b">
        <f>AND(DATA!S233,"AAAAAG79vzU=")</f>
        <v>1</v>
      </c>
      <c r="BC73" t="b">
        <f>AND(DATA!T233,"AAAAAG79vzY=")</f>
        <v>1</v>
      </c>
      <c r="BD73" t="b">
        <f>AND(DATA!U233,"AAAAAG79vzc=")</f>
        <v>1</v>
      </c>
      <c r="BE73" t="b">
        <f>AND(DATA!V233,"AAAAAG79vzg=")</f>
        <v>1</v>
      </c>
      <c r="BF73" t="e">
        <f>AND(DATA!W232,"AAAAAG79vzk=")</f>
        <v>#VALUE!</v>
      </c>
      <c r="BG73" t="e">
        <f>AND(DATA!X232,"AAAAAG79vzo=")</f>
        <v>#VALUE!</v>
      </c>
      <c r="BH73" t="e">
        <f>AND(DATA!Y232,"AAAAAG79vzs=")</f>
        <v>#VALUE!</v>
      </c>
      <c r="BI73">
        <f>IF(DATA!233:233,"AAAAAG79vzw=",0)</f>
        <v>0</v>
      </c>
      <c r="BJ73" t="e">
        <f>AND(DATA!A233,"AAAAAG79vz0=")</f>
        <v>#VALUE!</v>
      </c>
      <c r="BK73" t="e">
        <f>AND(DATA!B233,"AAAAAG79vz4=")</f>
        <v>#VALUE!</v>
      </c>
      <c r="BL73" t="e">
        <f>AND(DATA!C233,"AAAAAG79vz8=")</f>
        <v>#VALUE!</v>
      </c>
      <c r="BM73" t="e">
        <f>AND(DATA!D233,"AAAAAG79v0A=")</f>
        <v>#VALUE!</v>
      </c>
      <c r="BN73" t="e">
        <f>AND(DATA!E233,"AAAAAG79v0E=")</f>
        <v>#VALUE!</v>
      </c>
      <c r="BO73" t="e">
        <f>AND(DATA!F233,"AAAAAG79v0I=")</f>
        <v>#VALUE!</v>
      </c>
      <c r="BP73" t="e">
        <f>AND(DATA!G233,"AAAAAG79v0M=")</f>
        <v>#VALUE!</v>
      </c>
      <c r="BQ73" t="e">
        <f>AND(DATA!H233,"AAAAAG79v0Q=")</f>
        <v>#VALUE!</v>
      </c>
      <c r="BR73" t="e">
        <f>AND(DATA!I233,"AAAAAG79v0U=")</f>
        <v>#VALUE!</v>
      </c>
      <c r="BS73" t="e">
        <f>AND(DATA!J233,"AAAAAG79v0Y=")</f>
        <v>#VALUE!</v>
      </c>
      <c r="BT73" t="e">
        <f>AND(DATA!K233,"AAAAAG79v0c=")</f>
        <v>#VALUE!</v>
      </c>
      <c r="BU73" t="b">
        <f>AND(DATA!L234,"AAAAAG79v0g=")</f>
        <v>1</v>
      </c>
      <c r="BV73" t="b">
        <f>AND(DATA!M234,"AAAAAG79v0k=")</f>
        <v>1</v>
      </c>
      <c r="BW73" t="b">
        <f>AND(DATA!N234,"AAAAAG79v0o=")</f>
        <v>1</v>
      </c>
      <c r="BX73" t="b">
        <f>AND(DATA!O234,"AAAAAG79v0s=")</f>
        <v>1</v>
      </c>
      <c r="BY73" t="b">
        <f>AND(DATA!P234,"AAAAAG79v0w=")</f>
        <v>1</v>
      </c>
      <c r="BZ73" t="b">
        <f>AND(DATA!Q234,"AAAAAG79v00=")</f>
        <v>1</v>
      </c>
      <c r="CA73" t="b">
        <f>AND(DATA!R234,"AAAAAG79v04=")</f>
        <v>1</v>
      </c>
      <c r="CB73" t="b">
        <f>AND(DATA!S234,"AAAAAG79v08=")</f>
        <v>1</v>
      </c>
      <c r="CC73" t="b">
        <f>AND(DATA!T234,"AAAAAG79v1A=")</f>
        <v>1</v>
      </c>
      <c r="CD73" t="b">
        <f>AND(DATA!U234,"AAAAAG79v1E=")</f>
        <v>1</v>
      </c>
      <c r="CE73" t="b">
        <f>AND(DATA!V234,"AAAAAG79v1I=")</f>
        <v>1</v>
      </c>
      <c r="CF73" t="e">
        <f>AND(DATA!W233,"AAAAAG79v1M=")</f>
        <v>#VALUE!</v>
      </c>
      <c r="CG73" t="e">
        <f>AND(DATA!X233,"AAAAAG79v1Q=")</f>
        <v>#VALUE!</v>
      </c>
      <c r="CH73" t="e">
        <f>AND(DATA!Y233,"AAAAAG79v1U=")</f>
        <v>#VALUE!</v>
      </c>
      <c r="CI73">
        <f>IF(DATA!234:234,"AAAAAG79v1Y=",0)</f>
        <v>0</v>
      </c>
      <c r="CJ73" t="e">
        <f>AND(DATA!A234,"AAAAAG79v1c=")</f>
        <v>#VALUE!</v>
      </c>
      <c r="CK73" t="e">
        <f>AND(DATA!B234,"AAAAAG79v1g=")</f>
        <v>#VALUE!</v>
      </c>
      <c r="CL73" t="e">
        <f>AND(DATA!C234,"AAAAAG79v1k=")</f>
        <v>#VALUE!</v>
      </c>
      <c r="CM73" t="e">
        <f>AND(DATA!D234,"AAAAAG79v1o=")</f>
        <v>#VALUE!</v>
      </c>
      <c r="CN73" t="e">
        <f>AND(DATA!E234,"AAAAAG79v1s=")</f>
        <v>#VALUE!</v>
      </c>
      <c r="CO73" t="e">
        <f>AND(DATA!F234,"AAAAAG79v1w=")</f>
        <v>#VALUE!</v>
      </c>
      <c r="CP73" t="e">
        <f>AND(DATA!G234,"AAAAAG79v10=")</f>
        <v>#VALUE!</v>
      </c>
      <c r="CQ73" t="e">
        <f>AND(DATA!H234,"AAAAAG79v14=")</f>
        <v>#VALUE!</v>
      </c>
      <c r="CR73" t="e">
        <f>AND(DATA!I234,"AAAAAG79v18=")</f>
        <v>#VALUE!</v>
      </c>
      <c r="CS73" t="e">
        <f>AND(DATA!J234,"AAAAAG79v2A=")</f>
        <v>#VALUE!</v>
      </c>
      <c r="CT73" t="e">
        <f>AND(DATA!K234,"AAAAAG79v2E=")</f>
        <v>#VALUE!</v>
      </c>
      <c r="CU73" t="b">
        <f>AND(DATA!L235,"AAAAAG79v2I=")</f>
        <v>1</v>
      </c>
      <c r="CV73" t="b">
        <f>AND(DATA!M235,"AAAAAG79v2M=")</f>
        <v>1</v>
      </c>
      <c r="CW73" t="b">
        <f>AND(DATA!N235,"AAAAAG79v2Q=")</f>
        <v>1</v>
      </c>
      <c r="CX73" t="b">
        <f>AND(DATA!O235,"AAAAAG79v2U=")</f>
        <v>1</v>
      </c>
      <c r="CY73" t="b">
        <f>AND(DATA!P235,"AAAAAG79v2Y=")</f>
        <v>1</v>
      </c>
      <c r="CZ73" t="b">
        <f>AND(DATA!Q235,"AAAAAG79v2c=")</f>
        <v>1</v>
      </c>
      <c r="DA73" t="b">
        <f>AND(DATA!R235,"AAAAAG79v2g=")</f>
        <v>1</v>
      </c>
      <c r="DB73" t="b">
        <f>AND(DATA!S235,"AAAAAG79v2k=")</f>
        <v>1</v>
      </c>
      <c r="DC73" t="b">
        <f>AND(DATA!T235,"AAAAAG79v2o=")</f>
        <v>1</v>
      </c>
      <c r="DD73" t="b">
        <f>AND(DATA!U235,"AAAAAG79v2s=")</f>
        <v>1</v>
      </c>
      <c r="DE73" t="b">
        <f>AND(DATA!V235,"AAAAAG79v2w=")</f>
        <v>1</v>
      </c>
      <c r="DF73" t="e">
        <f>AND(DATA!W234,"AAAAAG79v20=")</f>
        <v>#VALUE!</v>
      </c>
      <c r="DG73" t="e">
        <f>AND(DATA!X234,"AAAAAG79v24=")</f>
        <v>#VALUE!</v>
      </c>
      <c r="DH73" t="e">
        <f>AND(DATA!Y234,"AAAAAG79v28=")</f>
        <v>#VALUE!</v>
      </c>
      <c r="DI73">
        <f>IF(DATA!235:235,"AAAAAG79v3A=",0)</f>
        <v>0</v>
      </c>
      <c r="DJ73" t="e">
        <f>AND(DATA!A235,"AAAAAG79v3E=")</f>
        <v>#VALUE!</v>
      </c>
      <c r="DK73" t="e">
        <f>AND(DATA!B235,"AAAAAG79v3I=")</f>
        <v>#VALUE!</v>
      </c>
      <c r="DL73" t="e">
        <f>AND(DATA!C235,"AAAAAG79v3M=")</f>
        <v>#VALUE!</v>
      </c>
      <c r="DM73" t="e">
        <f>AND(DATA!D235,"AAAAAG79v3Q=")</f>
        <v>#VALUE!</v>
      </c>
      <c r="DN73" t="e">
        <f>AND(DATA!E235,"AAAAAG79v3U=")</f>
        <v>#VALUE!</v>
      </c>
      <c r="DO73" t="e">
        <f>AND(DATA!F235,"AAAAAG79v3Y=")</f>
        <v>#VALUE!</v>
      </c>
      <c r="DP73" t="e">
        <f>AND(DATA!G235,"AAAAAG79v3c=")</f>
        <v>#VALUE!</v>
      </c>
      <c r="DQ73" t="e">
        <f>AND(DATA!H235,"AAAAAG79v3g=")</f>
        <v>#VALUE!</v>
      </c>
      <c r="DR73" t="e">
        <f>AND(DATA!I235,"AAAAAG79v3k=")</f>
        <v>#VALUE!</v>
      </c>
      <c r="DS73" t="e">
        <f>AND(DATA!J235,"AAAAAG79v3o=")</f>
        <v>#VALUE!</v>
      </c>
      <c r="DT73" t="e">
        <f>AND(DATA!K235,"AAAAAG79v3s=")</f>
        <v>#VALUE!</v>
      </c>
      <c r="DU73" t="b">
        <f>AND(DATA!L236,"AAAAAG79v3w=")</f>
        <v>1</v>
      </c>
      <c r="DV73" t="b">
        <f>AND(DATA!M236,"AAAAAG79v30=")</f>
        <v>1</v>
      </c>
      <c r="DW73" t="b">
        <f>AND(DATA!N236,"AAAAAG79v34=")</f>
        <v>1</v>
      </c>
      <c r="DX73" t="b">
        <f>AND(DATA!O236,"AAAAAG79v38=")</f>
        <v>1</v>
      </c>
      <c r="DY73" t="b">
        <f>AND(DATA!P236,"AAAAAG79v4A=")</f>
        <v>1</v>
      </c>
      <c r="DZ73" t="b">
        <f>AND(DATA!Q236,"AAAAAG79v4E=")</f>
        <v>1</v>
      </c>
      <c r="EA73" t="b">
        <f>AND(DATA!R236,"AAAAAG79v4I=")</f>
        <v>1</v>
      </c>
      <c r="EB73" t="b">
        <f>AND(DATA!S236,"AAAAAG79v4M=")</f>
        <v>1</v>
      </c>
      <c r="EC73" t="b">
        <f>AND(DATA!T236,"AAAAAG79v4Q=")</f>
        <v>1</v>
      </c>
      <c r="ED73" t="b">
        <f>AND(DATA!U236,"AAAAAG79v4U=")</f>
        <v>1</v>
      </c>
      <c r="EE73" t="b">
        <f>AND(DATA!V236,"AAAAAG79v4Y=")</f>
        <v>1</v>
      </c>
      <c r="EF73" t="e">
        <f>AND(DATA!W235,"AAAAAG79v4c=")</f>
        <v>#VALUE!</v>
      </c>
      <c r="EG73" t="e">
        <f>AND(DATA!X235,"AAAAAG79v4g=")</f>
        <v>#VALUE!</v>
      </c>
      <c r="EH73" t="e">
        <f>AND(DATA!Y235,"AAAAAG79v4k=")</f>
        <v>#VALUE!</v>
      </c>
      <c r="EI73">
        <f>IF(DATA!236:236,"AAAAAG79v4o=",0)</f>
        <v>0</v>
      </c>
      <c r="EJ73" t="e">
        <f>AND(DATA!A236,"AAAAAG79v4s=")</f>
        <v>#VALUE!</v>
      </c>
      <c r="EK73" t="e">
        <f>AND(DATA!B236,"AAAAAG79v4w=")</f>
        <v>#VALUE!</v>
      </c>
      <c r="EL73" t="e">
        <f>AND(DATA!C236,"AAAAAG79v40=")</f>
        <v>#VALUE!</v>
      </c>
      <c r="EM73" t="e">
        <f>AND(DATA!D236,"AAAAAG79v44=")</f>
        <v>#VALUE!</v>
      </c>
      <c r="EN73" t="e">
        <f>AND(DATA!E236,"AAAAAG79v48=")</f>
        <v>#VALUE!</v>
      </c>
      <c r="EO73" t="e">
        <f>AND(DATA!F236,"AAAAAG79v5A=")</f>
        <v>#VALUE!</v>
      </c>
      <c r="EP73" t="e">
        <f>AND(DATA!G236,"AAAAAG79v5E=")</f>
        <v>#VALUE!</v>
      </c>
      <c r="EQ73" t="e">
        <f>AND(DATA!H236,"AAAAAG79v5I=")</f>
        <v>#VALUE!</v>
      </c>
      <c r="ER73" t="e">
        <f>AND(DATA!I236,"AAAAAG79v5M=")</f>
        <v>#VALUE!</v>
      </c>
      <c r="ES73" t="e">
        <f>AND(DATA!J236,"AAAAAG79v5Q=")</f>
        <v>#VALUE!</v>
      </c>
      <c r="ET73" t="e">
        <f>AND(DATA!K236,"AAAAAG79v5U=")</f>
        <v>#VALUE!</v>
      </c>
      <c r="EU73" t="b">
        <f>AND(DATA!L237,"AAAAAG79v5Y=")</f>
        <v>1</v>
      </c>
      <c r="EV73" t="b">
        <f>AND(DATA!M237,"AAAAAG79v5c=")</f>
        <v>1</v>
      </c>
      <c r="EW73" t="b">
        <f>AND(DATA!N237,"AAAAAG79v5g=")</f>
        <v>1</v>
      </c>
      <c r="EX73" t="b">
        <f>AND(DATA!O237,"AAAAAG79v5k=")</f>
        <v>1</v>
      </c>
      <c r="EY73" t="b">
        <f>AND(DATA!P237,"AAAAAG79v5o=")</f>
        <v>1</v>
      </c>
      <c r="EZ73" t="b">
        <f>AND(DATA!Q237,"AAAAAG79v5s=")</f>
        <v>1</v>
      </c>
      <c r="FA73" t="b">
        <f>AND(DATA!R237,"AAAAAG79v5w=")</f>
        <v>1</v>
      </c>
      <c r="FB73" t="b">
        <f>AND(DATA!S237,"AAAAAG79v50=")</f>
        <v>1</v>
      </c>
      <c r="FC73" t="b">
        <f>AND(DATA!T237,"AAAAAG79v54=")</f>
        <v>1</v>
      </c>
      <c r="FD73" t="b">
        <f>AND(DATA!U237,"AAAAAG79v58=")</f>
        <v>1</v>
      </c>
      <c r="FE73" t="b">
        <f>AND(DATA!V237,"AAAAAG79v6A=")</f>
        <v>1</v>
      </c>
      <c r="FF73" t="e">
        <f>AND(DATA!W236,"AAAAAG79v6E=")</f>
        <v>#VALUE!</v>
      </c>
      <c r="FG73" t="e">
        <f>AND(DATA!X236,"AAAAAG79v6I=")</f>
        <v>#VALUE!</v>
      </c>
      <c r="FH73" t="e">
        <f>AND(DATA!Y236,"AAAAAG79v6M=")</f>
        <v>#VALUE!</v>
      </c>
      <c r="FI73">
        <f>IF(DATA!237:237,"AAAAAG79v6Q=",0)</f>
        <v>0</v>
      </c>
      <c r="FJ73" t="e">
        <f>AND(DATA!A237,"AAAAAG79v6U=")</f>
        <v>#VALUE!</v>
      </c>
      <c r="FK73" t="e">
        <f>AND(DATA!B237,"AAAAAG79v6Y=")</f>
        <v>#VALUE!</v>
      </c>
      <c r="FL73" t="e">
        <f>AND(DATA!C237,"AAAAAG79v6c=")</f>
        <v>#VALUE!</v>
      </c>
      <c r="FM73" t="e">
        <f>AND(DATA!D237,"AAAAAG79v6g=")</f>
        <v>#VALUE!</v>
      </c>
      <c r="FN73" t="e">
        <f>AND(DATA!E237,"AAAAAG79v6k=")</f>
        <v>#VALUE!</v>
      </c>
      <c r="FO73" t="e">
        <f>AND(DATA!F237,"AAAAAG79v6o=")</f>
        <v>#VALUE!</v>
      </c>
      <c r="FP73" t="e">
        <f>AND(DATA!G237,"AAAAAG79v6s=")</f>
        <v>#VALUE!</v>
      </c>
      <c r="FQ73" t="e">
        <f>AND(DATA!H237,"AAAAAG79v6w=")</f>
        <v>#VALUE!</v>
      </c>
      <c r="FR73" t="e">
        <f>AND(DATA!I237,"AAAAAG79v60=")</f>
        <v>#VALUE!</v>
      </c>
      <c r="FS73" t="e">
        <f>AND(DATA!J237,"AAAAAG79v64=")</f>
        <v>#VALUE!</v>
      </c>
      <c r="FT73" t="e">
        <f>AND(DATA!K237,"AAAAAG79v68=")</f>
        <v>#VALUE!</v>
      </c>
      <c r="FU73" t="b">
        <f>AND(DATA!L238,"AAAAAG79v7A=")</f>
        <v>1</v>
      </c>
      <c r="FV73" t="b">
        <f>AND(DATA!M238,"AAAAAG79v7E=")</f>
        <v>1</v>
      </c>
      <c r="FW73" t="b">
        <f>AND(DATA!N238,"AAAAAG79v7I=")</f>
        <v>1</v>
      </c>
      <c r="FX73" t="b">
        <f>AND(DATA!O238,"AAAAAG79v7M=")</f>
        <v>1</v>
      </c>
      <c r="FY73" t="b">
        <f>AND(DATA!P238,"AAAAAG79v7Q=")</f>
        <v>1</v>
      </c>
      <c r="FZ73" t="b">
        <f>AND(DATA!Q238,"AAAAAG79v7U=")</f>
        <v>1</v>
      </c>
      <c r="GA73" t="b">
        <f>AND(DATA!R238,"AAAAAG79v7Y=")</f>
        <v>1</v>
      </c>
      <c r="GB73" t="b">
        <f>AND(DATA!S238,"AAAAAG79v7c=")</f>
        <v>1</v>
      </c>
      <c r="GC73" t="b">
        <f>AND(DATA!T238,"AAAAAG79v7g=")</f>
        <v>1</v>
      </c>
      <c r="GD73" t="b">
        <f>AND(DATA!U238,"AAAAAG79v7k=")</f>
        <v>1</v>
      </c>
      <c r="GE73" t="b">
        <f>AND(DATA!V238,"AAAAAG79v7o=")</f>
        <v>1</v>
      </c>
      <c r="GF73" t="e">
        <f>AND(DATA!W237,"AAAAAG79v7s=")</f>
        <v>#VALUE!</v>
      </c>
      <c r="GG73" t="e">
        <f>AND(DATA!X237,"AAAAAG79v7w=")</f>
        <v>#VALUE!</v>
      </c>
      <c r="GH73" t="e">
        <f>AND(DATA!Y237,"AAAAAG79v70=")</f>
        <v>#VALUE!</v>
      </c>
      <c r="GI73">
        <f>IF(DATA!238:238,"AAAAAG79v74=",0)</f>
        <v>0</v>
      </c>
      <c r="GJ73" t="e">
        <f>AND(DATA!A238,"AAAAAG79v78=")</f>
        <v>#VALUE!</v>
      </c>
      <c r="GK73" t="e">
        <f>AND(DATA!B238,"AAAAAG79v8A=")</f>
        <v>#VALUE!</v>
      </c>
      <c r="GL73" t="e">
        <f>AND(DATA!C238,"AAAAAG79v8E=")</f>
        <v>#VALUE!</v>
      </c>
      <c r="GM73" t="e">
        <f>AND(DATA!D238,"AAAAAG79v8I=")</f>
        <v>#VALUE!</v>
      </c>
      <c r="GN73" t="e">
        <f>AND(DATA!E238,"AAAAAG79v8M=")</f>
        <v>#VALUE!</v>
      </c>
      <c r="GO73" t="e">
        <f>AND(DATA!F238,"AAAAAG79v8Q=")</f>
        <v>#VALUE!</v>
      </c>
      <c r="GP73" t="e">
        <f>AND(DATA!G238,"AAAAAG79v8U=")</f>
        <v>#VALUE!</v>
      </c>
      <c r="GQ73" t="e">
        <f>AND(DATA!H238,"AAAAAG79v8Y=")</f>
        <v>#VALUE!</v>
      </c>
      <c r="GR73" t="e">
        <f>AND(DATA!I238,"AAAAAG79v8c=")</f>
        <v>#VALUE!</v>
      </c>
      <c r="GS73" t="e">
        <f>AND(DATA!J238,"AAAAAG79v8g=")</f>
        <v>#VALUE!</v>
      </c>
      <c r="GT73" t="e">
        <f>AND(DATA!K238,"AAAAAG79v8k=")</f>
        <v>#VALUE!</v>
      </c>
      <c r="GU73" t="b">
        <f>AND(DATA!L239,"AAAAAG79v8o=")</f>
        <v>1</v>
      </c>
      <c r="GV73" t="b">
        <f>AND(DATA!M239,"AAAAAG79v8s=")</f>
        <v>1</v>
      </c>
      <c r="GW73" t="b">
        <f>AND(DATA!N239,"AAAAAG79v8w=")</f>
        <v>1</v>
      </c>
      <c r="GX73" t="b">
        <f>AND(DATA!O239,"AAAAAG79v80=")</f>
        <v>1</v>
      </c>
      <c r="GY73" t="b">
        <f>AND(DATA!P239,"AAAAAG79v84=")</f>
        <v>1</v>
      </c>
      <c r="GZ73" t="b">
        <f>AND(DATA!Q239,"AAAAAG79v88=")</f>
        <v>1</v>
      </c>
      <c r="HA73" t="b">
        <f>AND(DATA!R239,"AAAAAG79v9A=")</f>
        <v>1</v>
      </c>
      <c r="HB73" t="b">
        <f>AND(DATA!S239,"AAAAAG79v9E=")</f>
        <v>1</v>
      </c>
      <c r="HC73" t="b">
        <f>AND(DATA!T239,"AAAAAG79v9I=")</f>
        <v>1</v>
      </c>
      <c r="HD73" t="b">
        <f>AND(DATA!U239,"AAAAAG79v9M=")</f>
        <v>1</v>
      </c>
      <c r="HE73" t="b">
        <f>AND(DATA!V239,"AAAAAG79v9Q=")</f>
        <v>1</v>
      </c>
      <c r="HF73" t="e">
        <f>AND(DATA!W238,"AAAAAG79v9U=")</f>
        <v>#VALUE!</v>
      </c>
      <c r="HG73" t="e">
        <f>AND(DATA!X238,"AAAAAG79v9Y=")</f>
        <v>#VALUE!</v>
      </c>
      <c r="HH73" t="e">
        <f>AND(DATA!Y238,"AAAAAG79v9c=")</f>
        <v>#VALUE!</v>
      </c>
      <c r="HI73">
        <f>IF(DATA!239:239,"AAAAAG79v9g=",0)</f>
        <v>0</v>
      </c>
      <c r="HJ73" t="e">
        <f>AND(DATA!A239,"AAAAAG79v9k=")</f>
        <v>#VALUE!</v>
      </c>
      <c r="HK73" t="e">
        <f>AND(DATA!B239,"AAAAAG79v9o=")</f>
        <v>#VALUE!</v>
      </c>
      <c r="HL73" t="e">
        <f>AND(DATA!C239,"AAAAAG79v9s=")</f>
        <v>#VALUE!</v>
      </c>
      <c r="HM73" t="e">
        <f>AND(DATA!D239,"AAAAAG79v9w=")</f>
        <v>#VALUE!</v>
      </c>
      <c r="HN73" t="e">
        <f>AND(DATA!E239,"AAAAAG79v90=")</f>
        <v>#VALUE!</v>
      </c>
      <c r="HO73" t="e">
        <f>AND(DATA!F239,"AAAAAG79v94=")</f>
        <v>#VALUE!</v>
      </c>
      <c r="HP73" t="e">
        <f>AND(DATA!G239,"AAAAAG79v98=")</f>
        <v>#VALUE!</v>
      </c>
      <c r="HQ73" t="e">
        <f>AND(DATA!H239,"AAAAAG79v+A=")</f>
        <v>#VALUE!</v>
      </c>
      <c r="HR73" t="e">
        <f>AND(DATA!I239,"AAAAAG79v+E=")</f>
        <v>#VALUE!</v>
      </c>
      <c r="HS73" t="e">
        <f>AND(DATA!J239,"AAAAAG79v+I=")</f>
        <v>#VALUE!</v>
      </c>
      <c r="HT73" t="e">
        <f>AND(DATA!K239,"AAAAAG79v+M=")</f>
        <v>#VALUE!</v>
      </c>
      <c r="HU73" t="b">
        <f>AND(DATA!L240,"AAAAAG79v+Q=")</f>
        <v>1</v>
      </c>
      <c r="HV73" t="b">
        <f>AND(DATA!M240,"AAAAAG79v+U=")</f>
        <v>1</v>
      </c>
      <c r="HW73" t="b">
        <f>AND(DATA!N240,"AAAAAG79v+Y=")</f>
        <v>1</v>
      </c>
      <c r="HX73" t="b">
        <f>AND(DATA!O240,"AAAAAG79v+c=")</f>
        <v>1</v>
      </c>
      <c r="HY73" t="b">
        <f>AND(DATA!P240,"AAAAAG79v+g=")</f>
        <v>1</v>
      </c>
      <c r="HZ73" t="b">
        <f>AND(DATA!Q240,"AAAAAG79v+k=")</f>
        <v>1</v>
      </c>
      <c r="IA73" t="b">
        <f>AND(DATA!R240,"AAAAAG79v+o=")</f>
        <v>1</v>
      </c>
      <c r="IB73" t="b">
        <f>AND(DATA!S240,"AAAAAG79v+s=")</f>
        <v>1</v>
      </c>
      <c r="IC73" t="b">
        <f>AND(DATA!T240,"AAAAAG79v+w=")</f>
        <v>1</v>
      </c>
      <c r="ID73" t="b">
        <f>AND(DATA!U240,"AAAAAG79v+0=")</f>
        <v>1</v>
      </c>
      <c r="IE73" t="b">
        <f>AND(DATA!V240,"AAAAAG79v+4=")</f>
        <v>1</v>
      </c>
      <c r="IF73" t="e">
        <f>AND(DATA!W239,"AAAAAG79v+8=")</f>
        <v>#VALUE!</v>
      </c>
      <c r="IG73" t="e">
        <f>AND(DATA!X239,"AAAAAG79v/A=")</f>
        <v>#VALUE!</v>
      </c>
      <c r="IH73" t="e">
        <f>AND(DATA!Y239,"AAAAAG79v/E=")</f>
        <v>#VALUE!</v>
      </c>
      <c r="II73">
        <f>IF(DATA!240:240,"AAAAAG79v/I=",0)</f>
        <v>0</v>
      </c>
      <c r="IJ73" t="e">
        <f>AND(DATA!A240,"AAAAAG79v/M=")</f>
        <v>#VALUE!</v>
      </c>
      <c r="IK73" t="e">
        <f>AND(DATA!B240,"AAAAAG79v/Q=")</f>
        <v>#VALUE!</v>
      </c>
      <c r="IL73" t="e">
        <f>AND(DATA!C240,"AAAAAG79v/U=")</f>
        <v>#VALUE!</v>
      </c>
      <c r="IM73" t="e">
        <f>AND(DATA!D240,"AAAAAG79v/Y=")</f>
        <v>#VALUE!</v>
      </c>
      <c r="IN73" t="e">
        <f>AND(DATA!E240,"AAAAAG79v/c=")</f>
        <v>#VALUE!</v>
      </c>
      <c r="IO73" t="e">
        <f>AND(DATA!F240,"AAAAAG79v/g=")</f>
        <v>#VALUE!</v>
      </c>
      <c r="IP73" t="e">
        <f>AND(DATA!G240,"AAAAAG79v/k=")</f>
        <v>#VALUE!</v>
      </c>
      <c r="IQ73" t="e">
        <f>AND(DATA!H240,"AAAAAG79v/o=")</f>
        <v>#VALUE!</v>
      </c>
      <c r="IR73" t="e">
        <f>AND(DATA!I240,"AAAAAG79v/s=")</f>
        <v>#VALUE!</v>
      </c>
      <c r="IS73" t="e">
        <f>AND(DATA!J240,"AAAAAG79v/w=")</f>
        <v>#VALUE!</v>
      </c>
      <c r="IT73" t="e">
        <f>AND(DATA!K240,"AAAAAG79v/0=")</f>
        <v>#VALUE!</v>
      </c>
      <c r="IU73" t="b">
        <f>AND(DATA!L241,"AAAAAG79v/4=")</f>
        <v>1</v>
      </c>
      <c r="IV73" t="b">
        <f>AND(DATA!M241,"AAAAAG79v/8=")</f>
        <v>1</v>
      </c>
    </row>
    <row r="74" spans="1:256" x14ac:dyDescent="0.25">
      <c r="A74" t="b">
        <f>AND(DATA!N241,"AAAAAHvnvAA=")</f>
        <v>1</v>
      </c>
      <c r="B74" t="b">
        <f>AND(DATA!O241,"AAAAAHvnvAE=")</f>
        <v>1</v>
      </c>
      <c r="C74" t="b">
        <f>AND(DATA!P241,"AAAAAHvnvAI=")</f>
        <v>1</v>
      </c>
      <c r="D74" t="b">
        <f>AND(DATA!Q241,"AAAAAHvnvAM=")</f>
        <v>1</v>
      </c>
      <c r="E74" t="b">
        <f>AND(DATA!R241,"AAAAAHvnvAQ=")</f>
        <v>1</v>
      </c>
      <c r="F74" t="b">
        <f>AND(DATA!S241,"AAAAAHvnvAU=")</f>
        <v>1</v>
      </c>
      <c r="G74" t="b">
        <f>AND(DATA!T241,"AAAAAHvnvAY=")</f>
        <v>1</v>
      </c>
      <c r="H74" t="b">
        <f>AND(DATA!U241,"AAAAAHvnvAc=")</f>
        <v>1</v>
      </c>
      <c r="I74" t="b">
        <f>AND(DATA!V241,"AAAAAHvnvAg=")</f>
        <v>1</v>
      </c>
      <c r="J74" t="e">
        <f>AND(DATA!W240,"AAAAAHvnvAk=")</f>
        <v>#VALUE!</v>
      </c>
      <c r="K74" t="e">
        <f>AND(DATA!X240,"AAAAAHvnvAo=")</f>
        <v>#VALUE!</v>
      </c>
      <c r="L74" t="e">
        <f>AND(DATA!Y240,"AAAAAHvnvAs=")</f>
        <v>#VALUE!</v>
      </c>
      <c r="M74" t="str">
        <f>IF(DATA!241:241,"AAAAAHvnvAw=",0)</f>
        <v>AAAAAHvnvAw=</v>
      </c>
      <c r="N74" t="e">
        <f>AND(DATA!A241,"AAAAAHvnvA0=")</f>
        <v>#VALUE!</v>
      </c>
      <c r="O74" t="e">
        <f>AND(DATA!B241,"AAAAAHvnvA4=")</f>
        <v>#VALUE!</v>
      </c>
      <c r="P74" t="e">
        <f>AND(DATA!C241,"AAAAAHvnvA8=")</f>
        <v>#VALUE!</v>
      </c>
      <c r="Q74" t="e">
        <f>AND(DATA!D241,"AAAAAHvnvBA=")</f>
        <v>#VALUE!</v>
      </c>
      <c r="R74" t="e">
        <f>AND(DATA!E241,"AAAAAHvnvBE=")</f>
        <v>#VALUE!</v>
      </c>
      <c r="S74" t="e">
        <f>AND(DATA!F241,"AAAAAHvnvBI=")</f>
        <v>#VALUE!</v>
      </c>
      <c r="T74" t="e">
        <f>AND(DATA!G241,"AAAAAHvnvBM=")</f>
        <v>#VALUE!</v>
      </c>
      <c r="U74" t="e">
        <f>AND(DATA!H241,"AAAAAHvnvBQ=")</f>
        <v>#VALUE!</v>
      </c>
      <c r="V74" t="e">
        <f>AND(DATA!I241,"AAAAAHvnvBU=")</f>
        <v>#VALUE!</v>
      </c>
      <c r="W74" t="e">
        <f>AND(DATA!J241,"AAAAAHvnvBY=")</f>
        <v>#VALUE!</v>
      </c>
      <c r="X74" t="e">
        <f>AND(DATA!K241,"AAAAAHvnvBc=")</f>
        <v>#VALUE!</v>
      </c>
      <c r="Y74" t="b">
        <f>AND(DATA!L242,"AAAAAHvnvBg=")</f>
        <v>1</v>
      </c>
      <c r="Z74" t="b">
        <f>AND(DATA!M242,"AAAAAHvnvBk=")</f>
        <v>1</v>
      </c>
      <c r="AA74" t="b">
        <f>AND(DATA!N242,"AAAAAHvnvBo=")</f>
        <v>1</v>
      </c>
      <c r="AB74" t="b">
        <f>AND(DATA!O242,"AAAAAHvnvBs=")</f>
        <v>1</v>
      </c>
      <c r="AC74" t="b">
        <f>AND(DATA!P242,"AAAAAHvnvBw=")</f>
        <v>1</v>
      </c>
      <c r="AD74" t="b">
        <f>AND(DATA!Q242,"AAAAAHvnvB0=")</f>
        <v>1</v>
      </c>
      <c r="AE74" t="b">
        <f>AND(DATA!R242,"AAAAAHvnvB4=")</f>
        <v>1</v>
      </c>
      <c r="AF74" t="b">
        <f>AND(DATA!S242,"AAAAAHvnvB8=")</f>
        <v>1</v>
      </c>
      <c r="AG74" t="b">
        <f>AND(DATA!T242,"AAAAAHvnvCA=")</f>
        <v>1</v>
      </c>
      <c r="AH74" t="b">
        <f>AND(DATA!U242,"AAAAAHvnvCE=")</f>
        <v>1</v>
      </c>
      <c r="AI74" t="b">
        <f>AND(DATA!V242,"AAAAAHvnvCI=")</f>
        <v>1</v>
      </c>
      <c r="AJ74" t="e">
        <f>AND(DATA!W241,"AAAAAHvnvCM=")</f>
        <v>#VALUE!</v>
      </c>
      <c r="AK74" t="e">
        <f>AND(DATA!X241,"AAAAAHvnvCQ=")</f>
        <v>#VALUE!</v>
      </c>
      <c r="AL74" t="e">
        <f>AND(DATA!Y241,"AAAAAHvnvCU=")</f>
        <v>#VALUE!</v>
      </c>
      <c r="AM74">
        <f>IF(DATA!242:242,"AAAAAHvnvCY=",0)</f>
        <v>0</v>
      </c>
      <c r="AN74" t="e">
        <f>AND(DATA!A242,"AAAAAHvnvCc=")</f>
        <v>#VALUE!</v>
      </c>
      <c r="AO74" t="e">
        <f>AND(DATA!B242,"AAAAAHvnvCg=")</f>
        <v>#VALUE!</v>
      </c>
      <c r="AP74" t="e">
        <f>AND(DATA!C242,"AAAAAHvnvCk=")</f>
        <v>#VALUE!</v>
      </c>
      <c r="AQ74" t="e">
        <f>AND(DATA!D242,"AAAAAHvnvCo=")</f>
        <v>#VALUE!</v>
      </c>
      <c r="AR74" t="e">
        <f>AND(DATA!E242,"AAAAAHvnvCs=")</f>
        <v>#VALUE!</v>
      </c>
      <c r="AS74" t="e">
        <f>AND(DATA!F242,"AAAAAHvnvCw=")</f>
        <v>#VALUE!</v>
      </c>
      <c r="AT74" t="e">
        <f>AND(DATA!G242,"AAAAAHvnvC0=")</f>
        <v>#VALUE!</v>
      </c>
      <c r="AU74" t="e">
        <f>AND(DATA!H242,"AAAAAHvnvC4=")</f>
        <v>#VALUE!</v>
      </c>
      <c r="AV74" t="e">
        <f>AND(DATA!I242,"AAAAAHvnvC8=")</f>
        <v>#VALUE!</v>
      </c>
      <c r="AW74" t="e">
        <f>AND(DATA!J242,"AAAAAHvnvDA=")</f>
        <v>#VALUE!</v>
      </c>
      <c r="AX74" t="e">
        <f>AND(DATA!K242,"AAAAAHvnvDE=")</f>
        <v>#VALUE!</v>
      </c>
      <c r="AY74" t="b">
        <f>AND(DATA!L243,"AAAAAHvnvDI=")</f>
        <v>1</v>
      </c>
      <c r="AZ74" t="b">
        <f>AND(DATA!M243,"AAAAAHvnvDM=")</f>
        <v>1</v>
      </c>
      <c r="BA74" t="b">
        <f>AND(DATA!N243,"AAAAAHvnvDQ=")</f>
        <v>1</v>
      </c>
      <c r="BB74" t="b">
        <f>AND(DATA!O243,"AAAAAHvnvDU=")</f>
        <v>1</v>
      </c>
      <c r="BC74" t="b">
        <f>AND(DATA!P243,"AAAAAHvnvDY=")</f>
        <v>1</v>
      </c>
      <c r="BD74" t="b">
        <f>AND(DATA!Q243,"AAAAAHvnvDc=")</f>
        <v>1</v>
      </c>
      <c r="BE74" t="b">
        <f>AND(DATA!R243,"AAAAAHvnvDg=")</f>
        <v>1</v>
      </c>
      <c r="BF74" t="b">
        <f>AND(DATA!S243,"AAAAAHvnvDk=")</f>
        <v>1</v>
      </c>
      <c r="BG74" t="b">
        <f>AND(DATA!T243,"AAAAAHvnvDo=")</f>
        <v>1</v>
      </c>
      <c r="BH74" t="b">
        <f>AND(DATA!U243,"AAAAAHvnvDs=")</f>
        <v>1</v>
      </c>
      <c r="BI74" t="b">
        <f>AND(DATA!V243,"AAAAAHvnvDw=")</f>
        <v>1</v>
      </c>
      <c r="BJ74" t="e">
        <f>AND(DATA!W242,"AAAAAHvnvD0=")</f>
        <v>#VALUE!</v>
      </c>
      <c r="BK74" t="e">
        <f>AND(DATA!X242,"AAAAAHvnvD4=")</f>
        <v>#VALUE!</v>
      </c>
      <c r="BL74" t="e">
        <f>AND(DATA!Y242,"AAAAAHvnvD8=")</f>
        <v>#VALUE!</v>
      </c>
      <c r="BM74">
        <f>IF(DATA!243:243,"AAAAAHvnvEA=",0)</f>
        <v>0</v>
      </c>
      <c r="BN74" t="e">
        <f>AND(DATA!A243,"AAAAAHvnvEE=")</f>
        <v>#VALUE!</v>
      </c>
      <c r="BO74" t="e">
        <f>AND(DATA!B243,"AAAAAHvnvEI=")</f>
        <v>#VALUE!</v>
      </c>
      <c r="BP74" t="e">
        <f>AND(DATA!C243,"AAAAAHvnvEM=")</f>
        <v>#VALUE!</v>
      </c>
      <c r="BQ74" t="e">
        <f>AND(DATA!D243,"AAAAAHvnvEQ=")</f>
        <v>#VALUE!</v>
      </c>
      <c r="BR74" t="e">
        <f>AND(DATA!E243,"AAAAAHvnvEU=")</f>
        <v>#VALUE!</v>
      </c>
      <c r="BS74" t="e">
        <f>AND(DATA!F243,"AAAAAHvnvEY=")</f>
        <v>#VALUE!</v>
      </c>
      <c r="BT74" t="e">
        <f>AND(DATA!G243,"AAAAAHvnvEc=")</f>
        <v>#VALUE!</v>
      </c>
      <c r="BU74" t="e">
        <f>AND(DATA!H243,"AAAAAHvnvEg=")</f>
        <v>#VALUE!</v>
      </c>
      <c r="BV74" t="e">
        <f>AND(DATA!I243,"AAAAAHvnvEk=")</f>
        <v>#VALUE!</v>
      </c>
      <c r="BW74" t="e">
        <f>AND(DATA!J243,"AAAAAHvnvEo=")</f>
        <v>#VALUE!</v>
      </c>
      <c r="BX74" t="e">
        <f>AND(DATA!K243,"AAAAAHvnvEs=")</f>
        <v>#VALUE!</v>
      </c>
      <c r="BY74" t="b">
        <f>AND(DATA!L244,"AAAAAHvnvEw=")</f>
        <v>1</v>
      </c>
      <c r="BZ74" t="b">
        <f>AND(DATA!M244,"AAAAAHvnvE0=")</f>
        <v>1</v>
      </c>
      <c r="CA74" t="b">
        <f>AND(DATA!N244,"AAAAAHvnvE4=")</f>
        <v>1</v>
      </c>
      <c r="CB74" t="b">
        <f>AND(DATA!O244,"AAAAAHvnvE8=")</f>
        <v>1</v>
      </c>
      <c r="CC74" t="b">
        <f>AND(DATA!P244,"AAAAAHvnvFA=")</f>
        <v>1</v>
      </c>
      <c r="CD74" t="b">
        <f>AND(DATA!Q244,"AAAAAHvnvFE=")</f>
        <v>1</v>
      </c>
      <c r="CE74" t="b">
        <f>AND(DATA!R244,"AAAAAHvnvFI=")</f>
        <v>1</v>
      </c>
      <c r="CF74" t="b">
        <f>AND(DATA!S244,"AAAAAHvnvFM=")</f>
        <v>1</v>
      </c>
      <c r="CG74" t="b">
        <f>AND(DATA!T244,"AAAAAHvnvFQ=")</f>
        <v>1</v>
      </c>
      <c r="CH74" t="b">
        <f>AND(DATA!U244,"AAAAAHvnvFU=")</f>
        <v>1</v>
      </c>
      <c r="CI74" t="b">
        <f>AND(DATA!V244,"AAAAAHvnvFY=")</f>
        <v>1</v>
      </c>
      <c r="CJ74" t="e">
        <f>AND(DATA!W243,"AAAAAHvnvFc=")</f>
        <v>#VALUE!</v>
      </c>
      <c r="CK74" t="e">
        <f>AND(DATA!X243,"AAAAAHvnvFg=")</f>
        <v>#VALUE!</v>
      </c>
      <c r="CL74" t="e">
        <f>AND(DATA!Y243,"AAAAAHvnvFk=")</f>
        <v>#VALUE!</v>
      </c>
      <c r="CM74">
        <f>IF(DATA!244:244,"AAAAAHvnvFo=",0)</f>
        <v>0</v>
      </c>
      <c r="CN74" t="e">
        <f>AND(DATA!A244,"AAAAAHvnvFs=")</f>
        <v>#VALUE!</v>
      </c>
      <c r="CO74" t="e">
        <f>AND(DATA!B244,"AAAAAHvnvFw=")</f>
        <v>#VALUE!</v>
      </c>
      <c r="CP74" t="e">
        <f>AND(DATA!C244,"AAAAAHvnvF0=")</f>
        <v>#VALUE!</v>
      </c>
      <c r="CQ74" t="e">
        <f>AND(DATA!D244,"AAAAAHvnvF4=")</f>
        <v>#VALUE!</v>
      </c>
      <c r="CR74" t="e">
        <f>AND(DATA!E244,"AAAAAHvnvF8=")</f>
        <v>#VALUE!</v>
      </c>
      <c r="CS74" t="e">
        <f>AND(DATA!F244,"AAAAAHvnvGA=")</f>
        <v>#VALUE!</v>
      </c>
      <c r="CT74" t="e">
        <f>AND(DATA!G244,"AAAAAHvnvGE=")</f>
        <v>#VALUE!</v>
      </c>
      <c r="CU74" t="e">
        <f>AND(DATA!H244,"AAAAAHvnvGI=")</f>
        <v>#VALUE!</v>
      </c>
      <c r="CV74" t="e">
        <f>AND(DATA!I244,"AAAAAHvnvGM=")</f>
        <v>#VALUE!</v>
      </c>
      <c r="CW74" t="e">
        <f>AND(DATA!J244,"AAAAAHvnvGQ=")</f>
        <v>#VALUE!</v>
      </c>
      <c r="CX74" t="e">
        <f>AND(DATA!K244,"AAAAAHvnvGU=")</f>
        <v>#VALUE!</v>
      </c>
      <c r="CY74" t="b">
        <f>AND(DATA!L245,"AAAAAHvnvGY=")</f>
        <v>1</v>
      </c>
      <c r="CZ74" t="b">
        <f>AND(DATA!M245,"AAAAAHvnvGc=")</f>
        <v>1</v>
      </c>
      <c r="DA74" t="b">
        <f>AND(DATA!N245,"AAAAAHvnvGg=")</f>
        <v>1</v>
      </c>
      <c r="DB74" t="b">
        <f>AND(DATA!O245,"AAAAAHvnvGk=")</f>
        <v>1</v>
      </c>
      <c r="DC74" t="b">
        <f>AND(DATA!P245,"AAAAAHvnvGo=")</f>
        <v>1</v>
      </c>
      <c r="DD74" t="b">
        <f>AND(DATA!Q245,"AAAAAHvnvGs=")</f>
        <v>1</v>
      </c>
      <c r="DE74" t="b">
        <f>AND(DATA!R245,"AAAAAHvnvGw=")</f>
        <v>1</v>
      </c>
      <c r="DF74" t="b">
        <f>AND(DATA!S245,"AAAAAHvnvG0=")</f>
        <v>1</v>
      </c>
      <c r="DG74" t="b">
        <f>AND(DATA!T245,"AAAAAHvnvG4=")</f>
        <v>1</v>
      </c>
      <c r="DH74" t="b">
        <f>AND(DATA!U245,"AAAAAHvnvG8=")</f>
        <v>1</v>
      </c>
      <c r="DI74" t="b">
        <f>AND(DATA!V245,"AAAAAHvnvHA=")</f>
        <v>1</v>
      </c>
      <c r="DJ74" t="e">
        <f>AND(DATA!W244,"AAAAAHvnvHE=")</f>
        <v>#VALUE!</v>
      </c>
      <c r="DK74" t="e">
        <f>AND(DATA!X244,"AAAAAHvnvHI=")</f>
        <v>#VALUE!</v>
      </c>
      <c r="DL74" t="e">
        <f>AND(DATA!Y244,"AAAAAHvnvHM=")</f>
        <v>#VALUE!</v>
      </c>
      <c r="DM74">
        <f>IF(DATA!245:245,"AAAAAHvnvHQ=",0)</f>
        <v>0</v>
      </c>
      <c r="DN74" t="e">
        <f>AND(DATA!A245,"AAAAAHvnvHU=")</f>
        <v>#VALUE!</v>
      </c>
      <c r="DO74" t="e">
        <f>AND(DATA!B245,"AAAAAHvnvHY=")</f>
        <v>#VALUE!</v>
      </c>
      <c r="DP74" t="e">
        <f>AND(DATA!C245,"AAAAAHvnvHc=")</f>
        <v>#VALUE!</v>
      </c>
      <c r="DQ74" t="e">
        <f>AND(DATA!D245,"AAAAAHvnvHg=")</f>
        <v>#VALUE!</v>
      </c>
      <c r="DR74" t="e">
        <f>AND(DATA!E245,"AAAAAHvnvHk=")</f>
        <v>#VALUE!</v>
      </c>
      <c r="DS74" t="e">
        <f>AND(DATA!F245,"AAAAAHvnvHo=")</f>
        <v>#VALUE!</v>
      </c>
      <c r="DT74" t="e">
        <f>AND(DATA!G245,"AAAAAHvnvHs=")</f>
        <v>#VALUE!</v>
      </c>
      <c r="DU74" t="e">
        <f>AND(DATA!H245,"AAAAAHvnvHw=")</f>
        <v>#VALUE!</v>
      </c>
      <c r="DV74" t="e">
        <f>AND(DATA!I245,"AAAAAHvnvH0=")</f>
        <v>#VALUE!</v>
      </c>
      <c r="DW74" t="e">
        <f>AND(DATA!J245,"AAAAAHvnvH4=")</f>
        <v>#VALUE!</v>
      </c>
      <c r="DX74" t="e">
        <f>AND(DATA!K245,"AAAAAHvnvH8=")</f>
        <v>#VALUE!</v>
      </c>
      <c r="DY74" t="b">
        <f>AND(DATA!L246,"AAAAAHvnvIA=")</f>
        <v>1</v>
      </c>
      <c r="DZ74" t="b">
        <f>AND(DATA!M246,"AAAAAHvnvIE=")</f>
        <v>1</v>
      </c>
      <c r="EA74" t="b">
        <f>AND(DATA!N246,"AAAAAHvnvII=")</f>
        <v>1</v>
      </c>
      <c r="EB74" t="b">
        <f>AND(DATA!O246,"AAAAAHvnvIM=")</f>
        <v>1</v>
      </c>
      <c r="EC74" t="b">
        <f>AND(DATA!P246,"AAAAAHvnvIQ=")</f>
        <v>1</v>
      </c>
      <c r="ED74" t="b">
        <f>AND(DATA!Q246,"AAAAAHvnvIU=")</f>
        <v>1</v>
      </c>
      <c r="EE74" t="b">
        <f>AND(DATA!R246,"AAAAAHvnvIY=")</f>
        <v>1</v>
      </c>
      <c r="EF74" t="b">
        <f>AND(DATA!S246,"AAAAAHvnvIc=")</f>
        <v>1</v>
      </c>
      <c r="EG74" t="b">
        <f>AND(DATA!T246,"AAAAAHvnvIg=")</f>
        <v>1</v>
      </c>
      <c r="EH74" t="b">
        <f>AND(DATA!U246,"AAAAAHvnvIk=")</f>
        <v>1</v>
      </c>
      <c r="EI74" t="b">
        <f>AND(DATA!V246,"AAAAAHvnvIo=")</f>
        <v>1</v>
      </c>
      <c r="EJ74" t="e">
        <f>AND(DATA!W245,"AAAAAHvnvIs=")</f>
        <v>#VALUE!</v>
      </c>
      <c r="EK74" t="e">
        <f>AND(DATA!X245,"AAAAAHvnvIw=")</f>
        <v>#VALUE!</v>
      </c>
      <c r="EL74" t="e">
        <f>AND(DATA!Y245,"AAAAAHvnvI0=")</f>
        <v>#VALUE!</v>
      </c>
      <c r="EM74">
        <f>IF(DATA!246:246,"AAAAAHvnvI4=",0)</f>
        <v>0</v>
      </c>
      <c r="EN74" t="e">
        <f>AND(DATA!A246,"AAAAAHvnvI8=")</f>
        <v>#VALUE!</v>
      </c>
      <c r="EO74" t="e">
        <f>AND(DATA!B246,"AAAAAHvnvJA=")</f>
        <v>#VALUE!</v>
      </c>
      <c r="EP74" t="e">
        <f>AND(DATA!C246,"AAAAAHvnvJE=")</f>
        <v>#VALUE!</v>
      </c>
      <c r="EQ74" t="e">
        <f>AND(DATA!D246,"AAAAAHvnvJI=")</f>
        <v>#VALUE!</v>
      </c>
      <c r="ER74" t="e">
        <f>AND(DATA!E246,"AAAAAHvnvJM=")</f>
        <v>#VALUE!</v>
      </c>
      <c r="ES74" t="e">
        <f>AND(DATA!F246,"AAAAAHvnvJQ=")</f>
        <v>#VALUE!</v>
      </c>
      <c r="ET74" t="e">
        <f>AND(DATA!G246,"AAAAAHvnvJU=")</f>
        <v>#VALUE!</v>
      </c>
      <c r="EU74" t="e">
        <f>AND(DATA!H246,"AAAAAHvnvJY=")</f>
        <v>#VALUE!</v>
      </c>
      <c r="EV74" t="e">
        <f>AND(DATA!I246,"AAAAAHvnvJc=")</f>
        <v>#VALUE!</v>
      </c>
      <c r="EW74" t="e">
        <f>AND(DATA!J246,"AAAAAHvnvJg=")</f>
        <v>#VALUE!</v>
      </c>
      <c r="EX74" t="e">
        <f>AND(DATA!K246,"AAAAAHvnvJk=")</f>
        <v>#VALUE!</v>
      </c>
      <c r="EY74" t="b">
        <f>AND(DATA!L247,"AAAAAHvnvJo=")</f>
        <v>1</v>
      </c>
      <c r="EZ74" t="b">
        <f>AND(DATA!M247,"AAAAAHvnvJs=")</f>
        <v>1</v>
      </c>
      <c r="FA74" t="b">
        <f>AND(DATA!N247,"AAAAAHvnvJw=")</f>
        <v>1</v>
      </c>
      <c r="FB74" t="b">
        <f>AND(DATA!O247,"AAAAAHvnvJ0=")</f>
        <v>1</v>
      </c>
      <c r="FC74" t="b">
        <f>AND(DATA!P247,"AAAAAHvnvJ4=")</f>
        <v>1</v>
      </c>
      <c r="FD74" t="b">
        <f>AND(DATA!Q247,"AAAAAHvnvJ8=")</f>
        <v>1</v>
      </c>
      <c r="FE74" t="b">
        <f>AND(DATA!R247,"AAAAAHvnvKA=")</f>
        <v>1</v>
      </c>
      <c r="FF74" t="b">
        <f>AND(DATA!S247,"AAAAAHvnvKE=")</f>
        <v>1</v>
      </c>
      <c r="FG74" t="b">
        <f>AND(DATA!T247,"AAAAAHvnvKI=")</f>
        <v>1</v>
      </c>
      <c r="FH74" t="b">
        <f>AND(DATA!U247,"AAAAAHvnvKM=")</f>
        <v>1</v>
      </c>
      <c r="FI74" t="b">
        <f>AND(DATA!V247,"AAAAAHvnvKQ=")</f>
        <v>1</v>
      </c>
      <c r="FJ74" t="e">
        <f>AND(DATA!W246,"AAAAAHvnvKU=")</f>
        <v>#VALUE!</v>
      </c>
      <c r="FK74" t="e">
        <f>AND(DATA!X246,"AAAAAHvnvKY=")</f>
        <v>#VALUE!</v>
      </c>
      <c r="FL74" t="e">
        <f>AND(DATA!Y246,"AAAAAHvnvKc=")</f>
        <v>#VALUE!</v>
      </c>
      <c r="FM74">
        <f>IF(DATA!247:247,"AAAAAHvnvKg=",0)</f>
        <v>0</v>
      </c>
      <c r="FN74" t="e">
        <f>AND(DATA!A247,"AAAAAHvnvKk=")</f>
        <v>#VALUE!</v>
      </c>
      <c r="FO74" t="e">
        <f>AND(DATA!B247,"AAAAAHvnvKo=")</f>
        <v>#VALUE!</v>
      </c>
      <c r="FP74" t="e">
        <f>AND(DATA!C247,"AAAAAHvnvKs=")</f>
        <v>#VALUE!</v>
      </c>
      <c r="FQ74" t="e">
        <f>AND(DATA!D247,"AAAAAHvnvKw=")</f>
        <v>#VALUE!</v>
      </c>
      <c r="FR74" t="e">
        <f>AND(DATA!E247,"AAAAAHvnvK0=")</f>
        <v>#VALUE!</v>
      </c>
      <c r="FS74" t="e">
        <f>AND(DATA!F247,"AAAAAHvnvK4=")</f>
        <v>#VALUE!</v>
      </c>
      <c r="FT74" t="e">
        <f>AND(DATA!G247,"AAAAAHvnvK8=")</f>
        <v>#VALUE!</v>
      </c>
      <c r="FU74" t="e">
        <f>AND(DATA!H247,"AAAAAHvnvLA=")</f>
        <v>#VALUE!</v>
      </c>
      <c r="FV74" t="e">
        <f>AND(DATA!I247,"AAAAAHvnvLE=")</f>
        <v>#VALUE!</v>
      </c>
      <c r="FW74" t="e">
        <f>AND(DATA!J247,"AAAAAHvnvLI=")</f>
        <v>#VALUE!</v>
      </c>
      <c r="FX74" t="e">
        <f>AND(DATA!K247,"AAAAAHvnvLM=")</f>
        <v>#VALUE!</v>
      </c>
      <c r="FY74" t="b">
        <f>AND(DATA!L248,"AAAAAHvnvLQ=")</f>
        <v>1</v>
      </c>
      <c r="FZ74" t="b">
        <f>AND(DATA!M248,"AAAAAHvnvLU=")</f>
        <v>1</v>
      </c>
      <c r="GA74" t="b">
        <f>AND(DATA!N248,"AAAAAHvnvLY=")</f>
        <v>1</v>
      </c>
      <c r="GB74" t="b">
        <f>AND(DATA!O248,"AAAAAHvnvLc=")</f>
        <v>1</v>
      </c>
      <c r="GC74" t="b">
        <f>AND(DATA!P248,"AAAAAHvnvLg=")</f>
        <v>1</v>
      </c>
      <c r="GD74" t="b">
        <f>AND(DATA!Q248,"AAAAAHvnvLk=")</f>
        <v>1</v>
      </c>
      <c r="GE74" t="b">
        <f>AND(DATA!R248,"AAAAAHvnvLo=")</f>
        <v>1</v>
      </c>
      <c r="GF74" t="b">
        <f>AND(DATA!S248,"AAAAAHvnvLs=")</f>
        <v>1</v>
      </c>
      <c r="GG74" t="b">
        <f>AND(DATA!T248,"AAAAAHvnvLw=")</f>
        <v>1</v>
      </c>
      <c r="GH74" t="b">
        <f>AND(DATA!U248,"AAAAAHvnvL0=")</f>
        <v>1</v>
      </c>
      <c r="GI74" t="b">
        <f>AND(DATA!V248,"AAAAAHvnvL4=")</f>
        <v>1</v>
      </c>
      <c r="GJ74" t="e">
        <f>AND(DATA!W247,"AAAAAHvnvL8=")</f>
        <v>#VALUE!</v>
      </c>
      <c r="GK74" t="e">
        <f>AND(DATA!X247,"AAAAAHvnvMA=")</f>
        <v>#VALUE!</v>
      </c>
      <c r="GL74" t="e">
        <f>AND(DATA!Y247,"AAAAAHvnvME=")</f>
        <v>#VALUE!</v>
      </c>
      <c r="GM74">
        <f>IF(DATA!248:248,"AAAAAHvnvMI=",0)</f>
        <v>0</v>
      </c>
      <c r="GN74" t="e">
        <f>AND(DATA!A248,"AAAAAHvnvMM=")</f>
        <v>#VALUE!</v>
      </c>
      <c r="GO74" t="e">
        <f>AND(DATA!B248,"AAAAAHvnvMQ=")</f>
        <v>#VALUE!</v>
      </c>
      <c r="GP74" t="e">
        <f>AND(DATA!C248,"AAAAAHvnvMU=")</f>
        <v>#VALUE!</v>
      </c>
      <c r="GQ74" t="e">
        <f>AND(DATA!D248,"AAAAAHvnvMY=")</f>
        <v>#VALUE!</v>
      </c>
      <c r="GR74" t="e">
        <f>AND(DATA!E248,"AAAAAHvnvMc=")</f>
        <v>#VALUE!</v>
      </c>
      <c r="GS74" t="e">
        <f>AND(DATA!F248,"AAAAAHvnvMg=")</f>
        <v>#VALUE!</v>
      </c>
      <c r="GT74" t="e">
        <f>AND(DATA!G248,"AAAAAHvnvMk=")</f>
        <v>#VALUE!</v>
      </c>
      <c r="GU74" t="e">
        <f>AND(DATA!H248,"AAAAAHvnvMo=")</f>
        <v>#VALUE!</v>
      </c>
      <c r="GV74" t="e">
        <f>AND(DATA!I248,"AAAAAHvnvMs=")</f>
        <v>#VALUE!</v>
      </c>
      <c r="GW74" t="e">
        <f>AND(DATA!J248,"AAAAAHvnvMw=")</f>
        <v>#VALUE!</v>
      </c>
      <c r="GX74" t="e">
        <f>AND(DATA!K248,"AAAAAHvnvM0=")</f>
        <v>#VALUE!</v>
      </c>
      <c r="GY74" t="b">
        <f>AND(DATA!L249,"AAAAAHvnvM4=")</f>
        <v>1</v>
      </c>
      <c r="GZ74" t="b">
        <f>AND(DATA!M249,"AAAAAHvnvM8=")</f>
        <v>1</v>
      </c>
      <c r="HA74" t="b">
        <f>AND(DATA!N249,"AAAAAHvnvNA=")</f>
        <v>1</v>
      </c>
      <c r="HB74" t="b">
        <f>AND(DATA!O249,"AAAAAHvnvNE=")</f>
        <v>1</v>
      </c>
      <c r="HC74" t="b">
        <f>AND(DATA!P249,"AAAAAHvnvNI=")</f>
        <v>1</v>
      </c>
      <c r="HD74" t="b">
        <f>AND(DATA!Q249,"AAAAAHvnvNM=")</f>
        <v>1</v>
      </c>
      <c r="HE74" t="b">
        <f>AND(DATA!R249,"AAAAAHvnvNQ=")</f>
        <v>1</v>
      </c>
      <c r="HF74" t="b">
        <f>AND(DATA!S249,"AAAAAHvnvNU=")</f>
        <v>1</v>
      </c>
      <c r="HG74" t="b">
        <f>AND(DATA!T249,"AAAAAHvnvNY=")</f>
        <v>1</v>
      </c>
      <c r="HH74" t="b">
        <f>AND(DATA!U249,"AAAAAHvnvNc=")</f>
        <v>1</v>
      </c>
      <c r="HI74" t="b">
        <f>AND(DATA!V249,"AAAAAHvnvNg=")</f>
        <v>1</v>
      </c>
      <c r="HJ74" t="e">
        <f>AND(DATA!W248,"AAAAAHvnvNk=")</f>
        <v>#VALUE!</v>
      </c>
      <c r="HK74" t="e">
        <f>AND(DATA!X248,"AAAAAHvnvNo=")</f>
        <v>#VALUE!</v>
      </c>
      <c r="HL74" t="e">
        <f>AND(DATA!Y248,"AAAAAHvnvNs=")</f>
        <v>#VALUE!</v>
      </c>
      <c r="HM74">
        <f>IF(DATA!249:249,"AAAAAHvnvNw=",0)</f>
        <v>0</v>
      </c>
      <c r="HN74" t="e">
        <f>AND(DATA!A249,"AAAAAHvnvN0=")</f>
        <v>#VALUE!</v>
      </c>
      <c r="HO74" t="e">
        <f>AND(DATA!B249,"AAAAAHvnvN4=")</f>
        <v>#VALUE!</v>
      </c>
      <c r="HP74" t="e">
        <f>AND(DATA!C249,"AAAAAHvnvN8=")</f>
        <v>#VALUE!</v>
      </c>
      <c r="HQ74" t="e">
        <f>AND(DATA!D249,"AAAAAHvnvOA=")</f>
        <v>#VALUE!</v>
      </c>
      <c r="HR74" t="e">
        <f>AND(DATA!E249,"AAAAAHvnvOE=")</f>
        <v>#VALUE!</v>
      </c>
      <c r="HS74" t="e">
        <f>AND(DATA!F249,"AAAAAHvnvOI=")</f>
        <v>#VALUE!</v>
      </c>
      <c r="HT74" t="e">
        <f>AND(DATA!G249,"AAAAAHvnvOM=")</f>
        <v>#VALUE!</v>
      </c>
      <c r="HU74" t="e">
        <f>AND(DATA!H249,"AAAAAHvnvOQ=")</f>
        <v>#VALUE!</v>
      </c>
      <c r="HV74" t="e">
        <f>AND(DATA!I249,"AAAAAHvnvOU=")</f>
        <v>#VALUE!</v>
      </c>
      <c r="HW74" t="e">
        <f>AND(DATA!J249,"AAAAAHvnvOY=")</f>
        <v>#VALUE!</v>
      </c>
      <c r="HX74" t="e">
        <f>AND(DATA!K249,"AAAAAHvnvOc=")</f>
        <v>#VALUE!</v>
      </c>
      <c r="HY74" t="b">
        <f>AND(DATA!L250,"AAAAAHvnvOg=")</f>
        <v>1</v>
      </c>
      <c r="HZ74" t="b">
        <f>AND(DATA!M250,"AAAAAHvnvOk=")</f>
        <v>1</v>
      </c>
      <c r="IA74" t="b">
        <f>AND(DATA!N250,"AAAAAHvnvOo=")</f>
        <v>1</v>
      </c>
      <c r="IB74" t="b">
        <f>AND(DATA!O250,"AAAAAHvnvOs=")</f>
        <v>1</v>
      </c>
      <c r="IC74" t="b">
        <f>AND(DATA!P250,"AAAAAHvnvOw=")</f>
        <v>1</v>
      </c>
      <c r="ID74" t="b">
        <f>AND(DATA!Q250,"AAAAAHvnvO0=")</f>
        <v>1</v>
      </c>
      <c r="IE74" t="b">
        <f>AND(DATA!R250,"AAAAAHvnvO4=")</f>
        <v>1</v>
      </c>
      <c r="IF74" t="b">
        <f>AND(DATA!S250,"AAAAAHvnvO8=")</f>
        <v>1</v>
      </c>
      <c r="IG74" t="b">
        <f>AND(DATA!T250,"AAAAAHvnvPA=")</f>
        <v>1</v>
      </c>
      <c r="IH74" t="b">
        <f>AND(DATA!U250,"AAAAAHvnvPE=")</f>
        <v>1</v>
      </c>
      <c r="II74" t="b">
        <f>AND(DATA!V250,"AAAAAHvnvPI=")</f>
        <v>1</v>
      </c>
      <c r="IJ74" t="e">
        <f>AND(DATA!W249,"AAAAAHvnvPM=")</f>
        <v>#VALUE!</v>
      </c>
      <c r="IK74" t="e">
        <f>AND(DATA!X249,"AAAAAHvnvPQ=")</f>
        <v>#VALUE!</v>
      </c>
      <c r="IL74" t="e">
        <f>AND(DATA!Y249,"AAAAAHvnvPU=")</f>
        <v>#VALUE!</v>
      </c>
      <c r="IM74">
        <f>IF(DATA!250:250,"AAAAAHvnvPY=",0)</f>
        <v>0</v>
      </c>
      <c r="IN74" t="e">
        <f>AND(DATA!A250,"AAAAAHvnvPc=")</f>
        <v>#VALUE!</v>
      </c>
      <c r="IO74" t="e">
        <f>AND(DATA!B250,"AAAAAHvnvPg=")</f>
        <v>#VALUE!</v>
      </c>
      <c r="IP74" t="e">
        <f>AND(DATA!C250,"AAAAAHvnvPk=")</f>
        <v>#VALUE!</v>
      </c>
      <c r="IQ74" t="e">
        <f>AND(DATA!D250,"AAAAAHvnvPo=")</f>
        <v>#VALUE!</v>
      </c>
      <c r="IR74" t="e">
        <f>AND(DATA!E250,"AAAAAHvnvPs=")</f>
        <v>#VALUE!</v>
      </c>
      <c r="IS74" t="e">
        <f>AND(DATA!F250,"AAAAAHvnvPw=")</f>
        <v>#VALUE!</v>
      </c>
      <c r="IT74" t="e">
        <f>AND(DATA!G250,"AAAAAHvnvP0=")</f>
        <v>#VALUE!</v>
      </c>
      <c r="IU74" t="e">
        <f>AND(DATA!H250,"AAAAAHvnvP4=")</f>
        <v>#VALUE!</v>
      </c>
      <c r="IV74" t="e">
        <f>AND(DATA!I250,"AAAAAHvnvP8=")</f>
        <v>#VALUE!</v>
      </c>
    </row>
    <row r="75" spans="1:256" x14ac:dyDescent="0.25">
      <c r="A75" t="e">
        <f>AND(DATA!J250,"AAAAAG//bQA=")</f>
        <v>#VALUE!</v>
      </c>
      <c r="B75" t="e">
        <f>AND(DATA!K250,"AAAAAG//bQE=")</f>
        <v>#VALUE!</v>
      </c>
      <c r="C75" t="b">
        <f>AND(DATA!L251,"AAAAAG//bQI=")</f>
        <v>1</v>
      </c>
      <c r="D75" t="b">
        <f>AND(DATA!M251,"AAAAAG//bQM=")</f>
        <v>1</v>
      </c>
      <c r="E75" t="b">
        <f>AND(DATA!N251,"AAAAAG//bQQ=")</f>
        <v>1</v>
      </c>
      <c r="F75" t="b">
        <f>AND(DATA!O251,"AAAAAG//bQU=")</f>
        <v>1</v>
      </c>
      <c r="G75" t="b">
        <f>AND(DATA!P251,"AAAAAG//bQY=")</f>
        <v>1</v>
      </c>
      <c r="H75" t="b">
        <f>AND(DATA!Q251,"AAAAAG//bQc=")</f>
        <v>1</v>
      </c>
      <c r="I75" t="b">
        <f>AND(DATA!R251,"AAAAAG//bQg=")</f>
        <v>1</v>
      </c>
      <c r="J75" t="b">
        <f>AND(DATA!S251,"AAAAAG//bQk=")</f>
        <v>1</v>
      </c>
      <c r="K75" t="b">
        <f>AND(DATA!T251,"AAAAAG//bQo=")</f>
        <v>1</v>
      </c>
      <c r="L75" t="b">
        <f>AND(DATA!U251,"AAAAAG//bQs=")</f>
        <v>1</v>
      </c>
      <c r="M75" t="b">
        <f>AND(DATA!V251,"AAAAAG//bQw=")</f>
        <v>1</v>
      </c>
      <c r="N75" t="e">
        <f>AND(DATA!W250,"AAAAAG//bQ0=")</f>
        <v>#VALUE!</v>
      </c>
      <c r="O75" t="e">
        <f>AND(DATA!X250,"AAAAAG//bQ4=")</f>
        <v>#VALUE!</v>
      </c>
      <c r="P75" t="e">
        <f>AND(DATA!Y250,"AAAAAG//bQ8=")</f>
        <v>#VALUE!</v>
      </c>
      <c r="Q75" t="str">
        <f>IF(DATA!251:251,"AAAAAG//bRA=",0)</f>
        <v>AAAAAG//bRA=</v>
      </c>
      <c r="R75" t="e">
        <f>AND(DATA!A251,"AAAAAG//bRE=")</f>
        <v>#VALUE!</v>
      </c>
      <c r="S75" t="e">
        <f>AND(DATA!B251,"AAAAAG//bRI=")</f>
        <v>#VALUE!</v>
      </c>
      <c r="T75" t="e">
        <f>AND(DATA!C251,"AAAAAG//bRM=")</f>
        <v>#VALUE!</v>
      </c>
      <c r="U75" t="e">
        <f>AND(DATA!D251,"AAAAAG//bRQ=")</f>
        <v>#VALUE!</v>
      </c>
      <c r="V75" t="e">
        <f>AND(DATA!E251,"AAAAAG//bRU=")</f>
        <v>#VALUE!</v>
      </c>
      <c r="W75" t="e">
        <f>AND(DATA!F251,"AAAAAG//bRY=")</f>
        <v>#VALUE!</v>
      </c>
      <c r="X75" t="e">
        <f>AND(DATA!G251,"AAAAAG//bRc=")</f>
        <v>#VALUE!</v>
      </c>
      <c r="Y75" t="e">
        <f>AND(DATA!H251,"AAAAAG//bRg=")</f>
        <v>#VALUE!</v>
      </c>
      <c r="Z75" t="e">
        <f>AND(DATA!I251,"AAAAAG//bRk=")</f>
        <v>#VALUE!</v>
      </c>
      <c r="AA75" t="e">
        <f>AND(DATA!J251,"AAAAAG//bRo=")</f>
        <v>#VALUE!</v>
      </c>
      <c r="AB75" t="e">
        <f>AND(DATA!K251,"AAAAAG//bRs=")</f>
        <v>#VALUE!</v>
      </c>
      <c r="AC75" t="b">
        <f>AND(DATA!L252,"AAAAAG//bRw=")</f>
        <v>1</v>
      </c>
      <c r="AD75" t="b">
        <f>AND(DATA!M252,"AAAAAG//bR0=")</f>
        <v>1</v>
      </c>
      <c r="AE75" t="b">
        <f>AND(DATA!N252,"AAAAAG//bR4=")</f>
        <v>1</v>
      </c>
      <c r="AF75" t="b">
        <f>AND(DATA!O252,"AAAAAG//bR8=")</f>
        <v>1</v>
      </c>
      <c r="AG75" t="b">
        <f>AND(DATA!P252,"AAAAAG//bSA=")</f>
        <v>1</v>
      </c>
      <c r="AH75" t="b">
        <f>AND(DATA!Q252,"AAAAAG//bSE=")</f>
        <v>1</v>
      </c>
      <c r="AI75" t="b">
        <f>AND(DATA!R252,"AAAAAG//bSI=")</f>
        <v>1</v>
      </c>
      <c r="AJ75" t="b">
        <f>AND(DATA!S252,"AAAAAG//bSM=")</f>
        <v>1</v>
      </c>
      <c r="AK75" t="b">
        <f>AND(DATA!T252,"AAAAAG//bSQ=")</f>
        <v>1</v>
      </c>
      <c r="AL75" t="b">
        <f>AND(DATA!U252,"AAAAAG//bSU=")</f>
        <v>1</v>
      </c>
      <c r="AM75" t="b">
        <f>AND(DATA!V252,"AAAAAG//bSY=")</f>
        <v>1</v>
      </c>
      <c r="AN75" t="e">
        <f>AND(DATA!W251,"AAAAAG//bSc=")</f>
        <v>#VALUE!</v>
      </c>
      <c r="AO75" t="e">
        <f>AND(DATA!X251,"AAAAAG//bSg=")</f>
        <v>#VALUE!</v>
      </c>
      <c r="AP75" t="e">
        <f>AND(DATA!Y251,"AAAAAG//bSk=")</f>
        <v>#VALUE!</v>
      </c>
      <c r="AQ75">
        <f>IF(DATA!252:252,"AAAAAG//bSo=",0)</f>
        <v>0</v>
      </c>
      <c r="AR75" t="e">
        <f>AND(DATA!A252,"AAAAAG//bSs=")</f>
        <v>#VALUE!</v>
      </c>
      <c r="AS75" t="e">
        <f>AND(DATA!B252,"AAAAAG//bSw=")</f>
        <v>#VALUE!</v>
      </c>
      <c r="AT75" t="e">
        <f>AND(DATA!C252,"AAAAAG//bS0=")</f>
        <v>#VALUE!</v>
      </c>
      <c r="AU75" t="e">
        <f>AND(DATA!D252,"AAAAAG//bS4=")</f>
        <v>#VALUE!</v>
      </c>
      <c r="AV75" t="e">
        <f>AND(DATA!E252,"AAAAAG//bS8=")</f>
        <v>#VALUE!</v>
      </c>
      <c r="AW75" t="e">
        <f>AND(DATA!F252,"AAAAAG//bTA=")</f>
        <v>#VALUE!</v>
      </c>
      <c r="AX75" t="e">
        <f>AND(DATA!G252,"AAAAAG//bTE=")</f>
        <v>#VALUE!</v>
      </c>
      <c r="AY75" t="e">
        <f>AND(DATA!H252,"AAAAAG//bTI=")</f>
        <v>#VALUE!</v>
      </c>
      <c r="AZ75" t="e">
        <f>AND(DATA!I252,"AAAAAG//bTM=")</f>
        <v>#VALUE!</v>
      </c>
      <c r="BA75" t="e">
        <f>AND(DATA!J252,"AAAAAG//bTQ=")</f>
        <v>#VALUE!</v>
      </c>
      <c r="BB75" t="e">
        <f>AND(DATA!K252,"AAAAAG//bTU=")</f>
        <v>#VALUE!</v>
      </c>
      <c r="BC75" t="b">
        <f>AND(DATA!L253,"AAAAAG//bTY=")</f>
        <v>1</v>
      </c>
      <c r="BD75" t="b">
        <f>AND(DATA!M253,"AAAAAG//bTc=")</f>
        <v>1</v>
      </c>
      <c r="BE75" t="b">
        <f>AND(DATA!N253,"AAAAAG//bTg=")</f>
        <v>1</v>
      </c>
      <c r="BF75" t="b">
        <f>AND(DATA!O253,"AAAAAG//bTk=")</f>
        <v>1</v>
      </c>
      <c r="BG75" t="b">
        <f>AND(DATA!P253,"AAAAAG//bTo=")</f>
        <v>1</v>
      </c>
      <c r="BH75" t="b">
        <f>AND(DATA!Q253,"AAAAAG//bTs=")</f>
        <v>1</v>
      </c>
      <c r="BI75" t="b">
        <f>AND(DATA!R253,"AAAAAG//bTw=")</f>
        <v>1</v>
      </c>
      <c r="BJ75" t="b">
        <f>AND(DATA!S253,"AAAAAG//bT0=")</f>
        <v>1</v>
      </c>
      <c r="BK75" t="b">
        <f>AND(DATA!T253,"AAAAAG//bT4=")</f>
        <v>1</v>
      </c>
      <c r="BL75" t="b">
        <f>AND(DATA!U253,"AAAAAG//bT8=")</f>
        <v>1</v>
      </c>
      <c r="BM75" t="b">
        <f>AND(DATA!V253,"AAAAAG//bUA=")</f>
        <v>1</v>
      </c>
      <c r="BN75" t="e">
        <f>AND(DATA!W252,"AAAAAG//bUE=")</f>
        <v>#VALUE!</v>
      </c>
      <c r="BO75" t="e">
        <f>AND(DATA!X252,"AAAAAG//bUI=")</f>
        <v>#VALUE!</v>
      </c>
      <c r="BP75" t="e">
        <f>AND(DATA!Y252,"AAAAAG//bUM=")</f>
        <v>#VALUE!</v>
      </c>
      <c r="BQ75">
        <f>IF(DATA!253:253,"AAAAAG//bUQ=",0)</f>
        <v>0</v>
      </c>
      <c r="BR75" t="e">
        <f>AND(DATA!A253,"AAAAAG//bUU=")</f>
        <v>#VALUE!</v>
      </c>
      <c r="BS75" t="e">
        <f>AND(DATA!B253,"AAAAAG//bUY=")</f>
        <v>#VALUE!</v>
      </c>
      <c r="BT75" t="e">
        <f>AND(DATA!C253,"AAAAAG//bUc=")</f>
        <v>#VALUE!</v>
      </c>
      <c r="BU75" t="e">
        <f>AND(DATA!D253,"AAAAAG//bUg=")</f>
        <v>#VALUE!</v>
      </c>
      <c r="BV75" t="e">
        <f>AND(DATA!E253,"AAAAAG//bUk=")</f>
        <v>#VALUE!</v>
      </c>
      <c r="BW75" t="e">
        <f>AND(DATA!F253,"AAAAAG//bUo=")</f>
        <v>#VALUE!</v>
      </c>
      <c r="BX75" t="e">
        <f>AND(DATA!G253,"AAAAAG//bUs=")</f>
        <v>#VALUE!</v>
      </c>
      <c r="BY75" t="e">
        <f>AND(DATA!H253,"AAAAAG//bUw=")</f>
        <v>#VALUE!</v>
      </c>
      <c r="BZ75" t="e">
        <f>AND(DATA!I253,"AAAAAG//bU0=")</f>
        <v>#VALUE!</v>
      </c>
      <c r="CA75" t="e">
        <f>AND(DATA!J253,"AAAAAG//bU4=")</f>
        <v>#VALUE!</v>
      </c>
      <c r="CB75" t="e">
        <f>AND(DATA!K253,"AAAAAG//bU8=")</f>
        <v>#VALUE!</v>
      </c>
      <c r="CC75" t="b">
        <f>AND(DATA!L254,"AAAAAG//bVA=")</f>
        <v>1</v>
      </c>
      <c r="CD75" t="b">
        <f>AND(DATA!M254,"AAAAAG//bVE=")</f>
        <v>1</v>
      </c>
      <c r="CE75" t="b">
        <f>AND(DATA!N254,"AAAAAG//bVI=")</f>
        <v>1</v>
      </c>
      <c r="CF75" t="b">
        <f>AND(DATA!O254,"AAAAAG//bVM=")</f>
        <v>1</v>
      </c>
      <c r="CG75" t="b">
        <f>AND(DATA!P254,"AAAAAG//bVQ=")</f>
        <v>1</v>
      </c>
      <c r="CH75" t="b">
        <f>AND(DATA!Q254,"AAAAAG//bVU=")</f>
        <v>1</v>
      </c>
      <c r="CI75" t="b">
        <f>AND(DATA!R254,"AAAAAG//bVY=")</f>
        <v>1</v>
      </c>
      <c r="CJ75" t="b">
        <f>AND(DATA!S254,"AAAAAG//bVc=")</f>
        <v>1</v>
      </c>
      <c r="CK75" t="b">
        <f>AND(DATA!T254,"AAAAAG//bVg=")</f>
        <v>1</v>
      </c>
      <c r="CL75" t="b">
        <f>AND(DATA!U254,"AAAAAG//bVk=")</f>
        <v>1</v>
      </c>
      <c r="CM75" t="b">
        <f>AND(DATA!V254,"AAAAAG//bVo=")</f>
        <v>1</v>
      </c>
      <c r="CN75" t="e">
        <f>AND(DATA!W253,"AAAAAG//bVs=")</f>
        <v>#VALUE!</v>
      </c>
      <c r="CO75" t="e">
        <f>AND(DATA!X253,"AAAAAG//bVw=")</f>
        <v>#VALUE!</v>
      </c>
      <c r="CP75" t="e">
        <f>AND(DATA!Y253,"AAAAAG//bV0=")</f>
        <v>#VALUE!</v>
      </c>
      <c r="CQ75">
        <f>IF(DATA!254:254,"AAAAAG//bV4=",0)</f>
        <v>0</v>
      </c>
      <c r="CR75" t="e">
        <f>AND(DATA!A254,"AAAAAG//bV8=")</f>
        <v>#VALUE!</v>
      </c>
      <c r="CS75" t="e">
        <f>AND(DATA!B254,"AAAAAG//bWA=")</f>
        <v>#VALUE!</v>
      </c>
      <c r="CT75" t="e">
        <f>AND(DATA!C254,"AAAAAG//bWE=")</f>
        <v>#VALUE!</v>
      </c>
      <c r="CU75" t="e">
        <f>AND(DATA!D254,"AAAAAG//bWI=")</f>
        <v>#VALUE!</v>
      </c>
      <c r="CV75" t="e">
        <f>AND(DATA!E254,"AAAAAG//bWM=")</f>
        <v>#VALUE!</v>
      </c>
      <c r="CW75" t="e">
        <f>AND(DATA!F254,"AAAAAG//bWQ=")</f>
        <v>#VALUE!</v>
      </c>
      <c r="CX75" t="e">
        <f>AND(DATA!G254,"AAAAAG//bWU=")</f>
        <v>#VALUE!</v>
      </c>
      <c r="CY75" t="e">
        <f>AND(DATA!H254,"AAAAAG//bWY=")</f>
        <v>#VALUE!</v>
      </c>
      <c r="CZ75" t="e">
        <f>AND(DATA!I254,"AAAAAG//bWc=")</f>
        <v>#VALUE!</v>
      </c>
      <c r="DA75" t="e">
        <f>AND(DATA!J254,"AAAAAG//bWg=")</f>
        <v>#VALUE!</v>
      </c>
      <c r="DB75" t="e">
        <f>AND(DATA!K254,"AAAAAG//bWk=")</f>
        <v>#VALUE!</v>
      </c>
      <c r="DC75" t="b">
        <f>AND(DATA!L255,"AAAAAG//bWo=")</f>
        <v>1</v>
      </c>
      <c r="DD75" t="b">
        <f>AND(DATA!M255,"AAAAAG//bWs=")</f>
        <v>1</v>
      </c>
      <c r="DE75" t="b">
        <f>AND(DATA!N255,"AAAAAG//bWw=")</f>
        <v>1</v>
      </c>
      <c r="DF75" t="b">
        <f>AND(DATA!O255,"AAAAAG//bW0=")</f>
        <v>1</v>
      </c>
      <c r="DG75" t="b">
        <f>AND(DATA!P255,"AAAAAG//bW4=")</f>
        <v>1</v>
      </c>
      <c r="DH75" t="b">
        <f>AND(DATA!Q255,"AAAAAG//bW8=")</f>
        <v>1</v>
      </c>
      <c r="DI75" t="b">
        <f>AND(DATA!R255,"AAAAAG//bXA=")</f>
        <v>1</v>
      </c>
      <c r="DJ75" t="b">
        <f>AND(DATA!S255,"AAAAAG//bXE=")</f>
        <v>1</v>
      </c>
      <c r="DK75" t="b">
        <f>AND(DATA!T255,"AAAAAG//bXI=")</f>
        <v>1</v>
      </c>
      <c r="DL75" t="b">
        <f>AND(DATA!U255,"AAAAAG//bXM=")</f>
        <v>1</v>
      </c>
      <c r="DM75" t="b">
        <f>AND(DATA!V255,"AAAAAG//bXQ=")</f>
        <v>1</v>
      </c>
      <c r="DN75" t="e">
        <f>AND(DATA!W254,"AAAAAG//bXU=")</f>
        <v>#VALUE!</v>
      </c>
      <c r="DO75" t="e">
        <f>AND(DATA!X254,"AAAAAG//bXY=")</f>
        <v>#VALUE!</v>
      </c>
      <c r="DP75" t="e">
        <f>AND(DATA!Y254,"AAAAAG//bXc=")</f>
        <v>#VALUE!</v>
      </c>
      <c r="DQ75">
        <f>IF(DATA!255:255,"AAAAAG//bXg=",0)</f>
        <v>0</v>
      </c>
      <c r="DR75" t="e">
        <f>AND(DATA!A255,"AAAAAG//bXk=")</f>
        <v>#VALUE!</v>
      </c>
      <c r="DS75" t="e">
        <f>AND(DATA!B255,"AAAAAG//bXo=")</f>
        <v>#VALUE!</v>
      </c>
      <c r="DT75" t="e">
        <f>AND(DATA!C255,"AAAAAG//bXs=")</f>
        <v>#VALUE!</v>
      </c>
      <c r="DU75" t="e">
        <f>AND(DATA!D255,"AAAAAG//bXw=")</f>
        <v>#VALUE!</v>
      </c>
      <c r="DV75" t="e">
        <f>AND(DATA!E255,"AAAAAG//bX0=")</f>
        <v>#VALUE!</v>
      </c>
      <c r="DW75" t="e">
        <f>AND(DATA!F255,"AAAAAG//bX4=")</f>
        <v>#VALUE!</v>
      </c>
      <c r="DX75" t="e">
        <f>AND(DATA!G255,"AAAAAG//bX8=")</f>
        <v>#VALUE!</v>
      </c>
      <c r="DY75" t="e">
        <f>AND(DATA!H255,"AAAAAG//bYA=")</f>
        <v>#VALUE!</v>
      </c>
      <c r="DZ75" t="e">
        <f>AND(DATA!I255,"AAAAAG//bYE=")</f>
        <v>#VALUE!</v>
      </c>
      <c r="EA75" t="e">
        <f>AND(DATA!J255,"AAAAAG//bYI=")</f>
        <v>#VALUE!</v>
      </c>
      <c r="EB75" t="e">
        <f>AND(DATA!K255,"AAAAAG//bYM=")</f>
        <v>#VALUE!</v>
      </c>
      <c r="EC75" t="b">
        <f>AND(DATA!L256,"AAAAAG//bYQ=")</f>
        <v>1</v>
      </c>
      <c r="ED75" t="b">
        <f>AND(DATA!M256,"AAAAAG//bYU=")</f>
        <v>1</v>
      </c>
      <c r="EE75" t="b">
        <f>AND(DATA!N256,"AAAAAG//bYY=")</f>
        <v>1</v>
      </c>
      <c r="EF75" t="b">
        <f>AND(DATA!O256,"AAAAAG//bYc=")</f>
        <v>1</v>
      </c>
      <c r="EG75" t="b">
        <f>AND(DATA!P256,"AAAAAG//bYg=")</f>
        <v>1</v>
      </c>
      <c r="EH75" t="b">
        <f>AND(DATA!Q256,"AAAAAG//bYk=")</f>
        <v>1</v>
      </c>
      <c r="EI75" t="b">
        <f>AND(DATA!R256,"AAAAAG//bYo=")</f>
        <v>1</v>
      </c>
      <c r="EJ75" t="b">
        <f>AND(DATA!S256,"AAAAAG//bYs=")</f>
        <v>1</v>
      </c>
      <c r="EK75" t="b">
        <f>AND(DATA!T256,"AAAAAG//bYw=")</f>
        <v>1</v>
      </c>
      <c r="EL75" t="b">
        <f>AND(DATA!U256,"AAAAAG//bY0=")</f>
        <v>1</v>
      </c>
      <c r="EM75" t="b">
        <f>AND(DATA!V256,"AAAAAG//bY4=")</f>
        <v>1</v>
      </c>
      <c r="EN75" t="e">
        <f>AND(DATA!W255,"AAAAAG//bY8=")</f>
        <v>#VALUE!</v>
      </c>
      <c r="EO75" t="e">
        <f>AND(DATA!X255,"AAAAAG//bZA=")</f>
        <v>#VALUE!</v>
      </c>
      <c r="EP75" t="e">
        <f>AND(DATA!Y255,"AAAAAG//bZE=")</f>
        <v>#VALUE!</v>
      </c>
      <c r="EQ75">
        <f>IF(DATA!256:256,"AAAAAG//bZI=",0)</f>
        <v>0</v>
      </c>
      <c r="ER75" t="e">
        <f>AND(DATA!A256,"AAAAAG//bZM=")</f>
        <v>#VALUE!</v>
      </c>
      <c r="ES75" t="e">
        <f>AND(DATA!B256,"AAAAAG//bZQ=")</f>
        <v>#VALUE!</v>
      </c>
      <c r="ET75" t="e">
        <f>AND(DATA!C256,"AAAAAG//bZU=")</f>
        <v>#VALUE!</v>
      </c>
      <c r="EU75" t="e">
        <f>AND(DATA!D256,"AAAAAG//bZY=")</f>
        <v>#VALUE!</v>
      </c>
      <c r="EV75" t="e">
        <f>AND(DATA!E256,"AAAAAG//bZc=")</f>
        <v>#VALUE!</v>
      </c>
      <c r="EW75" t="e">
        <f>AND(DATA!F256,"AAAAAG//bZg=")</f>
        <v>#VALUE!</v>
      </c>
      <c r="EX75" t="e">
        <f>AND(DATA!G256,"AAAAAG//bZk=")</f>
        <v>#VALUE!</v>
      </c>
      <c r="EY75" t="e">
        <f>AND(DATA!H256,"AAAAAG//bZo=")</f>
        <v>#VALUE!</v>
      </c>
      <c r="EZ75" t="e">
        <f>AND(DATA!I256,"AAAAAG//bZs=")</f>
        <v>#VALUE!</v>
      </c>
      <c r="FA75" t="e">
        <f>AND(DATA!J256,"AAAAAG//bZw=")</f>
        <v>#VALUE!</v>
      </c>
      <c r="FB75" t="e">
        <f>AND(DATA!K256,"AAAAAG//bZ0=")</f>
        <v>#VALUE!</v>
      </c>
      <c r="FC75" t="b">
        <f>AND(DATA!L257,"AAAAAG//bZ4=")</f>
        <v>1</v>
      </c>
      <c r="FD75" t="b">
        <f>AND(DATA!M257,"AAAAAG//bZ8=")</f>
        <v>1</v>
      </c>
      <c r="FE75" t="b">
        <f>AND(DATA!N257,"AAAAAG//baA=")</f>
        <v>1</v>
      </c>
      <c r="FF75" t="b">
        <f>AND(DATA!O257,"AAAAAG//baE=")</f>
        <v>1</v>
      </c>
      <c r="FG75" t="b">
        <f>AND(DATA!P257,"AAAAAG//baI=")</f>
        <v>1</v>
      </c>
      <c r="FH75" t="b">
        <f>AND(DATA!Q257,"AAAAAG//baM=")</f>
        <v>1</v>
      </c>
      <c r="FI75" t="b">
        <f>AND(DATA!R257,"AAAAAG//baQ=")</f>
        <v>1</v>
      </c>
      <c r="FJ75" t="b">
        <f>AND(DATA!S257,"AAAAAG//baU=")</f>
        <v>1</v>
      </c>
      <c r="FK75" t="b">
        <f>AND(DATA!T257,"AAAAAG//baY=")</f>
        <v>1</v>
      </c>
      <c r="FL75" t="b">
        <f>AND(DATA!U257,"AAAAAG//bac=")</f>
        <v>1</v>
      </c>
      <c r="FM75" t="b">
        <f>AND(DATA!V257,"AAAAAG//bag=")</f>
        <v>1</v>
      </c>
      <c r="FN75" t="e">
        <f>AND(DATA!W256,"AAAAAG//bak=")</f>
        <v>#VALUE!</v>
      </c>
      <c r="FO75" t="e">
        <f>AND(DATA!X256,"AAAAAG//bao=")</f>
        <v>#VALUE!</v>
      </c>
      <c r="FP75" t="e">
        <f>AND(DATA!Y256,"AAAAAG//bas=")</f>
        <v>#VALUE!</v>
      </c>
      <c r="FQ75">
        <f>IF(DATA!257:257,"AAAAAG//baw=",0)</f>
        <v>0</v>
      </c>
      <c r="FR75" t="e">
        <f>AND(DATA!A257,"AAAAAG//ba0=")</f>
        <v>#VALUE!</v>
      </c>
      <c r="FS75" t="e">
        <f>AND(DATA!B257,"AAAAAG//ba4=")</f>
        <v>#VALUE!</v>
      </c>
      <c r="FT75" t="e">
        <f>AND(DATA!C257,"AAAAAG//ba8=")</f>
        <v>#VALUE!</v>
      </c>
      <c r="FU75" t="e">
        <f>AND(DATA!D257,"AAAAAG//bbA=")</f>
        <v>#VALUE!</v>
      </c>
      <c r="FV75" t="e">
        <f>AND(DATA!E257,"AAAAAG//bbE=")</f>
        <v>#VALUE!</v>
      </c>
      <c r="FW75" t="e">
        <f>AND(DATA!F257,"AAAAAG//bbI=")</f>
        <v>#VALUE!</v>
      </c>
      <c r="FX75" t="e">
        <f>AND(DATA!G257,"AAAAAG//bbM=")</f>
        <v>#VALUE!</v>
      </c>
      <c r="FY75" t="e">
        <f>AND(DATA!H257,"AAAAAG//bbQ=")</f>
        <v>#VALUE!</v>
      </c>
      <c r="FZ75" t="e">
        <f>AND(DATA!I257,"AAAAAG//bbU=")</f>
        <v>#VALUE!</v>
      </c>
      <c r="GA75" t="e">
        <f>AND(DATA!J257,"AAAAAG//bbY=")</f>
        <v>#VALUE!</v>
      </c>
      <c r="GB75" t="e">
        <f>AND(DATA!K257,"AAAAAG//bbc=")</f>
        <v>#VALUE!</v>
      </c>
      <c r="GC75" t="b">
        <f>AND(DATA!L258,"AAAAAG//bbg=")</f>
        <v>1</v>
      </c>
      <c r="GD75" t="b">
        <f>AND(DATA!M258,"AAAAAG//bbk=")</f>
        <v>1</v>
      </c>
      <c r="GE75" t="b">
        <f>AND(DATA!N258,"AAAAAG//bbo=")</f>
        <v>1</v>
      </c>
      <c r="GF75" t="b">
        <f>AND(DATA!O258,"AAAAAG//bbs=")</f>
        <v>1</v>
      </c>
      <c r="GG75" t="b">
        <f>AND(DATA!P258,"AAAAAG//bbw=")</f>
        <v>1</v>
      </c>
      <c r="GH75" t="b">
        <f>AND(DATA!Q258,"AAAAAG//bb0=")</f>
        <v>1</v>
      </c>
      <c r="GI75" t="b">
        <f>AND(DATA!R258,"AAAAAG//bb4=")</f>
        <v>1</v>
      </c>
      <c r="GJ75" t="b">
        <f>AND(DATA!S258,"AAAAAG//bb8=")</f>
        <v>1</v>
      </c>
      <c r="GK75" t="b">
        <f>AND(DATA!T258,"AAAAAG//bcA=")</f>
        <v>1</v>
      </c>
      <c r="GL75" t="b">
        <f>AND(DATA!U258,"AAAAAG//bcE=")</f>
        <v>1</v>
      </c>
      <c r="GM75" t="b">
        <f>AND(DATA!V258,"AAAAAG//bcI=")</f>
        <v>1</v>
      </c>
      <c r="GN75" t="e">
        <f>AND(DATA!W257,"AAAAAG//bcM=")</f>
        <v>#VALUE!</v>
      </c>
      <c r="GO75" t="e">
        <f>AND(DATA!X257,"AAAAAG//bcQ=")</f>
        <v>#VALUE!</v>
      </c>
      <c r="GP75" t="e">
        <f>AND(DATA!Y257,"AAAAAG//bcU=")</f>
        <v>#VALUE!</v>
      </c>
      <c r="GQ75">
        <f>IF(DATA!258:258,"AAAAAG//bcY=",0)</f>
        <v>0</v>
      </c>
      <c r="GR75" t="e">
        <f>AND(DATA!A258,"AAAAAG//bcc=")</f>
        <v>#VALUE!</v>
      </c>
      <c r="GS75" t="e">
        <f>AND(DATA!B258,"AAAAAG//bcg=")</f>
        <v>#VALUE!</v>
      </c>
      <c r="GT75" t="e">
        <f>AND(DATA!C258,"AAAAAG//bck=")</f>
        <v>#VALUE!</v>
      </c>
      <c r="GU75" t="e">
        <f>AND(DATA!D258,"AAAAAG//bco=")</f>
        <v>#VALUE!</v>
      </c>
      <c r="GV75" t="e">
        <f>AND(DATA!E258,"AAAAAG//bcs=")</f>
        <v>#VALUE!</v>
      </c>
      <c r="GW75" t="e">
        <f>AND(DATA!F258,"AAAAAG//bcw=")</f>
        <v>#VALUE!</v>
      </c>
      <c r="GX75" t="e">
        <f>AND(DATA!G258,"AAAAAG//bc0=")</f>
        <v>#VALUE!</v>
      </c>
      <c r="GY75" t="e">
        <f>AND(DATA!H258,"AAAAAG//bc4=")</f>
        <v>#VALUE!</v>
      </c>
      <c r="GZ75" t="e">
        <f>AND(DATA!I258,"AAAAAG//bc8=")</f>
        <v>#VALUE!</v>
      </c>
      <c r="HA75" t="e">
        <f>AND(DATA!J258,"AAAAAG//bdA=")</f>
        <v>#VALUE!</v>
      </c>
      <c r="HB75" t="e">
        <f>AND(DATA!K258,"AAAAAG//bdE=")</f>
        <v>#VALUE!</v>
      </c>
      <c r="HC75" t="b">
        <f>AND(DATA!L259,"AAAAAG//bdI=")</f>
        <v>1</v>
      </c>
      <c r="HD75" t="b">
        <f>AND(DATA!M259,"AAAAAG//bdM=")</f>
        <v>1</v>
      </c>
      <c r="HE75" t="b">
        <f>AND(DATA!N259,"AAAAAG//bdQ=")</f>
        <v>1</v>
      </c>
      <c r="HF75" t="b">
        <f>AND(DATA!O259,"AAAAAG//bdU=")</f>
        <v>1</v>
      </c>
      <c r="HG75" t="b">
        <f>AND(DATA!P259,"AAAAAG//bdY=")</f>
        <v>1</v>
      </c>
      <c r="HH75" t="b">
        <f>AND(DATA!Q259,"AAAAAG//bdc=")</f>
        <v>1</v>
      </c>
      <c r="HI75" t="b">
        <f>AND(DATA!R259,"AAAAAG//bdg=")</f>
        <v>1</v>
      </c>
      <c r="HJ75" t="b">
        <f>AND(DATA!S259,"AAAAAG//bdk=")</f>
        <v>1</v>
      </c>
      <c r="HK75" t="b">
        <f>AND(DATA!T259,"AAAAAG//bdo=")</f>
        <v>1</v>
      </c>
      <c r="HL75" t="b">
        <f>AND(DATA!U259,"AAAAAG//bds=")</f>
        <v>1</v>
      </c>
      <c r="HM75" t="b">
        <f>AND(DATA!V259,"AAAAAG//bdw=")</f>
        <v>1</v>
      </c>
      <c r="HN75" t="e">
        <f>AND(DATA!W258,"AAAAAG//bd0=")</f>
        <v>#VALUE!</v>
      </c>
      <c r="HO75" t="e">
        <f>AND(DATA!X258,"AAAAAG//bd4=")</f>
        <v>#VALUE!</v>
      </c>
      <c r="HP75" t="e">
        <f>AND(DATA!Y258,"AAAAAG//bd8=")</f>
        <v>#VALUE!</v>
      </c>
      <c r="HQ75">
        <f>IF(DATA!259:259,"AAAAAG//beA=",0)</f>
        <v>0</v>
      </c>
      <c r="HR75" t="e">
        <f>AND(DATA!A259,"AAAAAG//beE=")</f>
        <v>#VALUE!</v>
      </c>
      <c r="HS75" t="e">
        <f>AND(DATA!B259,"AAAAAG//beI=")</f>
        <v>#VALUE!</v>
      </c>
      <c r="HT75" t="e">
        <f>AND(DATA!C259,"AAAAAG//beM=")</f>
        <v>#VALUE!</v>
      </c>
      <c r="HU75" t="e">
        <f>AND(DATA!D259,"AAAAAG//beQ=")</f>
        <v>#VALUE!</v>
      </c>
      <c r="HV75" t="e">
        <f>AND(DATA!E259,"AAAAAG//beU=")</f>
        <v>#VALUE!</v>
      </c>
      <c r="HW75" t="e">
        <f>AND(DATA!F259,"AAAAAG//beY=")</f>
        <v>#VALUE!</v>
      </c>
      <c r="HX75" t="e">
        <f>AND(DATA!G259,"AAAAAG//bec=")</f>
        <v>#VALUE!</v>
      </c>
      <c r="HY75" t="e">
        <f>AND(DATA!H259,"AAAAAG//beg=")</f>
        <v>#VALUE!</v>
      </c>
      <c r="HZ75" t="e">
        <f>AND(DATA!I259,"AAAAAG//bek=")</f>
        <v>#VALUE!</v>
      </c>
      <c r="IA75" t="e">
        <f>AND(DATA!J259,"AAAAAG//beo=")</f>
        <v>#VALUE!</v>
      </c>
      <c r="IB75" t="e">
        <f>AND(DATA!K259,"AAAAAG//bes=")</f>
        <v>#VALUE!</v>
      </c>
      <c r="IC75" t="b">
        <f>AND(DATA!L260,"AAAAAG//bew=")</f>
        <v>1</v>
      </c>
      <c r="ID75" t="b">
        <f>AND(DATA!M260,"AAAAAG//be0=")</f>
        <v>1</v>
      </c>
      <c r="IE75" t="b">
        <f>AND(DATA!N260,"AAAAAG//be4=")</f>
        <v>1</v>
      </c>
      <c r="IF75" t="b">
        <f>AND(DATA!O260,"AAAAAG//be8=")</f>
        <v>1</v>
      </c>
      <c r="IG75" t="b">
        <f>AND(DATA!P260,"AAAAAG//bfA=")</f>
        <v>1</v>
      </c>
      <c r="IH75" t="b">
        <f>AND(DATA!Q260,"AAAAAG//bfE=")</f>
        <v>1</v>
      </c>
      <c r="II75" t="b">
        <f>AND(DATA!R260,"AAAAAG//bfI=")</f>
        <v>1</v>
      </c>
      <c r="IJ75" t="b">
        <f>AND(DATA!S260,"AAAAAG//bfM=")</f>
        <v>1</v>
      </c>
      <c r="IK75" t="b">
        <f>AND(DATA!T260,"AAAAAG//bfQ=")</f>
        <v>1</v>
      </c>
      <c r="IL75" t="b">
        <f>AND(DATA!U260,"AAAAAG//bfU=")</f>
        <v>1</v>
      </c>
      <c r="IM75" t="b">
        <f>AND(DATA!V260,"AAAAAG//bfY=")</f>
        <v>1</v>
      </c>
      <c r="IN75" t="e">
        <f>AND(DATA!W259,"AAAAAG//bfc=")</f>
        <v>#VALUE!</v>
      </c>
      <c r="IO75" t="e">
        <f>AND(DATA!X259,"AAAAAG//bfg=")</f>
        <v>#VALUE!</v>
      </c>
      <c r="IP75" t="e">
        <f>AND(DATA!Y259,"AAAAAG//bfk=")</f>
        <v>#VALUE!</v>
      </c>
      <c r="IQ75">
        <f>IF(DATA!260:260,"AAAAAG//bfo=",0)</f>
        <v>0</v>
      </c>
      <c r="IR75" t="e">
        <f>AND(DATA!A260,"AAAAAG//bfs=")</f>
        <v>#VALUE!</v>
      </c>
      <c r="IS75" t="e">
        <f>AND(DATA!B260,"AAAAAG//bfw=")</f>
        <v>#VALUE!</v>
      </c>
      <c r="IT75" t="e">
        <f>AND(DATA!C260,"AAAAAG//bf0=")</f>
        <v>#VALUE!</v>
      </c>
      <c r="IU75" t="e">
        <f>AND(DATA!D260,"AAAAAG//bf4=")</f>
        <v>#VALUE!</v>
      </c>
      <c r="IV75" t="e">
        <f>AND(DATA!E260,"AAAAAG//bf8=")</f>
        <v>#VALUE!</v>
      </c>
    </row>
    <row r="76" spans="1:256" x14ac:dyDescent="0.25">
      <c r="A76" t="e">
        <f>AND(DATA!F260,"AAAAAF3vdgA=")</f>
        <v>#VALUE!</v>
      </c>
      <c r="B76" t="e">
        <f>AND(DATA!G260,"AAAAAF3vdgE=")</f>
        <v>#VALUE!</v>
      </c>
      <c r="C76" t="e">
        <f>AND(DATA!H260,"AAAAAF3vdgI=")</f>
        <v>#VALUE!</v>
      </c>
      <c r="D76" t="e">
        <f>AND(DATA!I260,"AAAAAF3vdgM=")</f>
        <v>#VALUE!</v>
      </c>
      <c r="E76" t="e">
        <f>AND(DATA!J260,"AAAAAF3vdgQ=")</f>
        <v>#VALUE!</v>
      </c>
      <c r="F76" t="e">
        <f>AND(DATA!K260,"AAAAAF3vdgU=")</f>
        <v>#VALUE!</v>
      </c>
      <c r="G76" t="b">
        <f>AND(DATA!L261,"AAAAAF3vdgY=")</f>
        <v>1</v>
      </c>
      <c r="H76" t="b">
        <f>AND(DATA!M261,"AAAAAF3vdgc=")</f>
        <v>1</v>
      </c>
      <c r="I76" t="b">
        <f>AND(DATA!N261,"AAAAAF3vdgg=")</f>
        <v>1</v>
      </c>
      <c r="J76" t="b">
        <f>AND(DATA!O261,"AAAAAF3vdgk=")</f>
        <v>1</v>
      </c>
      <c r="K76" t="b">
        <f>AND(DATA!P261,"AAAAAF3vdgo=")</f>
        <v>1</v>
      </c>
      <c r="L76" t="b">
        <f>AND(DATA!Q261,"AAAAAF3vdgs=")</f>
        <v>1</v>
      </c>
      <c r="M76" t="b">
        <f>AND(DATA!R261,"AAAAAF3vdgw=")</f>
        <v>1</v>
      </c>
      <c r="N76" t="b">
        <f>AND(DATA!S261,"AAAAAF3vdg0=")</f>
        <v>1</v>
      </c>
      <c r="O76" t="b">
        <f>AND(DATA!T261,"AAAAAF3vdg4=")</f>
        <v>1</v>
      </c>
      <c r="P76" t="b">
        <f>AND(DATA!U261,"AAAAAF3vdg8=")</f>
        <v>1</v>
      </c>
      <c r="Q76" t="b">
        <f>AND(DATA!V261,"AAAAAF3vdhA=")</f>
        <v>1</v>
      </c>
      <c r="R76" t="e">
        <f>AND(DATA!W260,"AAAAAF3vdhE=")</f>
        <v>#VALUE!</v>
      </c>
      <c r="S76" t="e">
        <f>AND(DATA!X260,"AAAAAF3vdhI=")</f>
        <v>#VALUE!</v>
      </c>
      <c r="T76" t="e">
        <f>AND(DATA!Y260,"AAAAAF3vdhM=")</f>
        <v>#VALUE!</v>
      </c>
      <c r="U76" t="str">
        <f>IF(DATA!261:261,"AAAAAF3vdhQ=",0)</f>
        <v>AAAAAF3vdhQ=</v>
      </c>
      <c r="V76" t="e">
        <f>AND(DATA!A261,"AAAAAF3vdhU=")</f>
        <v>#VALUE!</v>
      </c>
      <c r="W76" t="e">
        <f>AND(DATA!B261,"AAAAAF3vdhY=")</f>
        <v>#VALUE!</v>
      </c>
      <c r="X76" t="e">
        <f>AND(DATA!C261,"AAAAAF3vdhc=")</f>
        <v>#VALUE!</v>
      </c>
      <c r="Y76" t="e">
        <f>AND(DATA!D261,"AAAAAF3vdhg=")</f>
        <v>#VALUE!</v>
      </c>
      <c r="Z76" t="e">
        <f>AND(DATA!E261,"AAAAAF3vdhk=")</f>
        <v>#VALUE!</v>
      </c>
      <c r="AA76" t="e">
        <f>AND(DATA!F261,"AAAAAF3vdho=")</f>
        <v>#VALUE!</v>
      </c>
      <c r="AB76" t="e">
        <f>AND(DATA!G261,"AAAAAF3vdhs=")</f>
        <v>#VALUE!</v>
      </c>
      <c r="AC76" t="e">
        <f>AND(DATA!H261,"AAAAAF3vdhw=")</f>
        <v>#VALUE!</v>
      </c>
      <c r="AD76" t="e">
        <f>AND(DATA!I261,"AAAAAF3vdh0=")</f>
        <v>#VALUE!</v>
      </c>
      <c r="AE76" t="e">
        <f>AND(DATA!J261,"AAAAAF3vdh4=")</f>
        <v>#VALUE!</v>
      </c>
      <c r="AF76" t="e">
        <f>AND(DATA!K261,"AAAAAF3vdh8=")</f>
        <v>#VALUE!</v>
      </c>
      <c r="AG76" t="b">
        <f>AND(DATA!L262,"AAAAAF3vdiA=")</f>
        <v>1</v>
      </c>
      <c r="AH76" t="b">
        <f>AND(DATA!M262,"AAAAAF3vdiE=")</f>
        <v>1</v>
      </c>
      <c r="AI76" t="b">
        <f>AND(DATA!N262,"AAAAAF3vdiI=")</f>
        <v>1</v>
      </c>
      <c r="AJ76" t="b">
        <f>AND(DATA!O262,"AAAAAF3vdiM=")</f>
        <v>1</v>
      </c>
      <c r="AK76" t="b">
        <f>AND(DATA!P262,"AAAAAF3vdiQ=")</f>
        <v>1</v>
      </c>
      <c r="AL76" t="b">
        <f>AND(DATA!Q262,"AAAAAF3vdiU=")</f>
        <v>1</v>
      </c>
      <c r="AM76" t="b">
        <f>AND(DATA!R262,"AAAAAF3vdiY=")</f>
        <v>1</v>
      </c>
      <c r="AN76" t="b">
        <f>AND(DATA!S262,"AAAAAF3vdic=")</f>
        <v>1</v>
      </c>
      <c r="AO76" t="b">
        <f>AND(DATA!T262,"AAAAAF3vdig=")</f>
        <v>1</v>
      </c>
      <c r="AP76" t="b">
        <f>AND(DATA!U262,"AAAAAF3vdik=")</f>
        <v>1</v>
      </c>
      <c r="AQ76" t="b">
        <f>AND(DATA!V262,"AAAAAF3vdio=")</f>
        <v>1</v>
      </c>
      <c r="AR76" t="e">
        <f>AND(DATA!W261,"AAAAAF3vdis=")</f>
        <v>#VALUE!</v>
      </c>
      <c r="AS76" t="e">
        <f>AND(DATA!X261,"AAAAAF3vdiw=")</f>
        <v>#VALUE!</v>
      </c>
      <c r="AT76" t="e">
        <f>AND(DATA!Y261,"AAAAAF3vdi0=")</f>
        <v>#VALUE!</v>
      </c>
      <c r="AU76">
        <f>IF(DATA!262:262,"AAAAAF3vdi4=",0)</f>
        <v>0</v>
      </c>
      <c r="AV76" t="e">
        <f>AND(DATA!A262,"AAAAAF3vdi8=")</f>
        <v>#VALUE!</v>
      </c>
      <c r="AW76" t="e">
        <f>AND(DATA!B262,"AAAAAF3vdjA=")</f>
        <v>#VALUE!</v>
      </c>
      <c r="AX76" t="e">
        <f>AND(DATA!C262,"AAAAAF3vdjE=")</f>
        <v>#VALUE!</v>
      </c>
      <c r="AY76" t="e">
        <f>AND(DATA!D262,"AAAAAF3vdjI=")</f>
        <v>#VALUE!</v>
      </c>
      <c r="AZ76" t="e">
        <f>AND(DATA!E262,"AAAAAF3vdjM=")</f>
        <v>#VALUE!</v>
      </c>
      <c r="BA76" t="e">
        <f>AND(DATA!F262,"AAAAAF3vdjQ=")</f>
        <v>#VALUE!</v>
      </c>
      <c r="BB76" t="e">
        <f>AND(DATA!G262,"AAAAAF3vdjU=")</f>
        <v>#VALUE!</v>
      </c>
      <c r="BC76" t="e">
        <f>AND(DATA!H262,"AAAAAF3vdjY=")</f>
        <v>#VALUE!</v>
      </c>
      <c r="BD76" t="e">
        <f>AND(DATA!I262,"AAAAAF3vdjc=")</f>
        <v>#VALUE!</v>
      </c>
      <c r="BE76" t="e">
        <f>AND(DATA!J262,"AAAAAF3vdjg=")</f>
        <v>#VALUE!</v>
      </c>
      <c r="BF76" t="e">
        <f>AND(DATA!K262,"AAAAAF3vdjk=")</f>
        <v>#VALUE!</v>
      </c>
      <c r="BG76" t="b">
        <f>AND(DATA!L263,"AAAAAF3vdjo=")</f>
        <v>1</v>
      </c>
      <c r="BH76" t="b">
        <f>AND(DATA!M263,"AAAAAF3vdjs=")</f>
        <v>1</v>
      </c>
      <c r="BI76" t="b">
        <f>AND(DATA!N263,"AAAAAF3vdjw=")</f>
        <v>1</v>
      </c>
      <c r="BJ76" t="b">
        <f>AND(DATA!O263,"AAAAAF3vdj0=")</f>
        <v>1</v>
      </c>
      <c r="BK76" t="b">
        <f>AND(DATA!P263,"AAAAAF3vdj4=")</f>
        <v>1</v>
      </c>
      <c r="BL76" t="b">
        <f>AND(DATA!Q263,"AAAAAF3vdj8=")</f>
        <v>1</v>
      </c>
      <c r="BM76" t="b">
        <f>AND(DATA!R263,"AAAAAF3vdkA=")</f>
        <v>1</v>
      </c>
      <c r="BN76" t="b">
        <f>AND(DATA!S263,"AAAAAF3vdkE=")</f>
        <v>1</v>
      </c>
      <c r="BO76" t="b">
        <f>AND(DATA!T263,"AAAAAF3vdkI=")</f>
        <v>1</v>
      </c>
      <c r="BP76" t="b">
        <f>AND(DATA!U263,"AAAAAF3vdkM=")</f>
        <v>1</v>
      </c>
      <c r="BQ76" t="b">
        <f>AND(DATA!V263,"AAAAAF3vdkQ=")</f>
        <v>1</v>
      </c>
      <c r="BR76" t="e">
        <f>AND(DATA!W262,"AAAAAF3vdkU=")</f>
        <v>#VALUE!</v>
      </c>
      <c r="BS76" t="e">
        <f>AND(DATA!X262,"AAAAAF3vdkY=")</f>
        <v>#VALUE!</v>
      </c>
      <c r="BT76" t="e">
        <f>AND(DATA!Y262,"AAAAAF3vdkc=")</f>
        <v>#VALUE!</v>
      </c>
      <c r="BU76">
        <f>IF(DATA!263:263,"AAAAAF3vdkg=",0)</f>
        <v>0</v>
      </c>
      <c r="BV76" t="e">
        <f>AND(DATA!A263,"AAAAAF3vdkk=")</f>
        <v>#VALUE!</v>
      </c>
      <c r="BW76" t="e">
        <f>AND(DATA!B263,"AAAAAF3vdko=")</f>
        <v>#VALUE!</v>
      </c>
      <c r="BX76" t="e">
        <f>AND(DATA!C263,"AAAAAF3vdks=")</f>
        <v>#VALUE!</v>
      </c>
      <c r="BY76" t="e">
        <f>AND(DATA!D263,"AAAAAF3vdkw=")</f>
        <v>#VALUE!</v>
      </c>
      <c r="BZ76" t="e">
        <f>AND(DATA!E263,"AAAAAF3vdk0=")</f>
        <v>#VALUE!</v>
      </c>
      <c r="CA76" t="e">
        <f>AND(DATA!F263,"AAAAAF3vdk4=")</f>
        <v>#VALUE!</v>
      </c>
      <c r="CB76" t="e">
        <f>AND(DATA!G263,"AAAAAF3vdk8=")</f>
        <v>#VALUE!</v>
      </c>
      <c r="CC76" t="e">
        <f>AND(DATA!H263,"AAAAAF3vdlA=")</f>
        <v>#VALUE!</v>
      </c>
      <c r="CD76" t="e">
        <f>AND(DATA!I263,"AAAAAF3vdlE=")</f>
        <v>#VALUE!</v>
      </c>
      <c r="CE76" t="e">
        <f>AND(DATA!J263,"AAAAAF3vdlI=")</f>
        <v>#VALUE!</v>
      </c>
      <c r="CF76" t="e">
        <f>AND(DATA!K263,"AAAAAF3vdlM=")</f>
        <v>#VALUE!</v>
      </c>
      <c r="CG76" t="b">
        <f>AND(DATA!L264,"AAAAAF3vdlQ=")</f>
        <v>1</v>
      </c>
      <c r="CH76" t="b">
        <f>AND(DATA!M264,"AAAAAF3vdlU=")</f>
        <v>1</v>
      </c>
      <c r="CI76" t="b">
        <f>AND(DATA!N264,"AAAAAF3vdlY=")</f>
        <v>1</v>
      </c>
      <c r="CJ76" t="b">
        <f>AND(DATA!O264,"AAAAAF3vdlc=")</f>
        <v>1</v>
      </c>
      <c r="CK76" t="b">
        <f>AND(DATA!P264,"AAAAAF3vdlg=")</f>
        <v>1</v>
      </c>
      <c r="CL76" t="b">
        <f>AND(DATA!Q264,"AAAAAF3vdlk=")</f>
        <v>1</v>
      </c>
      <c r="CM76" t="b">
        <f>AND(DATA!R264,"AAAAAF3vdlo=")</f>
        <v>1</v>
      </c>
      <c r="CN76" t="b">
        <f>AND(DATA!S264,"AAAAAF3vdls=")</f>
        <v>1</v>
      </c>
      <c r="CO76" t="b">
        <f>AND(DATA!T264,"AAAAAF3vdlw=")</f>
        <v>1</v>
      </c>
      <c r="CP76" t="b">
        <f>AND(DATA!U264,"AAAAAF3vdl0=")</f>
        <v>1</v>
      </c>
      <c r="CQ76" t="b">
        <f>AND(DATA!V264,"AAAAAF3vdl4=")</f>
        <v>1</v>
      </c>
      <c r="CR76" t="e">
        <f>AND(DATA!W263,"AAAAAF3vdl8=")</f>
        <v>#VALUE!</v>
      </c>
      <c r="CS76" t="e">
        <f>AND(DATA!X263,"AAAAAF3vdmA=")</f>
        <v>#VALUE!</v>
      </c>
      <c r="CT76" t="e">
        <f>AND(DATA!Y263,"AAAAAF3vdmE=")</f>
        <v>#VALUE!</v>
      </c>
      <c r="CU76">
        <f>IF(DATA!264:264,"AAAAAF3vdmI=",0)</f>
        <v>0</v>
      </c>
      <c r="CV76" t="e">
        <f>AND(DATA!A264,"AAAAAF3vdmM=")</f>
        <v>#VALUE!</v>
      </c>
      <c r="CW76" t="e">
        <f>AND(DATA!B264,"AAAAAF3vdmQ=")</f>
        <v>#VALUE!</v>
      </c>
      <c r="CX76" t="e">
        <f>AND(DATA!C264,"AAAAAF3vdmU=")</f>
        <v>#VALUE!</v>
      </c>
      <c r="CY76" t="e">
        <f>AND(DATA!D264,"AAAAAF3vdmY=")</f>
        <v>#VALUE!</v>
      </c>
      <c r="CZ76" t="e">
        <f>AND(DATA!E264,"AAAAAF3vdmc=")</f>
        <v>#VALUE!</v>
      </c>
      <c r="DA76" t="e">
        <f>AND(DATA!F264,"AAAAAF3vdmg=")</f>
        <v>#VALUE!</v>
      </c>
      <c r="DB76" t="e">
        <f>AND(DATA!G264,"AAAAAF3vdmk=")</f>
        <v>#VALUE!</v>
      </c>
      <c r="DC76" t="e">
        <f>AND(DATA!H264,"AAAAAF3vdmo=")</f>
        <v>#VALUE!</v>
      </c>
      <c r="DD76" t="e">
        <f>AND(DATA!I264,"AAAAAF3vdms=")</f>
        <v>#VALUE!</v>
      </c>
      <c r="DE76" t="e">
        <f>AND(DATA!J264,"AAAAAF3vdmw=")</f>
        <v>#VALUE!</v>
      </c>
      <c r="DF76" t="e">
        <f>AND(DATA!K264,"AAAAAF3vdm0=")</f>
        <v>#VALUE!</v>
      </c>
      <c r="DG76" t="b">
        <f>AND(DATA!L265,"AAAAAF3vdm4=")</f>
        <v>1</v>
      </c>
      <c r="DH76" t="b">
        <f>AND(DATA!M265,"AAAAAF3vdm8=")</f>
        <v>1</v>
      </c>
      <c r="DI76" t="b">
        <f>AND(DATA!N265,"AAAAAF3vdnA=")</f>
        <v>1</v>
      </c>
      <c r="DJ76" t="b">
        <f>AND(DATA!O265,"AAAAAF3vdnE=")</f>
        <v>1</v>
      </c>
      <c r="DK76" t="b">
        <f>AND(DATA!P265,"AAAAAF3vdnI=")</f>
        <v>1</v>
      </c>
      <c r="DL76" t="b">
        <f>AND(DATA!Q265,"AAAAAF3vdnM=")</f>
        <v>1</v>
      </c>
      <c r="DM76" t="b">
        <f>AND(DATA!R265,"AAAAAF3vdnQ=")</f>
        <v>1</v>
      </c>
      <c r="DN76" t="b">
        <f>AND(DATA!S265,"AAAAAF3vdnU=")</f>
        <v>1</v>
      </c>
      <c r="DO76" t="b">
        <f>AND(DATA!T265,"AAAAAF3vdnY=")</f>
        <v>1</v>
      </c>
      <c r="DP76" t="b">
        <f>AND(DATA!U265,"AAAAAF3vdnc=")</f>
        <v>1</v>
      </c>
      <c r="DQ76" t="b">
        <f>AND(DATA!V265,"AAAAAF3vdng=")</f>
        <v>1</v>
      </c>
      <c r="DR76" t="e">
        <f>AND(DATA!W264,"AAAAAF3vdnk=")</f>
        <v>#VALUE!</v>
      </c>
      <c r="DS76" t="e">
        <f>AND(DATA!X264,"AAAAAF3vdno=")</f>
        <v>#VALUE!</v>
      </c>
      <c r="DT76" t="e">
        <f>AND(DATA!Y264,"AAAAAF3vdns=")</f>
        <v>#VALUE!</v>
      </c>
      <c r="DU76">
        <f>IF(DATA!265:265,"AAAAAF3vdnw=",0)</f>
        <v>0</v>
      </c>
      <c r="DV76" t="e">
        <f>AND(DATA!A265,"AAAAAF3vdn0=")</f>
        <v>#VALUE!</v>
      </c>
      <c r="DW76" t="e">
        <f>AND(DATA!B265,"AAAAAF3vdn4=")</f>
        <v>#VALUE!</v>
      </c>
      <c r="DX76" t="e">
        <f>AND(DATA!C265,"AAAAAF3vdn8=")</f>
        <v>#VALUE!</v>
      </c>
      <c r="DY76" t="e">
        <f>AND(DATA!D265,"AAAAAF3vdoA=")</f>
        <v>#VALUE!</v>
      </c>
      <c r="DZ76" t="e">
        <f>AND(DATA!E265,"AAAAAF3vdoE=")</f>
        <v>#VALUE!</v>
      </c>
      <c r="EA76" t="e">
        <f>AND(DATA!F265,"AAAAAF3vdoI=")</f>
        <v>#VALUE!</v>
      </c>
      <c r="EB76" t="e">
        <f>AND(DATA!G265,"AAAAAF3vdoM=")</f>
        <v>#VALUE!</v>
      </c>
      <c r="EC76" t="e">
        <f>AND(DATA!H265,"AAAAAF3vdoQ=")</f>
        <v>#VALUE!</v>
      </c>
      <c r="ED76" t="e">
        <f>AND(DATA!I265,"AAAAAF3vdoU=")</f>
        <v>#VALUE!</v>
      </c>
      <c r="EE76" t="e">
        <f>AND(DATA!J265,"AAAAAF3vdoY=")</f>
        <v>#VALUE!</v>
      </c>
      <c r="EF76" t="e">
        <f>AND(DATA!K265,"AAAAAF3vdoc=")</f>
        <v>#VALUE!</v>
      </c>
      <c r="EG76" t="b">
        <f>AND(DATA!L266,"AAAAAF3vdog=")</f>
        <v>1</v>
      </c>
      <c r="EH76" t="b">
        <f>AND(DATA!M266,"AAAAAF3vdok=")</f>
        <v>1</v>
      </c>
      <c r="EI76" t="b">
        <f>AND(DATA!N266,"AAAAAF3vdoo=")</f>
        <v>1</v>
      </c>
      <c r="EJ76" t="b">
        <f>AND(DATA!O266,"AAAAAF3vdos=")</f>
        <v>1</v>
      </c>
      <c r="EK76" t="b">
        <f>AND(DATA!P266,"AAAAAF3vdow=")</f>
        <v>1</v>
      </c>
      <c r="EL76" t="b">
        <f>AND(DATA!Q266,"AAAAAF3vdo0=")</f>
        <v>1</v>
      </c>
      <c r="EM76" t="b">
        <f>AND(DATA!R266,"AAAAAF3vdo4=")</f>
        <v>1</v>
      </c>
      <c r="EN76" t="b">
        <f>AND(DATA!S266,"AAAAAF3vdo8=")</f>
        <v>1</v>
      </c>
      <c r="EO76" t="b">
        <f>AND(DATA!T266,"AAAAAF3vdpA=")</f>
        <v>1</v>
      </c>
      <c r="EP76" t="b">
        <f>AND(DATA!U266,"AAAAAF3vdpE=")</f>
        <v>1</v>
      </c>
      <c r="EQ76" t="b">
        <f>AND(DATA!V266,"AAAAAF3vdpI=")</f>
        <v>1</v>
      </c>
      <c r="ER76" t="e">
        <f>AND(DATA!W265,"AAAAAF3vdpM=")</f>
        <v>#VALUE!</v>
      </c>
      <c r="ES76" t="e">
        <f>AND(DATA!X265,"AAAAAF3vdpQ=")</f>
        <v>#VALUE!</v>
      </c>
      <c r="ET76" t="e">
        <f>AND(DATA!Y265,"AAAAAF3vdpU=")</f>
        <v>#VALUE!</v>
      </c>
      <c r="EU76">
        <f>IF(DATA!266:266,"AAAAAF3vdpY=",0)</f>
        <v>0</v>
      </c>
      <c r="EV76" t="e">
        <f>AND(DATA!A266,"AAAAAF3vdpc=")</f>
        <v>#VALUE!</v>
      </c>
      <c r="EW76" t="e">
        <f>AND(DATA!B266,"AAAAAF3vdpg=")</f>
        <v>#VALUE!</v>
      </c>
      <c r="EX76" t="e">
        <f>AND(DATA!C266,"AAAAAF3vdpk=")</f>
        <v>#VALUE!</v>
      </c>
      <c r="EY76" t="e">
        <f>AND(DATA!D266,"AAAAAF3vdpo=")</f>
        <v>#VALUE!</v>
      </c>
      <c r="EZ76" t="e">
        <f>AND(DATA!E266,"AAAAAF3vdps=")</f>
        <v>#VALUE!</v>
      </c>
      <c r="FA76" t="e">
        <f>AND(DATA!F266,"AAAAAF3vdpw=")</f>
        <v>#VALUE!</v>
      </c>
      <c r="FB76" t="e">
        <f>AND(DATA!G266,"AAAAAF3vdp0=")</f>
        <v>#VALUE!</v>
      </c>
      <c r="FC76" t="e">
        <f>AND(DATA!H266,"AAAAAF3vdp4=")</f>
        <v>#VALUE!</v>
      </c>
      <c r="FD76" t="e">
        <f>AND(DATA!I266,"AAAAAF3vdp8=")</f>
        <v>#VALUE!</v>
      </c>
      <c r="FE76" t="e">
        <f>AND(DATA!J266,"AAAAAF3vdqA=")</f>
        <v>#VALUE!</v>
      </c>
      <c r="FF76" t="e">
        <f>AND(DATA!K266,"AAAAAF3vdqE=")</f>
        <v>#VALUE!</v>
      </c>
      <c r="FG76" t="b">
        <f>AND(DATA!L267,"AAAAAF3vdqI=")</f>
        <v>1</v>
      </c>
      <c r="FH76" t="b">
        <f>AND(DATA!M267,"AAAAAF3vdqM=")</f>
        <v>1</v>
      </c>
      <c r="FI76" t="b">
        <f>AND(DATA!N267,"AAAAAF3vdqQ=")</f>
        <v>1</v>
      </c>
      <c r="FJ76" t="b">
        <f>AND(DATA!O267,"AAAAAF3vdqU=")</f>
        <v>1</v>
      </c>
      <c r="FK76" t="b">
        <f>AND(DATA!P267,"AAAAAF3vdqY=")</f>
        <v>1</v>
      </c>
      <c r="FL76" t="b">
        <f>AND(DATA!Q267,"AAAAAF3vdqc=")</f>
        <v>1</v>
      </c>
      <c r="FM76" t="b">
        <f>AND(DATA!R267,"AAAAAF3vdqg=")</f>
        <v>1</v>
      </c>
      <c r="FN76" t="b">
        <f>AND(DATA!S267,"AAAAAF3vdqk=")</f>
        <v>1</v>
      </c>
      <c r="FO76" t="b">
        <f>AND(DATA!T267,"AAAAAF3vdqo=")</f>
        <v>1</v>
      </c>
      <c r="FP76" t="b">
        <f>AND(DATA!U267,"AAAAAF3vdqs=")</f>
        <v>1</v>
      </c>
      <c r="FQ76" t="b">
        <f>AND(DATA!V267,"AAAAAF3vdqw=")</f>
        <v>1</v>
      </c>
      <c r="FR76" t="e">
        <f>AND(DATA!W266,"AAAAAF3vdq0=")</f>
        <v>#VALUE!</v>
      </c>
      <c r="FS76" t="e">
        <f>AND(DATA!X266,"AAAAAF3vdq4=")</f>
        <v>#VALUE!</v>
      </c>
      <c r="FT76" t="e">
        <f>AND(DATA!Y266,"AAAAAF3vdq8=")</f>
        <v>#VALUE!</v>
      </c>
      <c r="FU76">
        <f>IF(DATA!267:267,"AAAAAF3vdrA=",0)</f>
        <v>0</v>
      </c>
      <c r="FV76" t="e">
        <f>AND(DATA!A267,"AAAAAF3vdrE=")</f>
        <v>#VALUE!</v>
      </c>
      <c r="FW76" t="e">
        <f>AND(DATA!B267,"AAAAAF3vdrI=")</f>
        <v>#VALUE!</v>
      </c>
      <c r="FX76" t="e">
        <f>AND(DATA!C267,"AAAAAF3vdrM=")</f>
        <v>#VALUE!</v>
      </c>
      <c r="FY76" t="e">
        <f>AND(DATA!D267,"AAAAAF3vdrQ=")</f>
        <v>#VALUE!</v>
      </c>
      <c r="FZ76" t="e">
        <f>AND(DATA!E267,"AAAAAF3vdrU=")</f>
        <v>#VALUE!</v>
      </c>
      <c r="GA76" t="e">
        <f>AND(DATA!F267,"AAAAAF3vdrY=")</f>
        <v>#VALUE!</v>
      </c>
      <c r="GB76" t="e">
        <f>AND(DATA!G267,"AAAAAF3vdrc=")</f>
        <v>#VALUE!</v>
      </c>
      <c r="GC76" t="e">
        <f>AND(DATA!H267,"AAAAAF3vdrg=")</f>
        <v>#VALUE!</v>
      </c>
      <c r="GD76" t="e">
        <f>AND(DATA!I267,"AAAAAF3vdrk=")</f>
        <v>#VALUE!</v>
      </c>
      <c r="GE76" t="e">
        <f>AND(DATA!J267,"AAAAAF3vdro=")</f>
        <v>#VALUE!</v>
      </c>
      <c r="GF76" t="e">
        <f>AND(DATA!K267,"AAAAAF3vdrs=")</f>
        <v>#VALUE!</v>
      </c>
      <c r="GG76" t="b">
        <f>AND(DATA!L268,"AAAAAF3vdrw=")</f>
        <v>1</v>
      </c>
      <c r="GH76" t="b">
        <f>AND(DATA!M268,"AAAAAF3vdr0=")</f>
        <v>1</v>
      </c>
      <c r="GI76" t="b">
        <f>AND(DATA!N268,"AAAAAF3vdr4=")</f>
        <v>1</v>
      </c>
      <c r="GJ76" t="b">
        <f>AND(DATA!O268,"AAAAAF3vdr8=")</f>
        <v>1</v>
      </c>
      <c r="GK76" t="b">
        <f>AND(DATA!P268,"AAAAAF3vdsA=")</f>
        <v>1</v>
      </c>
      <c r="GL76" t="b">
        <f>AND(DATA!Q268,"AAAAAF3vdsE=")</f>
        <v>1</v>
      </c>
      <c r="GM76" t="b">
        <f>AND(DATA!R268,"AAAAAF3vdsI=")</f>
        <v>1</v>
      </c>
      <c r="GN76" t="b">
        <f>AND(DATA!S268,"AAAAAF3vdsM=")</f>
        <v>1</v>
      </c>
      <c r="GO76" t="b">
        <f>AND(DATA!T268,"AAAAAF3vdsQ=")</f>
        <v>1</v>
      </c>
      <c r="GP76" t="b">
        <f>AND(DATA!U268,"AAAAAF3vdsU=")</f>
        <v>1</v>
      </c>
      <c r="GQ76" t="b">
        <f>AND(DATA!V268,"AAAAAF3vdsY=")</f>
        <v>1</v>
      </c>
      <c r="GR76" t="e">
        <f>AND(DATA!W267,"AAAAAF3vdsc=")</f>
        <v>#VALUE!</v>
      </c>
      <c r="GS76" t="e">
        <f>AND(DATA!X267,"AAAAAF3vdsg=")</f>
        <v>#VALUE!</v>
      </c>
      <c r="GT76" t="e">
        <f>AND(DATA!Y267,"AAAAAF3vdsk=")</f>
        <v>#VALUE!</v>
      </c>
      <c r="GU76">
        <f>IF(DATA!268:268,"AAAAAF3vdso=",0)</f>
        <v>0</v>
      </c>
      <c r="GV76" t="e">
        <f>AND(DATA!A268,"AAAAAF3vdss=")</f>
        <v>#VALUE!</v>
      </c>
      <c r="GW76" t="e">
        <f>AND(DATA!B268,"AAAAAF3vdsw=")</f>
        <v>#VALUE!</v>
      </c>
      <c r="GX76" t="e">
        <f>AND(DATA!C268,"AAAAAF3vds0=")</f>
        <v>#VALUE!</v>
      </c>
      <c r="GY76" t="e">
        <f>AND(DATA!D268,"AAAAAF3vds4=")</f>
        <v>#VALUE!</v>
      </c>
      <c r="GZ76" t="e">
        <f>AND(DATA!E268,"AAAAAF3vds8=")</f>
        <v>#VALUE!</v>
      </c>
      <c r="HA76" t="e">
        <f>AND(DATA!F268,"AAAAAF3vdtA=")</f>
        <v>#VALUE!</v>
      </c>
      <c r="HB76" t="e">
        <f>AND(DATA!G268,"AAAAAF3vdtE=")</f>
        <v>#VALUE!</v>
      </c>
      <c r="HC76" t="e">
        <f>AND(DATA!H268,"AAAAAF3vdtI=")</f>
        <v>#VALUE!</v>
      </c>
      <c r="HD76" t="e">
        <f>AND(DATA!I268,"AAAAAF3vdtM=")</f>
        <v>#VALUE!</v>
      </c>
      <c r="HE76" t="e">
        <f>AND(DATA!J268,"AAAAAF3vdtQ=")</f>
        <v>#VALUE!</v>
      </c>
      <c r="HF76" t="e">
        <f>AND(DATA!K268,"AAAAAF3vdtU=")</f>
        <v>#VALUE!</v>
      </c>
      <c r="HG76" t="b">
        <f>AND(DATA!L269,"AAAAAF3vdtY=")</f>
        <v>1</v>
      </c>
      <c r="HH76" t="b">
        <f>AND(DATA!M269,"AAAAAF3vdtc=")</f>
        <v>1</v>
      </c>
      <c r="HI76" t="b">
        <f>AND(DATA!N269,"AAAAAF3vdtg=")</f>
        <v>1</v>
      </c>
      <c r="HJ76" t="b">
        <f>AND(DATA!O269,"AAAAAF3vdtk=")</f>
        <v>1</v>
      </c>
      <c r="HK76" t="b">
        <f>AND(DATA!P269,"AAAAAF3vdto=")</f>
        <v>1</v>
      </c>
      <c r="HL76" t="b">
        <f>AND(DATA!Q269,"AAAAAF3vdts=")</f>
        <v>1</v>
      </c>
      <c r="HM76" t="b">
        <f>AND(DATA!R269,"AAAAAF3vdtw=")</f>
        <v>1</v>
      </c>
      <c r="HN76" t="b">
        <f>AND(DATA!S269,"AAAAAF3vdt0=")</f>
        <v>1</v>
      </c>
      <c r="HO76" t="b">
        <f>AND(DATA!T269,"AAAAAF3vdt4=")</f>
        <v>1</v>
      </c>
      <c r="HP76" t="b">
        <f>AND(DATA!U269,"AAAAAF3vdt8=")</f>
        <v>1</v>
      </c>
      <c r="HQ76" t="b">
        <f>AND(DATA!V269,"AAAAAF3vduA=")</f>
        <v>1</v>
      </c>
      <c r="HR76" t="e">
        <f>AND(DATA!W268,"AAAAAF3vduE=")</f>
        <v>#VALUE!</v>
      </c>
      <c r="HS76" t="e">
        <f>AND(DATA!X268,"AAAAAF3vduI=")</f>
        <v>#VALUE!</v>
      </c>
      <c r="HT76" t="e">
        <f>AND(DATA!Y268,"AAAAAF3vduM=")</f>
        <v>#VALUE!</v>
      </c>
      <c r="HU76">
        <f>IF(DATA!269:269,"AAAAAF3vduQ=",0)</f>
        <v>0</v>
      </c>
      <c r="HV76" t="e">
        <f>AND(DATA!A269,"AAAAAF3vduU=")</f>
        <v>#VALUE!</v>
      </c>
      <c r="HW76" t="e">
        <f>AND(DATA!B269,"AAAAAF3vduY=")</f>
        <v>#VALUE!</v>
      </c>
      <c r="HX76" t="e">
        <f>AND(DATA!C269,"AAAAAF3vduc=")</f>
        <v>#VALUE!</v>
      </c>
      <c r="HY76" t="e">
        <f>AND(DATA!D269,"AAAAAF3vdug=")</f>
        <v>#VALUE!</v>
      </c>
      <c r="HZ76" t="e">
        <f>AND(DATA!E269,"AAAAAF3vduk=")</f>
        <v>#VALUE!</v>
      </c>
      <c r="IA76" t="e">
        <f>AND(DATA!F269,"AAAAAF3vduo=")</f>
        <v>#VALUE!</v>
      </c>
      <c r="IB76" t="e">
        <f>AND(DATA!G269,"AAAAAF3vdus=")</f>
        <v>#VALUE!</v>
      </c>
      <c r="IC76" t="e">
        <f>AND(DATA!H269,"AAAAAF3vduw=")</f>
        <v>#VALUE!</v>
      </c>
      <c r="ID76" t="e">
        <f>AND(DATA!I269,"AAAAAF3vdu0=")</f>
        <v>#VALUE!</v>
      </c>
      <c r="IE76" t="e">
        <f>AND(DATA!J269,"AAAAAF3vdu4=")</f>
        <v>#VALUE!</v>
      </c>
      <c r="IF76" t="e">
        <f>AND(DATA!K269,"AAAAAF3vdu8=")</f>
        <v>#VALUE!</v>
      </c>
      <c r="IG76" t="b">
        <f>AND(DATA!L270,"AAAAAF3vdvA=")</f>
        <v>1</v>
      </c>
      <c r="IH76" t="b">
        <f>AND(DATA!M270,"AAAAAF3vdvE=")</f>
        <v>1</v>
      </c>
      <c r="II76" t="b">
        <f>AND(DATA!N270,"AAAAAF3vdvI=")</f>
        <v>1</v>
      </c>
      <c r="IJ76" t="b">
        <f>AND(DATA!O270,"AAAAAF3vdvM=")</f>
        <v>1</v>
      </c>
      <c r="IK76" t="b">
        <f>AND(DATA!P270,"AAAAAF3vdvQ=")</f>
        <v>1</v>
      </c>
      <c r="IL76" t="b">
        <f>AND(DATA!Q270,"AAAAAF3vdvU=")</f>
        <v>1</v>
      </c>
      <c r="IM76" t="b">
        <f>AND(DATA!R270,"AAAAAF3vdvY=")</f>
        <v>1</v>
      </c>
      <c r="IN76" t="b">
        <f>AND(DATA!S270,"AAAAAF3vdvc=")</f>
        <v>1</v>
      </c>
      <c r="IO76" t="b">
        <f>AND(DATA!T270,"AAAAAF3vdvg=")</f>
        <v>1</v>
      </c>
      <c r="IP76" t="b">
        <f>AND(DATA!U270,"AAAAAF3vdvk=")</f>
        <v>1</v>
      </c>
      <c r="IQ76" t="b">
        <f>AND(DATA!V270,"AAAAAF3vdvo=")</f>
        <v>1</v>
      </c>
      <c r="IR76" t="e">
        <f>AND(DATA!W269,"AAAAAF3vdvs=")</f>
        <v>#VALUE!</v>
      </c>
      <c r="IS76" t="e">
        <f>AND(DATA!X269,"AAAAAF3vdvw=")</f>
        <v>#VALUE!</v>
      </c>
      <c r="IT76" t="e">
        <f>AND(DATA!Y269,"AAAAAF3vdv0=")</f>
        <v>#VALUE!</v>
      </c>
      <c r="IU76">
        <f>IF(DATA!270:270,"AAAAAF3vdv4=",0)</f>
        <v>0</v>
      </c>
      <c r="IV76" t="e">
        <f>AND(DATA!A270,"AAAAAF3vdv8=")</f>
        <v>#VALUE!</v>
      </c>
    </row>
    <row r="77" spans="1:256" x14ac:dyDescent="0.25">
      <c r="A77" t="e">
        <f>AND(DATA!B270,"AAAAAF8H7AA=")</f>
        <v>#VALUE!</v>
      </c>
      <c r="B77" t="e">
        <f>AND(DATA!C270,"AAAAAF8H7AE=")</f>
        <v>#VALUE!</v>
      </c>
      <c r="C77" t="e">
        <f>AND(DATA!D270,"AAAAAF8H7AI=")</f>
        <v>#VALUE!</v>
      </c>
      <c r="D77" t="e">
        <f>AND(DATA!E270,"AAAAAF8H7AM=")</f>
        <v>#VALUE!</v>
      </c>
      <c r="E77" t="e">
        <f>AND(DATA!F270,"AAAAAF8H7AQ=")</f>
        <v>#VALUE!</v>
      </c>
      <c r="F77" t="e">
        <f>AND(DATA!G270,"AAAAAF8H7AU=")</f>
        <v>#VALUE!</v>
      </c>
      <c r="G77" t="e">
        <f>AND(DATA!H270,"AAAAAF8H7AY=")</f>
        <v>#VALUE!</v>
      </c>
      <c r="H77" t="e">
        <f>AND(DATA!I270,"AAAAAF8H7Ac=")</f>
        <v>#VALUE!</v>
      </c>
      <c r="I77" t="e">
        <f>AND(DATA!J270,"AAAAAF8H7Ag=")</f>
        <v>#VALUE!</v>
      </c>
      <c r="J77" t="e">
        <f>AND(DATA!K270,"AAAAAF8H7Ak=")</f>
        <v>#VALUE!</v>
      </c>
      <c r="K77" t="b">
        <f>AND(DATA!L271,"AAAAAF8H7Ao=")</f>
        <v>1</v>
      </c>
      <c r="L77" t="b">
        <f>AND(DATA!M271,"AAAAAF8H7As=")</f>
        <v>1</v>
      </c>
      <c r="M77" t="b">
        <f>AND(DATA!N271,"AAAAAF8H7Aw=")</f>
        <v>1</v>
      </c>
      <c r="N77" t="b">
        <f>AND(DATA!O271,"AAAAAF8H7A0=")</f>
        <v>1</v>
      </c>
      <c r="O77" t="b">
        <f>AND(DATA!P271,"AAAAAF8H7A4=")</f>
        <v>1</v>
      </c>
      <c r="P77" t="b">
        <f>AND(DATA!Q271,"AAAAAF8H7A8=")</f>
        <v>1</v>
      </c>
      <c r="Q77" t="b">
        <f>AND(DATA!R271,"AAAAAF8H7BA=")</f>
        <v>1</v>
      </c>
      <c r="R77" t="b">
        <f>AND(DATA!S271,"AAAAAF8H7BE=")</f>
        <v>1</v>
      </c>
      <c r="S77" t="b">
        <f>AND(DATA!T271,"AAAAAF8H7BI=")</f>
        <v>1</v>
      </c>
      <c r="T77" t="b">
        <f>AND(DATA!U271,"AAAAAF8H7BM=")</f>
        <v>1</v>
      </c>
      <c r="U77" t="b">
        <f>AND(DATA!V271,"AAAAAF8H7BQ=")</f>
        <v>1</v>
      </c>
      <c r="V77" t="e">
        <f>AND(DATA!W270,"AAAAAF8H7BU=")</f>
        <v>#VALUE!</v>
      </c>
      <c r="W77" t="e">
        <f>AND(DATA!X270,"AAAAAF8H7BY=")</f>
        <v>#VALUE!</v>
      </c>
      <c r="X77" t="e">
        <f>AND(DATA!Y270,"AAAAAF8H7Bc=")</f>
        <v>#VALUE!</v>
      </c>
      <c r="Y77">
        <f>IF(DATA!271:271,"AAAAAF8H7Bg=",0)</f>
        <v>0</v>
      </c>
      <c r="Z77" t="e">
        <f>AND(DATA!A271,"AAAAAF8H7Bk=")</f>
        <v>#VALUE!</v>
      </c>
      <c r="AA77" t="e">
        <f>AND(DATA!B271,"AAAAAF8H7Bo=")</f>
        <v>#VALUE!</v>
      </c>
      <c r="AB77" t="e">
        <f>AND(DATA!C271,"AAAAAF8H7Bs=")</f>
        <v>#VALUE!</v>
      </c>
      <c r="AC77" t="e">
        <f>AND(DATA!D271,"AAAAAF8H7Bw=")</f>
        <v>#VALUE!</v>
      </c>
      <c r="AD77" t="e">
        <f>AND(DATA!E271,"AAAAAF8H7B0=")</f>
        <v>#VALUE!</v>
      </c>
      <c r="AE77" t="e">
        <f>AND(DATA!F271,"AAAAAF8H7B4=")</f>
        <v>#VALUE!</v>
      </c>
      <c r="AF77" t="e">
        <f>AND(DATA!G271,"AAAAAF8H7B8=")</f>
        <v>#VALUE!</v>
      </c>
      <c r="AG77" t="e">
        <f>AND(DATA!H271,"AAAAAF8H7CA=")</f>
        <v>#VALUE!</v>
      </c>
      <c r="AH77" t="e">
        <f>AND(DATA!I271,"AAAAAF8H7CE=")</f>
        <v>#VALUE!</v>
      </c>
      <c r="AI77" t="e">
        <f>AND(DATA!J271,"AAAAAF8H7CI=")</f>
        <v>#VALUE!</v>
      </c>
      <c r="AJ77" t="e">
        <f>AND(DATA!K271,"AAAAAF8H7CM=")</f>
        <v>#VALUE!</v>
      </c>
      <c r="AK77" t="b">
        <f>AND(DATA!L272,"AAAAAF8H7CQ=")</f>
        <v>1</v>
      </c>
      <c r="AL77" t="b">
        <f>AND(DATA!M272,"AAAAAF8H7CU=")</f>
        <v>1</v>
      </c>
      <c r="AM77" t="b">
        <f>AND(DATA!N272,"AAAAAF8H7CY=")</f>
        <v>1</v>
      </c>
      <c r="AN77" t="b">
        <f>AND(DATA!O272,"AAAAAF8H7Cc=")</f>
        <v>1</v>
      </c>
      <c r="AO77" t="b">
        <f>AND(DATA!P272,"AAAAAF8H7Cg=")</f>
        <v>1</v>
      </c>
      <c r="AP77" t="b">
        <f>AND(DATA!Q272,"AAAAAF8H7Ck=")</f>
        <v>1</v>
      </c>
      <c r="AQ77" t="b">
        <f>AND(DATA!R272,"AAAAAF8H7Co=")</f>
        <v>1</v>
      </c>
      <c r="AR77" t="b">
        <f>AND(DATA!S272,"AAAAAF8H7Cs=")</f>
        <v>1</v>
      </c>
      <c r="AS77" t="b">
        <f>AND(DATA!T272,"AAAAAF8H7Cw=")</f>
        <v>1</v>
      </c>
      <c r="AT77" t="b">
        <f>AND(DATA!U272,"AAAAAF8H7C0=")</f>
        <v>1</v>
      </c>
      <c r="AU77" t="b">
        <f>AND(DATA!V272,"AAAAAF8H7C4=")</f>
        <v>1</v>
      </c>
      <c r="AV77" t="e">
        <f>AND(DATA!W271,"AAAAAF8H7C8=")</f>
        <v>#VALUE!</v>
      </c>
      <c r="AW77" t="e">
        <f>AND(DATA!X271,"AAAAAF8H7DA=")</f>
        <v>#VALUE!</v>
      </c>
      <c r="AX77" t="e">
        <f>AND(DATA!Y271,"AAAAAF8H7DE=")</f>
        <v>#VALUE!</v>
      </c>
      <c r="AY77">
        <f>IF(DATA!272:272,"AAAAAF8H7DI=",0)</f>
        <v>0</v>
      </c>
      <c r="AZ77" t="e">
        <f>AND(DATA!A272,"AAAAAF8H7DM=")</f>
        <v>#VALUE!</v>
      </c>
      <c r="BA77" t="e">
        <f>AND(DATA!B272,"AAAAAF8H7DQ=")</f>
        <v>#VALUE!</v>
      </c>
      <c r="BB77" t="e">
        <f>AND(DATA!C272,"AAAAAF8H7DU=")</f>
        <v>#VALUE!</v>
      </c>
      <c r="BC77" t="e">
        <f>AND(DATA!D272,"AAAAAF8H7DY=")</f>
        <v>#VALUE!</v>
      </c>
      <c r="BD77" t="e">
        <f>AND(DATA!E272,"AAAAAF8H7Dc=")</f>
        <v>#VALUE!</v>
      </c>
      <c r="BE77" t="e">
        <f>AND(DATA!F272,"AAAAAF8H7Dg=")</f>
        <v>#VALUE!</v>
      </c>
      <c r="BF77" t="e">
        <f>AND(DATA!G272,"AAAAAF8H7Dk=")</f>
        <v>#VALUE!</v>
      </c>
      <c r="BG77" t="e">
        <f>AND(DATA!H272,"AAAAAF8H7Do=")</f>
        <v>#VALUE!</v>
      </c>
      <c r="BH77" t="e">
        <f>AND(DATA!I272,"AAAAAF8H7Ds=")</f>
        <v>#VALUE!</v>
      </c>
      <c r="BI77" t="e">
        <f>AND(DATA!J272,"AAAAAF8H7Dw=")</f>
        <v>#VALUE!</v>
      </c>
      <c r="BJ77" t="e">
        <f>AND(DATA!K272,"AAAAAF8H7D0=")</f>
        <v>#VALUE!</v>
      </c>
      <c r="BK77" t="b">
        <f>AND(DATA!L273,"AAAAAF8H7D4=")</f>
        <v>1</v>
      </c>
      <c r="BL77" t="b">
        <f>AND(DATA!M273,"AAAAAF8H7D8=")</f>
        <v>1</v>
      </c>
      <c r="BM77" t="b">
        <f>AND(DATA!N273,"AAAAAF8H7EA=")</f>
        <v>1</v>
      </c>
      <c r="BN77" t="b">
        <f>AND(DATA!O273,"AAAAAF8H7EE=")</f>
        <v>1</v>
      </c>
      <c r="BO77" t="b">
        <f>AND(DATA!P273,"AAAAAF8H7EI=")</f>
        <v>1</v>
      </c>
      <c r="BP77" t="b">
        <f>AND(DATA!Q273,"AAAAAF8H7EM=")</f>
        <v>1</v>
      </c>
      <c r="BQ77" t="b">
        <f>AND(DATA!R273,"AAAAAF8H7EQ=")</f>
        <v>1</v>
      </c>
      <c r="BR77" t="b">
        <f>AND(DATA!S273,"AAAAAF8H7EU=")</f>
        <v>1</v>
      </c>
      <c r="BS77" t="b">
        <f>AND(DATA!T273,"AAAAAF8H7EY=")</f>
        <v>1</v>
      </c>
      <c r="BT77" t="b">
        <f>AND(DATA!U273,"AAAAAF8H7Ec=")</f>
        <v>1</v>
      </c>
      <c r="BU77" t="b">
        <f>AND(DATA!V273,"AAAAAF8H7Eg=")</f>
        <v>1</v>
      </c>
      <c r="BV77" t="e">
        <f>AND(DATA!W272,"AAAAAF8H7Ek=")</f>
        <v>#VALUE!</v>
      </c>
      <c r="BW77" t="e">
        <f>AND(DATA!X272,"AAAAAF8H7Eo=")</f>
        <v>#VALUE!</v>
      </c>
      <c r="BX77" t="e">
        <f>AND(DATA!Y272,"AAAAAF8H7Es=")</f>
        <v>#VALUE!</v>
      </c>
      <c r="BY77">
        <f>IF(DATA!273:273,"AAAAAF8H7Ew=",0)</f>
        <v>0</v>
      </c>
      <c r="BZ77" t="e">
        <f>AND(DATA!A273,"AAAAAF8H7E0=")</f>
        <v>#VALUE!</v>
      </c>
      <c r="CA77" t="e">
        <f>AND(DATA!B273,"AAAAAF8H7E4=")</f>
        <v>#VALUE!</v>
      </c>
      <c r="CB77" t="e">
        <f>AND(DATA!C273,"AAAAAF8H7E8=")</f>
        <v>#VALUE!</v>
      </c>
      <c r="CC77" t="e">
        <f>AND(DATA!D273,"AAAAAF8H7FA=")</f>
        <v>#VALUE!</v>
      </c>
      <c r="CD77" t="e">
        <f>AND(DATA!E273,"AAAAAF8H7FE=")</f>
        <v>#VALUE!</v>
      </c>
      <c r="CE77" t="e">
        <f>AND(DATA!F273,"AAAAAF8H7FI=")</f>
        <v>#VALUE!</v>
      </c>
      <c r="CF77" t="e">
        <f>AND(DATA!G273,"AAAAAF8H7FM=")</f>
        <v>#VALUE!</v>
      </c>
      <c r="CG77" t="e">
        <f>AND(DATA!H273,"AAAAAF8H7FQ=")</f>
        <v>#VALUE!</v>
      </c>
      <c r="CH77" t="e">
        <f>AND(DATA!I273,"AAAAAF8H7FU=")</f>
        <v>#VALUE!</v>
      </c>
      <c r="CI77" t="e">
        <f>AND(DATA!J273,"AAAAAF8H7FY=")</f>
        <v>#VALUE!</v>
      </c>
      <c r="CJ77" t="e">
        <f>AND(DATA!K273,"AAAAAF8H7Fc=")</f>
        <v>#VALUE!</v>
      </c>
      <c r="CK77" t="b">
        <f>AND(DATA!L274,"AAAAAF8H7Fg=")</f>
        <v>1</v>
      </c>
      <c r="CL77" t="b">
        <f>AND(DATA!M274,"AAAAAF8H7Fk=")</f>
        <v>1</v>
      </c>
      <c r="CM77" t="b">
        <f>AND(DATA!N274,"AAAAAF8H7Fo=")</f>
        <v>1</v>
      </c>
      <c r="CN77" t="b">
        <f>AND(DATA!O274,"AAAAAF8H7Fs=")</f>
        <v>1</v>
      </c>
      <c r="CO77" t="b">
        <f>AND(DATA!P274,"AAAAAF8H7Fw=")</f>
        <v>1</v>
      </c>
      <c r="CP77" t="b">
        <f>AND(DATA!Q274,"AAAAAF8H7F0=")</f>
        <v>1</v>
      </c>
      <c r="CQ77" t="b">
        <f>AND(DATA!R274,"AAAAAF8H7F4=")</f>
        <v>1</v>
      </c>
      <c r="CR77" t="b">
        <f>AND(DATA!S274,"AAAAAF8H7F8=")</f>
        <v>1</v>
      </c>
      <c r="CS77" t="b">
        <f>AND(DATA!T274,"AAAAAF8H7GA=")</f>
        <v>1</v>
      </c>
      <c r="CT77" t="b">
        <f>AND(DATA!U274,"AAAAAF8H7GE=")</f>
        <v>1</v>
      </c>
      <c r="CU77" t="b">
        <f>AND(DATA!V274,"AAAAAF8H7GI=")</f>
        <v>1</v>
      </c>
      <c r="CV77" t="e">
        <f>AND(DATA!W273,"AAAAAF8H7GM=")</f>
        <v>#VALUE!</v>
      </c>
      <c r="CW77" t="e">
        <f>AND(DATA!X273,"AAAAAF8H7GQ=")</f>
        <v>#VALUE!</v>
      </c>
      <c r="CX77" t="e">
        <f>AND(DATA!Y273,"AAAAAF8H7GU=")</f>
        <v>#VALUE!</v>
      </c>
      <c r="CY77">
        <f>IF(DATA!274:274,"AAAAAF8H7GY=",0)</f>
        <v>0</v>
      </c>
      <c r="CZ77" t="e">
        <f>AND(DATA!A274,"AAAAAF8H7Gc=")</f>
        <v>#VALUE!</v>
      </c>
      <c r="DA77" t="e">
        <f>AND(DATA!B274,"AAAAAF8H7Gg=")</f>
        <v>#VALUE!</v>
      </c>
      <c r="DB77" t="e">
        <f>AND(DATA!C274,"AAAAAF8H7Gk=")</f>
        <v>#VALUE!</v>
      </c>
      <c r="DC77" t="e">
        <f>AND(DATA!D274,"AAAAAF8H7Go=")</f>
        <v>#VALUE!</v>
      </c>
      <c r="DD77" t="e">
        <f>AND(DATA!E274,"AAAAAF8H7Gs=")</f>
        <v>#VALUE!</v>
      </c>
      <c r="DE77" t="e">
        <f>AND(DATA!F274,"AAAAAF8H7Gw=")</f>
        <v>#VALUE!</v>
      </c>
      <c r="DF77" t="e">
        <f>AND(DATA!G274,"AAAAAF8H7G0=")</f>
        <v>#VALUE!</v>
      </c>
      <c r="DG77" t="e">
        <f>AND(DATA!H274,"AAAAAF8H7G4=")</f>
        <v>#VALUE!</v>
      </c>
      <c r="DH77" t="e">
        <f>AND(DATA!I274,"AAAAAF8H7G8=")</f>
        <v>#VALUE!</v>
      </c>
      <c r="DI77" t="e">
        <f>AND(DATA!J274,"AAAAAF8H7HA=")</f>
        <v>#VALUE!</v>
      </c>
      <c r="DJ77" t="e">
        <f>AND(DATA!K274,"AAAAAF8H7HE=")</f>
        <v>#VALUE!</v>
      </c>
      <c r="DK77" t="b">
        <f>AND(DATA!L275,"AAAAAF8H7HI=")</f>
        <v>1</v>
      </c>
      <c r="DL77" t="b">
        <f>AND(DATA!M275,"AAAAAF8H7HM=")</f>
        <v>1</v>
      </c>
      <c r="DM77" t="b">
        <f>AND(DATA!N275,"AAAAAF8H7HQ=")</f>
        <v>1</v>
      </c>
      <c r="DN77" t="b">
        <f>AND(DATA!O275,"AAAAAF8H7HU=")</f>
        <v>1</v>
      </c>
      <c r="DO77" t="b">
        <f>AND(DATA!P275,"AAAAAF8H7HY=")</f>
        <v>1</v>
      </c>
      <c r="DP77" t="b">
        <f>AND(DATA!Q275,"AAAAAF8H7Hc=")</f>
        <v>1</v>
      </c>
      <c r="DQ77" t="b">
        <f>AND(DATA!R275,"AAAAAF8H7Hg=")</f>
        <v>1</v>
      </c>
      <c r="DR77" t="b">
        <f>AND(DATA!S275,"AAAAAF8H7Hk=")</f>
        <v>1</v>
      </c>
      <c r="DS77" t="b">
        <f>AND(DATA!T275,"AAAAAF8H7Ho=")</f>
        <v>1</v>
      </c>
      <c r="DT77" t="b">
        <f>AND(DATA!U275,"AAAAAF8H7Hs=")</f>
        <v>1</v>
      </c>
      <c r="DU77" t="b">
        <f>AND(DATA!V275,"AAAAAF8H7Hw=")</f>
        <v>1</v>
      </c>
      <c r="DV77" t="e">
        <f>AND(DATA!W274,"AAAAAF8H7H0=")</f>
        <v>#VALUE!</v>
      </c>
      <c r="DW77" t="e">
        <f>AND(DATA!X274,"AAAAAF8H7H4=")</f>
        <v>#VALUE!</v>
      </c>
      <c r="DX77" t="e">
        <f>AND(DATA!Y274,"AAAAAF8H7H8=")</f>
        <v>#VALUE!</v>
      </c>
      <c r="DY77">
        <f>IF(DATA!275:275,"AAAAAF8H7IA=",0)</f>
        <v>0</v>
      </c>
      <c r="DZ77" t="e">
        <f>AND(DATA!A275,"AAAAAF8H7IE=")</f>
        <v>#VALUE!</v>
      </c>
      <c r="EA77" t="e">
        <f>AND(DATA!B275,"AAAAAF8H7II=")</f>
        <v>#VALUE!</v>
      </c>
      <c r="EB77" t="e">
        <f>AND(DATA!C275,"AAAAAF8H7IM=")</f>
        <v>#VALUE!</v>
      </c>
      <c r="EC77" t="e">
        <f>AND(DATA!D275,"AAAAAF8H7IQ=")</f>
        <v>#VALUE!</v>
      </c>
      <c r="ED77" t="e">
        <f>AND(DATA!E275,"AAAAAF8H7IU=")</f>
        <v>#VALUE!</v>
      </c>
      <c r="EE77" t="e">
        <f>AND(DATA!F275,"AAAAAF8H7IY=")</f>
        <v>#VALUE!</v>
      </c>
      <c r="EF77" t="e">
        <f>AND(DATA!G275,"AAAAAF8H7Ic=")</f>
        <v>#VALUE!</v>
      </c>
      <c r="EG77" t="e">
        <f>AND(DATA!H275,"AAAAAF8H7Ig=")</f>
        <v>#VALUE!</v>
      </c>
      <c r="EH77" t="e">
        <f>AND(DATA!I275,"AAAAAF8H7Ik=")</f>
        <v>#VALUE!</v>
      </c>
      <c r="EI77" t="e">
        <f>AND(DATA!J275,"AAAAAF8H7Io=")</f>
        <v>#VALUE!</v>
      </c>
      <c r="EJ77" t="e">
        <f>AND(DATA!K275,"AAAAAF8H7Is=")</f>
        <v>#VALUE!</v>
      </c>
      <c r="EK77" t="b">
        <f>AND(DATA!L276,"AAAAAF8H7Iw=")</f>
        <v>1</v>
      </c>
      <c r="EL77" t="b">
        <f>AND(DATA!M276,"AAAAAF8H7I0=")</f>
        <v>1</v>
      </c>
      <c r="EM77" t="b">
        <f>AND(DATA!N276,"AAAAAF8H7I4=")</f>
        <v>1</v>
      </c>
      <c r="EN77" t="b">
        <f>AND(DATA!O276,"AAAAAF8H7I8=")</f>
        <v>1</v>
      </c>
      <c r="EO77" t="b">
        <f>AND(DATA!P276,"AAAAAF8H7JA=")</f>
        <v>1</v>
      </c>
      <c r="EP77" t="b">
        <f>AND(DATA!Q276,"AAAAAF8H7JE=")</f>
        <v>1</v>
      </c>
      <c r="EQ77" t="b">
        <f>AND(DATA!R276,"AAAAAF8H7JI=")</f>
        <v>1</v>
      </c>
      <c r="ER77" t="b">
        <f>AND(DATA!S276,"AAAAAF8H7JM=")</f>
        <v>1</v>
      </c>
      <c r="ES77" t="b">
        <f>AND(DATA!T276,"AAAAAF8H7JQ=")</f>
        <v>1</v>
      </c>
      <c r="ET77" t="b">
        <f>AND(DATA!U276,"AAAAAF8H7JU=")</f>
        <v>1</v>
      </c>
      <c r="EU77" t="b">
        <f>AND(DATA!V276,"AAAAAF8H7JY=")</f>
        <v>1</v>
      </c>
      <c r="EV77" t="e">
        <f>AND(DATA!W275,"AAAAAF8H7Jc=")</f>
        <v>#VALUE!</v>
      </c>
      <c r="EW77" t="e">
        <f>AND(DATA!X275,"AAAAAF8H7Jg=")</f>
        <v>#VALUE!</v>
      </c>
      <c r="EX77" t="e">
        <f>AND(DATA!Y275,"AAAAAF8H7Jk=")</f>
        <v>#VALUE!</v>
      </c>
      <c r="EY77">
        <f>IF(DATA!276:276,"AAAAAF8H7Jo=",0)</f>
        <v>0</v>
      </c>
      <c r="EZ77" t="e">
        <f>AND(DATA!A276,"AAAAAF8H7Js=")</f>
        <v>#VALUE!</v>
      </c>
      <c r="FA77" t="e">
        <f>AND(DATA!B276,"AAAAAF8H7Jw=")</f>
        <v>#VALUE!</v>
      </c>
      <c r="FB77" t="e">
        <f>AND(DATA!C276,"AAAAAF8H7J0=")</f>
        <v>#VALUE!</v>
      </c>
      <c r="FC77" t="e">
        <f>AND(DATA!D276,"AAAAAF8H7J4=")</f>
        <v>#VALUE!</v>
      </c>
      <c r="FD77" t="e">
        <f>AND(DATA!E276,"AAAAAF8H7J8=")</f>
        <v>#VALUE!</v>
      </c>
      <c r="FE77" t="e">
        <f>AND(DATA!F276,"AAAAAF8H7KA=")</f>
        <v>#VALUE!</v>
      </c>
      <c r="FF77" t="e">
        <f>AND(DATA!G276,"AAAAAF8H7KE=")</f>
        <v>#VALUE!</v>
      </c>
      <c r="FG77" t="e">
        <f>AND(DATA!H276,"AAAAAF8H7KI=")</f>
        <v>#VALUE!</v>
      </c>
      <c r="FH77" t="e">
        <f>AND(DATA!I276,"AAAAAF8H7KM=")</f>
        <v>#VALUE!</v>
      </c>
      <c r="FI77" t="e">
        <f>AND(DATA!J276,"AAAAAF8H7KQ=")</f>
        <v>#VALUE!</v>
      </c>
      <c r="FJ77" t="e">
        <f>AND(DATA!K276,"AAAAAF8H7KU=")</f>
        <v>#VALUE!</v>
      </c>
      <c r="FK77" t="b">
        <f>AND(DATA!L277,"AAAAAF8H7KY=")</f>
        <v>1</v>
      </c>
      <c r="FL77" t="b">
        <f>AND(DATA!M277,"AAAAAF8H7Kc=")</f>
        <v>1</v>
      </c>
      <c r="FM77" t="b">
        <f>AND(DATA!N277,"AAAAAF8H7Kg=")</f>
        <v>1</v>
      </c>
      <c r="FN77" t="b">
        <f>AND(DATA!O277,"AAAAAF8H7Kk=")</f>
        <v>1</v>
      </c>
      <c r="FO77" t="b">
        <f>AND(DATA!P277,"AAAAAF8H7Ko=")</f>
        <v>1</v>
      </c>
      <c r="FP77" t="b">
        <f>AND(DATA!Q277,"AAAAAF8H7Ks=")</f>
        <v>1</v>
      </c>
      <c r="FQ77" t="b">
        <f>AND(DATA!R277,"AAAAAF8H7Kw=")</f>
        <v>1</v>
      </c>
      <c r="FR77" t="b">
        <f>AND(DATA!S277,"AAAAAF8H7K0=")</f>
        <v>1</v>
      </c>
      <c r="FS77" t="b">
        <f>AND(DATA!T277,"AAAAAF8H7K4=")</f>
        <v>1</v>
      </c>
      <c r="FT77" t="b">
        <f>AND(DATA!U277,"AAAAAF8H7K8=")</f>
        <v>1</v>
      </c>
      <c r="FU77" t="b">
        <f>AND(DATA!V277,"AAAAAF8H7LA=")</f>
        <v>1</v>
      </c>
      <c r="FV77" t="e">
        <f>AND(DATA!W276,"AAAAAF8H7LE=")</f>
        <v>#VALUE!</v>
      </c>
      <c r="FW77" t="e">
        <f>AND(DATA!X276,"AAAAAF8H7LI=")</f>
        <v>#VALUE!</v>
      </c>
      <c r="FX77" t="e">
        <f>AND(DATA!Y276,"AAAAAF8H7LM=")</f>
        <v>#VALUE!</v>
      </c>
      <c r="FY77">
        <f>IF(DATA!277:277,"AAAAAF8H7LQ=",0)</f>
        <v>0</v>
      </c>
      <c r="FZ77" t="e">
        <f>AND(DATA!A277,"AAAAAF8H7LU=")</f>
        <v>#VALUE!</v>
      </c>
      <c r="GA77" t="e">
        <f>AND(DATA!B277,"AAAAAF8H7LY=")</f>
        <v>#VALUE!</v>
      </c>
      <c r="GB77" t="e">
        <f>AND(DATA!C277,"AAAAAF8H7Lc=")</f>
        <v>#VALUE!</v>
      </c>
      <c r="GC77" t="e">
        <f>AND(DATA!D277,"AAAAAF8H7Lg=")</f>
        <v>#VALUE!</v>
      </c>
      <c r="GD77" t="e">
        <f>AND(DATA!E277,"AAAAAF8H7Lk=")</f>
        <v>#VALUE!</v>
      </c>
      <c r="GE77" t="e">
        <f>AND(DATA!F277,"AAAAAF8H7Lo=")</f>
        <v>#VALUE!</v>
      </c>
      <c r="GF77" t="e">
        <f>AND(DATA!G277,"AAAAAF8H7Ls=")</f>
        <v>#VALUE!</v>
      </c>
      <c r="GG77" t="e">
        <f>AND(DATA!H277,"AAAAAF8H7Lw=")</f>
        <v>#VALUE!</v>
      </c>
      <c r="GH77" t="e">
        <f>AND(DATA!I277,"AAAAAF8H7L0=")</f>
        <v>#VALUE!</v>
      </c>
      <c r="GI77" t="e">
        <f>AND(DATA!J277,"AAAAAF8H7L4=")</f>
        <v>#VALUE!</v>
      </c>
      <c r="GJ77" t="e">
        <f>AND(DATA!K277,"AAAAAF8H7L8=")</f>
        <v>#VALUE!</v>
      </c>
      <c r="GK77" t="b">
        <f>AND(DATA!L278,"AAAAAF8H7MA=")</f>
        <v>1</v>
      </c>
      <c r="GL77" t="b">
        <f>AND(DATA!M278,"AAAAAF8H7ME=")</f>
        <v>1</v>
      </c>
      <c r="GM77" t="b">
        <f>AND(DATA!N278,"AAAAAF8H7MI=")</f>
        <v>1</v>
      </c>
      <c r="GN77" t="b">
        <f>AND(DATA!O278,"AAAAAF8H7MM=")</f>
        <v>1</v>
      </c>
      <c r="GO77" t="b">
        <f>AND(DATA!P278,"AAAAAF8H7MQ=")</f>
        <v>1</v>
      </c>
      <c r="GP77" t="b">
        <f>AND(DATA!Q278,"AAAAAF8H7MU=")</f>
        <v>1</v>
      </c>
      <c r="GQ77" t="b">
        <f>AND(DATA!R278,"AAAAAF8H7MY=")</f>
        <v>1</v>
      </c>
      <c r="GR77" t="b">
        <f>AND(DATA!S278,"AAAAAF8H7Mc=")</f>
        <v>1</v>
      </c>
      <c r="GS77" t="b">
        <f>AND(DATA!T278,"AAAAAF8H7Mg=")</f>
        <v>1</v>
      </c>
      <c r="GT77" t="b">
        <f>AND(DATA!U278,"AAAAAF8H7Mk=")</f>
        <v>1</v>
      </c>
      <c r="GU77" t="b">
        <f>AND(DATA!V278,"AAAAAF8H7Mo=")</f>
        <v>1</v>
      </c>
      <c r="GV77" t="e">
        <f>AND(DATA!W277,"AAAAAF8H7Ms=")</f>
        <v>#VALUE!</v>
      </c>
      <c r="GW77" t="e">
        <f>AND(DATA!X277,"AAAAAF8H7Mw=")</f>
        <v>#VALUE!</v>
      </c>
      <c r="GX77" t="e">
        <f>AND(DATA!Y277,"AAAAAF8H7M0=")</f>
        <v>#VALUE!</v>
      </c>
      <c r="GY77">
        <f>IF(DATA!278:278,"AAAAAF8H7M4=",0)</f>
        <v>0</v>
      </c>
      <c r="GZ77" t="e">
        <f>AND(DATA!A278,"AAAAAF8H7M8=")</f>
        <v>#VALUE!</v>
      </c>
      <c r="HA77" t="e">
        <f>AND(DATA!B278,"AAAAAF8H7NA=")</f>
        <v>#VALUE!</v>
      </c>
      <c r="HB77" t="e">
        <f>AND(DATA!C278,"AAAAAF8H7NE=")</f>
        <v>#VALUE!</v>
      </c>
      <c r="HC77" t="e">
        <f>AND(DATA!D278,"AAAAAF8H7NI=")</f>
        <v>#VALUE!</v>
      </c>
      <c r="HD77" t="e">
        <f>AND(DATA!E278,"AAAAAF8H7NM=")</f>
        <v>#VALUE!</v>
      </c>
      <c r="HE77" t="e">
        <f>AND(DATA!F278,"AAAAAF8H7NQ=")</f>
        <v>#VALUE!</v>
      </c>
      <c r="HF77" t="e">
        <f>AND(DATA!G278,"AAAAAF8H7NU=")</f>
        <v>#VALUE!</v>
      </c>
      <c r="HG77" t="e">
        <f>AND(DATA!H278,"AAAAAF8H7NY=")</f>
        <v>#VALUE!</v>
      </c>
      <c r="HH77" t="e">
        <f>AND(DATA!I278,"AAAAAF8H7Nc=")</f>
        <v>#VALUE!</v>
      </c>
      <c r="HI77" t="e">
        <f>AND(DATA!J278,"AAAAAF8H7Ng=")</f>
        <v>#VALUE!</v>
      </c>
      <c r="HJ77" t="e">
        <f>AND(DATA!K278,"AAAAAF8H7Nk=")</f>
        <v>#VALUE!</v>
      </c>
      <c r="HK77" t="b">
        <f>AND(DATA!L279,"AAAAAF8H7No=")</f>
        <v>1</v>
      </c>
      <c r="HL77" t="b">
        <f>AND(DATA!M279,"AAAAAF8H7Ns=")</f>
        <v>1</v>
      </c>
      <c r="HM77" t="b">
        <f>AND(DATA!N279,"AAAAAF8H7Nw=")</f>
        <v>1</v>
      </c>
      <c r="HN77" t="b">
        <f>AND(DATA!O279,"AAAAAF8H7N0=")</f>
        <v>1</v>
      </c>
      <c r="HO77" t="b">
        <f>AND(DATA!P279,"AAAAAF8H7N4=")</f>
        <v>1</v>
      </c>
      <c r="HP77" t="b">
        <f>AND(DATA!Q279,"AAAAAF8H7N8=")</f>
        <v>1</v>
      </c>
      <c r="HQ77" t="b">
        <f>AND(DATA!R279,"AAAAAF8H7OA=")</f>
        <v>1</v>
      </c>
      <c r="HR77" t="b">
        <f>AND(DATA!S279,"AAAAAF8H7OE=")</f>
        <v>1</v>
      </c>
      <c r="HS77" t="b">
        <f>AND(DATA!T279,"AAAAAF8H7OI=")</f>
        <v>1</v>
      </c>
      <c r="HT77" t="b">
        <f>AND(DATA!U279,"AAAAAF8H7OM=")</f>
        <v>1</v>
      </c>
      <c r="HU77" t="b">
        <f>AND(DATA!V279,"AAAAAF8H7OQ=")</f>
        <v>1</v>
      </c>
      <c r="HV77" t="e">
        <f>AND(DATA!W278,"AAAAAF8H7OU=")</f>
        <v>#VALUE!</v>
      </c>
      <c r="HW77" t="e">
        <f>AND(DATA!X278,"AAAAAF8H7OY=")</f>
        <v>#VALUE!</v>
      </c>
      <c r="HX77" t="e">
        <f>AND(DATA!Y278,"AAAAAF8H7Oc=")</f>
        <v>#VALUE!</v>
      </c>
      <c r="HY77">
        <f>IF(DATA!279:279,"AAAAAF8H7Og=",0)</f>
        <v>0</v>
      </c>
      <c r="HZ77" t="e">
        <f>AND(DATA!A279,"AAAAAF8H7Ok=")</f>
        <v>#VALUE!</v>
      </c>
      <c r="IA77" t="e">
        <f>AND(DATA!B279,"AAAAAF8H7Oo=")</f>
        <v>#VALUE!</v>
      </c>
      <c r="IB77" t="e">
        <f>AND(DATA!C279,"AAAAAF8H7Os=")</f>
        <v>#VALUE!</v>
      </c>
      <c r="IC77" t="e">
        <f>AND(DATA!D279,"AAAAAF8H7Ow=")</f>
        <v>#VALUE!</v>
      </c>
      <c r="ID77" t="e">
        <f>AND(DATA!E279,"AAAAAF8H7O0=")</f>
        <v>#VALUE!</v>
      </c>
      <c r="IE77" t="e">
        <f>AND(DATA!F279,"AAAAAF8H7O4=")</f>
        <v>#VALUE!</v>
      </c>
      <c r="IF77" t="e">
        <f>AND(DATA!G279,"AAAAAF8H7O8=")</f>
        <v>#VALUE!</v>
      </c>
      <c r="IG77" t="e">
        <f>AND(DATA!H279,"AAAAAF8H7PA=")</f>
        <v>#VALUE!</v>
      </c>
      <c r="IH77" t="e">
        <f>AND(DATA!I279,"AAAAAF8H7PE=")</f>
        <v>#VALUE!</v>
      </c>
      <c r="II77" t="e">
        <f>AND(DATA!J279,"AAAAAF8H7PI=")</f>
        <v>#VALUE!</v>
      </c>
      <c r="IJ77" t="e">
        <f>AND(DATA!K279,"AAAAAF8H7PM=")</f>
        <v>#VALUE!</v>
      </c>
      <c r="IK77" t="b">
        <f>AND(DATA!L280,"AAAAAF8H7PQ=")</f>
        <v>1</v>
      </c>
      <c r="IL77" t="b">
        <f>AND(DATA!M280,"AAAAAF8H7PU=")</f>
        <v>1</v>
      </c>
      <c r="IM77" t="b">
        <f>AND(DATA!N280,"AAAAAF8H7PY=")</f>
        <v>1</v>
      </c>
      <c r="IN77" t="b">
        <f>AND(DATA!O280,"AAAAAF8H7Pc=")</f>
        <v>1</v>
      </c>
      <c r="IO77" t="b">
        <f>AND(DATA!P280,"AAAAAF8H7Pg=")</f>
        <v>1</v>
      </c>
      <c r="IP77" t="b">
        <f>AND(DATA!Q280,"AAAAAF8H7Pk=")</f>
        <v>1</v>
      </c>
      <c r="IQ77" t="b">
        <f>AND(DATA!R280,"AAAAAF8H7Po=")</f>
        <v>1</v>
      </c>
      <c r="IR77" t="b">
        <f>AND(DATA!S280,"AAAAAF8H7Ps=")</f>
        <v>1</v>
      </c>
      <c r="IS77" t="b">
        <f>AND(DATA!T280,"AAAAAF8H7Pw=")</f>
        <v>1</v>
      </c>
      <c r="IT77" t="b">
        <f>AND(DATA!U280,"AAAAAF8H7P0=")</f>
        <v>1</v>
      </c>
      <c r="IU77" t="b">
        <f>AND(DATA!V280,"AAAAAF8H7P4=")</f>
        <v>1</v>
      </c>
      <c r="IV77" t="e">
        <f>AND(DATA!W279,"AAAAAF8H7P8=")</f>
        <v>#VALUE!</v>
      </c>
    </row>
    <row r="78" spans="1:256" x14ac:dyDescent="0.25">
      <c r="A78" t="e">
        <f>AND(DATA!X279,"AAAAAB3evAA=")</f>
        <v>#VALUE!</v>
      </c>
      <c r="B78" t="e">
        <f>AND(DATA!Y279,"AAAAAB3evAE=")</f>
        <v>#VALUE!</v>
      </c>
      <c r="C78">
        <f>IF(DATA!280:280,"AAAAAB3evAI=",0)</f>
        <v>0</v>
      </c>
      <c r="D78" t="e">
        <f>AND(DATA!A280,"AAAAAB3evAM=")</f>
        <v>#VALUE!</v>
      </c>
      <c r="E78" t="e">
        <f>AND(DATA!B280,"AAAAAB3evAQ=")</f>
        <v>#VALUE!</v>
      </c>
      <c r="F78" t="e">
        <f>AND(DATA!C280,"AAAAAB3evAU=")</f>
        <v>#VALUE!</v>
      </c>
      <c r="G78" t="e">
        <f>AND(DATA!D280,"AAAAAB3evAY=")</f>
        <v>#VALUE!</v>
      </c>
      <c r="H78" t="e">
        <f>AND(DATA!E280,"AAAAAB3evAc=")</f>
        <v>#VALUE!</v>
      </c>
      <c r="I78" t="e">
        <f>AND(DATA!F280,"AAAAAB3evAg=")</f>
        <v>#VALUE!</v>
      </c>
      <c r="J78" t="e">
        <f>AND(DATA!G280,"AAAAAB3evAk=")</f>
        <v>#VALUE!</v>
      </c>
      <c r="K78" t="e">
        <f>AND(DATA!H280,"AAAAAB3evAo=")</f>
        <v>#VALUE!</v>
      </c>
      <c r="L78" t="e">
        <f>AND(DATA!I280,"AAAAAB3evAs=")</f>
        <v>#VALUE!</v>
      </c>
      <c r="M78" t="e">
        <f>AND(DATA!J280,"AAAAAB3evAw=")</f>
        <v>#VALUE!</v>
      </c>
      <c r="N78" t="e">
        <f>AND(DATA!K280,"AAAAAB3evA0=")</f>
        <v>#VALUE!</v>
      </c>
      <c r="O78" t="b">
        <f>AND(DATA!L281,"AAAAAB3evA4=")</f>
        <v>1</v>
      </c>
      <c r="P78" t="b">
        <f>AND(DATA!M281,"AAAAAB3evA8=")</f>
        <v>1</v>
      </c>
      <c r="Q78" t="b">
        <f>AND(DATA!N281,"AAAAAB3evBA=")</f>
        <v>1</v>
      </c>
      <c r="R78" t="b">
        <f>AND(DATA!O281,"AAAAAB3evBE=")</f>
        <v>1</v>
      </c>
      <c r="S78" t="b">
        <f>AND(DATA!P281,"AAAAAB3evBI=")</f>
        <v>1</v>
      </c>
      <c r="T78" t="b">
        <f>AND(DATA!Q281,"AAAAAB3evBM=")</f>
        <v>1</v>
      </c>
      <c r="U78" t="b">
        <f>AND(DATA!R281,"AAAAAB3evBQ=")</f>
        <v>1</v>
      </c>
      <c r="V78" t="b">
        <f>AND(DATA!S281,"AAAAAB3evBU=")</f>
        <v>1</v>
      </c>
      <c r="W78" t="b">
        <f>AND(DATA!T281,"AAAAAB3evBY=")</f>
        <v>1</v>
      </c>
      <c r="X78" t="b">
        <f>AND(DATA!U281,"AAAAAB3evBc=")</f>
        <v>1</v>
      </c>
      <c r="Y78" t="b">
        <f>AND(DATA!V281,"AAAAAB3evBg=")</f>
        <v>1</v>
      </c>
      <c r="Z78" t="e">
        <f>AND(DATA!W280,"AAAAAB3evBk=")</f>
        <v>#VALUE!</v>
      </c>
      <c r="AA78" t="e">
        <f>AND(DATA!X280,"AAAAAB3evBo=")</f>
        <v>#VALUE!</v>
      </c>
      <c r="AB78" t="e">
        <f>AND(DATA!Y280,"AAAAAB3evBs=")</f>
        <v>#VALUE!</v>
      </c>
      <c r="AC78">
        <f>IF(DATA!281:281,"AAAAAB3evBw=",0)</f>
        <v>0</v>
      </c>
      <c r="AD78" t="e">
        <f>AND(DATA!A281,"AAAAAB3evB0=")</f>
        <v>#VALUE!</v>
      </c>
      <c r="AE78" t="e">
        <f>AND(DATA!B281,"AAAAAB3evB4=")</f>
        <v>#VALUE!</v>
      </c>
      <c r="AF78" t="e">
        <f>AND(DATA!C281,"AAAAAB3evB8=")</f>
        <v>#VALUE!</v>
      </c>
      <c r="AG78" t="e">
        <f>AND(DATA!D281,"AAAAAB3evCA=")</f>
        <v>#VALUE!</v>
      </c>
      <c r="AH78" t="e">
        <f>AND(DATA!E281,"AAAAAB3evCE=")</f>
        <v>#VALUE!</v>
      </c>
      <c r="AI78" t="e">
        <f>AND(DATA!F281,"AAAAAB3evCI=")</f>
        <v>#VALUE!</v>
      </c>
      <c r="AJ78" t="e">
        <f>AND(DATA!G281,"AAAAAB3evCM=")</f>
        <v>#VALUE!</v>
      </c>
      <c r="AK78" t="e">
        <f>AND(DATA!H281,"AAAAAB3evCQ=")</f>
        <v>#VALUE!</v>
      </c>
      <c r="AL78" t="e">
        <f>AND(DATA!I281,"AAAAAB3evCU=")</f>
        <v>#VALUE!</v>
      </c>
      <c r="AM78" t="e">
        <f>AND(DATA!J281,"AAAAAB3evCY=")</f>
        <v>#VALUE!</v>
      </c>
      <c r="AN78" t="e">
        <f>AND(DATA!K281,"AAAAAB3evCc=")</f>
        <v>#VALUE!</v>
      </c>
      <c r="AO78" t="b">
        <f>AND(DATA!L282,"AAAAAB3evCg=")</f>
        <v>1</v>
      </c>
      <c r="AP78" t="b">
        <f>AND(DATA!M282,"AAAAAB3evCk=")</f>
        <v>1</v>
      </c>
      <c r="AQ78" t="b">
        <f>AND(DATA!N282,"AAAAAB3evCo=")</f>
        <v>1</v>
      </c>
      <c r="AR78" t="b">
        <f>AND(DATA!O282,"AAAAAB3evCs=")</f>
        <v>1</v>
      </c>
      <c r="AS78" t="b">
        <f>AND(DATA!P282,"AAAAAB3evCw=")</f>
        <v>1</v>
      </c>
      <c r="AT78" t="b">
        <f>AND(DATA!Q282,"AAAAAB3evC0=")</f>
        <v>1</v>
      </c>
      <c r="AU78" t="b">
        <f>AND(DATA!R282,"AAAAAB3evC4=")</f>
        <v>1</v>
      </c>
      <c r="AV78" t="b">
        <f>AND(DATA!S282,"AAAAAB3evC8=")</f>
        <v>1</v>
      </c>
      <c r="AW78" t="b">
        <f>AND(DATA!T282,"AAAAAB3evDA=")</f>
        <v>1</v>
      </c>
      <c r="AX78" t="b">
        <f>AND(DATA!U282,"AAAAAB3evDE=")</f>
        <v>1</v>
      </c>
      <c r="AY78" t="b">
        <f>AND(DATA!V282,"AAAAAB3evDI=")</f>
        <v>1</v>
      </c>
      <c r="AZ78" t="e">
        <f>AND(DATA!W281,"AAAAAB3evDM=")</f>
        <v>#VALUE!</v>
      </c>
      <c r="BA78" t="e">
        <f>AND(DATA!X281,"AAAAAB3evDQ=")</f>
        <v>#VALUE!</v>
      </c>
      <c r="BB78" t="e">
        <f>AND(DATA!Y281,"AAAAAB3evDU=")</f>
        <v>#VALUE!</v>
      </c>
      <c r="BC78">
        <f>IF(DATA!282:282,"AAAAAB3evDY=",0)</f>
        <v>0</v>
      </c>
      <c r="BD78" t="e">
        <f>AND(DATA!A282,"AAAAAB3evDc=")</f>
        <v>#VALUE!</v>
      </c>
      <c r="BE78" t="e">
        <f>AND(DATA!B282,"AAAAAB3evDg=")</f>
        <v>#VALUE!</v>
      </c>
      <c r="BF78" t="e">
        <f>AND(DATA!C282,"AAAAAB3evDk=")</f>
        <v>#VALUE!</v>
      </c>
      <c r="BG78" t="e">
        <f>AND(DATA!D282,"AAAAAB3evDo=")</f>
        <v>#VALUE!</v>
      </c>
      <c r="BH78" t="e">
        <f>AND(DATA!E282,"AAAAAB3evDs=")</f>
        <v>#VALUE!</v>
      </c>
      <c r="BI78" t="e">
        <f>AND(DATA!F282,"AAAAAB3evDw=")</f>
        <v>#VALUE!</v>
      </c>
      <c r="BJ78" t="e">
        <f>AND(DATA!G282,"AAAAAB3evD0=")</f>
        <v>#VALUE!</v>
      </c>
      <c r="BK78" t="e">
        <f>AND(DATA!H282,"AAAAAB3evD4=")</f>
        <v>#VALUE!</v>
      </c>
      <c r="BL78" t="e">
        <f>AND(DATA!I282,"AAAAAB3evD8=")</f>
        <v>#VALUE!</v>
      </c>
      <c r="BM78" t="e">
        <f>AND(DATA!J282,"AAAAAB3evEA=")</f>
        <v>#VALUE!</v>
      </c>
      <c r="BN78" t="e">
        <f>AND(DATA!K282,"AAAAAB3evEE=")</f>
        <v>#VALUE!</v>
      </c>
      <c r="BO78" t="b">
        <f>AND(DATA!L283,"AAAAAB3evEI=")</f>
        <v>1</v>
      </c>
      <c r="BP78" t="b">
        <f>AND(DATA!M283,"AAAAAB3evEM=")</f>
        <v>1</v>
      </c>
      <c r="BQ78" t="b">
        <f>AND(DATA!N283,"AAAAAB3evEQ=")</f>
        <v>1</v>
      </c>
      <c r="BR78" t="b">
        <f>AND(DATA!O283,"AAAAAB3evEU=")</f>
        <v>1</v>
      </c>
      <c r="BS78" t="b">
        <f>AND(DATA!P283,"AAAAAB3evEY=")</f>
        <v>1</v>
      </c>
      <c r="BT78" t="b">
        <f>AND(DATA!Q283,"AAAAAB3evEc=")</f>
        <v>1</v>
      </c>
      <c r="BU78" t="b">
        <f>AND(DATA!R283,"AAAAAB3evEg=")</f>
        <v>1</v>
      </c>
      <c r="BV78" t="b">
        <f>AND(DATA!S283,"AAAAAB3evEk=")</f>
        <v>1</v>
      </c>
      <c r="BW78" t="b">
        <f>AND(DATA!T283,"AAAAAB3evEo=")</f>
        <v>1</v>
      </c>
      <c r="BX78" t="b">
        <f>AND(DATA!U283,"AAAAAB3evEs=")</f>
        <v>1</v>
      </c>
      <c r="BY78" t="b">
        <f>AND(DATA!V283,"AAAAAB3evEw=")</f>
        <v>1</v>
      </c>
      <c r="BZ78" t="e">
        <f>AND(DATA!W282,"AAAAAB3evE0=")</f>
        <v>#VALUE!</v>
      </c>
      <c r="CA78" t="e">
        <f>AND(DATA!X282,"AAAAAB3evE4=")</f>
        <v>#VALUE!</v>
      </c>
      <c r="CB78" t="e">
        <f>AND(DATA!Y282,"AAAAAB3evE8=")</f>
        <v>#VALUE!</v>
      </c>
      <c r="CC78">
        <f>IF(DATA!283:283,"AAAAAB3evFA=",0)</f>
        <v>0</v>
      </c>
      <c r="CD78" t="e">
        <f>AND(DATA!A283,"AAAAAB3evFE=")</f>
        <v>#VALUE!</v>
      </c>
      <c r="CE78" t="e">
        <f>AND(DATA!B283,"AAAAAB3evFI=")</f>
        <v>#VALUE!</v>
      </c>
      <c r="CF78" t="e">
        <f>AND(DATA!C283,"AAAAAB3evFM=")</f>
        <v>#VALUE!</v>
      </c>
      <c r="CG78" t="e">
        <f>AND(DATA!D283,"AAAAAB3evFQ=")</f>
        <v>#VALUE!</v>
      </c>
      <c r="CH78" t="e">
        <f>AND(DATA!E283,"AAAAAB3evFU=")</f>
        <v>#VALUE!</v>
      </c>
      <c r="CI78" t="e">
        <f>AND(DATA!F283,"AAAAAB3evFY=")</f>
        <v>#VALUE!</v>
      </c>
      <c r="CJ78" t="e">
        <f>AND(DATA!G283,"AAAAAB3evFc=")</f>
        <v>#VALUE!</v>
      </c>
      <c r="CK78" t="e">
        <f>AND(DATA!H283,"AAAAAB3evFg=")</f>
        <v>#VALUE!</v>
      </c>
      <c r="CL78" t="e">
        <f>AND(DATA!I283,"AAAAAB3evFk=")</f>
        <v>#VALUE!</v>
      </c>
      <c r="CM78" t="e">
        <f>AND(DATA!J283,"AAAAAB3evFo=")</f>
        <v>#VALUE!</v>
      </c>
      <c r="CN78" t="e">
        <f>AND(DATA!K283,"AAAAAB3evFs=")</f>
        <v>#VALUE!</v>
      </c>
      <c r="CO78" t="b">
        <f>AND(DATA!L284,"AAAAAB3evFw=")</f>
        <v>1</v>
      </c>
      <c r="CP78" t="b">
        <f>AND(DATA!M284,"AAAAAB3evF0=")</f>
        <v>1</v>
      </c>
      <c r="CQ78" t="b">
        <f>AND(DATA!N284,"AAAAAB3evF4=")</f>
        <v>1</v>
      </c>
      <c r="CR78" t="b">
        <f>AND(DATA!O284,"AAAAAB3evF8=")</f>
        <v>1</v>
      </c>
      <c r="CS78" t="b">
        <f>AND(DATA!P284,"AAAAAB3evGA=")</f>
        <v>1</v>
      </c>
      <c r="CT78" t="b">
        <f>AND(DATA!Q284,"AAAAAB3evGE=")</f>
        <v>1</v>
      </c>
      <c r="CU78" t="b">
        <f>AND(DATA!R284,"AAAAAB3evGI=")</f>
        <v>1</v>
      </c>
      <c r="CV78" t="b">
        <f>AND(DATA!S284,"AAAAAB3evGM=")</f>
        <v>1</v>
      </c>
      <c r="CW78" t="b">
        <f>AND(DATA!T284,"AAAAAB3evGQ=")</f>
        <v>1</v>
      </c>
      <c r="CX78" t="b">
        <f>AND(DATA!U284,"AAAAAB3evGU=")</f>
        <v>1</v>
      </c>
      <c r="CY78" t="b">
        <f>AND(DATA!V284,"AAAAAB3evGY=")</f>
        <v>1</v>
      </c>
      <c r="CZ78" t="e">
        <f>AND(DATA!W283,"AAAAAB3evGc=")</f>
        <v>#VALUE!</v>
      </c>
      <c r="DA78" t="e">
        <f>AND(DATA!X283,"AAAAAB3evGg=")</f>
        <v>#VALUE!</v>
      </c>
      <c r="DB78" t="e">
        <f>AND(DATA!Y283,"AAAAAB3evGk=")</f>
        <v>#VALUE!</v>
      </c>
      <c r="DC78">
        <f>IF(DATA!284:284,"AAAAAB3evGo=",0)</f>
        <v>0</v>
      </c>
      <c r="DD78" t="e">
        <f>AND(DATA!A284,"AAAAAB3evGs=")</f>
        <v>#VALUE!</v>
      </c>
      <c r="DE78" t="e">
        <f>AND(DATA!B284,"AAAAAB3evGw=")</f>
        <v>#VALUE!</v>
      </c>
      <c r="DF78" t="e">
        <f>AND(DATA!C284,"AAAAAB3evG0=")</f>
        <v>#VALUE!</v>
      </c>
      <c r="DG78" t="e">
        <f>AND(DATA!D284,"AAAAAB3evG4=")</f>
        <v>#VALUE!</v>
      </c>
      <c r="DH78" t="e">
        <f>AND(DATA!E284,"AAAAAB3evG8=")</f>
        <v>#VALUE!</v>
      </c>
      <c r="DI78" t="e">
        <f>AND(DATA!F284,"AAAAAB3evHA=")</f>
        <v>#VALUE!</v>
      </c>
      <c r="DJ78" t="e">
        <f>AND(DATA!G284,"AAAAAB3evHE=")</f>
        <v>#VALUE!</v>
      </c>
      <c r="DK78" t="e">
        <f>AND(DATA!H284,"AAAAAB3evHI=")</f>
        <v>#VALUE!</v>
      </c>
      <c r="DL78" t="e">
        <f>AND(DATA!I284,"AAAAAB3evHM=")</f>
        <v>#VALUE!</v>
      </c>
      <c r="DM78" t="e">
        <f>AND(DATA!J284,"AAAAAB3evHQ=")</f>
        <v>#VALUE!</v>
      </c>
      <c r="DN78" t="e">
        <f>AND(DATA!K284,"AAAAAB3evHU=")</f>
        <v>#VALUE!</v>
      </c>
      <c r="DO78" t="b">
        <f>AND(DATA!L285,"AAAAAB3evHY=")</f>
        <v>1</v>
      </c>
      <c r="DP78" t="b">
        <f>AND(DATA!M285,"AAAAAB3evHc=")</f>
        <v>1</v>
      </c>
      <c r="DQ78" t="b">
        <f>AND(DATA!N285,"AAAAAB3evHg=")</f>
        <v>1</v>
      </c>
      <c r="DR78" t="b">
        <f>AND(DATA!O285,"AAAAAB3evHk=")</f>
        <v>1</v>
      </c>
      <c r="DS78" t="b">
        <f>AND(DATA!P285,"AAAAAB3evHo=")</f>
        <v>1</v>
      </c>
      <c r="DT78" t="b">
        <f>AND(DATA!Q285,"AAAAAB3evHs=")</f>
        <v>1</v>
      </c>
      <c r="DU78" t="b">
        <f>AND(DATA!R285,"AAAAAB3evHw=")</f>
        <v>1</v>
      </c>
      <c r="DV78" t="b">
        <f>AND(DATA!S285,"AAAAAB3evH0=")</f>
        <v>1</v>
      </c>
      <c r="DW78" t="b">
        <f>AND(DATA!T285,"AAAAAB3evH4=")</f>
        <v>1</v>
      </c>
      <c r="DX78" t="b">
        <f>AND(DATA!U285,"AAAAAB3evH8=")</f>
        <v>1</v>
      </c>
      <c r="DY78" t="b">
        <f>AND(DATA!V285,"AAAAAB3evIA=")</f>
        <v>1</v>
      </c>
      <c r="DZ78" t="e">
        <f>AND(DATA!W284,"AAAAAB3evIE=")</f>
        <v>#VALUE!</v>
      </c>
      <c r="EA78" t="e">
        <f>AND(DATA!X284,"AAAAAB3evII=")</f>
        <v>#VALUE!</v>
      </c>
      <c r="EB78" t="e">
        <f>AND(DATA!Y284,"AAAAAB3evIM=")</f>
        <v>#VALUE!</v>
      </c>
      <c r="EC78">
        <f>IF(DATA!285:285,"AAAAAB3evIQ=",0)</f>
        <v>0</v>
      </c>
      <c r="ED78" t="e">
        <f>AND(DATA!A285,"AAAAAB3evIU=")</f>
        <v>#VALUE!</v>
      </c>
      <c r="EE78" t="e">
        <f>AND(DATA!B285,"AAAAAB3evIY=")</f>
        <v>#VALUE!</v>
      </c>
      <c r="EF78" t="e">
        <f>AND(DATA!C285,"AAAAAB3evIc=")</f>
        <v>#VALUE!</v>
      </c>
      <c r="EG78" t="e">
        <f>AND(DATA!D285,"AAAAAB3evIg=")</f>
        <v>#VALUE!</v>
      </c>
      <c r="EH78" t="e">
        <f>AND(DATA!E285,"AAAAAB3evIk=")</f>
        <v>#VALUE!</v>
      </c>
      <c r="EI78" t="e">
        <f>AND(DATA!F285,"AAAAAB3evIo=")</f>
        <v>#VALUE!</v>
      </c>
      <c r="EJ78" t="e">
        <f>AND(DATA!G285,"AAAAAB3evIs=")</f>
        <v>#VALUE!</v>
      </c>
      <c r="EK78" t="e">
        <f>AND(DATA!H285,"AAAAAB3evIw=")</f>
        <v>#VALUE!</v>
      </c>
      <c r="EL78" t="e">
        <f>AND(DATA!I285,"AAAAAB3evI0=")</f>
        <v>#VALUE!</v>
      </c>
      <c r="EM78" t="e">
        <f>AND(DATA!J285,"AAAAAB3evI4=")</f>
        <v>#VALUE!</v>
      </c>
      <c r="EN78" t="e">
        <f>AND(DATA!K285,"AAAAAB3evI8=")</f>
        <v>#VALUE!</v>
      </c>
      <c r="EO78" t="b">
        <f>AND(DATA!L286,"AAAAAB3evJA=")</f>
        <v>1</v>
      </c>
      <c r="EP78" t="b">
        <f>AND(DATA!M286,"AAAAAB3evJE=")</f>
        <v>1</v>
      </c>
      <c r="EQ78" t="b">
        <f>AND(DATA!N286,"AAAAAB3evJI=")</f>
        <v>1</v>
      </c>
      <c r="ER78" t="b">
        <f>AND(DATA!O286,"AAAAAB3evJM=")</f>
        <v>1</v>
      </c>
      <c r="ES78" t="b">
        <f>AND(DATA!P286,"AAAAAB3evJQ=")</f>
        <v>1</v>
      </c>
      <c r="ET78" t="b">
        <f>AND(DATA!Q286,"AAAAAB3evJU=")</f>
        <v>1</v>
      </c>
      <c r="EU78" t="b">
        <f>AND(DATA!R286,"AAAAAB3evJY=")</f>
        <v>1</v>
      </c>
      <c r="EV78" t="b">
        <f>AND(DATA!S286,"AAAAAB3evJc=")</f>
        <v>1</v>
      </c>
      <c r="EW78" t="b">
        <f>AND(DATA!T286,"AAAAAB3evJg=")</f>
        <v>1</v>
      </c>
      <c r="EX78" t="b">
        <f>AND(DATA!U286,"AAAAAB3evJk=")</f>
        <v>1</v>
      </c>
      <c r="EY78" t="b">
        <f>AND(DATA!V286,"AAAAAB3evJo=")</f>
        <v>1</v>
      </c>
      <c r="EZ78" t="e">
        <f>AND(DATA!W285,"AAAAAB3evJs=")</f>
        <v>#VALUE!</v>
      </c>
      <c r="FA78" t="e">
        <f>AND(DATA!X285,"AAAAAB3evJw=")</f>
        <v>#VALUE!</v>
      </c>
      <c r="FB78" t="e">
        <f>AND(DATA!Y285,"AAAAAB3evJ0=")</f>
        <v>#VALUE!</v>
      </c>
      <c r="FC78">
        <f>IF(DATA!286:286,"AAAAAB3evJ4=",0)</f>
        <v>0</v>
      </c>
      <c r="FD78" t="e">
        <f>AND(DATA!A286,"AAAAAB3evJ8=")</f>
        <v>#VALUE!</v>
      </c>
      <c r="FE78" t="e">
        <f>AND(DATA!B286,"AAAAAB3evKA=")</f>
        <v>#VALUE!</v>
      </c>
      <c r="FF78" t="e">
        <f>AND(DATA!C286,"AAAAAB3evKE=")</f>
        <v>#VALUE!</v>
      </c>
      <c r="FG78" t="e">
        <f>AND(DATA!D286,"AAAAAB3evKI=")</f>
        <v>#VALUE!</v>
      </c>
      <c r="FH78" t="e">
        <f>AND(DATA!E286,"AAAAAB3evKM=")</f>
        <v>#VALUE!</v>
      </c>
      <c r="FI78" t="e">
        <f>AND(DATA!F286,"AAAAAB3evKQ=")</f>
        <v>#VALUE!</v>
      </c>
      <c r="FJ78" t="e">
        <f>AND(DATA!G286,"AAAAAB3evKU=")</f>
        <v>#VALUE!</v>
      </c>
      <c r="FK78" t="e">
        <f>AND(DATA!H286,"AAAAAB3evKY=")</f>
        <v>#VALUE!</v>
      </c>
      <c r="FL78" t="e">
        <f>AND(DATA!I286,"AAAAAB3evKc=")</f>
        <v>#VALUE!</v>
      </c>
      <c r="FM78" t="e">
        <f>AND(DATA!J286,"AAAAAB3evKg=")</f>
        <v>#VALUE!</v>
      </c>
      <c r="FN78" t="e">
        <f>AND(DATA!K286,"AAAAAB3evKk=")</f>
        <v>#VALUE!</v>
      </c>
      <c r="FO78" t="b">
        <f>AND(DATA!L287,"AAAAAB3evKo=")</f>
        <v>1</v>
      </c>
      <c r="FP78" t="b">
        <f>AND(DATA!M287,"AAAAAB3evKs=")</f>
        <v>1</v>
      </c>
      <c r="FQ78" t="b">
        <f>AND(DATA!N287,"AAAAAB3evKw=")</f>
        <v>1</v>
      </c>
      <c r="FR78" t="b">
        <f>AND(DATA!O287,"AAAAAB3evK0=")</f>
        <v>1</v>
      </c>
      <c r="FS78" t="b">
        <f>AND(DATA!P287,"AAAAAB3evK4=")</f>
        <v>1</v>
      </c>
      <c r="FT78" t="b">
        <f>AND(DATA!Q287,"AAAAAB3evK8=")</f>
        <v>1</v>
      </c>
      <c r="FU78" t="b">
        <f>AND(DATA!R287,"AAAAAB3evLA=")</f>
        <v>1</v>
      </c>
      <c r="FV78" t="b">
        <f>AND(DATA!S287,"AAAAAB3evLE=")</f>
        <v>1</v>
      </c>
      <c r="FW78" t="b">
        <f>AND(DATA!T287,"AAAAAB3evLI=")</f>
        <v>1</v>
      </c>
      <c r="FX78" t="b">
        <f>AND(DATA!U287,"AAAAAB3evLM=")</f>
        <v>1</v>
      </c>
      <c r="FY78" t="b">
        <f>AND(DATA!V287,"AAAAAB3evLQ=")</f>
        <v>1</v>
      </c>
      <c r="FZ78" t="e">
        <f>AND(DATA!W286,"AAAAAB3evLU=")</f>
        <v>#VALUE!</v>
      </c>
      <c r="GA78" t="e">
        <f>AND(DATA!X286,"AAAAAB3evLY=")</f>
        <v>#VALUE!</v>
      </c>
      <c r="GB78" t="e">
        <f>AND(DATA!Y286,"AAAAAB3evLc=")</f>
        <v>#VALUE!</v>
      </c>
      <c r="GC78">
        <f>IF(DATA!287:287,"AAAAAB3evLg=",0)</f>
        <v>0</v>
      </c>
      <c r="GD78" t="e">
        <f>AND(DATA!A287,"AAAAAB3evLk=")</f>
        <v>#VALUE!</v>
      </c>
      <c r="GE78" t="e">
        <f>AND(DATA!B287,"AAAAAB3evLo=")</f>
        <v>#VALUE!</v>
      </c>
      <c r="GF78" t="e">
        <f>AND(DATA!C287,"AAAAAB3evLs=")</f>
        <v>#VALUE!</v>
      </c>
      <c r="GG78" t="e">
        <f>AND(DATA!D287,"AAAAAB3evLw=")</f>
        <v>#VALUE!</v>
      </c>
      <c r="GH78" t="e">
        <f>AND(DATA!E287,"AAAAAB3evL0=")</f>
        <v>#VALUE!</v>
      </c>
      <c r="GI78" t="e">
        <f>AND(DATA!F287,"AAAAAB3evL4=")</f>
        <v>#VALUE!</v>
      </c>
      <c r="GJ78" t="e">
        <f>AND(DATA!G287,"AAAAAB3evL8=")</f>
        <v>#VALUE!</v>
      </c>
      <c r="GK78" t="e">
        <f>AND(DATA!H287,"AAAAAB3evMA=")</f>
        <v>#VALUE!</v>
      </c>
      <c r="GL78" t="e">
        <f>AND(DATA!I287,"AAAAAB3evME=")</f>
        <v>#VALUE!</v>
      </c>
      <c r="GM78" t="e">
        <f>AND(DATA!J287,"AAAAAB3evMI=")</f>
        <v>#VALUE!</v>
      </c>
      <c r="GN78" t="e">
        <f>AND(DATA!K287,"AAAAAB3evMM=")</f>
        <v>#VALUE!</v>
      </c>
      <c r="GO78" t="b">
        <f>AND(DATA!L288,"AAAAAB3evMQ=")</f>
        <v>1</v>
      </c>
      <c r="GP78" t="b">
        <f>AND(DATA!M288,"AAAAAB3evMU=")</f>
        <v>1</v>
      </c>
      <c r="GQ78" t="b">
        <f>AND(DATA!N288,"AAAAAB3evMY=")</f>
        <v>1</v>
      </c>
      <c r="GR78" t="b">
        <f>AND(DATA!O288,"AAAAAB3evMc=")</f>
        <v>1</v>
      </c>
      <c r="GS78" t="b">
        <f>AND(DATA!P288,"AAAAAB3evMg=")</f>
        <v>1</v>
      </c>
      <c r="GT78" t="b">
        <f>AND(DATA!Q288,"AAAAAB3evMk=")</f>
        <v>1</v>
      </c>
      <c r="GU78" t="b">
        <f>AND(DATA!R288,"AAAAAB3evMo=")</f>
        <v>1</v>
      </c>
      <c r="GV78" t="b">
        <f>AND(DATA!S288,"AAAAAB3evMs=")</f>
        <v>1</v>
      </c>
      <c r="GW78" t="b">
        <f>AND(DATA!T288,"AAAAAB3evMw=")</f>
        <v>1</v>
      </c>
      <c r="GX78" t="b">
        <f>AND(DATA!U288,"AAAAAB3evM0=")</f>
        <v>1</v>
      </c>
      <c r="GY78" t="b">
        <f>AND(DATA!V288,"AAAAAB3evM4=")</f>
        <v>1</v>
      </c>
      <c r="GZ78" t="e">
        <f>AND(DATA!W287,"AAAAAB3evM8=")</f>
        <v>#VALUE!</v>
      </c>
      <c r="HA78" t="e">
        <f>AND(DATA!X287,"AAAAAB3evNA=")</f>
        <v>#VALUE!</v>
      </c>
      <c r="HB78" t="e">
        <f>AND(DATA!Y287,"AAAAAB3evNE=")</f>
        <v>#VALUE!</v>
      </c>
      <c r="HC78">
        <f>IF(DATA!288:288,"AAAAAB3evNI=",0)</f>
        <v>0</v>
      </c>
      <c r="HD78" t="e">
        <f>AND(DATA!A288,"AAAAAB3evNM=")</f>
        <v>#VALUE!</v>
      </c>
      <c r="HE78" t="e">
        <f>AND(DATA!B288,"AAAAAB3evNQ=")</f>
        <v>#VALUE!</v>
      </c>
      <c r="HF78" t="e">
        <f>AND(DATA!C288,"AAAAAB3evNU=")</f>
        <v>#VALUE!</v>
      </c>
      <c r="HG78" t="e">
        <f>AND(DATA!D288,"AAAAAB3evNY=")</f>
        <v>#VALUE!</v>
      </c>
      <c r="HH78" t="e">
        <f>AND(DATA!E288,"AAAAAB3evNc=")</f>
        <v>#VALUE!</v>
      </c>
      <c r="HI78" t="e">
        <f>AND(DATA!F288,"AAAAAB3evNg=")</f>
        <v>#VALUE!</v>
      </c>
      <c r="HJ78" t="e">
        <f>AND(DATA!G288,"AAAAAB3evNk=")</f>
        <v>#VALUE!</v>
      </c>
      <c r="HK78" t="e">
        <f>AND(DATA!H288,"AAAAAB3evNo=")</f>
        <v>#VALUE!</v>
      </c>
      <c r="HL78" t="e">
        <f>AND(DATA!I288,"AAAAAB3evNs=")</f>
        <v>#VALUE!</v>
      </c>
      <c r="HM78" t="e">
        <f>AND(DATA!J288,"AAAAAB3evNw=")</f>
        <v>#VALUE!</v>
      </c>
      <c r="HN78" t="e">
        <f>AND(DATA!K288,"AAAAAB3evN0=")</f>
        <v>#VALUE!</v>
      </c>
      <c r="HO78" t="b">
        <f>AND(DATA!L289,"AAAAAB3evN4=")</f>
        <v>1</v>
      </c>
      <c r="HP78" t="b">
        <f>AND(DATA!M289,"AAAAAB3evN8=")</f>
        <v>1</v>
      </c>
      <c r="HQ78" t="b">
        <f>AND(DATA!N289,"AAAAAB3evOA=")</f>
        <v>1</v>
      </c>
      <c r="HR78" t="b">
        <f>AND(DATA!O289,"AAAAAB3evOE=")</f>
        <v>1</v>
      </c>
      <c r="HS78" t="b">
        <f>AND(DATA!P289,"AAAAAB3evOI=")</f>
        <v>1</v>
      </c>
      <c r="HT78" t="b">
        <f>AND(DATA!Q289,"AAAAAB3evOM=")</f>
        <v>1</v>
      </c>
      <c r="HU78" t="b">
        <f>AND(DATA!R289,"AAAAAB3evOQ=")</f>
        <v>1</v>
      </c>
      <c r="HV78" t="b">
        <f>AND(DATA!S289,"AAAAAB3evOU=")</f>
        <v>1</v>
      </c>
      <c r="HW78" t="b">
        <f>AND(DATA!T289,"AAAAAB3evOY=")</f>
        <v>1</v>
      </c>
      <c r="HX78" t="b">
        <f>AND(DATA!U289,"AAAAAB3evOc=")</f>
        <v>1</v>
      </c>
      <c r="HY78" t="b">
        <f>AND(DATA!V289,"AAAAAB3evOg=")</f>
        <v>1</v>
      </c>
      <c r="HZ78" t="e">
        <f>AND(DATA!W288,"AAAAAB3evOk=")</f>
        <v>#VALUE!</v>
      </c>
      <c r="IA78" t="e">
        <f>AND(DATA!X288,"AAAAAB3evOo=")</f>
        <v>#VALUE!</v>
      </c>
      <c r="IB78" t="e">
        <f>AND(DATA!Y288,"AAAAAB3evOs=")</f>
        <v>#VALUE!</v>
      </c>
      <c r="IC78">
        <f>IF(DATA!289:289,"AAAAAB3evOw=",0)</f>
        <v>0</v>
      </c>
      <c r="ID78" t="e">
        <f>AND(DATA!A289,"AAAAAB3evO0=")</f>
        <v>#VALUE!</v>
      </c>
      <c r="IE78" t="e">
        <f>AND(DATA!B289,"AAAAAB3evO4=")</f>
        <v>#VALUE!</v>
      </c>
      <c r="IF78" t="e">
        <f>AND(DATA!C289,"AAAAAB3evO8=")</f>
        <v>#VALUE!</v>
      </c>
      <c r="IG78" t="e">
        <f>AND(DATA!D289,"AAAAAB3evPA=")</f>
        <v>#VALUE!</v>
      </c>
      <c r="IH78" t="e">
        <f>AND(DATA!E289,"AAAAAB3evPE=")</f>
        <v>#VALUE!</v>
      </c>
      <c r="II78" t="e">
        <f>AND(DATA!F289,"AAAAAB3evPI=")</f>
        <v>#VALUE!</v>
      </c>
      <c r="IJ78" t="e">
        <f>AND(DATA!G289,"AAAAAB3evPM=")</f>
        <v>#VALUE!</v>
      </c>
      <c r="IK78" t="e">
        <f>AND(DATA!H289,"AAAAAB3evPQ=")</f>
        <v>#VALUE!</v>
      </c>
      <c r="IL78" t="e">
        <f>AND(DATA!I289,"AAAAAB3evPU=")</f>
        <v>#VALUE!</v>
      </c>
      <c r="IM78" t="e">
        <f>AND(DATA!J289,"AAAAAB3evPY=")</f>
        <v>#VALUE!</v>
      </c>
      <c r="IN78" t="e">
        <f>AND(DATA!K289,"AAAAAB3evPc=")</f>
        <v>#VALUE!</v>
      </c>
      <c r="IO78" t="b">
        <f>AND(DATA!L290,"AAAAAB3evPg=")</f>
        <v>1</v>
      </c>
      <c r="IP78" t="b">
        <f>AND(DATA!M290,"AAAAAB3evPk=")</f>
        <v>1</v>
      </c>
      <c r="IQ78" t="b">
        <f>AND(DATA!N290,"AAAAAB3evPo=")</f>
        <v>1</v>
      </c>
      <c r="IR78" t="b">
        <f>AND(DATA!O290,"AAAAAB3evPs=")</f>
        <v>1</v>
      </c>
      <c r="IS78" t="b">
        <f>AND(DATA!P290,"AAAAAB3evPw=")</f>
        <v>1</v>
      </c>
      <c r="IT78" t="b">
        <f>AND(DATA!Q290,"AAAAAB3evP0=")</f>
        <v>1</v>
      </c>
      <c r="IU78" t="b">
        <f>AND(DATA!R290,"AAAAAB3evP4=")</f>
        <v>1</v>
      </c>
      <c r="IV78" t="b">
        <f>AND(DATA!S290,"AAAAAB3evP8=")</f>
        <v>1</v>
      </c>
    </row>
    <row r="79" spans="1:256" x14ac:dyDescent="0.25">
      <c r="A79" t="b">
        <f>AND(DATA!T290,"AAAAAD7PFQA=")</f>
        <v>1</v>
      </c>
      <c r="B79" t="b">
        <f>AND(DATA!U290,"AAAAAD7PFQE=")</f>
        <v>1</v>
      </c>
      <c r="C79" t="b">
        <f>AND(DATA!V290,"AAAAAD7PFQI=")</f>
        <v>1</v>
      </c>
      <c r="D79" t="e">
        <f>AND(DATA!W289,"AAAAAD7PFQM=")</f>
        <v>#VALUE!</v>
      </c>
      <c r="E79" t="e">
        <f>AND(DATA!X289,"AAAAAD7PFQQ=")</f>
        <v>#VALUE!</v>
      </c>
      <c r="F79" t="e">
        <f>AND(DATA!Y289,"AAAAAD7PFQU=")</f>
        <v>#VALUE!</v>
      </c>
      <c r="G79">
        <f>IF(DATA!290:290,"AAAAAD7PFQY=",0)</f>
        <v>0</v>
      </c>
      <c r="H79" t="e">
        <f>AND(DATA!A290,"AAAAAD7PFQc=")</f>
        <v>#VALUE!</v>
      </c>
      <c r="I79" t="e">
        <f>AND(DATA!B290,"AAAAAD7PFQg=")</f>
        <v>#VALUE!</v>
      </c>
      <c r="J79" t="e">
        <f>AND(DATA!C290,"AAAAAD7PFQk=")</f>
        <v>#VALUE!</v>
      </c>
      <c r="K79" t="e">
        <f>AND(DATA!D290,"AAAAAD7PFQo=")</f>
        <v>#VALUE!</v>
      </c>
      <c r="L79" t="e">
        <f>AND(DATA!E290,"AAAAAD7PFQs=")</f>
        <v>#VALUE!</v>
      </c>
      <c r="M79" t="e">
        <f>AND(DATA!F290,"AAAAAD7PFQw=")</f>
        <v>#VALUE!</v>
      </c>
      <c r="N79" t="e">
        <f>AND(DATA!G290,"AAAAAD7PFQ0=")</f>
        <v>#VALUE!</v>
      </c>
      <c r="O79" t="e">
        <f>AND(DATA!H290,"AAAAAD7PFQ4=")</f>
        <v>#VALUE!</v>
      </c>
      <c r="P79" t="e">
        <f>AND(DATA!I290,"AAAAAD7PFQ8=")</f>
        <v>#VALUE!</v>
      </c>
      <c r="Q79" t="e">
        <f>AND(DATA!J290,"AAAAAD7PFRA=")</f>
        <v>#VALUE!</v>
      </c>
      <c r="R79" t="e">
        <f>AND(DATA!K290,"AAAAAD7PFRE=")</f>
        <v>#VALUE!</v>
      </c>
      <c r="S79" t="b">
        <f>AND(DATA!L291,"AAAAAD7PFRI=")</f>
        <v>1</v>
      </c>
      <c r="T79" t="b">
        <f>AND(DATA!M291,"AAAAAD7PFRM=")</f>
        <v>1</v>
      </c>
      <c r="U79" t="b">
        <f>AND(DATA!N291,"AAAAAD7PFRQ=")</f>
        <v>1</v>
      </c>
      <c r="V79" t="b">
        <f>AND(DATA!O291,"AAAAAD7PFRU=")</f>
        <v>1</v>
      </c>
      <c r="W79" t="b">
        <f>AND(DATA!P291,"AAAAAD7PFRY=")</f>
        <v>1</v>
      </c>
      <c r="X79" t="b">
        <f>AND(DATA!Q291,"AAAAAD7PFRc=")</f>
        <v>1</v>
      </c>
      <c r="Y79" t="b">
        <f>AND(DATA!R291,"AAAAAD7PFRg=")</f>
        <v>1</v>
      </c>
      <c r="Z79" t="b">
        <f>AND(DATA!S291,"AAAAAD7PFRk=")</f>
        <v>1</v>
      </c>
      <c r="AA79" t="b">
        <f>AND(DATA!T291,"AAAAAD7PFRo=")</f>
        <v>1</v>
      </c>
      <c r="AB79" t="b">
        <f>AND(DATA!U291,"AAAAAD7PFRs=")</f>
        <v>1</v>
      </c>
      <c r="AC79" t="b">
        <f>AND(DATA!V291,"AAAAAD7PFRw=")</f>
        <v>1</v>
      </c>
      <c r="AD79" t="e">
        <f>AND(DATA!W290,"AAAAAD7PFR0=")</f>
        <v>#VALUE!</v>
      </c>
      <c r="AE79" t="e">
        <f>AND(DATA!X290,"AAAAAD7PFR4=")</f>
        <v>#VALUE!</v>
      </c>
      <c r="AF79" t="e">
        <f>AND(DATA!Y290,"AAAAAD7PFR8=")</f>
        <v>#VALUE!</v>
      </c>
      <c r="AG79">
        <f>IF(DATA!291:291,"AAAAAD7PFSA=",0)</f>
        <v>0</v>
      </c>
      <c r="AH79" t="e">
        <f>AND(DATA!A291,"AAAAAD7PFSE=")</f>
        <v>#VALUE!</v>
      </c>
      <c r="AI79" t="e">
        <f>AND(DATA!B291,"AAAAAD7PFSI=")</f>
        <v>#VALUE!</v>
      </c>
      <c r="AJ79" t="e">
        <f>AND(DATA!C291,"AAAAAD7PFSM=")</f>
        <v>#VALUE!</v>
      </c>
      <c r="AK79" t="e">
        <f>AND(DATA!D291,"AAAAAD7PFSQ=")</f>
        <v>#VALUE!</v>
      </c>
      <c r="AL79" t="e">
        <f>AND(DATA!E291,"AAAAAD7PFSU=")</f>
        <v>#VALUE!</v>
      </c>
      <c r="AM79" t="e">
        <f>AND(DATA!F291,"AAAAAD7PFSY=")</f>
        <v>#VALUE!</v>
      </c>
      <c r="AN79" t="e">
        <f>AND(DATA!G291,"AAAAAD7PFSc=")</f>
        <v>#VALUE!</v>
      </c>
      <c r="AO79" t="e">
        <f>AND(DATA!H291,"AAAAAD7PFSg=")</f>
        <v>#VALUE!</v>
      </c>
      <c r="AP79" t="e">
        <f>AND(DATA!I291,"AAAAAD7PFSk=")</f>
        <v>#VALUE!</v>
      </c>
      <c r="AQ79" t="e">
        <f>AND(DATA!J291,"AAAAAD7PFSo=")</f>
        <v>#VALUE!</v>
      </c>
      <c r="AR79" t="e">
        <f>AND(DATA!K291,"AAAAAD7PFSs=")</f>
        <v>#VALUE!</v>
      </c>
      <c r="AS79" t="b">
        <f>AND(DATA!L292,"AAAAAD7PFSw=")</f>
        <v>1</v>
      </c>
      <c r="AT79" t="b">
        <f>AND(DATA!M292,"AAAAAD7PFS0=")</f>
        <v>1</v>
      </c>
      <c r="AU79" t="b">
        <f>AND(DATA!N292,"AAAAAD7PFS4=")</f>
        <v>1</v>
      </c>
      <c r="AV79" t="b">
        <f>AND(DATA!O292,"AAAAAD7PFS8=")</f>
        <v>1</v>
      </c>
      <c r="AW79" t="b">
        <f>AND(DATA!P292,"AAAAAD7PFTA=")</f>
        <v>1</v>
      </c>
      <c r="AX79" t="b">
        <f>AND(DATA!Q292,"AAAAAD7PFTE=")</f>
        <v>1</v>
      </c>
      <c r="AY79" t="b">
        <f>AND(DATA!R292,"AAAAAD7PFTI=")</f>
        <v>1</v>
      </c>
      <c r="AZ79" t="b">
        <f>AND(DATA!S292,"AAAAAD7PFTM=")</f>
        <v>1</v>
      </c>
      <c r="BA79" t="b">
        <f>AND(DATA!T292,"AAAAAD7PFTQ=")</f>
        <v>1</v>
      </c>
      <c r="BB79" t="b">
        <f>AND(DATA!U292,"AAAAAD7PFTU=")</f>
        <v>1</v>
      </c>
      <c r="BC79" t="b">
        <f>AND(DATA!V292,"AAAAAD7PFTY=")</f>
        <v>1</v>
      </c>
      <c r="BD79" t="e">
        <f>AND(DATA!W291,"AAAAAD7PFTc=")</f>
        <v>#VALUE!</v>
      </c>
      <c r="BE79" t="e">
        <f>AND(DATA!X291,"AAAAAD7PFTg=")</f>
        <v>#VALUE!</v>
      </c>
      <c r="BF79" t="e">
        <f>AND(DATA!Y291,"AAAAAD7PFTk=")</f>
        <v>#VALUE!</v>
      </c>
      <c r="BG79">
        <f>IF(DATA!292:292,"AAAAAD7PFTo=",0)</f>
        <v>0</v>
      </c>
      <c r="BH79" t="e">
        <f>AND(DATA!A292,"AAAAAD7PFTs=")</f>
        <v>#VALUE!</v>
      </c>
      <c r="BI79" t="e">
        <f>AND(DATA!B292,"AAAAAD7PFTw=")</f>
        <v>#VALUE!</v>
      </c>
      <c r="BJ79" t="e">
        <f>AND(DATA!C292,"AAAAAD7PFT0=")</f>
        <v>#VALUE!</v>
      </c>
      <c r="BK79" t="e">
        <f>AND(DATA!D292,"AAAAAD7PFT4=")</f>
        <v>#VALUE!</v>
      </c>
      <c r="BL79" t="e">
        <f>AND(DATA!E292,"AAAAAD7PFT8=")</f>
        <v>#VALUE!</v>
      </c>
      <c r="BM79" t="e">
        <f>AND(DATA!F292,"AAAAAD7PFUA=")</f>
        <v>#VALUE!</v>
      </c>
      <c r="BN79" t="e">
        <f>AND(DATA!G292,"AAAAAD7PFUE=")</f>
        <v>#VALUE!</v>
      </c>
      <c r="BO79" t="e">
        <f>AND(DATA!H292,"AAAAAD7PFUI=")</f>
        <v>#VALUE!</v>
      </c>
      <c r="BP79" t="e">
        <f>AND(DATA!I292,"AAAAAD7PFUM=")</f>
        <v>#VALUE!</v>
      </c>
      <c r="BQ79" t="e">
        <f>AND(DATA!J292,"AAAAAD7PFUQ=")</f>
        <v>#VALUE!</v>
      </c>
      <c r="BR79" t="e">
        <f>AND(DATA!K292,"AAAAAD7PFUU=")</f>
        <v>#VALUE!</v>
      </c>
      <c r="BS79" t="b">
        <f>AND(DATA!L293,"AAAAAD7PFUY=")</f>
        <v>1</v>
      </c>
      <c r="BT79" t="b">
        <f>AND(DATA!M293,"AAAAAD7PFUc=")</f>
        <v>1</v>
      </c>
      <c r="BU79" t="b">
        <f>AND(DATA!N293,"AAAAAD7PFUg=")</f>
        <v>1</v>
      </c>
      <c r="BV79" t="b">
        <f>AND(DATA!O293,"AAAAAD7PFUk=")</f>
        <v>1</v>
      </c>
      <c r="BW79" t="b">
        <f>AND(DATA!P293,"AAAAAD7PFUo=")</f>
        <v>1</v>
      </c>
      <c r="BX79" t="b">
        <f>AND(DATA!Q293,"AAAAAD7PFUs=")</f>
        <v>1</v>
      </c>
      <c r="BY79" t="b">
        <f>AND(DATA!R293,"AAAAAD7PFUw=")</f>
        <v>1</v>
      </c>
      <c r="BZ79" t="b">
        <f>AND(DATA!S293,"AAAAAD7PFU0=")</f>
        <v>1</v>
      </c>
      <c r="CA79" t="b">
        <f>AND(DATA!T293,"AAAAAD7PFU4=")</f>
        <v>1</v>
      </c>
      <c r="CB79" t="b">
        <f>AND(DATA!U293,"AAAAAD7PFU8=")</f>
        <v>1</v>
      </c>
      <c r="CC79" t="b">
        <f>AND(DATA!V293,"AAAAAD7PFVA=")</f>
        <v>1</v>
      </c>
      <c r="CD79" t="e">
        <f>AND(DATA!W292,"AAAAAD7PFVE=")</f>
        <v>#VALUE!</v>
      </c>
      <c r="CE79" t="e">
        <f>AND(DATA!X292,"AAAAAD7PFVI=")</f>
        <v>#VALUE!</v>
      </c>
      <c r="CF79" t="e">
        <f>AND(DATA!Y292,"AAAAAD7PFVM=")</f>
        <v>#VALUE!</v>
      </c>
      <c r="CG79">
        <f>IF(DATA!293:293,"AAAAAD7PFVQ=",0)</f>
        <v>0</v>
      </c>
      <c r="CH79" t="e">
        <f>AND(DATA!A293,"AAAAAD7PFVU=")</f>
        <v>#VALUE!</v>
      </c>
      <c r="CI79" t="e">
        <f>AND(DATA!B293,"AAAAAD7PFVY=")</f>
        <v>#VALUE!</v>
      </c>
      <c r="CJ79" t="e">
        <f>AND(DATA!C293,"AAAAAD7PFVc=")</f>
        <v>#VALUE!</v>
      </c>
      <c r="CK79" t="e">
        <f>AND(DATA!D293,"AAAAAD7PFVg=")</f>
        <v>#VALUE!</v>
      </c>
      <c r="CL79" t="e">
        <f>AND(DATA!E293,"AAAAAD7PFVk=")</f>
        <v>#VALUE!</v>
      </c>
      <c r="CM79" t="e">
        <f>AND(DATA!F293,"AAAAAD7PFVo=")</f>
        <v>#VALUE!</v>
      </c>
      <c r="CN79" t="e">
        <f>AND(DATA!G293,"AAAAAD7PFVs=")</f>
        <v>#VALUE!</v>
      </c>
      <c r="CO79" t="e">
        <f>AND(DATA!H293,"AAAAAD7PFVw=")</f>
        <v>#VALUE!</v>
      </c>
      <c r="CP79" t="e">
        <f>AND(DATA!I293,"AAAAAD7PFV0=")</f>
        <v>#VALUE!</v>
      </c>
      <c r="CQ79" t="e">
        <f>AND(DATA!J293,"AAAAAD7PFV4=")</f>
        <v>#VALUE!</v>
      </c>
      <c r="CR79" t="e">
        <f>AND(DATA!K293,"AAAAAD7PFV8=")</f>
        <v>#VALUE!</v>
      </c>
      <c r="CS79" t="b">
        <f>AND(DATA!L294,"AAAAAD7PFWA=")</f>
        <v>1</v>
      </c>
      <c r="CT79" t="b">
        <f>AND(DATA!M294,"AAAAAD7PFWE=")</f>
        <v>1</v>
      </c>
      <c r="CU79" t="b">
        <f>AND(DATA!N294,"AAAAAD7PFWI=")</f>
        <v>1</v>
      </c>
      <c r="CV79" t="b">
        <f>AND(DATA!O294,"AAAAAD7PFWM=")</f>
        <v>1</v>
      </c>
      <c r="CW79" t="b">
        <f>AND(DATA!P294,"AAAAAD7PFWQ=")</f>
        <v>1</v>
      </c>
      <c r="CX79" t="b">
        <f>AND(DATA!Q294,"AAAAAD7PFWU=")</f>
        <v>1</v>
      </c>
      <c r="CY79" t="b">
        <f>AND(DATA!R294,"AAAAAD7PFWY=")</f>
        <v>1</v>
      </c>
      <c r="CZ79" t="b">
        <f>AND(DATA!S294,"AAAAAD7PFWc=")</f>
        <v>1</v>
      </c>
      <c r="DA79" t="b">
        <f>AND(DATA!T294,"AAAAAD7PFWg=")</f>
        <v>1</v>
      </c>
      <c r="DB79" t="b">
        <f>AND(DATA!U294,"AAAAAD7PFWk=")</f>
        <v>1</v>
      </c>
      <c r="DC79" t="b">
        <f>AND(DATA!V294,"AAAAAD7PFWo=")</f>
        <v>1</v>
      </c>
      <c r="DD79" t="e">
        <f>AND(DATA!W293,"AAAAAD7PFWs=")</f>
        <v>#VALUE!</v>
      </c>
      <c r="DE79" t="e">
        <f>AND(DATA!X293,"AAAAAD7PFWw=")</f>
        <v>#VALUE!</v>
      </c>
      <c r="DF79" t="e">
        <f>AND(DATA!Y293,"AAAAAD7PFW0=")</f>
        <v>#VALUE!</v>
      </c>
      <c r="DG79">
        <f>IF(DATA!294:294,"AAAAAD7PFW4=",0)</f>
        <v>0</v>
      </c>
      <c r="DH79" t="e">
        <f>AND(DATA!A294,"AAAAAD7PFW8=")</f>
        <v>#VALUE!</v>
      </c>
      <c r="DI79" t="e">
        <f>AND(DATA!B294,"AAAAAD7PFXA=")</f>
        <v>#VALUE!</v>
      </c>
      <c r="DJ79" t="e">
        <f>AND(DATA!C294,"AAAAAD7PFXE=")</f>
        <v>#VALUE!</v>
      </c>
      <c r="DK79" t="e">
        <f>AND(DATA!D294,"AAAAAD7PFXI=")</f>
        <v>#VALUE!</v>
      </c>
      <c r="DL79" t="e">
        <f>AND(DATA!E294,"AAAAAD7PFXM=")</f>
        <v>#VALUE!</v>
      </c>
      <c r="DM79" t="e">
        <f>AND(DATA!F294,"AAAAAD7PFXQ=")</f>
        <v>#VALUE!</v>
      </c>
      <c r="DN79" t="e">
        <f>AND(DATA!G294,"AAAAAD7PFXU=")</f>
        <v>#VALUE!</v>
      </c>
      <c r="DO79" t="e">
        <f>AND(DATA!H294,"AAAAAD7PFXY=")</f>
        <v>#VALUE!</v>
      </c>
      <c r="DP79" t="e">
        <f>AND(DATA!I294,"AAAAAD7PFXc=")</f>
        <v>#VALUE!</v>
      </c>
      <c r="DQ79" t="e">
        <f>AND(DATA!J294,"AAAAAD7PFXg=")</f>
        <v>#VALUE!</v>
      </c>
      <c r="DR79" t="e">
        <f>AND(DATA!K294,"AAAAAD7PFXk=")</f>
        <v>#VALUE!</v>
      </c>
      <c r="DS79" t="b">
        <f>AND(DATA!L295,"AAAAAD7PFXo=")</f>
        <v>1</v>
      </c>
      <c r="DT79" t="b">
        <f>AND(DATA!M295,"AAAAAD7PFXs=")</f>
        <v>1</v>
      </c>
      <c r="DU79" t="b">
        <f>AND(DATA!N295,"AAAAAD7PFXw=")</f>
        <v>1</v>
      </c>
      <c r="DV79" t="b">
        <f>AND(DATA!O295,"AAAAAD7PFX0=")</f>
        <v>1</v>
      </c>
      <c r="DW79" t="b">
        <f>AND(DATA!P295,"AAAAAD7PFX4=")</f>
        <v>1</v>
      </c>
      <c r="DX79" t="b">
        <f>AND(DATA!Q295,"AAAAAD7PFX8=")</f>
        <v>1</v>
      </c>
      <c r="DY79" t="b">
        <f>AND(DATA!R295,"AAAAAD7PFYA=")</f>
        <v>1</v>
      </c>
      <c r="DZ79" t="b">
        <f>AND(DATA!S295,"AAAAAD7PFYE=")</f>
        <v>1</v>
      </c>
      <c r="EA79" t="b">
        <f>AND(DATA!T295,"AAAAAD7PFYI=")</f>
        <v>1</v>
      </c>
      <c r="EB79" t="b">
        <f>AND(DATA!U295,"AAAAAD7PFYM=")</f>
        <v>1</v>
      </c>
      <c r="EC79" t="b">
        <f>AND(DATA!V295,"AAAAAD7PFYQ=")</f>
        <v>1</v>
      </c>
      <c r="ED79" t="e">
        <f>AND(DATA!W294,"AAAAAD7PFYU=")</f>
        <v>#VALUE!</v>
      </c>
      <c r="EE79" t="e">
        <f>AND(DATA!X294,"AAAAAD7PFYY=")</f>
        <v>#VALUE!</v>
      </c>
      <c r="EF79" t="e">
        <f>AND(DATA!Y294,"AAAAAD7PFYc=")</f>
        <v>#VALUE!</v>
      </c>
      <c r="EG79">
        <f>IF(DATA!295:295,"AAAAAD7PFYg=",0)</f>
        <v>0</v>
      </c>
      <c r="EH79" t="e">
        <f>AND(DATA!A295,"AAAAAD7PFYk=")</f>
        <v>#VALUE!</v>
      </c>
      <c r="EI79" t="e">
        <f>AND(DATA!B295,"AAAAAD7PFYo=")</f>
        <v>#VALUE!</v>
      </c>
      <c r="EJ79" t="e">
        <f>AND(DATA!C295,"AAAAAD7PFYs=")</f>
        <v>#VALUE!</v>
      </c>
      <c r="EK79" t="e">
        <f>AND(DATA!D295,"AAAAAD7PFYw=")</f>
        <v>#VALUE!</v>
      </c>
      <c r="EL79" t="e">
        <f>AND(DATA!E295,"AAAAAD7PFY0=")</f>
        <v>#VALUE!</v>
      </c>
      <c r="EM79" t="e">
        <f>AND(DATA!F295,"AAAAAD7PFY4=")</f>
        <v>#VALUE!</v>
      </c>
      <c r="EN79" t="e">
        <f>AND(DATA!G295,"AAAAAD7PFY8=")</f>
        <v>#VALUE!</v>
      </c>
      <c r="EO79" t="e">
        <f>AND(DATA!H295,"AAAAAD7PFZA=")</f>
        <v>#VALUE!</v>
      </c>
      <c r="EP79" t="e">
        <f>AND(DATA!I295,"AAAAAD7PFZE=")</f>
        <v>#VALUE!</v>
      </c>
      <c r="EQ79" t="e">
        <f>AND(DATA!J295,"AAAAAD7PFZI=")</f>
        <v>#VALUE!</v>
      </c>
      <c r="ER79" t="e">
        <f>AND(DATA!K295,"AAAAAD7PFZM=")</f>
        <v>#VALUE!</v>
      </c>
      <c r="ES79" t="b">
        <f>AND(DATA!L296,"AAAAAD7PFZQ=")</f>
        <v>1</v>
      </c>
      <c r="ET79" t="b">
        <f>AND(DATA!M296,"AAAAAD7PFZU=")</f>
        <v>1</v>
      </c>
      <c r="EU79" t="b">
        <f>AND(DATA!N296,"AAAAAD7PFZY=")</f>
        <v>1</v>
      </c>
      <c r="EV79" t="b">
        <f>AND(DATA!O296,"AAAAAD7PFZc=")</f>
        <v>1</v>
      </c>
      <c r="EW79" t="b">
        <f>AND(DATA!P296,"AAAAAD7PFZg=")</f>
        <v>1</v>
      </c>
      <c r="EX79" t="b">
        <f>AND(DATA!Q296,"AAAAAD7PFZk=")</f>
        <v>1</v>
      </c>
      <c r="EY79" t="b">
        <f>AND(DATA!R296,"AAAAAD7PFZo=")</f>
        <v>1</v>
      </c>
      <c r="EZ79" t="b">
        <f>AND(DATA!S296,"AAAAAD7PFZs=")</f>
        <v>1</v>
      </c>
      <c r="FA79" t="b">
        <f>AND(DATA!T296,"AAAAAD7PFZw=")</f>
        <v>1</v>
      </c>
      <c r="FB79" t="b">
        <f>AND(DATA!U296,"AAAAAD7PFZ0=")</f>
        <v>1</v>
      </c>
      <c r="FC79" t="b">
        <f>AND(DATA!V296,"AAAAAD7PFZ4=")</f>
        <v>1</v>
      </c>
      <c r="FD79" t="e">
        <f>AND(DATA!W295,"AAAAAD7PFZ8=")</f>
        <v>#VALUE!</v>
      </c>
      <c r="FE79" t="e">
        <f>AND(DATA!X295,"AAAAAD7PFaA=")</f>
        <v>#VALUE!</v>
      </c>
      <c r="FF79" t="e">
        <f>AND(DATA!Y295,"AAAAAD7PFaE=")</f>
        <v>#VALUE!</v>
      </c>
      <c r="FG79">
        <f>IF(DATA!296:296,"AAAAAD7PFaI=",0)</f>
        <v>0</v>
      </c>
      <c r="FH79" t="e">
        <f>AND(DATA!A296,"AAAAAD7PFaM=")</f>
        <v>#VALUE!</v>
      </c>
      <c r="FI79" t="e">
        <f>AND(DATA!B296,"AAAAAD7PFaQ=")</f>
        <v>#VALUE!</v>
      </c>
      <c r="FJ79" t="e">
        <f>AND(DATA!C296,"AAAAAD7PFaU=")</f>
        <v>#VALUE!</v>
      </c>
      <c r="FK79" t="e">
        <f>AND(DATA!D296,"AAAAAD7PFaY=")</f>
        <v>#VALUE!</v>
      </c>
      <c r="FL79" t="e">
        <f>AND(DATA!E296,"AAAAAD7PFac=")</f>
        <v>#VALUE!</v>
      </c>
      <c r="FM79" t="e">
        <f>AND(DATA!F296,"AAAAAD7PFag=")</f>
        <v>#VALUE!</v>
      </c>
      <c r="FN79" t="e">
        <f>AND(DATA!G296,"AAAAAD7PFak=")</f>
        <v>#VALUE!</v>
      </c>
      <c r="FO79" t="e">
        <f>AND(DATA!H296,"AAAAAD7PFao=")</f>
        <v>#VALUE!</v>
      </c>
      <c r="FP79" t="e">
        <f>AND(DATA!I296,"AAAAAD7PFas=")</f>
        <v>#VALUE!</v>
      </c>
      <c r="FQ79" t="e">
        <f>AND(DATA!J296,"AAAAAD7PFaw=")</f>
        <v>#VALUE!</v>
      </c>
      <c r="FR79" t="e">
        <f>AND(DATA!K296,"AAAAAD7PFa0=")</f>
        <v>#VALUE!</v>
      </c>
      <c r="FS79" t="b">
        <f>AND(DATA!L297,"AAAAAD7PFa4=")</f>
        <v>1</v>
      </c>
      <c r="FT79" t="b">
        <f>AND(DATA!M297,"AAAAAD7PFa8=")</f>
        <v>1</v>
      </c>
      <c r="FU79" t="b">
        <f>AND(DATA!N297,"AAAAAD7PFbA=")</f>
        <v>1</v>
      </c>
      <c r="FV79" t="b">
        <f>AND(DATA!O297,"AAAAAD7PFbE=")</f>
        <v>1</v>
      </c>
      <c r="FW79" t="b">
        <f>AND(DATA!P297,"AAAAAD7PFbI=")</f>
        <v>1</v>
      </c>
      <c r="FX79" t="b">
        <f>AND(DATA!Q297,"AAAAAD7PFbM=")</f>
        <v>1</v>
      </c>
      <c r="FY79" t="b">
        <f>AND(DATA!R297,"AAAAAD7PFbQ=")</f>
        <v>1</v>
      </c>
      <c r="FZ79" t="b">
        <f>AND(DATA!S297,"AAAAAD7PFbU=")</f>
        <v>1</v>
      </c>
      <c r="GA79" t="b">
        <f>AND(DATA!T297,"AAAAAD7PFbY=")</f>
        <v>1</v>
      </c>
      <c r="GB79" t="b">
        <f>AND(DATA!U297,"AAAAAD7PFbc=")</f>
        <v>1</v>
      </c>
      <c r="GC79" t="b">
        <f>AND(DATA!V297,"AAAAAD7PFbg=")</f>
        <v>1</v>
      </c>
      <c r="GD79" t="e">
        <f>AND(DATA!W296,"AAAAAD7PFbk=")</f>
        <v>#VALUE!</v>
      </c>
      <c r="GE79" t="e">
        <f>AND(DATA!X296,"AAAAAD7PFbo=")</f>
        <v>#VALUE!</v>
      </c>
      <c r="GF79" t="e">
        <f>AND(DATA!Y296,"AAAAAD7PFbs=")</f>
        <v>#VALUE!</v>
      </c>
      <c r="GG79">
        <f>IF(DATA!297:297,"AAAAAD7PFbw=",0)</f>
        <v>0</v>
      </c>
      <c r="GH79" t="e">
        <f>AND(DATA!A297,"AAAAAD7PFb0=")</f>
        <v>#VALUE!</v>
      </c>
      <c r="GI79" t="e">
        <f>AND(DATA!B297,"AAAAAD7PFb4=")</f>
        <v>#VALUE!</v>
      </c>
      <c r="GJ79" t="e">
        <f>AND(DATA!C297,"AAAAAD7PFb8=")</f>
        <v>#VALUE!</v>
      </c>
      <c r="GK79" t="e">
        <f>AND(DATA!D297,"AAAAAD7PFcA=")</f>
        <v>#VALUE!</v>
      </c>
      <c r="GL79" t="e">
        <f>AND(DATA!E297,"AAAAAD7PFcE=")</f>
        <v>#VALUE!</v>
      </c>
      <c r="GM79" t="e">
        <f>AND(DATA!F297,"AAAAAD7PFcI=")</f>
        <v>#VALUE!</v>
      </c>
      <c r="GN79" t="e">
        <f>AND(DATA!G297,"AAAAAD7PFcM=")</f>
        <v>#VALUE!</v>
      </c>
      <c r="GO79" t="e">
        <f>AND(DATA!H297,"AAAAAD7PFcQ=")</f>
        <v>#VALUE!</v>
      </c>
      <c r="GP79" t="e">
        <f>AND(DATA!I297,"AAAAAD7PFcU=")</f>
        <v>#VALUE!</v>
      </c>
      <c r="GQ79" t="e">
        <f>AND(DATA!J297,"AAAAAD7PFcY=")</f>
        <v>#VALUE!</v>
      </c>
      <c r="GR79" t="e">
        <f>AND(DATA!K297,"AAAAAD7PFcc=")</f>
        <v>#VALUE!</v>
      </c>
      <c r="GS79" t="b">
        <f>AND(DATA!L298,"AAAAAD7PFcg=")</f>
        <v>1</v>
      </c>
      <c r="GT79" t="b">
        <f>AND(DATA!M298,"AAAAAD7PFck=")</f>
        <v>1</v>
      </c>
      <c r="GU79" t="b">
        <f>AND(DATA!N298,"AAAAAD7PFco=")</f>
        <v>1</v>
      </c>
      <c r="GV79" t="b">
        <f>AND(DATA!O298,"AAAAAD7PFcs=")</f>
        <v>1</v>
      </c>
      <c r="GW79" t="b">
        <f>AND(DATA!P298,"AAAAAD7PFcw=")</f>
        <v>1</v>
      </c>
      <c r="GX79" t="b">
        <f>AND(DATA!Q298,"AAAAAD7PFc0=")</f>
        <v>1</v>
      </c>
      <c r="GY79" t="b">
        <f>AND(DATA!R298,"AAAAAD7PFc4=")</f>
        <v>1</v>
      </c>
      <c r="GZ79" t="b">
        <f>AND(DATA!S298,"AAAAAD7PFc8=")</f>
        <v>1</v>
      </c>
      <c r="HA79" t="b">
        <f>AND(DATA!T298,"AAAAAD7PFdA=")</f>
        <v>1</v>
      </c>
      <c r="HB79" t="b">
        <f>AND(DATA!U298,"AAAAAD7PFdE=")</f>
        <v>1</v>
      </c>
      <c r="HC79" t="b">
        <f>AND(DATA!V298,"AAAAAD7PFdI=")</f>
        <v>1</v>
      </c>
      <c r="HD79" t="e">
        <f>AND(DATA!W297,"AAAAAD7PFdM=")</f>
        <v>#VALUE!</v>
      </c>
      <c r="HE79" t="e">
        <f>AND(DATA!X297,"AAAAAD7PFdQ=")</f>
        <v>#VALUE!</v>
      </c>
      <c r="HF79" t="e">
        <f>AND(DATA!Y297,"AAAAAD7PFdU=")</f>
        <v>#VALUE!</v>
      </c>
      <c r="HG79">
        <f>IF(DATA!298:298,"AAAAAD7PFdY=",0)</f>
        <v>0</v>
      </c>
      <c r="HH79" t="e">
        <f>AND(DATA!A298,"AAAAAD7PFdc=")</f>
        <v>#VALUE!</v>
      </c>
      <c r="HI79" t="e">
        <f>AND(DATA!B298,"AAAAAD7PFdg=")</f>
        <v>#VALUE!</v>
      </c>
      <c r="HJ79" t="e">
        <f>AND(DATA!C298,"AAAAAD7PFdk=")</f>
        <v>#VALUE!</v>
      </c>
      <c r="HK79" t="e">
        <f>AND(DATA!D298,"AAAAAD7PFdo=")</f>
        <v>#VALUE!</v>
      </c>
      <c r="HL79" t="e">
        <f>AND(DATA!E298,"AAAAAD7PFds=")</f>
        <v>#VALUE!</v>
      </c>
      <c r="HM79" t="e">
        <f>AND(DATA!F298,"AAAAAD7PFdw=")</f>
        <v>#VALUE!</v>
      </c>
      <c r="HN79" t="e">
        <f>AND(DATA!G298,"AAAAAD7PFd0=")</f>
        <v>#VALUE!</v>
      </c>
      <c r="HO79" t="e">
        <f>AND(DATA!H298,"AAAAAD7PFd4=")</f>
        <v>#VALUE!</v>
      </c>
      <c r="HP79" t="e">
        <f>AND(DATA!I298,"AAAAAD7PFd8=")</f>
        <v>#VALUE!</v>
      </c>
      <c r="HQ79" t="e">
        <f>AND(DATA!J298,"AAAAAD7PFeA=")</f>
        <v>#VALUE!</v>
      </c>
      <c r="HR79" t="e">
        <f>AND(DATA!K298,"AAAAAD7PFeE=")</f>
        <v>#VALUE!</v>
      </c>
      <c r="HS79" t="b">
        <f>AND(DATA!L299,"AAAAAD7PFeI=")</f>
        <v>1</v>
      </c>
      <c r="HT79" t="b">
        <f>AND(DATA!M299,"AAAAAD7PFeM=")</f>
        <v>1</v>
      </c>
      <c r="HU79" t="b">
        <f>AND(DATA!N299,"AAAAAD7PFeQ=")</f>
        <v>1</v>
      </c>
      <c r="HV79" t="b">
        <f>AND(DATA!O299,"AAAAAD7PFeU=")</f>
        <v>1</v>
      </c>
      <c r="HW79" t="b">
        <f>AND(DATA!P299,"AAAAAD7PFeY=")</f>
        <v>1</v>
      </c>
      <c r="HX79" t="b">
        <f>AND(DATA!Q299,"AAAAAD7PFec=")</f>
        <v>1</v>
      </c>
      <c r="HY79" t="b">
        <f>AND(DATA!R299,"AAAAAD7PFeg=")</f>
        <v>1</v>
      </c>
      <c r="HZ79" t="b">
        <f>AND(DATA!S299,"AAAAAD7PFek=")</f>
        <v>1</v>
      </c>
      <c r="IA79" t="b">
        <f>AND(DATA!T299,"AAAAAD7PFeo=")</f>
        <v>1</v>
      </c>
      <c r="IB79" t="b">
        <f>AND(DATA!U299,"AAAAAD7PFes=")</f>
        <v>1</v>
      </c>
      <c r="IC79" t="b">
        <f>AND(DATA!V299,"AAAAAD7PFew=")</f>
        <v>1</v>
      </c>
      <c r="ID79" t="e">
        <f>AND(DATA!W298,"AAAAAD7PFe0=")</f>
        <v>#VALUE!</v>
      </c>
      <c r="IE79" t="e">
        <f>AND(DATA!X298,"AAAAAD7PFe4=")</f>
        <v>#VALUE!</v>
      </c>
      <c r="IF79" t="e">
        <f>AND(DATA!Y298,"AAAAAD7PFe8=")</f>
        <v>#VALUE!</v>
      </c>
      <c r="IG79">
        <f>IF(DATA!299:299,"AAAAAD7PFfA=",0)</f>
        <v>0</v>
      </c>
      <c r="IH79" t="e">
        <f>AND(DATA!A299,"AAAAAD7PFfE=")</f>
        <v>#VALUE!</v>
      </c>
      <c r="II79" t="e">
        <f>AND(DATA!B299,"AAAAAD7PFfI=")</f>
        <v>#VALUE!</v>
      </c>
      <c r="IJ79" t="e">
        <f>AND(DATA!C299,"AAAAAD7PFfM=")</f>
        <v>#VALUE!</v>
      </c>
      <c r="IK79" t="e">
        <f>AND(DATA!D299,"AAAAAD7PFfQ=")</f>
        <v>#VALUE!</v>
      </c>
      <c r="IL79" t="e">
        <f>AND(DATA!E299,"AAAAAD7PFfU=")</f>
        <v>#VALUE!</v>
      </c>
      <c r="IM79" t="e">
        <f>AND(DATA!F299,"AAAAAD7PFfY=")</f>
        <v>#VALUE!</v>
      </c>
      <c r="IN79" t="e">
        <f>AND(DATA!G299,"AAAAAD7PFfc=")</f>
        <v>#VALUE!</v>
      </c>
      <c r="IO79" t="e">
        <f>AND(DATA!H299,"AAAAAD7PFfg=")</f>
        <v>#VALUE!</v>
      </c>
      <c r="IP79" t="e">
        <f>AND(DATA!I299,"AAAAAD7PFfk=")</f>
        <v>#VALUE!</v>
      </c>
      <c r="IQ79" t="e">
        <f>AND(DATA!J299,"AAAAAD7PFfo=")</f>
        <v>#VALUE!</v>
      </c>
      <c r="IR79" t="e">
        <f>AND(DATA!K299,"AAAAAD7PFfs=")</f>
        <v>#VALUE!</v>
      </c>
      <c r="IS79" t="b">
        <f>AND(DATA!L300,"AAAAAD7PFfw=")</f>
        <v>1</v>
      </c>
      <c r="IT79" t="b">
        <f>AND(DATA!M300,"AAAAAD7PFf0=")</f>
        <v>1</v>
      </c>
      <c r="IU79" t="b">
        <f>AND(DATA!N300,"AAAAAD7PFf4=")</f>
        <v>1</v>
      </c>
      <c r="IV79" t="b">
        <f>AND(DATA!O300,"AAAAAD7PFf8=")</f>
        <v>1</v>
      </c>
    </row>
    <row r="80" spans="1:256" x14ac:dyDescent="0.25">
      <c r="A80" t="b">
        <f>AND(DATA!P300,"AAAAAH786wA=")</f>
        <v>1</v>
      </c>
      <c r="B80" t="b">
        <f>AND(DATA!Q300,"AAAAAH786wE=")</f>
        <v>1</v>
      </c>
      <c r="C80" t="b">
        <f>AND(DATA!R300,"AAAAAH786wI=")</f>
        <v>1</v>
      </c>
      <c r="D80" t="b">
        <f>AND(DATA!S300,"AAAAAH786wM=")</f>
        <v>1</v>
      </c>
      <c r="E80" t="b">
        <f>AND(DATA!T300,"AAAAAH786wQ=")</f>
        <v>1</v>
      </c>
      <c r="F80" t="b">
        <f>AND(DATA!U300,"AAAAAH786wU=")</f>
        <v>1</v>
      </c>
      <c r="G80" t="b">
        <f>AND(DATA!V300,"AAAAAH786wY=")</f>
        <v>1</v>
      </c>
      <c r="H80" t="e">
        <f>AND(DATA!W299,"AAAAAH786wc=")</f>
        <v>#VALUE!</v>
      </c>
      <c r="I80" t="e">
        <f>AND(DATA!X299,"AAAAAH786wg=")</f>
        <v>#VALUE!</v>
      </c>
      <c r="J80" t="e">
        <f>AND(DATA!Y299,"AAAAAH786wk=")</f>
        <v>#VALUE!</v>
      </c>
      <c r="K80">
        <f>IF(DATA!300:300,"AAAAAH786wo=",0)</f>
        <v>0</v>
      </c>
      <c r="L80" t="e">
        <f>AND(DATA!A300,"AAAAAH786ws=")</f>
        <v>#VALUE!</v>
      </c>
      <c r="M80" t="e">
        <f>AND(DATA!B300,"AAAAAH786ww=")</f>
        <v>#VALUE!</v>
      </c>
      <c r="N80" t="e">
        <f>AND(DATA!C300,"AAAAAH786w0=")</f>
        <v>#VALUE!</v>
      </c>
      <c r="O80" t="e">
        <f>AND(DATA!D300,"AAAAAH786w4=")</f>
        <v>#VALUE!</v>
      </c>
      <c r="P80" t="e">
        <f>AND(DATA!E300,"AAAAAH786w8=")</f>
        <v>#VALUE!</v>
      </c>
      <c r="Q80" t="e">
        <f>AND(DATA!F300,"AAAAAH786xA=")</f>
        <v>#VALUE!</v>
      </c>
      <c r="R80" t="e">
        <f>AND(DATA!G300,"AAAAAH786xE=")</f>
        <v>#VALUE!</v>
      </c>
      <c r="S80" t="e">
        <f>AND(DATA!H300,"AAAAAH786xI=")</f>
        <v>#VALUE!</v>
      </c>
      <c r="T80" t="e">
        <f>AND(DATA!I300,"AAAAAH786xM=")</f>
        <v>#VALUE!</v>
      </c>
      <c r="U80" t="e">
        <f>AND(DATA!J300,"AAAAAH786xQ=")</f>
        <v>#VALUE!</v>
      </c>
      <c r="V80" t="e">
        <f>AND(DATA!K300,"AAAAAH786xU=")</f>
        <v>#VALUE!</v>
      </c>
      <c r="W80" t="b">
        <f>AND(DATA!L301,"AAAAAH786xY=")</f>
        <v>1</v>
      </c>
      <c r="X80" t="b">
        <f>AND(DATA!M301,"AAAAAH786xc=")</f>
        <v>1</v>
      </c>
      <c r="Y80" t="b">
        <f>AND(DATA!N301,"AAAAAH786xg=")</f>
        <v>1</v>
      </c>
      <c r="Z80" t="b">
        <f>AND(DATA!O301,"AAAAAH786xk=")</f>
        <v>1</v>
      </c>
      <c r="AA80" t="b">
        <f>AND(DATA!P301,"AAAAAH786xo=")</f>
        <v>1</v>
      </c>
      <c r="AB80" t="b">
        <f>AND(DATA!Q301,"AAAAAH786xs=")</f>
        <v>1</v>
      </c>
      <c r="AC80" t="b">
        <f>AND(DATA!R301,"AAAAAH786xw=")</f>
        <v>1</v>
      </c>
      <c r="AD80" t="b">
        <f>AND(DATA!S301,"AAAAAH786x0=")</f>
        <v>1</v>
      </c>
      <c r="AE80" t="b">
        <f>AND(DATA!T301,"AAAAAH786x4=")</f>
        <v>1</v>
      </c>
      <c r="AF80" t="b">
        <f>AND(DATA!U301,"AAAAAH786x8=")</f>
        <v>1</v>
      </c>
      <c r="AG80" t="b">
        <f>AND(DATA!V301,"AAAAAH786yA=")</f>
        <v>1</v>
      </c>
      <c r="AH80" t="e">
        <f>AND(DATA!W300,"AAAAAH786yE=")</f>
        <v>#VALUE!</v>
      </c>
      <c r="AI80" t="e">
        <f>AND(DATA!X300,"AAAAAH786yI=")</f>
        <v>#VALUE!</v>
      </c>
      <c r="AJ80" t="e">
        <f>AND(DATA!Y300,"AAAAAH786yM=")</f>
        <v>#VALUE!</v>
      </c>
      <c r="AK80">
        <f>IF(DATA!301:301,"AAAAAH786yQ=",0)</f>
        <v>0</v>
      </c>
      <c r="AL80" t="e">
        <f>AND(DATA!A301,"AAAAAH786yU=")</f>
        <v>#VALUE!</v>
      </c>
      <c r="AM80" t="e">
        <f>AND(DATA!B301,"AAAAAH786yY=")</f>
        <v>#VALUE!</v>
      </c>
      <c r="AN80" t="e">
        <f>AND(DATA!C301,"AAAAAH786yc=")</f>
        <v>#VALUE!</v>
      </c>
      <c r="AO80" t="e">
        <f>AND(DATA!D301,"AAAAAH786yg=")</f>
        <v>#VALUE!</v>
      </c>
      <c r="AP80" t="e">
        <f>AND(DATA!E301,"AAAAAH786yk=")</f>
        <v>#VALUE!</v>
      </c>
      <c r="AQ80" t="e">
        <f>AND(DATA!F301,"AAAAAH786yo=")</f>
        <v>#VALUE!</v>
      </c>
      <c r="AR80" t="e">
        <f>AND(DATA!G301,"AAAAAH786ys=")</f>
        <v>#VALUE!</v>
      </c>
      <c r="AS80" t="e">
        <f>AND(DATA!H301,"AAAAAH786yw=")</f>
        <v>#VALUE!</v>
      </c>
      <c r="AT80" t="e">
        <f>AND(DATA!I301,"AAAAAH786y0=")</f>
        <v>#VALUE!</v>
      </c>
      <c r="AU80" t="e">
        <f>AND(DATA!J301,"AAAAAH786y4=")</f>
        <v>#VALUE!</v>
      </c>
      <c r="AV80" t="e">
        <f>AND(DATA!K301,"AAAAAH786y8=")</f>
        <v>#VALUE!</v>
      </c>
      <c r="AW80" t="b">
        <f>AND(DATA!L302,"AAAAAH786zA=")</f>
        <v>1</v>
      </c>
      <c r="AX80" t="b">
        <f>AND(DATA!M302,"AAAAAH786zE=")</f>
        <v>1</v>
      </c>
      <c r="AY80" t="b">
        <f>AND(DATA!N302,"AAAAAH786zI=")</f>
        <v>1</v>
      </c>
      <c r="AZ80" t="b">
        <f>AND(DATA!O302,"AAAAAH786zM=")</f>
        <v>1</v>
      </c>
      <c r="BA80" t="b">
        <f>AND(DATA!P302,"AAAAAH786zQ=")</f>
        <v>1</v>
      </c>
      <c r="BB80" t="b">
        <f>AND(DATA!Q302,"AAAAAH786zU=")</f>
        <v>1</v>
      </c>
      <c r="BC80" t="b">
        <f>AND(DATA!R302,"AAAAAH786zY=")</f>
        <v>1</v>
      </c>
      <c r="BD80" t="b">
        <f>AND(DATA!S302,"AAAAAH786zc=")</f>
        <v>1</v>
      </c>
      <c r="BE80" t="b">
        <f>AND(DATA!T302,"AAAAAH786zg=")</f>
        <v>1</v>
      </c>
      <c r="BF80" t="b">
        <f>AND(DATA!U302,"AAAAAH786zk=")</f>
        <v>1</v>
      </c>
      <c r="BG80" t="b">
        <f>AND(DATA!V302,"AAAAAH786zo=")</f>
        <v>1</v>
      </c>
      <c r="BH80" t="e">
        <f>AND(DATA!W301,"AAAAAH786zs=")</f>
        <v>#VALUE!</v>
      </c>
      <c r="BI80" t="e">
        <f>AND(DATA!X301,"AAAAAH786zw=")</f>
        <v>#VALUE!</v>
      </c>
      <c r="BJ80" t="e">
        <f>AND(DATA!Y301,"AAAAAH786z0=")</f>
        <v>#VALUE!</v>
      </c>
      <c r="BK80">
        <f>IF(DATA!302:302,"AAAAAH786z4=",0)</f>
        <v>0</v>
      </c>
      <c r="BL80" t="e">
        <f>AND(DATA!A302,"AAAAAH786z8=")</f>
        <v>#VALUE!</v>
      </c>
      <c r="BM80" t="e">
        <f>AND(DATA!B302,"AAAAAH7860A=")</f>
        <v>#VALUE!</v>
      </c>
      <c r="BN80" t="e">
        <f>AND(DATA!C302,"AAAAAH7860E=")</f>
        <v>#VALUE!</v>
      </c>
      <c r="BO80" t="e">
        <f>AND(DATA!D302,"AAAAAH7860I=")</f>
        <v>#VALUE!</v>
      </c>
      <c r="BP80" t="e">
        <f>AND(DATA!E302,"AAAAAH7860M=")</f>
        <v>#VALUE!</v>
      </c>
      <c r="BQ80" t="e">
        <f>AND(DATA!F302,"AAAAAH7860Q=")</f>
        <v>#VALUE!</v>
      </c>
      <c r="BR80" t="e">
        <f>AND(DATA!G302,"AAAAAH7860U=")</f>
        <v>#VALUE!</v>
      </c>
      <c r="BS80" t="e">
        <f>AND(DATA!H302,"AAAAAH7860Y=")</f>
        <v>#VALUE!</v>
      </c>
      <c r="BT80" t="e">
        <f>AND(DATA!I302,"AAAAAH7860c=")</f>
        <v>#VALUE!</v>
      </c>
      <c r="BU80" t="e">
        <f>AND(DATA!J302,"AAAAAH7860g=")</f>
        <v>#VALUE!</v>
      </c>
      <c r="BV80" t="e">
        <f>AND(DATA!K302,"AAAAAH7860k=")</f>
        <v>#VALUE!</v>
      </c>
      <c r="BW80" t="b">
        <f>AND(DATA!L303,"AAAAAH7860o=")</f>
        <v>1</v>
      </c>
      <c r="BX80" t="b">
        <f>AND(DATA!M303,"AAAAAH7860s=")</f>
        <v>1</v>
      </c>
      <c r="BY80" t="b">
        <f>AND(DATA!N303,"AAAAAH7860w=")</f>
        <v>1</v>
      </c>
      <c r="BZ80" t="b">
        <f>AND(DATA!O303,"AAAAAH78600=")</f>
        <v>1</v>
      </c>
      <c r="CA80" t="b">
        <f>AND(DATA!P303,"AAAAAH78604=")</f>
        <v>1</v>
      </c>
      <c r="CB80" t="b">
        <f>AND(DATA!Q303,"AAAAAH78608=")</f>
        <v>1</v>
      </c>
      <c r="CC80" t="b">
        <f>AND(DATA!R303,"AAAAAH7861A=")</f>
        <v>1</v>
      </c>
      <c r="CD80" t="b">
        <f>AND(DATA!S303,"AAAAAH7861E=")</f>
        <v>1</v>
      </c>
      <c r="CE80" t="b">
        <f>AND(DATA!T303,"AAAAAH7861I=")</f>
        <v>1</v>
      </c>
      <c r="CF80" t="b">
        <f>AND(DATA!U303,"AAAAAH7861M=")</f>
        <v>1</v>
      </c>
      <c r="CG80" t="b">
        <f>AND(DATA!V303,"AAAAAH7861Q=")</f>
        <v>1</v>
      </c>
      <c r="CH80" t="e">
        <f>AND(DATA!W302,"AAAAAH7861U=")</f>
        <v>#VALUE!</v>
      </c>
      <c r="CI80" t="e">
        <f>AND(DATA!X302,"AAAAAH7861Y=")</f>
        <v>#VALUE!</v>
      </c>
      <c r="CJ80" t="e">
        <f>AND(DATA!Y302,"AAAAAH7861c=")</f>
        <v>#VALUE!</v>
      </c>
      <c r="CK80">
        <f>IF(DATA!303:303,"AAAAAH7861g=",0)</f>
        <v>0</v>
      </c>
      <c r="CL80" t="e">
        <f>AND(DATA!A303,"AAAAAH7861k=")</f>
        <v>#VALUE!</v>
      </c>
      <c r="CM80" t="e">
        <f>AND(DATA!B303,"AAAAAH7861o=")</f>
        <v>#VALUE!</v>
      </c>
      <c r="CN80" t="e">
        <f>AND(DATA!C303,"AAAAAH7861s=")</f>
        <v>#VALUE!</v>
      </c>
      <c r="CO80" t="e">
        <f>AND(DATA!D303,"AAAAAH7861w=")</f>
        <v>#VALUE!</v>
      </c>
      <c r="CP80" t="e">
        <f>AND(DATA!E303,"AAAAAH78610=")</f>
        <v>#VALUE!</v>
      </c>
      <c r="CQ80" t="e">
        <f>AND(DATA!F303,"AAAAAH78614=")</f>
        <v>#VALUE!</v>
      </c>
      <c r="CR80" t="e">
        <f>AND(DATA!G303,"AAAAAH78618=")</f>
        <v>#VALUE!</v>
      </c>
      <c r="CS80" t="e">
        <f>AND(DATA!H303,"AAAAAH7862A=")</f>
        <v>#VALUE!</v>
      </c>
      <c r="CT80" t="e">
        <f>AND(DATA!I303,"AAAAAH7862E=")</f>
        <v>#VALUE!</v>
      </c>
      <c r="CU80" t="e">
        <f>AND(DATA!J303,"AAAAAH7862I=")</f>
        <v>#VALUE!</v>
      </c>
      <c r="CV80" t="e">
        <f>AND(DATA!K303,"AAAAAH7862M=")</f>
        <v>#VALUE!</v>
      </c>
      <c r="CW80" t="b">
        <f>AND(DATA!L304,"AAAAAH7862Q=")</f>
        <v>1</v>
      </c>
      <c r="CX80" t="b">
        <f>AND(DATA!M304,"AAAAAH7862U=")</f>
        <v>1</v>
      </c>
      <c r="CY80" t="b">
        <f>AND(DATA!N304,"AAAAAH7862Y=")</f>
        <v>1</v>
      </c>
      <c r="CZ80" t="b">
        <f>AND(DATA!O304,"AAAAAH7862c=")</f>
        <v>1</v>
      </c>
      <c r="DA80" t="b">
        <f>AND(DATA!P304,"AAAAAH7862g=")</f>
        <v>1</v>
      </c>
      <c r="DB80" t="b">
        <f>AND(DATA!Q304,"AAAAAH7862k=")</f>
        <v>1</v>
      </c>
      <c r="DC80" t="b">
        <f>AND(DATA!R304,"AAAAAH7862o=")</f>
        <v>1</v>
      </c>
      <c r="DD80" t="b">
        <f>AND(DATA!S304,"AAAAAH7862s=")</f>
        <v>1</v>
      </c>
      <c r="DE80" t="b">
        <f>AND(DATA!T304,"AAAAAH7862w=")</f>
        <v>1</v>
      </c>
      <c r="DF80" t="b">
        <f>AND(DATA!U304,"AAAAAH78620=")</f>
        <v>1</v>
      </c>
      <c r="DG80" t="b">
        <f>AND(DATA!V304,"AAAAAH78624=")</f>
        <v>1</v>
      </c>
      <c r="DH80" t="e">
        <f>AND(DATA!W303,"AAAAAH78628=")</f>
        <v>#VALUE!</v>
      </c>
      <c r="DI80" t="e">
        <f>AND(DATA!X303,"AAAAAH7863A=")</f>
        <v>#VALUE!</v>
      </c>
      <c r="DJ80" t="e">
        <f>AND(DATA!Y303,"AAAAAH7863E=")</f>
        <v>#VALUE!</v>
      </c>
      <c r="DK80">
        <f>IF(DATA!304:304,"AAAAAH7863I=",0)</f>
        <v>0</v>
      </c>
      <c r="DL80" t="e">
        <f>AND(DATA!A304,"AAAAAH7863M=")</f>
        <v>#VALUE!</v>
      </c>
      <c r="DM80" t="e">
        <f>AND(DATA!B304,"AAAAAH7863Q=")</f>
        <v>#VALUE!</v>
      </c>
      <c r="DN80" t="e">
        <f>AND(DATA!C304,"AAAAAH7863U=")</f>
        <v>#VALUE!</v>
      </c>
      <c r="DO80" t="e">
        <f>AND(DATA!D304,"AAAAAH7863Y=")</f>
        <v>#VALUE!</v>
      </c>
      <c r="DP80" t="e">
        <f>AND(DATA!E304,"AAAAAH7863c=")</f>
        <v>#VALUE!</v>
      </c>
      <c r="DQ80" t="e">
        <f>AND(DATA!F304,"AAAAAH7863g=")</f>
        <v>#VALUE!</v>
      </c>
      <c r="DR80" t="e">
        <f>AND(DATA!G304,"AAAAAH7863k=")</f>
        <v>#VALUE!</v>
      </c>
      <c r="DS80" t="e">
        <f>AND(DATA!H304,"AAAAAH7863o=")</f>
        <v>#VALUE!</v>
      </c>
      <c r="DT80" t="e">
        <f>AND(DATA!I304,"AAAAAH7863s=")</f>
        <v>#VALUE!</v>
      </c>
      <c r="DU80" t="e">
        <f>AND(DATA!J304,"AAAAAH7863w=")</f>
        <v>#VALUE!</v>
      </c>
      <c r="DV80" t="e">
        <f>AND(DATA!K304,"AAAAAH78630=")</f>
        <v>#VALUE!</v>
      </c>
      <c r="DW80" t="b">
        <f>AND(DATA!L305,"AAAAAH78634=")</f>
        <v>1</v>
      </c>
      <c r="DX80" t="b">
        <f>AND(DATA!M305,"AAAAAH78638=")</f>
        <v>1</v>
      </c>
      <c r="DY80" t="b">
        <f>AND(DATA!N305,"AAAAAH7864A=")</f>
        <v>1</v>
      </c>
      <c r="DZ80" t="b">
        <f>AND(DATA!O305,"AAAAAH7864E=")</f>
        <v>1</v>
      </c>
      <c r="EA80" t="b">
        <f>AND(DATA!P305,"AAAAAH7864I=")</f>
        <v>1</v>
      </c>
      <c r="EB80" t="b">
        <f>AND(DATA!Q305,"AAAAAH7864M=")</f>
        <v>1</v>
      </c>
      <c r="EC80" t="b">
        <f>AND(DATA!R305,"AAAAAH7864Q=")</f>
        <v>1</v>
      </c>
      <c r="ED80" t="b">
        <f>AND(DATA!S305,"AAAAAH7864U=")</f>
        <v>1</v>
      </c>
      <c r="EE80" t="b">
        <f>AND(DATA!T305,"AAAAAH7864Y=")</f>
        <v>1</v>
      </c>
      <c r="EF80" t="b">
        <f>AND(DATA!U305,"AAAAAH7864c=")</f>
        <v>1</v>
      </c>
      <c r="EG80" t="b">
        <f>AND(DATA!V305,"AAAAAH7864g=")</f>
        <v>1</v>
      </c>
      <c r="EH80" t="e">
        <f>AND(DATA!W304,"AAAAAH7864k=")</f>
        <v>#VALUE!</v>
      </c>
      <c r="EI80" t="e">
        <f>AND(DATA!X304,"AAAAAH7864o=")</f>
        <v>#VALUE!</v>
      </c>
      <c r="EJ80" t="e">
        <f>AND(DATA!Y304,"AAAAAH7864s=")</f>
        <v>#VALUE!</v>
      </c>
      <c r="EK80">
        <f>IF(DATA!305:305,"AAAAAH7864w=",0)</f>
        <v>0</v>
      </c>
      <c r="EL80" t="e">
        <f>AND(DATA!A305,"AAAAAH78640=")</f>
        <v>#VALUE!</v>
      </c>
      <c r="EM80" t="e">
        <f>AND(DATA!B305,"AAAAAH78644=")</f>
        <v>#VALUE!</v>
      </c>
      <c r="EN80" t="e">
        <f>AND(DATA!C305,"AAAAAH78648=")</f>
        <v>#VALUE!</v>
      </c>
      <c r="EO80" t="e">
        <f>AND(DATA!D305,"AAAAAH7865A=")</f>
        <v>#VALUE!</v>
      </c>
      <c r="EP80" t="e">
        <f>AND(DATA!E305,"AAAAAH7865E=")</f>
        <v>#VALUE!</v>
      </c>
      <c r="EQ80" t="e">
        <f>AND(DATA!F305,"AAAAAH7865I=")</f>
        <v>#VALUE!</v>
      </c>
      <c r="ER80" t="e">
        <f>AND(DATA!G305,"AAAAAH7865M=")</f>
        <v>#VALUE!</v>
      </c>
      <c r="ES80" t="e">
        <f>AND(DATA!H305,"AAAAAH7865Q=")</f>
        <v>#VALUE!</v>
      </c>
      <c r="ET80" t="e">
        <f>AND(DATA!I305,"AAAAAH7865U=")</f>
        <v>#VALUE!</v>
      </c>
      <c r="EU80" t="e">
        <f>AND(DATA!J305,"AAAAAH7865Y=")</f>
        <v>#VALUE!</v>
      </c>
      <c r="EV80" t="e">
        <f>AND(DATA!K305,"AAAAAH7865c=")</f>
        <v>#VALUE!</v>
      </c>
      <c r="EW80" t="b">
        <f>AND(DATA!L306,"AAAAAH7865g=")</f>
        <v>1</v>
      </c>
      <c r="EX80" t="b">
        <f>AND(DATA!M306,"AAAAAH7865k=")</f>
        <v>1</v>
      </c>
      <c r="EY80" t="b">
        <f>AND(DATA!N306,"AAAAAH7865o=")</f>
        <v>1</v>
      </c>
      <c r="EZ80" t="b">
        <f>AND(DATA!O306,"AAAAAH7865s=")</f>
        <v>1</v>
      </c>
      <c r="FA80" t="b">
        <f>AND(DATA!P306,"AAAAAH7865w=")</f>
        <v>1</v>
      </c>
      <c r="FB80" t="b">
        <f>AND(DATA!Q306,"AAAAAH78650=")</f>
        <v>1</v>
      </c>
      <c r="FC80" t="b">
        <f>AND(DATA!R306,"AAAAAH78654=")</f>
        <v>1</v>
      </c>
      <c r="FD80" t="b">
        <f>AND(DATA!S306,"AAAAAH78658=")</f>
        <v>1</v>
      </c>
      <c r="FE80" t="b">
        <f>AND(DATA!T306,"AAAAAH7866A=")</f>
        <v>1</v>
      </c>
      <c r="FF80" t="b">
        <f>AND(DATA!U306,"AAAAAH7866E=")</f>
        <v>1</v>
      </c>
      <c r="FG80" t="b">
        <f>AND(DATA!V306,"AAAAAH7866I=")</f>
        <v>1</v>
      </c>
      <c r="FH80" t="e">
        <f>AND(DATA!W305,"AAAAAH7866M=")</f>
        <v>#VALUE!</v>
      </c>
      <c r="FI80" t="e">
        <f>AND(DATA!X305,"AAAAAH7866Q=")</f>
        <v>#VALUE!</v>
      </c>
      <c r="FJ80" t="e">
        <f>AND(DATA!Y305,"AAAAAH7866U=")</f>
        <v>#VALUE!</v>
      </c>
      <c r="FK80">
        <f>IF(DATA!306:306,"AAAAAH7866Y=",0)</f>
        <v>0</v>
      </c>
      <c r="FL80" t="e">
        <f>AND(DATA!A306,"AAAAAH7866c=")</f>
        <v>#VALUE!</v>
      </c>
      <c r="FM80" t="e">
        <f>AND(DATA!B306,"AAAAAH7866g=")</f>
        <v>#VALUE!</v>
      </c>
      <c r="FN80" t="e">
        <f>AND(DATA!C306,"AAAAAH7866k=")</f>
        <v>#VALUE!</v>
      </c>
      <c r="FO80" t="e">
        <f>AND(DATA!D306,"AAAAAH7866o=")</f>
        <v>#VALUE!</v>
      </c>
      <c r="FP80" t="e">
        <f>AND(DATA!E306,"AAAAAH7866s=")</f>
        <v>#VALUE!</v>
      </c>
      <c r="FQ80" t="e">
        <f>AND(DATA!F306,"AAAAAH7866w=")</f>
        <v>#VALUE!</v>
      </c>
      <c r="FR80" t="e">
        <f>AND(DATA!G306,"AAAAAH78660=")</f>
        <v>#VALUE!</v>
      </c>
      <c r="FS80" t="e">
        <f>AND(DATA!H306,"AAAAAH78664=")</f>
        <v>#VALUE!</v>
      </c>
      <c r="FT80" t="e">
        <f>AND(DATA!I306,"AAAAAH78668=")</f>
        <v>#VALUE!</v>
      </c>
      <c r="FU80" t="e">
        <f>AND(DATA!J306,"AAAAAH7867A=")</f>
        <v>#VALUE!</v>
      </c>
      <c r="FV80" t="e">
        <f>AND(DATA!K306,"AAAAAH7867E=")</f>
        <v>#VALUE!</v>
      </c>
      <c r="FW80" t="b">
        <f>AND(DATA!L307,"AAAAAH7867I=")</f>
        <v>1</v>
      </c>
      <c r="FX80" t="b">
        <f>AND(DATA!M307,"AAAAAH7867M=")</f>
        <v>1</v>
      </c>
      <c r="FY80" t="b">
        <f>AND(DATA!N307,"AAAAAH7867Q=")</f>
        <v>1</v>
      </c>
      <c r="FZ80" t="b">
        <f>AND(DATA!O307,"AAAAAH7867U=")</f>
        <v>1</v>
      </c>
      <c r="GA80" t="b">
        <f>AND(DATA!P307,"AAAAAH7867Y=")</f>
        <v>1</v>
      </c>
      <c r="GB80" t="b">
        <f>AND(DATA!Q307,"AAAAAH7867c=")</f>
        <v>1</v>
      </c>
      <c r="GC80" t="b">
        <f>AND(DATA!R307,"AAAAAH7867g=")</f>
        <v>1</v>
      </c>
      <c r="GD80" t="b">
        <f>AND(DATA!S307,"AAAAAH7867k=")</f>
        <v>1</v>
      </c>
      <c r="GE80" t="b">
        <f>AND(DATA!T307,"AAAAAH7867o=")</f>
        <v>1</v>
      </c>
      <c r="GF80" t="b">
        <f>AND(DATA!U307,"AAAAAH7867s=")</f>
        <v>1</v>
      </c>
      <c r="GG80" t="b">
        <f>AND(DATA!V307,"AAAAAH7867w=")</f>
        <v>1</v>
      </c>
      <c r="GH80" t="e">
        <f>AND(DATA!W306,"AAAAAH78670=")</f>
        <v>#VALUE!</v>
      </c>
      <c r="GI80" t="e">
        <f>AND(DATA!X306,"AAAAAH78674=")</f>
        <v>#VALUE!</v>
      </c>
      <c r="GJ80" t="e">
        <f>AND(DATA!Y306,"AAAAAH78678=")</f>
        <v>#VALUE!</v>
      </c>
      <c r="GK80">
        <f>IF(DATA!307:307,"AAAAAH7868A=",0)</f>
        <v>0</v>
      </c>
      <c r="GL80" t="e">
        <f>AND(DATA!A307,"AAAAAH7868E=")</f>
        <v>#VALUE!</v>
      </c>
      <c r="GM80" t="e">
        <f>AND(DATA!B307,"AAAAAH7868I=")</f>
        <v>#VALUE!</v>
      </c>
      <c r="GN80" t="e">
        <f>AND(DATA!C307,"AAAAAH7868M=")</f>
        <v>#VALUE!</v>
      </c>
      <c r="GO80" t="e">
        <f>AND(DATA!D307,"AAAAAH7868Q=")</f>
        <v>#VALUE!</v>
      </c>
      <c r="GP80" t="e">
        <f>AND(DATA!E307,"AAAAAH7868U=")</f>
        <v>#VALUE!</v>
      </c>
      <c r="GQ80" t="e">
        <f>AND(DATA!F307,"AAAAAH7868Y=")</f>
        <v>#VALUE!</v>
      </c>
      <c r="GR80" t="e">
        <f>AND(DATA!G307,"AAAAAH7868c=")</f>
        <v>#VALUE!</v>
      </c>
      <c r="GS80" t="e">
        <f>AND(DATA!H307,"AAAAAH7868g=")</f>
        <v>#VALUE!</v>
      </c>
      <c r="GT80" t="e">
        <f>AND(DATA!I307,"AAAAAH7868k=")</f>
        <v>#VALUE!</v>
      </c>
      <c r="GU80" t="e">
        <f>AND(DATA!J307,"AAAAAH7868o=")</f>
        <v>#VALUE!</v>
      </c>
      <c r="GV80" t="e">
        <f>AND(DATA!K307,"AAAAAH7868s=")</f>
        <v>#VALUE!</v>
      </c>
      <c r="GW80" t="b">
        <f>AND(DATA!L308,"AAAAAH7868w=")</f>
        <v>1</v>
      </c>
      <c r="GX80" t="b">
        <f>AND(DATA!M308,"AAAAAH78680=")</f>
        <v>1</v>
      </c>
      <c r="GY80" t="b">
        <f>AND(DATA!N308,"AAAAAH78684=")</f>
        <v>1</v>
      </c>
      <c r="GZ80" t="b">
        <f>AND(DATA!O308,"AAAAAH78688=")</f>
        <v>1</v>
      </c>
      <c r="HA80" t="b">
        <f>AND(DATA!P308,"AAAAAH7869A=")</f>
        <v>1</v>
      </c>
      <c r="HB80" t="b">
        <f>AND(DATA!Q308,"AAAAAH7869E=")</f>
        <v>1</v>
      </c>
      <c r="HC80" t="b">
        <f>AND(DATA!R308,"AAAAAH7869I=")</f>
        <v>1</v>
      </c>
      <c r="HD80" t="b">
        <f>AND(DATA!S308,"AAAAAH7869M=")</f>
        <v>1</v>
      </c>
      <c r="HE80" t="b">
        <f>AND(DATA!T308,"AAAAAH7869Q=")</f>
        <v>1</v>
      </c>
      <c r="HF80" t="b">
        <f>AND(DATA!U308,"AAAAAH7869U=")</f>
        <v>1</v>
      </c>
      <c r="HG80" t="b">
        <f>AND(DATA!V308,"AAAAAH7869Y=")</f>
        <v>1</v>
      </c>
      <c r="HH80" t="e">
        <f>AND(DATA!W307,"AAAAAH7869c=")</f>
        <v>#VALUE!</v>
      </c>
      <c r="HI80" t="e">
        <f>AND(DATA!X307,"AAAAAH7869g=")</f>
        <v>#VALUE!</v>
      </c>
      <c r="HJ80" t="e">
        <f>AND(DATA!Y307,"AAAAAH7869k=")</f>
        <v>#VALUE!</v>
      </c>
      <c r="HK80">
        <f>IF(DATA!308:308,"AAAAAH7869o=",0)</f>
        <v>0</v>
      </c>
      <c r="HL80" t="e">
        <f>AND(DATA!A308,"AAAAAH7869s=")</f>
        <v>#VALUE!</v>
      </c>
      <c r="HM80" t="e">
        <f>AND(DATA!B308,"AAAAAH7869w=")</f>
        <v>#VALUE!</v>
      </c>
      <c r="HN80" t="e">
        <f>AND(DATA!C308,"AAAAAH78690=")</f>
        <v>#VALUE!</v>
      </c>
      <c r="HO80" t="e">
        <f>AND(DATA!D308,"AAAAAH78694=")</f>
        <v>#VALUE!</v>
      </c>
      <c r="HP80" t="e">
        <f>AND(DATA!E308,"AAAAAH78698=")</f>
        <v>#VALUE!</v>
      </c>
      <c r="HQ80" t="e">
        <f>AND(DATA!F308,"AAAAAH786+A=")</f>
        <v>#VALUE!</v>
      </c>
      <c r="HR80" t="e">
        <f>AND(DATA!G308,"AAAAAH786+E=")</f>
        <v>#VALUE!</v>
      </c>
      <c r="HS80" t="e">
        <f>AND(DATA!H308,"AAAAAH786+I=")</f>
        <v>#VALUE!</v>
      </c>
      <c r="HT80" t="e">
        <f>AND(DATA!I308,"AAAAAH786+M=")</f>
        <v>#VALUE!</v>
      </c>
      <c r="HU80" t="e">
        <f>AND(DATA!J308,"AAAAAH786+Q=")</f>
        <v>#VALUE!</v>
      </c>
      <c r="HV80" t="e">
        <f>AND(DATA!K308,"AAAAAH786+U=")</f>
        <v>#VALUE!</v>
      </c>
      <c r="HW80" t="b">
        <f>AND(DATA!L309,"AAAAAH786+Y=")</f>
        <v>1</v>
      </c>
      <c r="HX80" t="b">
        <f>AND(DATA!M309,"AAAAAH786+c=")</f>
        <v>1</v>
      </c>
      <c r="HY80" t="b">
        <f>AND(DATA!N309,"AAAAAH786+g=")</f>
        <v>1</v>
      </c>
      <c r="HZ80" t="b">
        <f>AND(DATA!O309,"AAAAAH786+k=")</f>
        <v>1</v>
      </c>
      <c r="IA80" t="b">
        <f>AND(DATA!P309,"AAAAAH786+o=")</f>
        <v>1</v>
      </c>
      <c r="IB80" t="b">
        <f>AND(DATA!Q309,"AAAAAH786+s=")</f>
        <v>1</v>
      </c>
      <c r="IC80" t="b">
        <f>AND(DATA!R309,"AAAAAH786+w=")</f>
        <v>1</v>
      </c>
      <c r="ID80" t="b">
        <f>AND(DATA!S309,"AAAAAH786+0=")</f>
        <v>1</v>
      </c>
      <c r="IE80" t="b">
        <f>AND(DATA!T309,"AAAAAH786+4=")</f>
        <v>1</v>
      </c>
      <c r="IF80" t="b">
        <f>AND(DATA!U309,"AAAAAH786+8=")</f>
        <v>1</v>
      </c>
      <c r="IG80" t="b">
        <f>AND(DATA!V309,"AAAAAH786/A=")</f>
        <v>1</v>
      </c>
      <c r="IH80" t="e">
        <f>AND(DATA!W308,"AAAAAH786/E=")</f>
        <v>#VALUE!</v>
      </c>
      <c r="II80" t="e">
        <f>AND(DATA!X308,"AAAAAH786/I=")</f>
        <v>#VALUE!</v>
      </c>
      <c r="IJ80" t="e">
        <f>AND(DATA!Y308,"AAAAAH786/M=")</f>
        <v>#VALUE!</v>
      </c>
      <c r="IK80">
        <f>IF(DATA!309:309,"AAAAAH786/Q=",0)</f>
        <v>0</v>
      </c>
      <c r="IL80" t="e">
        <f>AND(DATA!A309,"AAAAAH786/U=")</f>
        <v>#VALUE!</v>
      </c>
      <c r="IM80" t="e">
        <f>AND(DATA!B309,"AAAAAH786/Y=")</f>
        <v>#VALUE!</v>
      </c>
      <c r="IN80" t="e">
        <f>AND(DATA!C309,"AAAAAH786/c=")</f>
        <v>#VALUE!</v>
      </c>
      <c r="IO80" t="e">
        <f>AND(DATA!D309,"AAAAAH786/g=")</f>
        <v>#VALUE!</v>
      </c>
      <c r="IP80" t="e">
        <f>AND(DATA!E309,"AAAAAH786/k=")</f>
        <v>#VALUE!</v>
      </c>
      <c r="IQ80" t="e">
        <f>AND(DATA!F309,"AAAAAH786/o=")</f>
        <v>#VALUE!</v>
      </c>
      <c r="IR80" t="e">
        <f>AND(DATA!G309,"AAAAAH786/s=")</f>
        <v>#VALUE!</v>
      </c>
      <c r="IS80" t="e">
        <f>AND(DATA!H309,"AAAAAH786/w=")</f>
        <v>#VALUE!</v>
      </c>
      <c r="IT80" t="e">
        <f>AND(DATA!I309,"AAAAAH786/0=")</f>
        <v>#VALUE!</v>
      </c>
      <c r="IU80" t="e">
        <f>AND(DATA!J309,"AAAAAH786/4=")</f>
        <v>#VALUE!</v>
      </c>
      <c r="IV80" t="e">
        <f>AND(DATA!K309,"AAAAAH786/8=")</f>
        <v>#VALUE!</v>
      </c>
    </row>
    <row r="81" spans="1:256" x14ac:dyDescent="0.25">
      <c r="A81" t="b">
        <f>AND(DATA!L310,"AAAAAD3/+wA=")</f>
        <v>1</v>
      </c>
      <c r="B81" t="b">
        <f>AND(DATA!M310,"AAAAAD3/+wE=")</f>
        <v>1</v>
      </c>
      <c r="C81" t="b">
        <f>AND(DATA!N310,"AAAAAD3/+wI=")</f>
        <v>1</v>
      </c>
      <c r="D81" t="b">
        <f>AND(DATA!O310,"AAAAAD3/+wM=")</f>
        <v>1</v>
      </c>
      <c r="E81" t="b">
        <f>AND(DATA!P310,"AAAAAD3/+wQ=")</f>
        <v>1</v>
      </c>
      <c r="F81" t="b">
        <f>AND(DATA!Q310,"AAAAAD3/+wU=")</f>
        <v>1</v>
      </c>
      <c r="G81" t="b">
        <f>AND(DATA!R310,"AAAAAD3/+wY=")</f>
        <v>1</v>
      </c>
      <c r="H81" t="b">
        <f>AND(DATA!S310,"AAAAAD3/+wc=")</f>
        <v>1</v>
      </c>
      <c r="I81" t="b">
        <f>AND(DATA!T310,"AAAAAD3/+wg=")</f>
        <v>1</v>
      </c>
      <c r="J81" t="b">
        <f>AND(DATA!U310,"AAAAAD3/+wk=")</f>
        <v>1</v>
      </c>
      <c r="K81" t="b">
        <f>AND(DATA!V310,"AAAAAD3/+wo=")</f>
        <v>1</v>
      </c>
      <c r="L81" t="e">
        <f>AND(DATA!W309,"AAAAAD3/+ws=")</f>
        <v>#VALUE!</v>
      </c>
      <c r="M81" t="e">
        <f>AND(DATA!X309,"AAAAAD3/+ww=")</f>
        <v>#VALUE!</v>
      </c>
      <c r="N81" t="e">
        <f>AND(DATA!Y309,"AAAAAD3/+w0=")</f>
        <v>#VALUE!</v>
      </c>
      <c r="O81" t="str">
        <f>IF(DATA!310:310,"AAAAAD3/+w4=",0)</f>
        <v>AAAAAD3/+w4=</v>
      </c>
      <c r="P81" t="e">
        <f>AND(DATA!A310,"AAAAAD3/+w8=")</f>
        <v>#VALUE!</v>
      </c>
      <c r="Q81" t="e">
        <f>AND(DATA!B310,"AAAAAD3/+xA=")</f>
        <v>#VALUE!</v>
      </c>
      <c r="R81" t="e">
        <f>AND(DATA!C310,"AAAAAD3/+xE=")</f>
        <v>#VALUE!</v>
      </c>
      <c r="S81" t="e">
        <f>AND(DATA!D310,"AAAAAD3/+xI=")</f>
        <v>#VALUE!</v>
      </c>
      <c r="T81" t="e">
        <f>AND(DATA!E310,"AAAAAD3/+xM=")</f>
        <v>#VALUE!</v>
      </c>
      <c r="U81" t="e">
        <f>AND(DATA!F310,"AAAAAD3/+xQ=")</f>
        <v>#VALUE!</v>
      </c>
      <c r="V81" t="e">
        <f>AND(DATA!G310,"AAAAAD3/+xU=")</f>
        <v>#VALUE!</v>
      </c>
      <c r="W81" t="e">
        <f>AND(DATA!H310,"AAAAAD3/+xY=")</f>
        <v>#VALUE!</v>
      </c>
      <c r="X81" t="e">
        <f>AND(DATA!I310,"AAAAAD3/+xc=")</f>
        <v>#VALUE!</v>
      </c>
      <c r="Y81" t="e">
        <f>AND(DATA!J310,"AAAAAD3/+xg=")</f>
        <v>#VALUE!</v>
      </c>
      <c r="Z81" t="e">
        <f>AND(DATA!K310,"AAAAAD3/+xk=")</f>
        <v>#VALUE!</v>
      </c>
      <c r="AA81" t="b">
        <f>AND(DATA!L311,"AAAAAD3/+xo=")</f>
        <v>1</v>
      </c>
      <c r="AB81" t="b">
        <f>AND(DATA!M311,"AAAAAD3/+xs=")</f>
        <v>1</v>
      </c>
      <c r="AC81" t="b">
        <f>AND(DATA!N311,"AAAAAD3/+xw=")</f>
        <v>1</v>
      </c>
      <c r="AD81" t="b">
        <f>AND(DATA!O311,"AAAAAD3/+x0=")</f>
        <v>1</v>
      </c>
      <c r="AE81" t="b">
        <f>AND(DATA!P311,"AAAAAD3/+x4=")</f>
        <v>1</v>
      </c>
      <c r="AF81" t="b">
        <f>AND(DATA!Q311,"AAAAAD3/+x8=")</f>
        <v>1</v>
      </c>
      <c r="AG81" t="b">
        <f>AND(DATA!R311,"AAAAAD3/+yA=")</f>
        <v>1</v>
      </c>
      <c r="AH81" t="b">
        <f>AND(DATA!S311,"AAAAAD3/+yE=")</f>
        <v>1</v>
      </c>
      <c r="AI81" t="b">
        <f>AND(DATA!T311,"AAAAAD3/+yI=")</f>
        <v>1</v>
      </c>
      <c r="AJ81" t="b">
        <f>AND(DATA!U311,"AAAAAD3/+yM=")</f>
        <v>1</v>
      </c>
      <c r="AK81" t="b">
        <f>AND(DATA!V311,"AAAAAD3/+yQ=")</f>
        <v>1</v>
      </c>
      <c r="AL81" t="e">
        <f>AND(DATA!W310,"AAAAAD3/+yU=")</f>
        <v>#VALUE!</v>
      </c>
      <c r="AM81" t="e">
        <f>AND(DATA!X310,"AAAAAD3/+yY=")</f>
        <v>#VALUE!</v>
      </c>
      <c r="AN81" t="e">
        <f>AND(DATA!Y310,"AAAAAD3/+yc=")</f>
        <v>#VALUE!</v>
      </c>
      <c r="AO81">
        <f>IF(DATA!311:311,"AAAAAD3/+yg=",0)</f>
        <v>0</v>
      </c>
      <c r="AP81" t="e">
        <f>AND(DATA!A311,"AAAAAD3/+yk=")</f>
        <v>#VALUE!</v>
      </c>
      <c r="AQ81" t="e">
        <f>AND(DATA!B311,"AAAAAD3/+yo=")</f>
        <v>#VALUE!</v>
      </c>
      <c r="AR81" t="e">
        <f>AND(DATA!C311,"AAAAAD3/+ys=")</f>
        <v>#VALUE!</v>
      </c>
      <c r="AS81" t="e">
        <f>AND(DATA!D311,"AAAAAD3/+yw=")</f>
        <v>#VALUE!</v>
      </c>
      <c r="AT81" t="e">
        <f>AND(DATA!E311,"AAAAAD3/+y0=")</f>
        <v>#VALUE!</v>
      </c>
      <c r="AU81" t="e">
        <f>AND(DATA!F311,"AAAAAD3/+y4=")</f>
        <v>#VALUE!</v>
      </c>
      <c r="AV81" t="e">
        <f>AND(DATA!G311,"AAAAAD3/+y8=")</f>
        <v>#VALUE!</v>
      </c>
      <c r="AW81" t="e">
        <f>AND(DATA!H311,"AAAAAD3/+zA=")</f>
        <v>#VALUE!</v>
      </c>
      <c r="AX81" t="e">
        <f>AND(DATA!I311,"AAAAAD3/+zE=")</f>
        <v>#VALUE!</v>
      </c>
      <c r="AY81" t="e">
        <f>AND(DATA!J311,"AAAAAD3/+zI=")</f>
        <v>#VALUE!</v>
      </c>
      <c r="AZ81" t="e">
        <f>AND(DATA!K311,"AAAAAD3/+zM=")</f>
        <v>#VALUE!</v>
      </c>
      <c r="BA81" t="b">
        <f>AND(DATA!L312,"AAAAAD3/+zQ=")</f>
        <v>1</v>
      </c>
      <c r="BB81" t="b">
        <f>AND(DATA!M312,"AAAAAD3/+zU=")</f>
        <v>1</v>
      </c>
      <c r="BC81" t="b">
        <f>AND(DATA!N312,"AAAAAD3/+zY=")</f>
        <v>1</v>
      </c>
      <c r="BD81" t="b">
        <f>AND(DATA!O312,"AAAAAD3/+zc=")</f>
        <v>1</v>
      </c>
      <c r="BE81" t="b">
        <f>AND(DATA!P312,"AAAAAD3/+zg=")</f>
        <v>1</v>
      </c>
      <c r="BF81" t="b">
        <f>AND(DATA!Q312,"AAAAAD3/+zk=")</f>
        <v>1</v>
      </c>
      <c r="BG81" t="b">
        <f>AND(DATA!R312,"AAAAAD3/+zo=")</f>
        <v>1</v>
      </c>
      <c r="BH81" t="b">
        <f>AND(DATA!S312,"AAAAAD3/+zs=")</f>
        <v>1</v>
      </c>
      <c r="BI81" t="b">
        <f>AND(DATA!T312,"AAAAAD3/+zw=")</f>
        <v>1</v>
      </c>
      <c r="BJ81" t="b">
        <f>AND(DATA!U312,"AAAAAD3/+z0=")</f>
        <v>1</v>
      </c>
      <c r="BK81" t="b">
        <f>AND(DATA!V312,"AAAAAD3/+z4=")</f>
        <v>1</v>
      </c>
      <c r="BL81" t="e">
        <f>AND(DATA!W311,"AAAAAD3/+z8=")</f>
        <v>#VALUE!</v>
      </c>
      <c r="BM81" t="e">
        <f>AND(DATA!X311,"AAAAAD3/+0A=")</f>
        <v>#VALUE!</v>
      </c>
      <c r="BN81" t="e">
        <f>AND(DATA!Y311,"AAAAAD3/+0E=")</f>
        <v>#VALUE!</v>
      </c>
      <c r="BO81">
        <f>IF(DATA!312:312,"AAAAAD3/+0I=",0)</f>
        <v>0</v>
      </c>
      <c r="BP81" t="e">
        <f>AND(DATA!A312,"AAAAAD3/+0M=")</f>
        <v>#VALUE!</v>
      </c>
      <c r="BQ81" t="e">
        <f>AND(DATA!B312,"AAAAAD3/+0Q=")</f>
        <v>#VALUE!</v>
      </c>
      <c r="BR81" t="e">
        <f>AND(DATA!C312,"AAAAAD3/+0U=")</f>
        <v>#VALUE!</v>
      </c>
      <c r="BS81" t="e">
        <f>AND(DATA!D312,"AAAAAD3/+0Y=")</f>
        <v>#VALUE!</v>
      </c>
      <c r="BT81" t="e">
        <f>AND(DATA!E312,"AAAAAD3/+0c=")</f>
        <v>#VALUE!</v>
      </c>
      <c r="BU81" t="e">
        <f>AND(DATA!F312,"AAAAAD3/+0g=")</f>
        <v>#VALUE!</v>
      </c>
      <c r="BV81" t="e">
        <f>AND(DATA!G312,"AAAAAD3/+0k=")</f>
        <v>#VALUE!</v>
      </c>
      <c r="BW81" t="e">
        <f>AND(DATA!H312,"AAAAAD3/+0o=")</f>
        <v>#VALUE!</v>
      </c>
      <c r="BX81" t="e">
        <f>AND(DATA!I312,"AAAAAD3/+0s=")</f>
        <v>#VALUE!</v>
      </c>
      <c r="BY81" t="e">
        <f>AND(DATA!J312,"AAAAAD3/+0w=")</f>
        <v>#VALUE!</v>
      </c>
      <c r="BZ81" t="e">
        <f>AND(DATA!K312,"AAAAAD3/+00=")</f>
        <v>#VALUE!</v>
      </c>
      <c r="CA81" t="b">
        <f>AND(DATA!L313,"AAAAAD3/+04=")</f>
        <v>1</v>
      </c>
      <c r="CB81" t="b">
        <f>AND(DATA!M313,"AAAAAD3/+08=")</f>
        <v>1</v>
      </c>
      <c r="CC81" t="b">
        <f>AND(DATA!N313,"AAAAAD3/+1A=")</f>
        <v>1</v>
      </c>
      <c r="CD81" t="b">
        <f>AND(DATA!O313,"AAAAAD3/+1E=")</f>
        <v>1</v>
      </c>
      <c r="CE81" t="b">
        <f>AND(DATA!P313,"AAAAAD3/+1I=")</f>
        <v>1</v>
      </c>
      <c r="CF81" t="b">
        <f>AND(DATA!Q313,"AAAAAD3/+1M=")</f>
        <v>1</v>
      </c>
      <c r="CG81" t="b">
        <f>AND(DATA!R313,"AAAAAD3/+1Q=")</f>
        <v>1</v>
      </c>
      <c r="CH81" t="b">
        <f>AND(DATA!S313,"AAAAAD3/+1U=")</f>
        <v>1</v>
      </c>
      <c r="CI81" t="b">
        <f>AND(DATA!T313,"AAAAAD3/+1Y=")</f>
        <v>1</v>
      </c>
      <c r="CJ81" t="b">
        <f>AND(DATA!U313,"AAAAAD3/+1c=")</f>
        <v>1</v>
      </c>
      <c r="CK81" t="b">
        <f>AND(DATA!V313,"AAAAAD3/+1g=")</f>
        <v>1</v>
      </c>
      <c r="CL81" t="e">
        <f>AND(DATA!W312,"AAAAAD3/+1k=")</f>
        <v>#VALUE!</v>
      </c>
      <c r="CM81" t="e">
        <f>AND(DATA!X312,"AAAAAD3/+1o=")</f>
        <v>#VALUE!</v>
      </c>
      <c r="CN81" t="e">
        <f>AND(DATA!Y312,"AAAAAD3/+1s=")</f>
        <v>#VALUE!</v>
      </c>
      <c r="CO81">
        <f>IF(DATA!313:313,"AAAAAD3/+1w=",0)</f>
        <v>0</v>
      </c>
      <c r="CP81" t="e">
        <f>AND(DATA!A313,"AAAAAD3/+10=")</f>
        <v>#VALUE!</v>
      </c>
      <c r="CQ81" t="e">
        <f>AND(DATA!B313,"AAAAAD3/+14=")</f>
        <v>#VALUE!</v>
      </c>
      <c r="CR81" t="e">
        <f>AND(DATA!C313,"AAAAAD3/+18=")</f>
        <v>#VALUE!</v>
      </c>
      <c r="CS81" t="e">
        <f>AND(DATA!D313,"AAAAAD3/+2A=")</f>
        <v>#VALUE!</v>
      </c>
      <c r="CT81" t="e">
        <f>AND(DATA!E313,"AAAAAD3/+2E=")</f>
        <v>#VALUE!</v>
      </c>
      <c r="CU81" t="e">
        <f>AND(DATA!F313,"AAAAAD3/+2I=")</f>
        <v>#VALUE!</v>
      </c>
      <c r="CV81" t="e">
        <f>AND(DATA!G313,"AAAAAD3/+2M=")</f>
        <v>#VALUE!</v>
      </c>
      <c r="CW81" t="e">
        <f>AND(DATA!H313,"AAAAAD3/+2Q=")</f>
        <v>#VALUE!</v>
      </c>
      <c r="CX81" t="e">
        <f>AND(DATA!I313,"AAAAAD3/+2U=")</f>
        <v>#VALUE!</v>
      </c>
      <c r="CY81" t="e">
        <f>AND(DATA!J313,"AAAAAD3/+2Y=")</f>
        <v>#VALUE!</v>
      </c>
      <c r="CZ81" t="e">
        <f>AND(DATA!K313,"AAAAAD3/+2c=")</f>
        <v>#VALUE!</v>
      </c>
      <c r="DA81" t="b">
        <f>AND(DATA!L314,"AAAAAD3/+2g=")</f>
        <v>1</v>
      </c>
      <c r="DB81" t="b">
        <f>AND(DATA!M314,"AAAAAD3/+2k=")</f>
        <v>1</v>
      </c>
      <c r="DC81" t="b">
        <f>AND(DATA!N314,"AAAAAD3/+2o=")</f>
        <v>1</v>
      </c>
      <c r="DD81" t="b">
        <f>AND(DATA!O314,"AAAAAD3/+2s=")</f>
        <v>1</v>
      </c>
      <c r="DE81" t="b">
        <f>AND(DATA!P314,"AAAAAD3/+2w=")</f>
        <v>1</v>
      </c>
      <c r="DF81" t="b">
        <f>AND(DATA!Q314,"AAAAAD3/+20=")</f>
        <v>1</v>
      </c>
      <c r="DG81" t="b">
        <f>AND(DATA!R314,"AAAAAD3/+24=")</f>
        <v>1</v>
      </c>
      <c r="DH81" t="b">
        <f>AND(DATA!S314,"AAAAAD3/+28=")</f>
        <v>1</v>
      </c>
      <c r="DI81" t="b">
        <f>AND(DATA!T314,"AAAAAD3/+3A=")</f>
        <v>1</v>
      </c>
      <c r="DJ81" t="b">
        <f>AND(DATA!U314,"AAAAAD3/+3E=")</f>
        <v>1</v>
      </c>
      <c r="DK81" t="b">
        <f>AND(DATA!V314,"AAAAAD3/+3I=")</f>
        <v>1</v>
      </c>
      <c r="DL81" t="e">
        <f>AND(DATA!W313,"AAAAAD3/+3M=")</f>
        <v>#VALUE!</v>
      </c>
      <c r="DM81" t="e">
        <f>AND(DATA!X313,"AAAAAD3/+3Q=")</f>
        <v>#VALUE!</v>
      </c>
      <c r="DN81" t="e">
        <f>AND(DATA!Y313,"AAAAAD3/+3U=")</f>
        <v>#VALUE!</v>
      </c>
      <c r="DO81">
        <f>IF(DATA!314:314,"AAAAAD3/+3Y=",0)</f>
        <v>0</v>
      </c>
      <c r="DP81" t="e">
        <f>AND(DATA!A314,"AAAAAD3/+3c=")</f>
        <v>#VALUE!</v>
      </c>
      <c r="DQ81" t="e">
        <f>AND(DATA!B314,"AAAAAD3/+3g=")</f>
        <v>#VALUE!</v>
      </c>
      <c r="DR81" t="e">
        <f>AND(DATA!C314,"AAAAAD3/+3k=")</f>
        <v>#VALUE!</v>
      </c>
      <c r="DS81" t="e">
        <f>AND(DATA!D314,"AAAAAD3/+3o=")</f>
        <v>#VALUE!</v>
      </c>
      <c r="DT81" t="e">
        <f>AND(DATA!E314,"AAAAAD3/+3s=")</f>
        <v>#VALUE!</v>
      </c>
      <c r="DU81" t="e">
        <f>AND(DATA!F314,"AAAAAD3/+3w=")</f>
        <v>#VALUE!</v>
      </c>
      <c r="DV81" t="e">
        <f>AND(DATA!G314,"AAAAAD3/+30=")</f>
        <v>#VALUE!</v>
      </c>
      <c r="DW81" t="e">
        <f>AND(DATA!H314,"AAAAAD3/+34=")</f>
        <v>#VALUE!</v>
      </c>
      <c r="DX81" t="e">
        <f>AND(DATA!I314,"AAAAAD3/+38=")</f>
        <v>#VALUE!</v>
      </c>
      <c r="DY81" t="e">
        <f>AND(DATA!J314,"AAAAAD3/+4A=")</f>
        <v>#VALUE!</v>
      </c>
      <c r="DZ81" t="e">
        <f>AND(DATA!K314,"AAAAAD3/+4E=")</f>
        <v>#VALUE!</v>
      </c>
      <c r="EA81" t="b">
        <f>AND(DATA!L315,"AAAAAD3/+4I=")</f>
        <v>1</v>
      </c>
      <c r="EB81" t="b">
        <f>AND(DATA!M315,"AAAAAD3/+4M=")</f>
        <v>1</v>
      </c>
      <c r="EC81" t="b">
        <f>AND(DATA!N315,"AAAAAD3/+4Q=")</f>
        <v>1</v>
      </c>
      <c r="ED81" t="b">
        <f>AND(DATA!O315,"AAAAAD3/+4U=")</f>
        <v>1</v>
      </c>
      <c r="EE81" t="b">
        <f>AND(DATA!P315,"AAAAAD3/+4Y=")</f>
        <v>1</v>
      </c>
      <c r="EF81" t="b">
        <f>AND(DATA!Q315,"AAAAAD3/+4c=")</f>
        <v>1</v>
      </c>
      <c r="EG81" t="b">
        <f>AND(DATA!R315,"AAAAAD3/+4g=")</f>
        <v>1</v>
      </c>
      <c r="EH81" t="b">
        <f>AND(DATA!S315,"AAAAAD3/+4k=")</f>
        <v>1</v>
      </c>
      <c r="EI81" t="b">
        <f>AND(DATA!T315,"AAAAAD3/+4o=")</f>
        <v>1</v>
      </c>
      <c r="EJ81" t="b">
        <f>AND(DATA!U315,"AAAAAD3/+4s=")</f>
        <v>1</v>
      </c>
      <c r="EK81" t="b">
        <f>AND(DATA!V315,"AAAAAD3/+4w=")</f>
        <v>1</v>
      </c>
      <c r="EL81" t="e">
        <f>AND(DATA!W314,"AAAAAD3/+40=")</f>
        <v>#VALUE!</v>
      </c>
      <c r="EM81" t="e">
        <f>AND(DATA!X314,"AAAAAD3/+44=")</f>
        <v>#VALUE!</v>
      </c>
      <c r="EN81" t="e">
        <f>AND(DATA!Y314,"AAAAAD3/+48=")</f>
        <v>#VALUE!</v>
      </c>
      <c r="EO81">
        <f>IF(DATA!315:315,"AAAAAD3/+5A=",0)</f>
        <v>0</v>
      </c>
      <c r="EP81" t="e">
        <f>AND(DATA!A315,"AAAAAD3/+5E=")</f>
        <v>#VALUE!</v>
      </c>
      <c r="EQ81" t="e">
        <f>AND(DATA!B315,"AAAAAD3/+5I=")</f>
        <v>#VALUE!</v>
      </c>
      <c r="ER81" t="e">
        <f>AND(DATA!C315,"AAAAAD3/+5M=")</f>
        <v>#VALUE!</v>
      </c>
      <c r="ES81" t="e">
        <f>AND(DATA!D315,"AAAAAD3/+5Q=")</f>
        <v>#VALUE!</v>
      </c>
      <c r="ET81" t="e">
        <f>AND(DATA!E315,"AAAAAD3/+5U=")</f>
        <v>#VALUE!</v>
      </c>
      <c r="EU81" t="e">
        <f>AND(DATA!F315,"AAAAAD3/+5Y=")</f>
        <v>#VALUE!</v>
      </c>
      <c r="EV81" t="e">
        <f>AND(DATA!G315,"AAAAAD3/+5c=")</f>
        <v>#VALUE!</v>
      </c>
      <c r="EW81" t="e">
        <f>AND(DATA!H315,"AAAAAD3/+5g=")</f>
        <v>#VALUE!</v>
      </c>
      <c r="EX81" t="e">
        <f>AND(DATA!I315,"AAAAAD3/+5k=")</f>
        <v>#VALUE!</v>
      </c>
      <c r="EY81" t="e">
        <f>AND(DATA!J315,"AAAAAD3/+5o=")</f>
        <v>#VALUE!</v>
      </c>
      <c r="EZ81" t="e">
        <f>AND(DATA!K315,"AAAAAD3/+5s=")</f>
        <v>#VALUE!</v>
      </c>
      <c r="FA81" t="b">
        <f>AND(DATA!L316,"AAAAAD3/+5w=")</f>
        <v>1</v>
      </c>
      <c r="FB81" t="b">
        <f>AND(DATA!M316,"AAAAAD3/+50=")</f>
        <v>1</v>
      </c>
      <c r="FC81" t="b">
        <f>AND(DATA!N316,"AAAAAD3/+54=")</f>
        <v>1</v>
      </c>
      <c r="FD81" t="b">
        <f>AND(DATA!O316,"AAAAAD3/+58=")</f>
        <v>1</v>
      </c>
      <c r="FE81" t="b">
        <f>AND(DATA!P316,"AAAAAD3/+6A=")</f>
        <v>1</v>
      </c>
      <c r="FF81" t="b">
        <f>AND(DATA!Q316,"AAAAAD3/+6E=")</f>
        <v>1</v>
      </c>
      <c r="FG81" t="b">
        <f>AND(DATA!R316,"AAAAAD3/+6I=")</f>
        <v>1</v>
      </c>
      <c r="FH81" t="b">
        <f>AND(DATA!S316,"AAAAAD3/+6M=")</f>
        <v>1</v>
      </c>
      <c r="FI81" t="b">
        <f>AND(DATA!T316,"AAAAAD3/+6Q=")</f>
        <v>1</v>
      </c>
      <c r="FJ81" t="b">
        <f>AND(DATA!U316,"AAAAAD3/+6U=")</f>
        <v>1</v>
      </c>
      <c r="FK81" t="b">
        <f>AND(DATA!V316,"AAAAAD3/+6Y=")</f>
        <v>1</v>
      </c>
      <c r="FL81" t="e">
        <f>AND(DATA!W315,"AAAAAD3/+6c=")</f>
        <v>#VALUE!</v>
      </c>
      <c r="FM81" t="e">
        <f>AND(DATA!X315,"AAAAAD3/+6g=")</f>
        <v>#VALUE!</v>
      </c>
      <c r="FN81" t="e">
        <f>AND(DATA!Y315,"AAAAAD3/+6k=")</f>
        <v>#VALUE!</v>
      </c>
      <c r="FO81">
        <f>IF(DATA!316:316,"AAAAAD3/+6o=",0)</f>
        <v>0</v>
      </c>
      <c r="FP81" t="e">
        <f>AND(DATA!A316,"AAAAAD3/+6s=")</f>
        <v>#VALUE!</v>
      </c>
      <c r="FQ81" t="e">
        <f>AND(DATA!B316,"AAAAAD3/+6w=")</f>
        <v>#VALUE!</v>
      </c>
      <c r="FR81" t="e">
        <f>AND(DATA!C316,"AAAAAD3/+60=")</f>
        <v>#VALUE!</v>
      </c>
      <c r="FS81" t="e">
        <f>AND(DATA!D316,"AAAAAD3/+64=")</f>
        <v>#VALUE!</v>
      </c>
      <c r="FT81" t="e">
        <f>AND(DATA!E316,"AAAAAD3/+68=")</f>
        <v>#VALUE!</v>
      </c>
      <c r="FU81" t="e">
        <f>AND(DATA!F316,"AAAAAD3/+7A=")</f>
        <v>#VALUE!</v>
      </c>
      <c r="FV81" t="e">
        <f>AND(DATA!G316,"AAAAAD3/+7E=")</f>
        <v>#VALUE!</v>
      </c>
      <c r="FW81" t="e">
        <f>AND(DATA!H316,"AAAAAD3/+7I=")</f>
        <v>#VALUE!</v>
      </c>
      <c r="FX81" t="e">
        <f>AND(DATA!I316,"AAAAAD3/+7M=")</f>
        <v>#VALUE!</v>
      </c>
      <c r="FY81" t="e">
        <f>AND(DATA!J316,"AAAAAD3/+7Q=")</f>
        <v>#VALUE!</v>
      </c>
      <c r="FZ81" t="e">
        <f>AND(DATA!K316,"AAAAAD3/+7U=")</f>
        <v>#VALUE!</v>
      </c>
      <c r="GA81" t="b">
        <f>AND(DATA!L317,"AAAAAD3/+7Y=")</f>
        <v>1</v>
      </c>
      <c r="GB81" t="b">
        <f>AND(DATA!M317,"AAAAAD3/+7c=")</f>
        <v>1</v>
      </c>
      <c r="GC81" t="b">
        <f>AND(DATA!N317,"AAAAAD3/+7g=")</f>
        <v>1</v>
      </c>
      <c r="GD81" t="b">
        <f>AND(DATA!O317,"AAAAAD3/+7k=")</f>
        <v>1</v>
      </c>
      <c r="GE81" t="b">
        <f>AND(DATA!P317,"AAAAAD3/+7o=")</f>
        <v>1</v>
      </c>
      <c r="GF81" t="b">
        <f>AND(DATA!Q317,"AAAAAD3/+7s=")</f>
        <v>1</v>
      </c>
      <c r="GG81" t="b">
        <f>AND(DATA!R317,"AAAAAD3/+7w=")</f>
        <v>1</v>
      </c>
      <c r="GH81" t="b">
        <f>AND(DATA!S317,"AAAAAD3/+70=")</f>
        <v>1</v>
      </c>
      <c r="GI81" t="b">
        <f>AND(DATA!T317,"AAAAAD3/+74=")</f>
        <v>1</v>
      </c>
      <c r="GJ81" t="b">
        <f>AND(DATA!U317,"AAAAAD3/+78=")</f>
        <v>1</v>
      </c>
      <c r="GK81" t="b">
        <f>AND(DATA!V317,"AAAAAD3/+8A=")</f>
        <v>1</v>
      </c>
      <c r="GL81" t="e">
        <f>AND(DATA!W316,"AAAAAD3/+8E=")</f>
        <v>#VALUE!</v>
      </c>
      <c r="GM81" t="e">
        <f>AND(DATA!X316,"AAAAAD3/+8I=")</f>
        <v>#VALUE!</v>
      </c>
      <c r="GN81" t="e">
        <f>AND(DATA!Y316,"AAAAAD3/+8M=")</f>
        <v>#VALUE!</v>
      </c>
      <c r="GO81">
        <f>IF(DATA!317:317,"AAAAAD3/+8Q=",0)</f>
        <v>0</v>
      </c>
      <c r="GP81" t="e">
        <f>AND(DATA!A317,"AAAAAD3/+8U=")</f>
        <v>#VALUE!</v>
      </c>
      <c r="GQ81" t="e">
        <f>AND(DATA!B317,"AAAAAD3/+8Y=")</f>
        <v>#VALUE!</v>
      </c>
      <c r="GR81" t="e">
        <f>AND(DATA!C317,"AAAAAD3/+8c=")</f>
        <v>#VALUE!</v>
      </c>
      <c r="GS81" t="e">
        <f>AND(DATA!D317,"AAAAAD3/+8g=")</f>
        <v>#VALUE!</v>
      </c>
      <c r="GT81" t="e">
        <f>AND(DATA!E317,"AAAAAD3/+8k=")</f>
        <v>#VALUE!</v>
      </c>
      <c r="GU81" t="e">
        <f>AND(DATA!F317,"AAAAAD3/+8o=")</f>
        <v>#VALUE!</v>
      </c>
      <c r="GV81" t="e">
        <f>AND(DATA!G317,"AAAAAD3/+8s=")</f>
        <v>#VALUE!</v>
      </c>
      <c r="GW81" t="e">
        <f>AND(DATA!H317,"AAAAAD3/+8w=")</f>
        <v>#VALUE!</v>
      </c>
      <c r="GX81" t="e">
        <f>AND(DATA!I317,"AAAAAD3/+80=")</f>
        <v>#VALUE!</v>
      </c>
      <c r="GY81" t="e">
        <f>AND(DATA!J317,"AAAAAD3/+84=")</f>
        <v>#VALUE!</v>
      </c>
      <c r="GZ81" t="e">
        <f>AND(DATA!K317,"AAAAAD3/+88=")</f>
        <v>#VALUE!</v>
      </c>
      <c r="HA81" t="b">
        <f>AND(DATA!L318,"AAAAAD3/+9A=")</f>
        <v>1</v>
      </c>
      <c r="HB81" t="b">
        <f>AND(DATA!M318,"AAAAAD3/+9E=")</f>
        <v>1</v>
      </c>
      <c r="HC81" t="b">
        <f>AND(DATA!N318,"AAAAAD3/+9I=")</f>
        <v>1</v>
      </c>
      <c r="HD81" t="b">
        <f>AND(DATA!O318,"AAAAAD3/+9M=")</f>
        <v>1</v>
      </c>
      <c r="HE81" t="b">
        <f>AND(DATA!P318,"AAAAAD3/+9Q=")</f>
        <v>1</v>
      </c>
      <c r="HF81" t="b">
        <f>AND(DATA!Q318,"AAAAAD3/+9U=")</f>
        <v>1</v>
      </c>
      <c r="HG81" t="b">
        <f>AND(DATA!R318,"AAAAAD3/+9Y=")</f>
        <v>1</v>
      </c>
      <c r="HH81" t="b">
        <f>AND(DATA!S318,"AAAAAD3/+9c=")</f>
        <v>1</v>
      </c>
      <c r="HI81" t="b">
        <f>AND(DATA!T318,"AAAAAD3/+9g=")</f>
        <v>1</v>
      </c>
      <c r="HJ81" t="b">
        <f>AND(DATA!U318,"AAAAAD3/+9k=")</f>
        <v>1</v>
      </c>
      <c r="HK81" t="b">
        <f>AND(DATA!V318,"AAAAAD3/+9o=")</f>
        <v>1</v>
      </c>
      <c r="HL81" t="e">
        <f>AND(DATA!W317,"AAAAAD3/+9s=")</f>
        <v>#VALUE!</v>
      </c>
      <c r="HM81" t="e">
        <f>AND(DATA!X317,"AAAAAD3/+9w=")</f>
        <v>#VALUE!</v>
      </c>
      <c r="HN81" t="e">
        <f>AND(DATA!Y317,"AAAAAD3/+90=")</f>
        <v>#VALUE!</v>
      </c>
      <c r="HO81">
        <f>IF(DATA!318:318,"AAAAAD3/+94=",0)</f>
        <v>0</v>
      </c>
      <c r="HP81" t="e">
        <f>AND(DATA!A318,"AAAAAD3/+98=")</f>
        <v>#VALUE!</v>
      </c>
      <c r="HQ81" t="e">
        <f>AND(DATA!B318,"AAAAAD3/++A=")</f>
        <v>#VALUE!</v>
      </c>
      <c r="HR81" t="e">
        <f>AND(DATA!C318,"AAAAAD3/++E=")</f>
        <v>#VALUE!</v>
      </c>
      <c r="HS81" t="e">
        <f>AND(DATA!D318,"AAAAAD3/++I=")</f>
        <v>#VALUE!</v>
      </c>
      <c r="HT81" t="e">
        <f>AND(DATA!E318,"AAAAAD3/++M=")</f>
        <v>#VALUE!</v>
      </c>
      <c r="HU81" t="e">
        <f>AND(DATA!F318,"AAAAAD3/++Q=")</f>
        <v>#VALUE!</v>
      </c>
      <c r="HV81" t="e">
        <f>AND(DATA!G318,"AAAAAD3/++U=")</f>
        <v>#VALUE!</v>
      </c>
      <c r="HW81" t="e">
        <f>AND(DATA!H318,"AAAAAD3/++Y=")</f>
        <v>#VALUE!</v>
      </c>
      <c r="HX81" t="e">
        <f>AND(DATA!I318,"AAAAAD3/++c=")</f>
        <v>#VALUE!</v>
      </c>
      <c r="HY81" t="e">
        <f>AND(DATA!J318,"AAAAAD3/++g=")</f>
        <v>#VALUE!</v>
      </c>
      <c r="HZ81" t="e">
        <f>AND(DATA!K318,"AAAAAD3/++k=")</f>
        <v>#VALUE!</v>
      </c>
      <c r="IA81" t="b">
        <f>AND(DATA!L319,"AAAAAD3/++o=")</f>
        <v>1</v>
      </c>
      <c r="IB81" t="b">
        <f>AND(DATA!M319,"AAAAAD3/++s=")</f>
        <v>1</v>
      </c>
      <c r="IC81" t="b">
        <f>AND(DATA!N319,"AAAAAD3/++w=")</f>
        <v>1</v>
      </c>
      <c r="ID81" t="b">
        <f>AND(DATA!O319,"AAAAAD3/++0=")</f>
        <v>1</v>
      </c>
      <c r="IE81" t="b">
        <f>AND(DATA!P319,"AAAAAD3/++4=")</f>
        <v>1</v>
      </c>
      <c r="IF81" t="b">
        <f>AND(DATA!Q319,"AAAAAD3/++8=")</f>
        <v>1</v>
      </c>
      <c r="IG81" t="b">
        <f>AND(DATA!R319,"AAAAAD3/+/A=")</f>
        <v>1</v>
      </c>
      <c r="IH81" t="b">
        <f>AND(DATA!S319,"AAAAAD3/+/E=")</f>
        <v>1</v>
      </c>
      <c r="II81" t="b">
        <f>AND(DATA!T319,"AAAAAD3/+/I=")</f>
        <v>1</v>
      </c>
      <c r="IJ81" t="b">
        <f>AND(DATA!U319,"AAAAAD3/+/M=")</f>
        <v>1</v>
      </c>
      <c r="IK81" t="b">
        <f>AND(DATA!V319,"AAAAAD3/+/Q=")</f>
        <v>1</v>
      </c>
      <c r="IL81" t="e">
        <f>AND(DATA!W318,"AAAAAD3/+/U=")</f>
        <v>#VALUE!</v>
      </c>
      <c r="IM81" t="e">
        <f>AND(DATA!X318,"AAAAAD3/+/Y=")</f>
        <v>#VALUE!</v>
      </c>
      <c r="IN81" t="e">
        <f>AND(DATA!Y318,"AAAAAD3/+/c=")</f>
        <v>#VALUE!</v>
      </c>
      <c r="IO81">
        <f>IF(DATA!319:319,"AAAAAD3/+/g=",0)</f>
        <v>0</v>
      </c>
      <c r="IP81" t="e">
        <f>AND(DATA!A319,"AAAAAD3/+/k=")</f>
        <v>#VALUE!</v>
      </c>
      <c r="IQ81" t="e">
        <f>AND(DATA!B319,"AAAAAD3/+/o=")</f>
        <v>#VALUE!</v>
      </c>
      <c r="IR81" t="e">
        <f>AND(DATA!C319,"AAAAAD3/+/s=")</f>
        <v>#VALUE!</v>
      </c>
      <c r="IS81" t="e">
        <f>AND(DATA!D319,"AAAAAD3/+/w=")</f>
        <v>#VALUE!</v>
      </c>
      <c r="IT81" t="e">
        <f>AND(DATA!E319,"AAAAAD3/+/0=")</f>
        <v>#VALUE!</v>
      </c>
      <c r="IU81" t="e">
        <f>AND(DATA!F319,"AAAAAD3/+/4=")</f>
        <v>#VALUE!</v>
      </c>
      <c r="IV81" t="e">
        <f>AND(DATA!G319,"AAAAAD3/+/8=")</f>
        <v>#VALUE!</v>
      </c>
    </row>
    <row r="82" spans="1:256" x14ac:dyDescent="0.25">
      <c r="A82" t="e">
        <f>AND(DATA!H319,"AAAAAHpr0wA=")</f>
        <v>#VALUE!</v>
      </c>
      <c r="B82" t="e">
        <f>AND(DATA!I319,"AAAAAHpr0wE=")</f>
        <v>#VALUE!</v>
      </c>
      <c r="C82" t="e">
        <f>AND(DATA!J319,"AAAAAHpr0wI=")</f>
        <v>#VALUE!</v>
      </c>
      <c r="D82" t="e">
        <f>AND(DATA!K319,"AAAAAHpr0wM=")</f>
        <v>#VALUE!</v>
      </c>
      <c r="E82" t="b">
        <f>AND(DATA!L320,"AAAAAHpr0wQ=")</f>
        <v>1</v>
      </c>
      <c r="F82" t="b">
        <f>AND(DATA!M320,"AAAAAHpr0wU=")</f>
        <v>1</v>
      </c>
      <c r="G82" t="b">
        <f>AND(DATA!N320,"AAAAAHpr0wY=")</f>
        <v>1</v>
      </c>
      <c r="H82" t="b">
        <f>AND(DATA!O320,"AAAAAHpr0wc=")</f>
        <v>1</v>
      </c>
      <c r="I82" t="b">
        <f>AND(DATA!P320,"AAAAAHpr0wg=")</f>
        <v>1</v>
      </c>
      <c r="J82" t="b">
        <f>AND(DATA!Q320,"AAAAAHpr0wk=")</f>
        <v>1</v>
      </c>
      <c r="K82" t="b">
        <f>AND(DATA!R320,"AAAAAHpr0wo=")</f>
        <v>1</v>
      </c>
      <c r="L82" t="b">
        <f>AND(DATA!S320,"AAAAAHpr0ws=")</f>
        <v>1</v>
      </c>
      <c r="M82" t="b">
        <f>AND(DATA!T320,"AAAAAHpr0ww=")</f>
        <v>1</v>
      </c>
      <c r="N82" t="b">
        <f>AND(DATA!U320,"AAAAAHpr0w0=")</f>
        <v>1</v>
      </c>
      <c r="O82" t="b">
        <f>AND(DATA!V320,"AAAAAHpr0w4=")</f>
        <v>1</v>
      </c>
      <c r="P82" t="e">
        <f>AND(DATA!W319,"AAAAAHpr0w8=")</f>
        <v>#VALUE!</v>
      </c>
      <c r="Q82" t="e">
        <f>AND(DATA!X319,"AAAAAHpr0xA=")</f>
        <v>#VALUE!</v>
      </c>
      <c r="R82" t="e">
        <f>AND(DATA!Y319,"AAAAAHpr0xE=")</f>
        <v>#VALUE!</v>
      </c>
      <c r="S82" t="str">
        <f>IF(DATA!320:320,"AAAAAHpr0xI=",0)</f>
        <v>AAAAAHpr0xI=</v>
      </c>
      <c r="T82" t="e">
        <f>AND(DATA!A320,"AAAAAHpr0xM=")</f>
        <v>#VALUE!</v>
      </c>
      <c r="U82" t="e">
        <f>AND(DATA!B320,"AAAAAHpr0xQ=")</f>
        <v>#VALUE!</v>
      </c>
      <c r="V82" t="e">
        <f>AND(DATA!C320,"AAAAAHpr0xU=")</f>
        <v>#VALUE!</v>
      </c>
      <c r="W82" t="e">
        <f>AND(DATA!D320,"AAAAAHpr0xY=")</f>
        <v>#VALUE!</v>
      </c>
      <c r="X82" t="e">
        <f>AND(DATA!E320,"AAAAAHpr0xc=")</f>
        <v>#VALUE!</v>
      </c>
      <c r="Y82" t="e">
        <f>AND(DATA!F320,"AAAAAHpr0xg=")</f>
        <v>#VALUE!</v>
      </c>
      <c r="Z82" t="e">
        <f>AND(DATA!G320,"AAAAAHpr0xk=")</f>
        <v>#VALUE!</v>
      </c>
      <c r="AA82" t="e">
        <f>AND(DATA!H320,"AAAAAHpr0xo=")</f>
        <v>#VALUE!</v>
      </c>
      <c r="AB82" t="e">
        <f>AND(DATA!I320,"AAAAAHpr0xs=")</f>
        <v>#VALUE!</v>
      </c>
      <c r="AC82" t="e">
        <f>AND(DATA!J320,"AAAAAHpr0xw=")</f>
        <v>#VALUE!</v>
      </c>
      <c r="AD82" t="e">
        <f>AND(DATA!K320,"AAAAAHpr0x0=")</f>
        <v>#VALUE!</v>
      </c>
      <c r="AE82" t="b">
        <f>AND(DATA!L321,"AAAAAHpr0x4=")</f>
        <v>1</v>
      </c>
      <c r="AF82" t="b">
        <f>AND(DATA!M321,"AAAAAHpr0x8=")</f>
        <v>1</v>
      </c>
      <c r="AG82" t="b">
        <f>AND(DATA!N321,"AAAAAHpr0yA=")</f>
        <v>1</v>
      </c>
      <c r="AH82" t="b">
        <f>AND(DATA!O321,"AAAAAHpr0yE=")</f>
        <v>1</v>
      </c>
      <c r="AI82" t="b">
        <f>AND(DATA!P321,"AAAAAHpr0yI=")</f>
        <v>1</v>
      </c>
      <c r="AJ82" t="b">
        <f>AND(DATA!Q321,"AAAAAHpr0yM=")</f>
        <v>1</v>
      </c>
      <c r="AK82" t="b">
        <f>AND(DATA!R321,"AAAAAHpr0yQ=")</f>
        <v>1</v>
      </c>
      <c r="AL82" t="b">
        <f>AND(DATA!S321,"AAAAAHpr0yU=")</f>
        <v>1</v>
      </c>
      <c r="AM82" t="b">
        <f>AND(DATA!T321,"AAAAAHpr0yY=")</f>
        <v>1</v>
      </c>
      <c r="AN82" t="b">
        <f>AND(DATA!U321,"AAAAAHpr0yc=")</f>
        <v>1</v>
      </c>
      <c r="AO82" t="b">
        <f>AND(DATA!V321,"AAAAAHpr0yg=")</f>
        <v>1</v>
      </c>
      <c r="AP82" t="e">
        <f>AND(DATA!W320,"AAAAAHpr0yk=")</f>
        <v>#VALUE!</v>
      </c>
      <c r="AQ82" t="e">
        <f>AND(DATA!X320,"AAAAAHpr0yo=")</f>
        <v>#VALUE!</v>
      </c>
      <c r="AR82" t="e">
        <f>AND(DATA!Y320,"AAAAAHpr0ys=")</f>
        <v>#VALUE!</v>
      </c>
      <c r="AS82">
        <f>IF(DATA!321:321,"AAAAAHpr0yw=",0)</f>
        <v>0</v>
      </c>
      <c r="AT82" t="e">
        <f>AND(DATA!A321,"AAAAAHpr0y0=")</f>
        <v>#VALUE!</v>
      </c>
      <c r="AU82" t="e">
        <f>AND(DATA!B321,"AAAAAHpr0y4=")</f>
        <v>#VALUE!</v>
      </c>
      <c r="AV82" t="e">
        <f>AND(DATA!C321,"AAAAAHpr0y8=")</f>
        <v>#VALUE!</v>
      </c>
      <c r="AW82" t="e">
        <f>AND(DATA!D321,"AAAAAHpr0zA=")</f>
        <v>#VALUE!</v>
      </c>
      <c r="AX82" t="e">
        <f>AND(DATA!E321,"AAAAAHpr0zE=")</f>
        <v>#VALUE!</v>
      </c>
      <c r="AY82" t="e">
        <f>AND(DATA!F321,"AAAAAHpr0zI=")</f>
        <v>#VALUE!</v>
      </c>
      <c r="AZ82" t="e">
        <f>AND(DATA!G321,"AAAAAHpr0zM=")</f>
        <v>#VALUE!</v>
      </c>
      <c r="BA82" t="e">
        <f>AND(DATA!H321,"AAAAAHpr0zQ=")</f>
        <v>#VALUE!</v>
      </c>
      <c r="BB82" t="e">
        <f>AND(DATA!I321,"AAAAAHpr0zU=")</f>
        <v>#VALUE!</v>
      </c>
      <c r="BC82" t="e">
        <f>AND(DATA!J321,"AAAAAHpr0zY=")</f>
        <v>#VALUE!</v>
      </c>
      <c r="BD82" t="e">
        <f>AND(DATA!K321,"AAAAAHpr0zc=")</f>
        <v>#VALUE!</v>
      </c>
      <c r="BE82" t="b">
        <f>AND(DATA!L322,"AAAAAHpr0zg=")</f>
        <v>1</v>
      </c>
      <c r="BF82" t="b">
        <f>AND(DATA!M322,"AAAAAHpr0zk=")</f>
        <v>1</v>
      </c>
      <c r="BG82" t="b">
        <f>AND(DATA!N322,"AAAAAHpr0zo=")</f>
        <v>1</v>
      </c>
      <c r="BH82" t="b">
        <f>AND(DATA!O322,"AAAAAHpr0zs=")</f>
        <v>1</v>
      </c>
      <c r="BI82" t="b">
        <f>AND(DATA!P322,"AAAAAHpr0zw=")</f>
        <v>1</v>
      </c>
      <c r="BJ82" t="b">
        <f>AND(DATA!Q322,"AAAAAHpr0z0=")</f>
        <v>1</v>
      </c>
      <c r="BK82" t="b">
        <f>AND(DATA!R322,"AAAAAHpr0z4=")</f>
        <v>1</v>
      </c>
      <c r="BL82" t="b">
        <f>AND(DATA!S322,"AAAAAHpr0z8=")</f>
        <v>1</v>
      </c>
      <c r="BM82" t="b">
        <f>AND(DATA!T322,"AAAAAHpr00A=")</f>
        <v>1</v>
      </c>
      <c r="BN82" t="b">
        <f>AND(DATA!U322,"AAAAAHpr00E=")</f>
        <v>1</v>
      </c>
      <c r="BO82" t="b">
        <f>AND(DATA!V322,"AAAAAHpr00I=")</f>
        <v>1</v>
      </c>
      <c r="BP82" t="e">
        <f>AND(DATA!W321,"AAAAAHpr00M=")</f>
        <v>#VALUE!</v>
      </c>
      <c r="BQ82" t="e">
        <f>AND(DATA!X321,"AAAAAHpr00Q=")</f>
        <v>#VALUE!</v>
      </c>
      <c r="BR82" t="e">
        <f>AND(DATA!Y321,"AAAAAHpr00U=")</f>
        <v>#VALUE!</v>
      </c>
      <c r="BS82">
        <f>IF(DATA!322:322,"AAAAAHpr00Y=",0)</f>
        <v>0</v>
      </c>
      <c r="BT82" t="e">
        <f>AND(DATA!A322,"AAAAAHpr00c=")</f>
        <v>#VALUE!</v>
      </c>
      <c r="BU82" t="e">
        <f>AND(DATA!B322,"AAAAAHpr00g=")</f>
        <v>#VALUE!</v>
      </c>
      <c r="BV82" t="e">
        <f>AND(DATA!C322,"AAAAAHpr00k=")</f>
        <v>#VALUE!</v>
      </c>
      <c r="BW82" t="e">
        <f>AND(DATA!D322,"AAAAAHpr00o=")</f>
        <v>#VALUE!</v>
      </c>
      <c r="BX82" t="e">
        <f>AND(DATA!E322,"AAAAAHpr00s=")</f>
        <v>#VALUE!</v>
      </c>
      <c r="BY82" t="e">
        <f>AND(DATA!F322,"AAAAAHpr00w=")</f>
        <v>#VALUE!</v>
      </c>
      <c r="BZ82" t="e">
        <f>AND(DATA!G322,"AAAAAHpr000=")</f>
        <v>#VALUE!</v>
      </c>
      <c r="CA82" t="e">
        <f>AND(DATA!H322,"AAAAAHpr004=")</f>
        <v>#VALUE!</v>
      </c>
      <c r="CB82" t="e">
        <f>AND(DATA!I322,"AAAAAHpr008=")</f>
        <v>#VALUE!</v>
      </c>
      <c r="CC82" t="e">
        <f>AND(DATA!J322,"AAAAAHpr01A=")</f>
        <v>#VALUE!</v>
      </c>
      <c r="CD82" t="e">
        <f>AND(DATA!K322,"AAAAAHpr01E=")</f>
        <v>#VALUE!</v>
      </c>
      <c r="CE82" t="b">
        <f>AND(DATA!L323,"AAAAAHpr01I=")</f>
        <v>1</v>
      </c>
      <c r="CF82" t="b">
        <f>AND(DATA!M323,"AAAAAHpr01M=")</f>
        <v>1</v>
      </c>
      <c r="CG82" t="b">
        <f>AND(DATA!N323,"AAAAAHpr01Q=")</f>
        <v>1</v>
      </c>
      <c r="CH82" t="b">
        <f>AND(DATA!O323,"AAAAAHpr01U=")</f>
        <v>1</v>
      </c>
      <c r="CI82" t="b">
        <f>AND(DATA!P323,"AAAAAHpr01Y=")</f>
        <v>1</v>
      </c>
      <c r="CJ82" t="b">
        <f>AND(DATA!Q323,"AAAAAHpr01c=")</f>
        <v>1</v>
      </c>
      <c r="CK82" t="b">
        <f>AND(DATA!R323,"AAAAAHpr01g=")</f>
        <v>1</v>
      </c>
      <c r="CL82" t="b">
        <f>AND(DATA!S323,"AAAAAHpr01k=")</f>
        <v>1</v>
      </c>
      <c r="CM82" t="b">
        <f>AND(DATA!T323,"AAAAAHpr01o=")</f>
        <v>1</v>
      </c>
      <c r="CN82" t="b">
        <f>AND(DATA!U323,"AAAAAHpr01s=")</f>
        <v>1</v>
      </c>
      <c r="CO82" t="b">
        <f>AND(DATA!V323,"AAAAAHpr01w=")</f>
        <v>1</v>
      </c>
      <c r="CP82" t="e">
        <f>AND(DATA!W322,"AAAAAHpr010=")</f>
        <v>#VALUE!</v>
      </c>
      <c r="CQ82" t="e">
        <f>AND(DATA!X322,"AAAAAHpr014=")</f>
        <v>#VALUE!</v>
      </c>
      <c r="CR82" t="e">
        <f>AND(DATA!Y322,"AAAAAHpr018=")</f>
        <v>#VALUE!</v>
      </c>
      <c r="CS82">
        <f>IF(DATA!323:323,"AAAAAHpr02A=",0)</f>
        <v>0</v>
      </c>
      <c r="CT82" t="e">
        <f>AND(DATA!A323,"AAAAAHpr02E=")</f>
        <v>#VALUE!</v>
      </c>
      <c r="CU82" t="e">
        <f>AND(DATA!B323,"AAAAAHpr02I=")</f>
        <v>#VALUE!</v>
      </c>
      <c r="CV82" t="e">
        <f>AND(DATA!C323,"AAAAAHpr02M=")</f>
        <v>#VALUE!</v>
      </c>
      <c r="CW82" t="e">
        <f>AND(DATA!D323,"AAAAAHpr02Q=")</f>
        <v>#VALUE!</v>
      </c>
      <c r="CX82" t="e">
        <f>AND(DATA!E323,"AAAAAHpr02U=")</f>
        <v>#VALUE!</v>
      </c>
      <c r="CY82" t="e">
        <f>AND(DATA!F323,"AAAAAHpr02Y=")</f>
        <v>#VALUE!</v>
      </c>
      <c r="CZ82" t="e">
        <f>AND(DATA!G323,"AAAAAHpr02c=")</f>
        <v>#VALUE!</v>
      </c>
      <c r="DA82" t="e">
        <f>AND(DATA!H323,"AAAAAHpr02g=")</f>
        <v>#VALUE!</v>
      </c>
      <c r="DB82" t="e">
        <f>AND(DATA!I323,"AAAAAHpr02k=")</f>
        <v>#VALUE!</v>
      </c>
      <c r="DC82" t="e">
        <f>AND(DATA!J323,"AAAAAHpr02o=")</f>
        <v>#VALUE!</v>
      </c>
      <c r="DD82" t="e">
        <f>AND(DATA!K323,"AAAAAHpr02s=")</f>
        <v>#VALUE!</v>
      </c>
      <c r="DE82" t="b">
        <f>AND(DATA!L324,"AAAAAHpr02w=")</f>
        <v>1</v>
      </c>
      <c r="DF82" t="b">
        <f>AND(DATA!M324,"AAAAAHpr020=")</f>
        <v>1</v>
      </c>
      <c r="DG82" t="b">
        <f>AND(DATA!N324,"AAAAAHpr024=")</f>
        <v>1</v>
      </c>
      <c r="DH82" t="b">
        <f>AND(DATA!O324,"AAAAAHpr028=")</f>
        <v>1</v>
      </c>
      <c r="DI82" t="b">
        <f>AND(DATA!P324,"AAAAAHpr03A=")</f>
        <v>1</v>
      </c>
      <c r="DJ82" t="b">
        <f>AND(DATA!Q324,"AAAAAHpr03E=")</f>
        <v>1</v>
      </c>
      <c r="DK82" t="b">
        <f>AND(DATA!R324,"AAAAAHpr03I=")</f>
        <v>1</v>
      </c>
      <c r="DL82" t="b">
        <f>AND(DATA!S324,"AAAAAHpr03M=")</f>
        <v>1</v>
      </c>
      <c r="DM82" t="b">
        <f>AND(DATA!T324,"AAAAAHpr03Q=")</f>
        <v>1</v>
      </c>
      <c r="DN82" t="b">
        <f>AND(DATA!U324,"AAAAAHpr03U=")</f>
        <v>1</v>
      </c>
      <c r="DO82" t="b">
        <f>AND(DATA!V324,"AAAAAHpr03Y=")</f>
        <v>1</v>
      </c>
      <c r="DP82" t="e">
        <f>AND(DATA!W323,"AAAAAHpr03c=")</f>
        <v>#VALUE!</v>
      </c>
      <c r="DQ82" t="e">
        <f>AND(DATA!X323,"AAAAAHpr03g=")</f>
        <v>#VALUE!</v>
      </c>
      <c r="DR82" t="e">
        <f>AND(DATA!Y323,"AAAAAHpr03k=")</f>
        <v>#VALUE!</v>
      </c>
      <c r="DS82">
        <f>IF(DATA!324:324,"AAAAAHpr03o=",0)</f>
        <v>0</v>
      </c>
      <c r="DT82" t="e">
        <f>AND(DATA!A324,"AAAAAHpr03s=")</f>
        <v>#VALUE!</v>
      </c>
      <c r="DU82" t="e">
        <f>AND(DATA!B324,"AAAAAHpr03w=")</f>
        <v>#VALUE!</v>
      </c>
      <c r="DV82" t="e">
        <f>AND(DATA!C324,"AAAAAHpr030=")</f>
        <v>#VALUE!</v>
      </c>
      <c r="DW82" t="e">
        <f>AND(DATA!D324,"AAAAAHpr034=")</f>
        <v>#VALUE!</v>
      </c>
      <c r="DX82" t="e">
        <f>AND(DATA!E324,"AAAAAHpr038=")</f>
        <v>#VALUE!</v>
      </c>
      <c r="DY82" t="e">
        <f>AND(DATA!F324,"AAAAAHpr04A=")</f>
        <v>#VALUE!</v>
      </c>
      <c r="DZ82" t="e">
        <f>AND(DATA!G324,"AAAAAHpr04E=")</f>
        <v>#VALUE!</v>
      </c>
      <c r="EA82" t="e">
        <f>AND(DATA!H324,"AAAAAHpr04I=")</f>
        <v>#VALUE!</v>
      </c>
      <c r="EB82" t="e">
        <f>AND(DATA!I324,"AAAAAHpr04M=")</f>
        <v>#VALUE!</v>
      </c>
      <c r="EC82" t="e">
        <f>AND(DATA!J324,"AAAAAHpr04Q=")</f>
        <v>#VALUE!</v>
      </c>
      <c r="ED82" t="e">
        <f>AND(DATA!K324,"AAAAAHpr04U=")</f>
        <v>#VALUE!</v>
      </c>
      <c r="EE82" t="b">
        <f>AND(DATA!L325,"AAAAAHpr04Y=")</f>
        <v>1</v>
      </c>
      <c r="EF82" t="b">
        <f>AND(DATA!M325,"AAAAAHpr04c=")</f>
        <v>1</v>
      </c>
      <c r="EG82" t="b">
        <f>AND(DATA!N325,"AAAAAHpr04g=")</f>
        <v>1</v>
      </c>
      <c r="EH82" t="b">
        <f>AND(DATA!O325,"AAAAAHpr04k=")</f>
        <v>1</v>
      </c>
      <c r="EI82" t="b">
        <f>AND(DATA!P325,"AAAAAHpr04o=")</f>
        <v>1</v>
      </c>
      <c r="EJ82" t="b">
        <f>AND(DATA!Q325,"AAAAAHpr04s=")</f>
        <v>1</v>
      </c>
      <c r="EK82" t="b">
        <f>AND(DATA!R325,"AAAAAHpr04w=")</f>
        <v>1</v>
      </c>
      <c r="EL82" t="b">
        <f>AND(DATA!S325,"AAAAAHpr040=")</f>
        <v>1</v>
      </c>
      <c r="EM82" t="b">
        <f>AND(DATA!T325,"AAAAAHpr044=")</f>
        <v>1</v>
      </c>
      <c r="EN82" t="b">
        <f>AND(DATA!U325,"AAAAAHpr048=")</f>
        <v>1</v>
      </c>
      <c r="EO82" t="b">
        <f>AND(DATA!V325,"AAAAAHpr05A=")</f>
        <v>1</v>
      </c>
      <c r="EP82" t="e">
        <f>AND(DATA!W324,"AAAAAHpr05E=")</f>
        <v>#VALUE!</v>
      </c>
      <c r="EQ82" t="e">
        <f>AND(DATA!X324,"AAAAAHpr05I=")</f>
        <v>#VALUE!</v>
      </c>
      <c r="ER82" t="e">
        <f>AND(DATA!Y324,"AAAAAHpr05M=")</f>
        <v>#VALUE!</v>
      </c>
      <c r="ES82">
        <f>IF(DATA!325:325,"AAAAAHpr05Q=",0)</f>
        <v>0</v>
      </c>
      <c r="ET82" t="e">
        <f>AND(DATA!A325,"AAAAAHpr05U=")</f>
        <v>#VALUE!</v>
      </c>
      <c r="EU82" t="e">
        <f>AND(DATA!B325,"AAAAAHpr05Y=")</f>
        <v>#VALUE!</v>
      </c>
      <c r="EV82" t="e">
        <f>AND(DATA!C325,"AAAAAHpr05c=")</f>
        <v>#VALUE!</v>
      </c>
      <c r="EW82" t="e">
        <f>AND(DATA!D325,"AAAAAHpr05g=")</f>
        <v>#VALUE!</v>
      </c>
      <c r="EX82" t="e">
        <f>AND(DATA!E325,"AAAAAHpr05k=")</f>
        <v>#VALUE!</v>
      </c>
      <c r="EY82" t="e">
        <f>AND(DATA!F325,"AAAAAHpr05o=")</f>
        <v>#VALUE!</v>
      </c>
      <c r="EZ82" t="e">
        <f>AND(DATA!G325,"AAAAAHpr05s=")</f>
        <v>#VALUE!</v>
      </c>
      <c r="FA82" t="e">
        <f>AND(DATA!H325,"AAAAAHpr05w=")</f>
        <v>#VALUE!</v>
      </c>
      <c r="FB82" t="e">
        <f>AND(DATA!I325,"AAAAAHpr050=")</f>
        <v>#VALUE!</v>
      </c>
      <c r="FC82" t="e">
        <f>AND(DATA!J325,"AAAAAHpr054=")</f>
        <v>#VALUE!</v>
      </c>
      <c r="FD82" t="e">
        <f>AND(DATA!K325,"AAAAAHpr058=")</f>
        <v>#VALUE!</v>
      </c>
      <c r="FE82" t="b">
        <f>AND(DATA!L326,"AAAAAHpr06A=")</f>
        <v>1</v>
      </c>
      <c r="FF82" t="b">
        <f>AND(DATA!M326,"AAAAAHpr06E=")</f>
        <v>1</v>
      </c>
      <c r="FG82" t="b">
        <f>AND(DATA!N326,"AAAAAHpr06I=")</f>
        <v>1</v>
      </c>
      <c r="FH82" t="b">
        <f>AND(DATA!O326,"AAAAAHpr06M=")</f>
        <v>1</v>
      </c>
      <c r="FI82" t="b">
        <f>AND(DATA!P326,"AAAAAHpr06Q=")</f>
        <v>1</v>
      </c>
      <c r="FJ82" t="b">
        <f>AND(DATA!Q326,"AAAAAHpr06U=")</f>
        <v>1</v>
      </c>
      <c r="FK82" t="b">
        <f>AND(DATA!R326,"AAAAAHpr06Y=")</f>
        <v>1</v>
      </c>
      <c r="FL82" t="b">
        <f>AND(DATA!S326,"AAAAAHpr06c=")</f>
        <v>1</v>
      </c>
      <c r="FM82" t="b">
        <f>AND(DATA!T326,"AAAAAHpr06g=")</f>
        <v>1</v>
      </c>
      <c r="FN82" t="b">
        <f>AND(DATA!U326,"AAAAAHpr06k=")</f>
        <v>1</v>
      </c>
      <c r="FO82" t="b">
        <f>AND(DATA!V326,"AAAAAHpr06o=")</f>
        <v>1</v>
      </c>
      <c r="FP82" t="e">
        <f>AND(DATA!W325,"AAAAAHpr06s=")</f>
        <v>#VALUE!</v>
      </c>
      <c r="FQ82" t="e">
        <f>AND(DATA!X325,"AAAAAHpr06w=")</f>
        <v>#VALUE!</v>
      </c>
      <c r="FR82" t="e">
        <f>AND(DATA!Y325,"AAAAAHpr060=")</f>
        <v>#VALUE!</v>
      </c>
      <c r="FS82">
        <f>IF(DATA!326:326,"AAAAAHpr064=",0)</f>
        <v>0</v>
      </c>
      <c r="FT82" t="e">
        <f>AND(DATA!A326,"AAAAAHpr068=")</f>
        <v>#VALUE!</v>
      </c>
      <c r="FU82" t="e">
        <f>AND(DATA!B326,"AAAAAHpr07A=")</f>
        <v>#VALUE!</v>
      </c>
      <c r="FV82" t="e">
        <f>AND(DATA!C326,"AAAAAHpr07E=")</f>
        <v>#VALUE!</v>
      </c>
      <c r="FW82" t="e">
        <f>AND(DATA!D326,"AAAAAHpr07I=")</f>
        <v>#VALUE!</v>
      </c>
      <c r="FX82" t="e">
        <f>AND(DATA!E326,"AAAAAHpr07M=")</f>
        <v>#VALUE!</v>
      </c>
      <c r="FY82" t="e">
        <f>AND(DATA!F326,"AAAAAHpr07Q=")</f>
        <v>#VALUE!</v>
      </c>
      <c r="FZ82" t="e">
        <f>AND(DATA!G326,"AAAAAHpr07U=")</f>
        <v>#VALUE!</v>
      </c>
      <c r="GA82" t="e">
        <f>AND(DATA!H326,"AAAAAHpr07Y=")</f>
        <v>#VALUE!</v>
      </c>
      <c r="GB82" t="e">
        <f>AND(DATA!I326,"AAAAAHpr07c=")</f>
        <v>#VALUE!</v>
      </c>
      <c r="GC82" t="e">
        <f>AND(DATA!J326,"AAAAAHpr07g=")</f>
        <v>#VALUE!</v>
      </c>
      <c r="GD82" t="e">
        <f>AND(DATA!K326,"AAAAAHpr07k=")</f>
        <v>#VALUE!</v>
      </c>
      <c r="GE82" t="b">
        <f>AND(DATA!L327,"AAAAAHpr07o=")</f>
        <v>1</v>
      </c>
      <c r="GF82" t="b">
        <f>AND(DATA!M327,"AAAAAHpr07s=")</f>
        <v>1</v>
      </c>
      <c r="GG82" t="b">
        <f>AND(DATA!N327,"AAAAAHpr07w=")</f>
        <v>1</v>
      </c>
      <c r="GH82" t="b">
        <f>AND(DATA!O327,"AAAAAHpr070=")</f>
        <v>1</v>
      </c>
      <c r="GI82" t="b">
        <f>AND(DATA!P327,"AAAAAHpr074=")</f>
        <v>1</v>
      </c>
      <c r="GJ82" t="b">
        <f>AND(DATA!Q327,"AAAAAHpr078=")</f>
        <v>1</v>
      </c>
      <c r="GK82" t="b">
        <f>AND(DATA!R327,"AAAAAHpr08A=")</f>
        <v>1</v>
      </c>
      <c r="GL82" t="b">
        <f>AND(DATA!S327,"AAAAAHpr08E=")</f>
        <v>1</v>
      </c>
      <c r="GM82" t="b">
        <f>AND(DATA!T327,"AAAAAHpr08I=")</f>
        <v>1</v>
      </c>
      <c r="GN82" t="b">
        <f>AND(DATA!U327,"AAAAAHpr08M=")</f>
        <v>1</v>
      </c>
      <c r="GO82" t="b">
        <f>AND(DATA!V327,"AAAAAHpr08Q=")</f>
        <v>1</v>
      </c>
      <c r="GP82" t="e">
        <f>AND(DATA!W326,"AAAAAHpr08U=")</f>
        <v>#VALUE!</v>
      </c>
      <c r="GQ82" t="e">
        <f>AND(DATA!X326,"AAAAAHpr08Y=")</f>
        <v>#VALUE!</v>
      </c>
      <c r="GR82" t="e">
        <f>AND(DATA!Y326,"AAAAAHpr08c=")</f>
        <v>#VALUE!</v>
      </c>
      <c r="GS82">
        <f>IF(DATA!327:327,"AAAAAHpr08g=",0)</f>
        <v>0</v>
      </c>
      <c r="GT82" t="e">
        <f>AND(DATA!A327,"AAAAAHpr08k=")</f>
        <v>#VALUE!</v>
      </c>
      <c r="GU82" t="e">
        <f>AND(DATA!B327,"AAAAAHpr08o=")</f>
        <v>#VALUE!</v>
      </c>
      <c r="GV82" t="e">
        <f>AND(DATA!C327,"AAAAAHpr08s=")</f>
        <v>#VALUE!</v>
      </c>
      <c r="GW82" t="e">
        <f>AND(DATA!D327,"AAAAAHpr08w=")</f>
        <v>#VALUE!</v>
      </c>
      <c r="GX82" t="e">
        <f>AND(DATA!E327,"AAAAAHpr080=")</f>
        <v>#VALUE!</v>
      </c>
      <c r="GY82" t="e">
        <f>AND(DATA!F327,"AAAAAHpr084=")</f>
        <v>#VALUE!</v>
      </c>
      <c r="GZ82" t="e">
        <f>AND(DATA!G327,"AAAAAHpr088=")</f>
        <v>#VALUE!</v>
      </c>
      <c r="HA82" t="e">
        <f>AND(DATA!H327,"AAAAAHpr09A=")</f>
        <v>#VALUE!</v>
      </c>
      <c r="HB82" t="e">
        <f>AND(DATA!I327,"AAAAAHpr09E=")</f>
        <v>#VALUE!</v>
      </c>
      <c r="HC82" t="e">
        <f>AND(DATA!J327,"AAAAAHpr09I=")</f>
        <v>#VALUE!</v>
      </c>
      <c r="HD82" t="e">
        <f>AND(DATA!K327,"AAAAAHpr09M=")</f>
        <v>#VALUE!</v>
      </c>
      <c r="HE82" t="b">
        <f>AND(DATA!L328,"AAAAAHpr09Q=")</f>
        <v>1</v>
      </c>
      <c r="HF82" t="b">
        <f>AND(DATA!M328,"AAAAAHpr09U=")</f>
        <v>1</v>
      </c>
      <c r="HG82" t="b">
        <f>AND(DATA!N328,"AAAAAHpr09Y=")</f>
        <v>1</v>
      </c>
      <c r="HH82" t="b">
        <f>AND(DATA!O328,"AAAAAHpr09c=")</f>
        <v>1</v>
      </c>
      <c r="HI82" t="b">
        <f>AND(DATA!P328,"AAAAAHpr09g=")</f>
        <v>1</v>
      </c>
      <c r="HJ82" t="b">
        <f>AND(DATA!Q328,"AAAAAHpr09k=")</f>
        <v>1</v>
      </c>
      <c r="HK82" t="b">
        <f>AND(DATA!R328,"AAAAAHpr09o=")</f>
        <v>1</v>
      </c>
      <c r="HL82" t="b">
        <f>AND(DATA!S328,"AAAAAHpr09s=")</f>
        <v>1</v>
      </c>
      <c r="HM82" t="b">
        <f>AND(DATA!T328,"AAAAAHpr09w=")</f>
        <v>1</v>
      </c>
      <c r="HN82" t="b">
        <f>AND(DATA!U328,"AAAAAHpr090=")</f>
        <v>1</v>
      </c>
      <c r="HO82" t="b">
        <f>AND(DATA!V328,"AAAAAHpr094=")</f>
        <v>1</v>
      </c>
      <c r="HP82" t="e">
        <f>AND(DATA!W327,"AAAAAHpr098=")</f>
        <v>#VALUE!</v>
      </c>
      <c r="HQ82" t="e">
        <f>AND(DATA!X327,"AAAAAHpr0+A=")</f>
        <v>#VALUE!</v>
      </c>
      <c r="HR82" t="e">
        <f>AND(DATA!Y327,"AAAAAHpr0+E=")</f>
        <v>#VALUE!</v>
      </c>
      <c r="HS82">
        <f>IF(DATA!328:328,"AAAAAHpr0+I=",0)</f>
        <v>0</v>
      </c>
      <c r="HT82" t="e">
        <f>AND(DATA!A328,"AAAAAHpr0+M=")</f>
        <v>#VALUE!</v>
      </c>
      <c r="HU82" t="e">
        <f>AND(DATA!B328,"AAAAAHpr0+Q=")</f>
        <v>#VALUE!</v>
      </c>
      <c r="HV82" t="e">
        <f>AND(DATA!C328,"AAAAAHpr0+U=")</f>
        <v>#VALUE!</v>
      </c>
      <c r="HW82" t="e">
        <f>AND(DATA!D328,"AAAAAHpr0+Y=")</f>
        <v>#VALUE!</v>
      </c>
      <c r="HX82" t="e">
        <f>AND(DATA!E328,"AAAAAHpr0+c=")</f>
        <v>#VALUE!</v>
      </c>
      <c r="HY82" t="e">
        <f>AND(DATA!F328,"AAAAAHpr0+g=")</f>
        <v>#VALUE!</v>
      </c>
      <c r="HZ82" t="e">
        <f>AND(DATA!G328,"AAAAAHpr0+k=")</f>
        <v>#VALUE!</v>
      </c>
      <c r="IA82" t="e">
        <f>AND(DATA!H328,"AAAAAHpr0+o=")</f>
        <v>#VALUE!</v>
      </c>
      <c r="IB82" t="e">
        <f>AND(DATA!I328,"AAAAAHpr0+s=")</f>
        <v>#VALUE!</v>
      </c>
      <c r="IC82" t="e">
        <f>AND(DATA!J328,"AAAAAHpr0+w=")</f>
        <v>#VALUE!</v>
      </c>
      <c r="ID82" t="e">
        <f>AND(DATA!K328,"AAAAAHpr0+0=")</f>
        <v>#VALUE!</v>
      </c>
      <c r="IE82" t="b">
        <f>AND(DATA!L329,"AAAAAHpr0+4=")</f>
        <v>1</v>
      </c>
      <c r="IF82" t="b">
        <f>AND(DATA!M329,"AAAAAHpr0+8=")</f>
        <v>1</v>
      </c>
      <c r="IG82" t="b">
        <f>AND(DATA!N329,"AAAAAHpr0/A=")</f>
        <v>1</v>
      </c>
      <c r="IH82" t="b">
        <f>AND(DATA!O329,"AAAAAHpr0/E=")</f>
        <v>1</v>
      </c>
      <c r="II82" t="b">
        <f>AND(DATA!P329,"AAAAAHpr0/I=")</f>
        <v>1</v>
      </c>
      <c r="IJ82" t="b">
        <f>AND(DATA!Q329,"AAAAAHpr0/M=")</f>
        <v>1</v>
      </c>
      <c r="IK82" t="b">
        <f>AND(DATA!R329,"AAAAAHpr0/Q=")</f>
        <v>1</v>
      </c>
      <c r="IL82" t="b">
        <f>AND(DATA!S329,"AAAAAHpr0/U=")</f>
        <v>1</v>
      </c>
      <c r="IM82" t="b">
        <f>AND(DATA!T329,"AAAAAHpr0/Y=")</f>
        <v>1</v>
      </c>
      <c r="IN82" t="b">
        <f>AND(DATA!U329,"AAAAAHpr0/c=")</f>
        <v>1</v>
      </c>
      <c r="IO82" t="b">
        <f>AND(DATA!V329,"AAAAAHpr0/g=")</f>
        <v>1</v>
      </c>
      <c r="IP82" t="e">
        <f>AND(DATA!W328,"AAAAAHpr0/k=")</f>
        <v>#VALUE!</v>
      </c>
      <c r="IQ82" t="e">
        <f>AND(DATA!X328,"AAAAAHpr0/o=")</f>
        <v>#VALUE!</v>
      </c>
      <c r="IR82" t="e">
        <f>AND(DATA!Y328,"AAAAAHpr0/s=")</f>
        <v>#VALUE!</v>
      </c>
      <c r="IS82">
        <f>IF(DATA!329:329,"AAAAAHpr0/w=",0)</f>
        <v>0</v>
      </c>
      <c r="IT82" t="e">
        <f>AND(DATA!A329,"AAAAAHpr0/0=")</f>
        <v>#VALUE!</v>
      </c>
      <c r="IU82" t="e">
        <f>AND(DATA!B329,"AAAAAHpr0/4=")</f>
        <v>#VALUE!</v>
      </c>
      <c r="IV82" t="e">
        <f>AND(DATA!C329,"AAAAAHpr0/8=")</f>
        <v>#VALUE!</v>
      </c>
    </row>
    <row r="83" spans="1:256" x14ac:dyDescent="0.25">
      <c r="A83" t="e">
        <f>AND(DATA!D329,"AAAAAGvf/AA=")</f>
        <v>#VALUE!</v>
      </c>
      <c r="B83" t="e">
        <f>AND(DATA!E329,"AAAAAGvf/AE=")</f>
        <v>#VALUE!</v>
      </c>
      <c r="C83" t="e">
        <f>AND(DATA!F329,"AAAAAGvf/AI=")</f>
        <v>#VALUE!</v>
      </c>
      <c r="D83" t="e">
        <f>AND(DATA!G329,"AAAAAGvf/AM=")</f>
        <v>#VALUE!</v>
      </c>
      <c r="E83" t="e">
        <f>AND(DATA!H329,"AAAAAGvf/AQ=")</f>
        <v>#VALUE!</v>
      </c>
      <c r="F83" t="e">
        <f>AND(DATA!I329,"AAAAAGvf/AU=")</f>
        <v>#VALUE!</v>
      </c>
      <c r="G83" t="e">
        <f>AND(DATA!J329,"AAAAAGvf/AY=")</f>
        <v>#VALUE!</v>
      </c>
      <c r="H83" t="e">
        <f>AND(DATA!K329,"AAAAAGvf/Ac=")</f>
        <v>#VALUE!</v>
      </c>
      <c r="I83" t="b">
        <f>AND(DATA!L330,"AAAAAGvf/Ag=")</f>
        <v>1</v>
      </c>
      <c r="J83" t="b">
        <f>AND(DATA!M330,"AAAAAGvf/Ak=")</f>
        <v>1</v>
      </c>
      <c r="K83" t="b">
        <f>AND(DATA!N330,"AAAAAGvf/Ao=")</f>
        <v>1</v>
      </c>
      <c r="L83" t="b">
        <f>AND(DATA!O330,"AAAAAGvf/As=")</f>
        <v>1</v>
      </c>
      <c r="M83" t="b">
        <f>AND(DATA!P330,"AAAAAGvf/Aw=")</f>
        <v>1</v>
      </c>
      <c r="N83" t="b">
        <f>AND(DATA!Q330,"AAAAAGvf/A0=")</f>
        <v>1</v>
      </c>
      <c r="O83" t="b">
        <f>AND(DATA!R330,"AAAAAGvf/A4=")</f>
        <v>1</v>
      </c>
      <c r="P83" t="b">
        <f>AND(DATA!S330,"AAAAAGvf/A8=")</f>
        <v>1</v>
      </c>
      <c r="Q83" t="b">
        <f>AND(DATA!T330,"AAAAAGvf/BA=")</f>
        <v>1</v>
      </c>
      <c r="R83" t="b">
        <f>AND(DATA!U330,"AAAAAGvf/BE=")</f>
        <v>1</v>
      </c>
      <c r="S83" t="b">
        <f>AND(DATA!V330,"AAAAAGvf/BI=")</f>
        <v>1</v>
      </c>
      <c r="T83" t="e">
        <f>AND(DATA!W329,"AAAAAGvf/BM=")</f>
        <v>#VALUE!</v>
      </c>
      <c r="U83" t="e">
        <f>AND(DATA!X329,"AAAAAGvf/BQ=")</f>
        <v>#VALUE!</v>
      </c>
      <c r="V83" t="e">
        <f>AND(DATA!Y329,"AAAAAGvf/BU=")</f>
        <v>#VALUE!</v>
      </c>
      <c r="W83">
        <f>IF(DATA!330:330,"AAAAAGvf/BY=",0)</f>
        <v>0</v>
      </c>
      <c r="X83" t="e">
        <f>AND(DATA!A330,"AAAAAGvf/Bc=")</f>
        <v>#VALUE!</v>
      </c>
      <c r="Y83" t="e">
        <f>AND(DATA!B330,"AAAAAGvf/Bg=")</f>
        <v>#VALUE!</v>
      </c>
      <c r="Z83" t="e">
        <f>AND(DATA!C330,"AAAAAGvf/Bk=")</f>
        <v>#VALUE!</v>
      </c>
      <c r="AA83" t="e">
        <f>AND(DATA!D330,"AAAAAGvf/Bo=")</f>
        <v>#VALUE!</v>
      </c>
      <c r="AB83" t="e">
        <f>AND(DATA!E330,"AAAAAGvf/Bs=")</f>
        <v>#VALUE!</v>
      </c>
      <c r="AC83" t="e">
        <f>AND(DATA!F330,"AAAAAGvf/Bw=")</f>
        <v>#VALUE!</v>
      </c>
      <c r="AD83" t="e">
        <f>AND(DATA!G330,"AAAAAGvf/B0=")</f>
        <v>#VALUE!</v>
      </c>
      <c r="AE83" t="e">
        <f>AND(DATA!H330,"AAAAAGvf/B4=")</f>
        <v>#VALUE!</v>
      </c>
      <c r="AF83" t="e">
        <f>AND(DATA!I330,"AAAAAGvf/B8=")</f>
        <v>#VALUE!</v>
      </c>
      <c r="AG83" t="e">
        <f>AND(DATA!J330,"AAAAAGvf/CA=")</f>
        <v>#VALUE!</v>
      </c>
      <c r="AH83" t="e">
        <f>AND(DATA!K330,"AAAAAGvf/CE=")</f>
        <v>#VALUE!</v>
      </c>
      <c r="AI83" t="b">
        <f>AND(DATA!L331,"AAAAAGvf/CI=")</f>
        <v>1</v>
      </c>
      <c r="AJ83" t="b">
        <f>AND(DATA!M331,"AAAAAGvf/CM=")</f>
        <v>1</v>
      </c>
      <c r="AK83" t="b">
        <f>AND(DATA!N331,"AAAAAGvf/CQ=")</f>
        <v>1</v>
      </c>
      <c r="AL83" t="b">
        <f>AND(DATA!O331,"AAAAAGvf/CU=")</f>
        <v>1</v>
      </c>
      <c r="AM83" t="b">
        <f>AND(DATA!P331,"AAAAAGvf/CY=")</f>
        <v>1</v>
      </c>
      <c r="AN83" t="b">
        <f>AND(DATA!Q331,"AAAAAGvf/Cc=")</f>
        <v>1</v>
      </c>
      <c r="AO83" t="b">
        <f>AND(DATA!R331,"AAAAAGvf/Cg=")</f>
        <v>1</v>
      </c>
      <c r="AP83" t="b">
        <f>AND(DATA!S331,"AAAAAGvf/Ck=")</f>
        <v>1</v>
      </c>
      <c r="AQ83" t="b">
        <f>AND(DATA!T331,"AAAAAGvf/Co=")</f>
        <v>1</v>
      </c>
      <c r="AR83" t="b">
        <f>AND(DATA!U331,"AAAAAGvf/Cs=")</f>
        <v>1</v>
      </c>
      <c r="AS83" t="b">
        <f>AND(DATA!V331,"AAAAAGvf/Cw=")</f>
        <v>1</v>
      </c>
      <c r="AT83" t="e">
        <f>AND(DATA!W330,"AAAAAGvf/C0=")</f>
        <v>#VALUE!</v>
      </c>
      <c r="AU83" t="e">
        <f>AND(DATA!X330,"AAAAAGvf/C4=")</f>
        <v>#VALUE!</v>
      </c>
      <c r="AV83" t="e">
        <f>AND(DATA!Y330,"AAAAAGvf/C8=")</f>
        <v>#VALUE!</v>
      </c>
      <c r="AW83">
        <f>IF(DATA!331:331,"AAAAAGvf/DA=",0)</f>
        <v>0</v>
      </c>
      <c r="AX83" t="e">
        <f>AND(DATA!A331,"AAAAAGvf/DE=")</f>
        <v>#VALUE!</v>
      </c>
      <c r="AY83" t="e">
        <f>AND(DATA!B331,"AAAAAGvf/DI=")</f>
        <v>#VALUE!</v>
      </c>
      <c r="AZ83" t="e">
        <f>AND(DATA!C331,"AAAAAGvf/DM=")</f>
        <v>#VALUE!</v>
      </c>
      <c r="BA83" t="e">
        <f>AND(DATA!D331,"AAAAAGvf/DQ=")</f>
        <v>#VALUE!</v>
      </c>
      <c r="BB83" t="e">
        <f>AND(DATA!E331,"AAAAAGvf/DU=")</f>
        <v>#VALUE!</v>
      </c>
      <c r="BC83" t="e">
        <f>AND(DATA!F331,"AAAAAGvf/DY=")</f>
        <v>#VALUE!</v>
      </c>
      <c r="BD83" t="e">
        <f>AND(DATA!G331,"AAAAAGvf/Dc=")</f>
        <v>#VALUE!</v>
      </c>
      <c r="BE83" t="e">
        <f>AND(DATA!H331,"AAAAAGvf/Dg=")</f>
        <v>#VALUE!</v>
      </c>
      <c r="BF83" t="e">
        <f>AND(DATA!I331,"AAAAAGvf/Dk=")</f>
        <v>#VALUE!</v>
      </c>
      <c r="BG83" t="e">
        <f>AND(DATA!J331,"AAAAAGvf/Do=")</f>
        <v>#VALUE!</v>
      </c>
      <c r="BH83" t="e">
        <f>AND(DATA!K331,"AAAAAGvf/Ds=")</f>
        <v>#VALUE!</v>
      </c>
      <c r="BI83" t="b">
        <f>AND(DATA!L332,"AAAAAGvf/Dw=")</f>
        <v>1</v>
      </c>
      <c r="BJ83" t="b">
        <f>AND(DATA!M332,"AAAAAGvf/D0=")</f>
        <v>1</v>
      </c>
      <c r="BK83" t="b">
        <f>AND(DATA!N332,"AAAAAGvf/D4=")</f>
        <v>1</v>
      </c>
      <c r="BL83" t="b">
        <f>AND(DATA!O332,"AAAAAGvf/D8=")</f>
        <v>1</v>
      </c>
      <c r="BM83" t="b">
        <f>AND(DATA!P332,"AAAAAGvf/EA=")</f>
        <v>1</v>
      </c>
      <c r="BN83" t="b">
        <f>AND(DATA!Q332,"AAAAAGvf/EE=")</f>
        <v>1</v>
      </c>
      <c r="BO83" t="b">
        <f>AND(DATA!R332,"AAAAAGvf/EI=")</f>
        <v>1</v>
      </c>
      <c r="BP83" t="b">
        <f>AND(DATA!S332,"AAAAAGvf/EM=")</f>
        <v>1</v>
      </c>
      <c r="BQ83" t="b">
        <f>AND(DATA!T332,"AAAAAGvf/EQ=")</f>
        <v>1</v>
      </c>
      <c r="BR83" t="b">
        <f>AND(DATA!U332,"AAAAAGvf/EU=")</f>
        <v>1</v>
      </c>
      <c r="BS83" t="b">
        <f>AND(DATA!V332,"AAAAAGvf/EY=")</f>
        <v>1</v>
      </c>
      <c r="BT83" t="e">
        <f>AND(DATA!W331,"AAAAAGvf/Ec=")</f>
        <v>#VALUE!</v>
      </c>
      <c r="BU83" t="e">
        <f>AND(DATA!X331,"AAAAAGvf/Eg=")</f>
        <v>#VALUE!</v>
      </c>
      <c r="BV83" t="e">
        <f>AND(DATA!Y331,"AAAAAGvf/Ek=")</f>
        <v>#VALUE!</v>
      </c>
      <c r="BW83">
        <f>IF(DATA!332:332,"AAAAAGvf/Eo=",0)</f>
        <v>0</v>
      </c>
      <c r="BX83" t="e">
        <f>AND(DATA!A332,"AAAAAGvf/Es=")</f>
        <v>#VALUE!</v>
      </c>
      <c r="BY83" t="e">
        <f>AND(DATA!B332,"AAAAAGvf/Ew=")</f>
        <v>#VALUE!</v>
      </c>
      <c r="BZ83" t="e">
        <f>AND(DATA!C332,"AAAAAGvf/E0=")</f>
        <v>#VALUE!</v>
      </c>
      <c r="CA83" t="e">
        <f>AND(DATA!D332,"AAAAAGvf/E4=")</f>
        <v>#VALUE!</v>
      </c>
      <c r="CB83" t="e">
        <f>AND(DATA!E332,"AAAAAGvf/E8=")</f>
        <v>#VALUE!</v>
      </c>
      <c r="CC83" t="e">
        <f>AND(DATA!F332,"AAAAAGvf/FA=")</f>
        <v>#VALUE!</v>
      </c>
      <c r="CD83" t="e">
        <f>AND(DATA!G332,"AAAAAGvf/FE=")</f>
        <v>#VALUE!</v>
      </c>
      <c r="CE83" t="e">
        <f>AND(DATA!H332,"AAAAAGvf/FI=")</f>
        <v>#VALUE!</v>
      </c>
      <c r="CF83" t="e">
        <f>AND(DATA!I332,"AAAAAGvf/FM=")</f>
        <v>#VALUE!</v>
      </c>
      <c r="CG83" t="e">
        <f>AND(DATA!J332,"AAAAAGvf/FQ=")</f>
        <v>#VALUE!</v>
      </c>
      <c r="CH83" t="e">
        <f>AND(DATA!K332,"AAAAAGvf/FU=")</f>
        <v>#VALUE!</v>
      </c>
      <c r="CI83" t="b">
        <f>AND(DATA!L333,"AAAAAGvf/FY=")</f>
        <v>1</v>
      </c>
      <c r="CJ83" t="b">
        <f>AND(DATA!M333,"AAAAAGvf/Fc=")</f>
        <v>1</v>
      </c>
      <c r="CK83" t="b">
        <f>AND(DATA!N333,"AAAAAGvf/Fg=")</f>
        <v>1</v>
      </c>
      <c r="CL83" t="b">
        <f>AND(DATA!O333,"AAAAAGvf/Fk=")</f>
        <v>1</v>
      </c>
      <c r="CM83" t="b">
        <f>AND(DATA!P333,"AAAAAGvf/Fo=")</f>
        <v>1</v>
      </c>
      <c r="CN83" t="b">
        <f>AND(DATA!Q333,"AAAAAGvf/Fs=")</f>
        <v>1</v>
      </c>
      <c r="CO83" t="b">
        <f>AND(DATA!R333,"AAAAAGvf/Fw=")</f>
        <v>1</v>
      </c>
      <c r="CP83" t="b">
        <f>AND(DATA!S333,"AAAAAGvf/F0=")</f>
        <v>1</v>
      </c>
      <c r="CQ83" t="b">
        <f>AND(DATA!T333,"AAAAAGvf/F4=")</f>
        <v>1</v>
      </c>
      <c r="CR83" t="b">
        <f>AND(DATA!U333,"AAAAAGvf/F8=")</f>
        <v>1</v>
      </c>
      <c r="CS83" t="b">
        <f>AND(DATA!V333,"AAAAAGvf/GA=")</f>
        <v>1</v>
      </c>
      <c r="CT83" t="e">
        <f>AND(DATA!W332,"AAAAAGvf/GE=")</f>
        <v>#VALUE!</v>
      </c>
      <c r="CU83" t="e">
        <f>AND(DATA!X332,"AAAAAGvf/GI=")</f>
        <v>#VALUE!</v>
      </c>
      <c r="CV83" t="e">
        <f>AND(DATA!Y332,"AAAAAGvf/GM=")</f>
        <v>#VALUE!</v>
      </c>
      <c r="CW83">
        <f>IF(DATA!333:333,"AAAAAGvf/GQ=",0)</f>
        <v>0</v>
      </c>
      <c r="CX83" t="e">
        <f>AND(DATA!A333,"AAAAAGvf/GU=")</f>
        <v>#VALUE!</v>
      </c>
      <c r="CY83" t="e">
        <f>AND(DATA!B333,"AAAAAGvf/GY=")</f>
        <v>#VALUE!</v>
      </c>
      <c r="CZ83" t="e">
        <f>AND(DATA!C333,"AAAAAGvf/Gc=")</f>
        <v>#VALUE!</v>
      </c>
      <c r="DA83" t="e">
        <f>AND(DATA!D333,"AAAAAGvf/Gg=")</f>
        <v>#VALUE!</v>
      </c>
      <c r="DB83" t="e">
        <f>AND(DATA!E333,"AAAAAGvf/Gk=")</f>
        <v>#VALUE!</v>
      </c>
      <c r="DC83" t="e">
        <f>AND(DATA!F333,"AAAAAGvf/Go=")</f>
        <v>#VALUE!</v>
      </c>
      <c r="DD83" t="e">
        <f>AND(DATA!G333,"AAAAAGvf/Gs=")</f>
        <v>#VALUE!</v>
      </c>
      <c r="DE83" t="e">
        <f>AND(DATA!H333,"AAAAAGvf/Gw=")</f>
        <v>#VALUE!</v>
      </c>
      <c r="DF83" t="e">
        <f>AND(DATA!I333,"AAAAAGvf/G0=")</f>
        <v>#VALUE!</v>
      </c>
      <c r="DG83" t="e">
        <f>AND(DATA!J333,"AAAAAGvf/G4=")</f>
        <v>#VALUE!</v>
      </c>
      <c r="DH83" t="e">
        <f>AND(DATA!K333,"AAAAAGvf/G8=")</f>
        <v>#VALUE!</v>
      </c>
      <c r="DI83" t="b">
        <f>AND(DATA!L334,"AAAAAGvf/HA=")</f>
        <v>1</v>
      </c>
      <c r="DJ83" t="b">
        <f>AND(DATA!M334,"AAAAAGvf/HE=")</f>
        <v>1</v>
      </c>
      <c r="DK83" t="b">
        <f>AND(DATA!N334,"AAAAAGvf/HI=")</f>
        <v>1</v>
      </c>
      <c r="DL83" t="b">
        <f>AND(DATA!O334,"AAAAAGvf/HM=")</f>
        <v>1</v>
      </c>
      <c r="DM83" t="b">
        <f>AND(DATA!P334,"AAAAAGvf/HQ=")</f>
        <v>1</v>
      </c>
      <c r="DN83" t="b">
        <f>AND(DATA!Q334,"AAAAAGvf/HU=")</f>
        <v>1</v>
      </c>
      <c r="DO83" t="b">
        <f>AND(DATA!R334,"AAAAAGvf/HY=")</f>
        <v>1</v>
      </c>
      <c r="DP83" t="b">
        <f>AND(DATA!S334,"AAAAAGvf/Hc=")</f>
        <v>1</v>
      </c>
      <c r="DQ83" t="b">
        <f>AND(DATA!T334,"AAAAAGvf/Hg=")</f>
        <v>1</v>
      </c>
      <c r="DR83" t="b">
        <f>AND(DATA!U334,"AAAAAGvf/Hk=")</f>
        <v>1</v>
      </c>
      <c r="DS83" t="b">
        <f>AND(DATA!V334,"AAAAAGvf/Ho=")</f>
        <v>1</v>
      </c>
      <c r="DT83" t="e">
        <f>AND(DATA!W333,"AAAAAGvf/Hs=")</f>
        <v>#VALUE!</v>
      </c>
      <c r="DU83" t="e">
        <f>AND(DATA!X333,"AAAAAGvf/Hw=")</f>
        <v>#VALUE!</v>
      </c>
      <c r="DV83" t="e">
        <f>AND(DATA!Y333,"AAAAAGvf/H0=")</f>
        <v>#VALUE!</v>
      </c>
      <c r="DW83">
        <f>IF(DATA!334:334,"AAAAAGvf/H4=",0)</f>
        <v>0</v>
      </c>
      <c r="DX83" t="e">
        <f>AND(DATA!A334,"AAAAAGvf/H8=")</f>
        <v>#VALUE!</v>
      </c>
      <c r="DY83" t="e">
        <f>AND(DATA!B334,"AAAAAGvf/IA=")</f>
        <v>#VALUE!</v>
      </c>
      <c r="DZ83" t="e">
        <f>AND(DATA!C334,"AAAAAGvf/IE=")</f>
        <v>#VALUE!</v>
      </c>
      <c r="EA83" t="e">
        <f>AND(DATA!D334,"AAAAAGvf/II=")</f>
        <v>#VALUE!</v>
      </c>
      <c r="EB83" t="e">
        <f>AND(DATA!E334,"AAAAAGvf/IM=")</f>
        <v>#VALUE!</v>
      </c>
      <c r="EC83" t="e">
        <f>AND(DATA!F334,"AAAAAGvf/IQ=")</f>
        <v>#VALUE!</v>
      </c>
      <c r="ED83" t="e">
        <f>AND(DATA!G334,"AAAAAGvf/IU=")</f>
        <v>#VALUE!</v>
      </c>
      <c r="EE83" t="e">
        <f>AND(DATA!H334,"AAAAAGvf/IY=")</f>
        <v>#VALUE!</v>
      </c>
      <c r="EF83" t="e">
        <f>AND(DATA!I334,"AAAAAGvf/Ic=")</f>
        <v>#VALUE!</v>
      </c>
      <c r="EG83" t="e">
        <f>AND(DATA!J334,"AAAAAGvf/Ig=")</f>
        <v>#VALUE!</v>
      </c>
      <c r="EH83" t="e">
        <f>AND(DATA!K334,"AAAAAGvf/Ik=")</f>
        <v>#VALUE!</v>
      </c>
      <c r="EI83" t="b">
        <f>AND(DATA!L335,"AAAAAGvf/Io=")</f>
        <v>1</v>
      </c>
      <c r="EJ83" t="b">
        <f>AND(DATA!M335,"AAAAAGvf/Is=")</f>
        <v>1</v>
      </c>
      <c r="EK83" t="b">
        <f>AND(DATA!N335,"AAAAAGvf/Iw=")</f>
        <v>1</v>
      </c>
      <c r="EL83" t="b">
        <f>AND(DATA!O335,"AAAAAGvf/I0=")</f>
        <v>1</v>
      </c>
      <c r="EM83" t="b">
        <f>AND(DATA!P335,"AAAAAGvf/I4=")</f>
        <v>1</v>
      </c>
      <c r="EN83" t="b">
        <f>AND(DATA!Q335,"AAAAAGvf/I8=")</f>
        <v>1</v>
      </c>
      <c r="EO83" t="b">
        <f>AND(DATA!R335,"AAAAAGvf/JA=")</f>
        <v>1</v>
      </c>
      <c r="EP83" t="b">
        <f>AND(DATA!S335,"AAAAAGvf/JE=")</f>
        <v>1</v>
      </c>
      <c r="EQ83" t="b">
        <f>AND(DATA!T335,"AAAAAGvf/JI=")</f>
        <v>1</v>
      </c>
      <c r="ER83" t="b">
        <f>AND(DATA!U335,"AAAAAGvf/JM=")</f>
        <v>1</v>
      </c>
      <c r="ES83" t="b">
        <f>AND(DATA!V335,"AAAAAGvf/JQ=")</f>
        <v>1</v>
      </c>
      <c r="ET83" t="e">
        <f>AND(DATA!W334,"AAAAAGvf/JU=")</f>
        <v>#VALUE!</v>
      </c>
      <c r="EU83" t="e">
        <f>AND(DATA!X334,"AAAAAGvf/JY=")</f>
        <v>#VALUE!</v>
      </c>
      <c r="EV83" t="e">
        <f>AND(DATA!Y334,"AAAAAGvf/Jc=")</f>
        <v>#VALUE!</v>
      </c>
      <c r="EW83">
        <f>IF(DATA!335:335,"AAAAAGvf/Jg=",0)</f>
        <v>0</v>
      </c>
      <c r="EX83" t="e">
        <f>AND(DATA!A335,"AAAAAGvf/Jk=")</f>
        <v>#VALUE!</v>
      </c>
      <c r="EY83" t="e">
        <f>AND(DATA!B335,"AAAAAGvf/Jo=")</f>
        <v>#VALUE!</v>
      </c>
      <c r="EZ83" t="e">
        <f>AND(DATA!C335,"AAAAAGvf/Js=")</f>
        <v>#VALUE!</v>
      </c>
      <c r="FA83" t="e">
        <f>AND(DATA!D335,"AAAAAGvf/Jw=")</f>
        <v>#VALUE!</v>
      </c>
      <c r="FB83" t="e">
        <f>AND(DATA!E335,"AAAAAGvf/J0=")</f>
        <v>#VALUE!</v>
      </c>
      <c r="FC83" t="e">
        <f>AND(DATA!F335,"AAAAAGvf/J4=")</f>
        <v>#VALUE!</v>
      </c>
      <c r="FD83" t="e">
        <f>AND(DATA!G335,"AAAAAGvf/J8=")</f>
        <v>#VALUE!</v>
      </c>
      <c r="FE83" t="e">
        <f>AND(DATA!H335,"AAAAAGvf/KA=")</f>
        <v>#VALUE!</v>
      </c>
      <c r="FF83" t="e">
        <f>AND(DATA!I335,"AAAAAGvf/KE=")</f>
        <v>#VALUE!</v>
      </c>
      <c r="FG83" t="e">
        <f>AND(DATA!J335,"AAAAAGvf/KI=")</f>
        <v>#VALUE!</v>
      </c>
      <c r="FH83" t="e">
        <f>AND(DATA!K335,"AAAAAGvf/KM=")</f>
        <v>#VALUE!</v>
      </c>
      <c r="FI83" t="b">
        <f>AND(DATA!L336,"AAAAAGvf/KQ=")</f>
        <v>1</v>
      </c>
      <c r="FJ83" t="b">
        <f>AND(DATA!M336,"AAAAAGvf/KU=")</f>
        <v>1</v>
      </c>
      <c r="FK83" t="b">
        <f>AND(DATA!N336,"AAAAAGvf/KY=")</f>
        <v>1</v>
      </c>
      <c r="FL83" t="b">
        <f>AND(DATA!O336,"AAAAAGvf/Kc=")</f>
        <v>1</v>
      </c>
      <c r="FM83" t="b">
        <f>AND(DATA!P336,"AAAAAGvf/Kg=")</f>
        <v>1</v>
      </c>
      <c r="FN83" t="b">
        <f>AND(DATA!Q336,"AAAAAGvf/Kk=")</f>
        <v>1</v>
      </c>
      <c r="FO83" t="b">
        <f>AND(DATA!R336,"AAAAAGvf/Ko=")</f>
        <v>1</v>
      </c>
      <c r="FP83" t="b">
        <f>AND(DATA!S336,"AAAAAGvf/Ks=")</f>
        <v>1</v>
      </c>
      <c r="FQ83" t="b">
        <f>AND(DATA!T336,"AAAAAGvf/Kw=")</f>
        <v>1</v>
      </c>
      <c r="FR83" t="b">
        <f>AND(DATA!U336,"AAAAAGvf/K0=")</f>
        <v>1</v>
      </c>
      <c r="FS83" t="b">
        <f>AND(DATA!V336,"AAAAAGvf/K4=")</f>
        <v>1</v>
      </c>
      <c r="FT83" t="e">
        <f>AND(DATA!W335,"AAAAAGvf/K8=")</f>
        <v>#VALUE!</v>
      </c>
      <c r="FU83" t="e">
        <f>AND(DATA!X335,"AAAAAGvf/LA=")</f>
        <v>#VALUE!</v>
      </c>
      <c r="FV83" t="e">
        <f>AND(DATA!Y335,"AAAAAGvf/LE=")</f>
        <v>#VALUE!</v>
      </c>
      <c r="FW83">
        <f>IF(DATA!336:336,"AAAAAGvf/LI=",0)</f>
        <v>0</v>
      </c>
      <c r="FX83" t="e">
        <f>AND(DATA!A336,"AAAAAGvf/LM=")</f>
        <v>#VALUE!</v>
      </c>
      <c r="FY83" t="e">
        <f>AND(DATA!B336,"AAAAAGvf/LQ=")</f>
        <v>#VALUE!</v>
      </c>
      <c r="FZ83" t="e">
        <f>AND(DATA!C336,"AAAAAGvf/LU=")</f>
        <v>#VALUE!</v>
      </c>
      <c r="GA83" t="e">
        <f>AND(DATA!D336,"AAAAAGvf/LY=")</f>
        <v>#VALUE!</v>
      </c>
      <c r="GB83" t="e">
        <f>AND(DATA!E336,"AAAAAGvf/Lc=")</f>
        <v>#VALUE!</v>
      </c>
      <c r="GC83" t="e">
        <f>AND(DATA!F336,"AAAAAGvf/Lg=")</f>
        <v>#VALUE!</v>
      </c>
      <c r="GD83" t="e">
        <f>AND(DATA!G336,"AAAAAGvf/Lk=")</f>
        <v>#VALUE!</v>
      </c>
      <c r="GE83" t="e">
        <f>AND(DATA!H336,"AAAAAGvf/Lo=")</f>
        <v>#VALUE!</v>
      </c>
      <c r="GF83" t="e">
        <f>AND(DATA!I336,"AAAAAGvf/Ls=")</f>
        <v>#VALUE!</v>
      </c>
      <c r="GG83" t="e">
        <f>AND(DATA!J336,"AAAAAGvf/Lw=")</f>
        <v>#VALUE!</v>
      </c>
      <c r="GH83" t="e">
        <f>AND(DATA!K336,"AAAAAGvf/L0=")</f>
        <v>#VALUE!</v>
      </c>
      <c r="GI83" t="b">
        <f>AND(DATA!L337,"AAAAAGvf/L4=")</f>
        <v>1</v>
      </c>
      <c r="GJ83" t="b">
        <f>AND(DATA!M337,"AAAAAGvf/L8=")</f>
        <v>1</v>
      </c>
      <c r="GK83" t="b">
        <f>AND(DATA!N337,"AAAAAGvf/MA=")</f>
        <v>1</v>
      </c>
      <c r="GL83" t="b">
        <f>AND(DATA!O337,"AAAAAGvf/ME=")</f>
        <v>1</v>
      </c>
      <c r="GM83" t="b">
        <f>AND(DATA!P337,"AAAAAGvf/MI=")</f>
        <v>1</v>
      </c>
      <c r="GN83" t="b">
        <f>AND(DATA!Q337,"AAAAAGvf/MM=")</f>
        <v>1</v>
      </c>
      <c r="GO83" t="b">
        <f>AND(DATA!R337,"AAAAAGvf/MQ=")</f>
        <v>1</v>
      </c>
      <c r="GP83" t="b">
        <f>AND(DATA!S337,"AAAAAGvf/MU=")</f>
        <v>1</v>
      </c>
      <c r="GQ83" t="b">
        <f>AND(DATA!T337,"AAAAAGvf/MY=")</f>
        <v>1</v>
      </c>
      <c r="GR83" t="b">
        <f>AND(DATA!U337,"AAAAAGvf/Mc=")</f>
        <v>1</v>
      </c>
      <c r="GS83" t="b">
        <f>AND(DATA!V337,"AAAAAGvf/Mg=")</f>
        <v>1</v>
      </c>
      <c r="GT83" t="e">
        <f>AND(DATA!W336,"AAAAAGvf/Mk=")</f>
        <v>#VALUE!</v>
      </c>
      <c r="GU83" t="e">
        <f>AND(DATA!X336,"AAAAAGvf/Mo=")</f>
        <v>#VALUE!</v>
      </c>
      <c r="GV83" t="e">
        <f>AND(DATA!Y336,"AAAAAGvf/Ms=")</f>
        <v>#VALUE!</v>
      </c>
      <c r="GW83">
        <f>IF(DATA!337:337,"AAAAAGvf/Mw=",0)</f>
        <v>0</v>
      </c>
      <c r="GX83" t="e">
        <f>AND(DATA!A337,"AAAAAGvf/M0=")</f>
        <v>#VALUE!</v>
      </c>
      <c r="GY83" t="e">
        <f>AND(DATA!B337,"AAAAAGvf/M4=")</f>
        <v>#VALUE!</v>
      </c>
      <c r="GZ83" t="e">
        <f>AND(DATA!C337,"AAAAAGvf/M8=")</f>
        <v>#VALUE!</v>
      </c>
      <c r="HA83" t="e">
        <f>AND(DATA!D337,"AAAAAGvf/NA=")</f>
        <v>#VALUE!</v>
      </c>
      <c r="HB83" t="e">
        <f>AND(DATA!E337,"AAAAAGvf/NE=")</f>
        <v>#VALUE!</v>
      </c>
      <c r="HC83" t="e">
        <f>AND(DATA!F337,"AAAAAGvf/NI=")</f>
        <v>#VALUE!</v>
      </c>
      <c r="HD83" t="e">
        <f>AND(DATA!G337,"AAAAAGvf/NM=")</f>
        <v>#VALUE!</v>
      </c>
      <c r="HE83" t="e">
        <f>AND(DATA!H337,"AAAAAGvf/NQ=")</f>
        <v>#VALUE!</v>
      </c>
      <c r="HF83" t="e">
        <f>AND(DATA!I337,"AAAAAGvf/NU=")</f>
        <v>#VALUE!</v>
      </c>
      <c r="HG83" t="e">
        <f>AND(DATA!J337,"AAAAAGvf/NY=")</f>
        <v>#VALUE!</v>
      </c>
      <c r="HH83" t="e">
        <f>AND(DATA!K337,"AAAAAGvf/Nc=")</f>
        <v>#VALUE!</v>
      </c>
      <c r="HI83" t="b">
        <f>AND(DATA!L338,"AAAAAGvf/Ng=")</f>
        <v>1</v>
      </c>
      <c r="HJ83" t="b">
        <f>AND(DATA!M338,"AAAAAGvf/Nk=")</f>
        <v>1</v>
      </c>
      <c r="HK83" t="b">
        <f>AND(DATA!N338,"AAAAAGvf/No=")</f>
        <v>1</v>
      </c>
      <c r="HL83" t="b">
        <f>AND(DATA!O338,"AAAAAGvf/Ns=")</f>
        <v>1</v>
      </c>
      <c r="HM83" t="b">
        <f>AND(DATA!P338,"AAAAAGvf/Nw=")</f>
        <v>1</v>
      </c>
      <c r="HN83" t="b">
        <f>AND(DATA!Q338,"AAAAAGvf/N0=")</f>
        <v>1</v>
      </c>
      <c r="HO83" t="b">
        <f>AND(DATA!R338,"AAAAAGvf/N4=")</f>
        <v>1</v>
      </c>
      <c r="HP83" t="b">
        <f>AND(DATA!S338,"AAAAAGvf/N8=")</f>
        <v>1</v>
      </c>
      <c r="HQ83" t="b">
        <f>AND(DATA!T338,"AAAAAGvf/OA=")</f>
        <v>1</v>
      </c>
      <c r="HR83" t="b">
        <f>AND(DATA!U338,"AAAAAGvf/OE=")</f>
        <v>1</v>
      </c>
      <c r="HS83" t="b">
        <f>AND(DATA!V338,"AAAAAGvf/OI=")</f>
        <v>1</v>
      </c>
      <c r="HT83" t="e">
        <f>AND(DATA!W337,"AAAAAGvf/OM=")</f>
        <v>#VALUE!</v>
      </c>
      <c r="HU83" t="e">
        <f>AND(DATA!X337,"AAAAAGvf/OQ=")</f>
        <v>#VALUE!</v>
      </c>
      <c r="HV83" t="e">
        <f>AND(DATA!Y337,"AAAAAGvf/OU=")</f>
        <v>#VALUE!</v>
      </c>
      <c r="HW83">
        <f>IF(DATA!338:338,"AAAAAGvf/OY=",0)</f>
        <v>0</v>
      </c>
      <c r="HX83" t="e">
        <f>AND(DATA!A338,"AAAAAGvf/Oc=")</f>
        <v>#VALUE!</v>
      </c>
      <c r="HY83" t="e">
        <f>AND(DATA!B338,"AAAAAGvf/Og=")</f>
        <v>#VALUE!</v>
      </c>
      <c r="HZ83" t="e">
        <f>AND(DATA!C338,"AAAAAGvf/Ok=")</f>
        <v>#VALUE!</v>
      </c>
      <c r="IA83" t="e">
        <f>AND(DATA!D338,"AAAAAGvf/Oo=")</f>
        <v>#VALUE!</v>
      </c>
      <c r="IB83" t="e">
        <f>AND(DATA!E338,"AAAAAGvf/Os=")</f>
        <v>#VALUE!</v>
      </c>
      <c r="IC83" t="e">
        <f>AND(DATA!F338,"AAAAAGvf/Ow=")</f>
        <v>#VALUE!</v>
      </c>
      <c r="ID83" t="e">
        <f>AND(DATA!G338,"AAAAAGvf/O0=")</f>
        <v>#VALUE!</v>
      </c>
      <c r="IE83" t="e">
        <f>AND(DATA!H338,"AAAAAGvf/O4=")</f>
        <v>#VALUE!</v>
      </c>
      <c r="IF83" t="e">
        <f>AND(DATA!I338,"AAAAAGvf/O8=")</f>
        <v>#VALUE!</v>
      </c>
      <c r="IG83" t="e">
        <f>AND(DATA!J338,"AAAAAGvf/PA=")</f>
        <v>#VALUE!</v>
      </c>
      <c r="IH83" t="e">
        <f>AND(DATA!K338,"AAAAAGvf/PE=")</f>
        <v>#VALUE!</v>
      </c>
      <c r="II83" t="b">
        <f>AND(DATA!L339,"AAAAAGvf/PI=")</f>
        <v>1</v>
      </c>
      <c r="IJ83" t="b">
        <f>AND(DATA!M339,"AAAAAGvf/PM=")</f>
        <v>1</v>
      </c>
      <c r="IK83" t="b">
        <f>AND(DATA!N339,"AAAAAGvf/PQ=")</f>
        <v>1</v>
      </c>
      <c r="IL83" t="b">
        <f>AND(DATA!O339,"AAAAAGvf/PU=")</f>
        <v>1</v>
      </c>
      <c r="IM83" t="b">
        <f>AND(DATA!P339,"AAAAAGvf/PY=")</f>
        <v>1</v>
      </c>
      <c r="IN83" t="b">
        <f>AND(DATA!Q339,"AAAAAGvf/Pc=")</f>
        <v>1</v>
      </c>
      <c r="IO83" t="b">
        <f>AND(DATA!R339,"AAAAAGvf/Pg=")</f>
        <v>1</v>
      </c>
      <c r="IP83" t="b">
        <f>AND(DATA!S339,"AAAAAGvf/Pk=")</f>
        <v>1</v>
      </c>
      <c r="IQ83" t="b">
        <f>AND(DATA!T339,"AAAAAGvf/Po=")</f>
        <v>1</v>
      </c>
      <c r="IR83" t="b">
        <f>AND(DATA!U339,"AAAAAGvf/Ps=")</f>
        <v>1</v>
      </c>
      <c r="IS83" t="b">
        <f>AND(DATA!V339,"AAAAAGvf/Pw=")</f>
        <v>1</v>
      </c>
      <c r="IT83" t="e">
        <f>AND(DATA!W338,"AAAAAGvf/P0=")</f>
        <v>#VALUE!</v>
      </c>
      <c r="IU83" t="e">
        <f>AND(DATA!X338,"AAAAAGvf/P4=")</f>
        <v>#VALUE!</v>
      </c>
      <c r="IV83" t="e">
        <f>AND(DATA!Y338,"AAAAAGvf/P8=")</f>
        <v>#VALUE!</v>
      </c>
    </row>
    <row r="84" spans="1:256" x14ac:dyDescent="0.25">
      <c r="A84">
        <f>IF(DATA!339:339,"AAAAAD+tOwA=",0)</f>
        <v>0</v>
      </c>
      <c r="B84" t="e">
        <f>AND(DATA!A339,"AAAAAD+tOwE=")</f>
        <v>#VALUE!</v>
      </c>
      <c r="C84" t="e">
        <f>AND(DATA!B339,"AAAAAD+tOwI=")</f>
        <v>#VALUE!</v>
      </c>
      <c r="D84" t="e">
        <f>AND(DATA!C339,"AAAAAD+tOwM=")</f>
        <v>#VALUE!</v>
      </c>
      <c r="E84" t="e">
        <f>AND(DATA!D339,"AAAAAD+tOwQ=")</f>
        <v>#VALUE!</v>
      </c>
      <c r="F84" t="e">
        <f>AND(DATA!E339,"AAAAAD+tOwU=")</f>
        <v>#VALUE!</v>
      </c>
      <c r="G84" t="e">
        <f>AND(DATA!F339,"AAAAAD+tOwY=")</f>
        <v>#VALUE!</v>
      </c>
      <c r="H84" t="e">
        <f>AND(DATA!G339,"AAAAAD+tOwc=")</f>
        <v>#VALUE!</v>
      </c>
      <c r="I84" t="e">
        <f>AND(DATA!H339,"AAAAAD+tOwg=")</f>
        <v>#VALUE!</v>
      </c>
      <c r="J84" t="e">
        <f>AND(DATA!I339,"AAAAAD+tOwk=")</f>
        <v>#VALUE!</v>
      </c>
      <c r="K84" t="e">
        <f>AND(DATA!J339,"AAAAAD+tOwo=")</f>
        <v>#VALUE!</v>
      </c>
      <c r="L84" t="e">
        <f>AND(DATA!K339,"AAAAAD+tOws=")</f>
        <v>#VALUE!</v>
      </c>
      <c r="M84" t="b">
        <f>AND(DATA!L340,"AAAAAD+tOww=")</f>
        <v>1</v>
      </c>
      <c r="N84" t="b">
        <f>AND(DATA!M340,"AAAAAD+tOw0=")</f>
        <v>1</v>
      </c>
      <c r="O84" t="b">
        <f>AND(DATA!N340,"AAAAAD+tOw4=")</f>
        <v>1</v>
      </c>
      <c r="P84" t="b">
        <f>AND(DATA!O340,"AAAAAD+tOw8=")</f>
        <v>1</v>
      </c>
      <c r="Q84" t="b">
        <f>AND(DATA!P340,"AAAAAD+tOxA=")</f>
        <v>1</v>
      </c>
      <c r="R84" t="b">
        <f>AND(DATA!Q340,"AAAAAD+tOxE=")</f>
        <v>1</v>
      </c>
      <c r="S84" t="b">
        <f>AND(DATA!R340,"AAAAAD+tOxI=")</f>
        <v>1</v>
      </c>
      <c r="T84" t="b">
        <f>AND(DATA!S340,"AAAAAD+tOxM=")</f>
        <v>1</v>
      </c>
      <c r="U84" t="b">
        <f>AND(DATA!T340,"AAAAAD+tOxQ=")</f>
        <v>1</v>
      </c>
      <c r="V84" t="b">
        <f>AND(DATA!U340,"AAAAAD+tOxU=")</f>
        <v>1</v>
      </c>
      <c r="W84" t="b">
        <f>AND(DATA!V340,"AAAAAD+tOxY=")</f>
        <v>1</v>
      </c>
      <c r="X84" t="e">
        <f>AND(DATA!W339,"AAAAAD+tOxc=")</f>
        <v>#VALUE!</v>
      </c>
      <c r="Y84" t="e">
        <f>AND(DATA!X339,"AAAAAD+tOxg=")</f>
        <v>#VALUE!</v>
      </c>
      <c r="Z84" t="e">
        <f>AND(DATA!Y339,"AAAAAD+tOxk=")</f>
        <v>#VALUE!</v>
      </c>
      <c r="AA84">
        <f>IF(DATA!340:340,"AAAAAD+tOxo=",0)</f>
        <v>0</v>
      </c>
      <c r="AB84" t="e">
        <f>AND(DATA!A340,"AAAAAD+tOxs=")</f>
        <v>#VALUE!</v>
      </c>
      <c r="AC84" t="e">
        <f>AND(DATA!B340,"AAAAAD+tOxw=")</f>
        <v>#VALUE!</v>
      </c>
      <c r="AD84" t="e">
        <f>AND(DATA!C340,"AAAAAD+tOx0=")</f>
        <v>#VALUE!</v>
      </c>
      <c r="AE84" t="e">
        <f>AND(DATA!D340,"AAAAAD+tOx4=")</f>
        <v>#VALUE!</v>
      </c>
      <c r="AF84" t="e">
        <f>AND(DATA!E340,"AAAAAD+tOx8=")</f>
        <v>#VALUE!</v>
      </c>
      <c r="AG84" t="e">
        <f>AND(DATA!F340,"AAAAAD+tOyA=")</f>
        <v>#VALUE!</v>
      </c>
      <c r="AH84" t="e">
        <f>AND(DATA!G340,"AAAAAD+tOyE=")</f>
        <v>#VALUE!</v>
      </c>
      <c r="AI84" t="e">
        <f>AND(DATA!H340,"AAAAAD+tOyI=")</f>
        <v>#VALUE!</v>
      </c>
      <c r="AJ84" t="e">
        <f>AND(DATA!I340,"AAAAAD+tOyM=")</f>
        <v>#VALUE!</v>
      </c>
      <c r="AK84" t="e">
        <f>AND(DATA!J340,"AAAAAD+tOyQ=")</f>
        <v>#VALUE!</v>
      </c>
      <c r="AL84" t="e">
        <f>AND(DATA!K340,"AAAAAD+tOyU=")</f>
        <v>#VALUE!</v>
      </c>
      <c r="AM84" t="b">
        <f>AND(DATA!L341,"AAAAAD+tOyY=")</f>
        <v>1</v>
      </c>
      <c r="AN84" t="b">
        <f>AND(DATA!M341,"AAAAAD+tOyc=")</f>
        <v>1</v>
      </c>
      <c r="AO84" t="b">
        <f>AND(DATA!N341,"AAAAAD+tOyg=")</f>
        <v>1</v>
      </c>
      <c r="AP84" t="b">
        <f>AND(DATA!O341,"AAAAAD+tOyk=")</f>
        <v>1</v>
      </c>
      <c r="AQ84" t="b">
        <f>AND(DATA!P341,"AAAAAD+tOyo=")</f>
        <v>1</v>
      </c>
      <c r="AR84" t="b">
        <f>AND(DATA!Q341,"AAAAAD+tOys=")</f>
        <v>1</v>
      </c>
      <c r="AS84" t="b">
        <f>AND(DATA!R341,"AAAAAD+tOyw=")</f>
        <v>1</v>
      </c>
      <c r="AT84" t="b">
        <f>AND(DATA!S341,"AAAAAD+tOy0=")</f>
        <v>1</v>
      </c>
      <c r="AU84" t="b">
        <f>AND(DATA!T341,"AAAAAD+tOy4=")</f>
        <v>1</v>
      </c>
      <c r="AV84" t="b">
        <f>AND(DATA!U341,"AAAAAD+tOy8=")</f>
        <v>1</v>
      </c>
      <c r="AW84" t="b">
        <f>AND(DATA!V341,"AAAAAD+tOzA=")</f>
        <v>1</v>
      </c>
      <c r="AX84" t="e">
        <f>AND(DATA!W340,"AAAAAD+tOzE=")</f>
        <v>#VALUE!</v>
      </c>
      <c r="AY84" t="e">
        <f>AND(DATA!X340,"AAAAAD+tOzI=")</f>
        <v>#VALUE!</v>
      </c>
      <c r="AZ84" t="e">
        <f>AND(DATA!Y340,"AAAAAD+tOzM=")</f>
        <v>#VALUE!</v>
      </c>
      <c r="BA84">
        <f>IF(DATA!341:341,"AAAAAD+tOzQ=",0)</f>
        <v>0</v>
      </c>
      <c r="BB84" t="e">
        <f>AND(DATA!A341,"AAAAAD+tOzU=")</f>
        <v>#VALUE!</v>
      </c>
      <c r="BC84" t="e">
        <f>AND(DATA!B341,"AAAAAD+tOzY=")</f>
        <v>#VALUE!</v>
      </c>
      <c r="BD84" t="e">
        <f>AND(DATA!C341,"AAAAAD+tOzc=")</f>
        <v>#VALUE!</v>
      </c>
      <c r="BE84" t="e">
        <f>AND(DATA!D341,"AAAAAD+tOzg=")</f>
        <v>#VALUE!</v>
      </c>
      <c r="BF84" t="e">
        <f>AND(DATA!E341,"AAAAAD+tOzk=")</f>
        <v>#VALUE!</v>
      </c>
      <c r="BG84" t="e">
        <f>AND(DATA!F341,"AAAAAD+tOzo=")</f>
        <v>#VALUE!</v>
      </c>
      <c r="BH84" t="e">
        <f>AND(DATA!G341,"AAAAAD+tOzs=")</f>
        <v>#VALUE!</v>
      </c>
      <c r="BI84" t="e">
        <f>AND(DATA!H341,"AAAAAD+tOzw=")</f>
        <v>#VALUE!</v>
      </c>
      <c r="BJ84" t="e">
        <f>AND(DATA!I341,"AAAAAD+tOz0=")</f>
        <v>#VALUE!</v>
      </c>
      <c r="BK84" t="e">
        <f>AND(DATA!J341,"AAAAAD+tOz4=")</f>
        <v>#VALUE!</v>
      </c>
      <c r="BL84" t="e">
        <f>AND(DATA!K341,"AAAAAD+tOz8=")</f>
        <v>#VALUE!</v>
      </c>
      <c r="BM84" t="b">
        <f>AND(DATA!L342,"AAAAAD+tO0A=")</f>
        <v>1</v>
      </c>
      <c r="BN84" t="b">
        <f>AND(DATA!M342,"AAAAAD+tO0E=")</f>
        <v>1</v>
      </c>
      <c r="BO84" t="b">
        <f>AND(DATA!N342,"AAAAAD+tO0I=")</f>
        <v>1</v>
      </c>
      <c r="BP84" t="b">
        <f>AND(DATA!O342,"AAAAAD+tO0M=")</f>
        <v>1</v>
      </c>
      <c r="BQ84" t="b">
        <f>AND(DATA!P342,"AAAAAD+tO0Q=")</f>
        <v>1</v>
      </c>
      <c r="BR84" t="b">
        <f>AND(DATA!Q342,"AAAAAD+tO0U=")</f>
        <v>1</v>
      </c>
      <c r="BS84" t="b">
        <f>AND(DATA!R342,"AAAAAD+tO0Y=")</f>
        <v>1</v>
      </c>
      <c r="BT84" t="b">
        <f>AND(DATA!S342,"AAAAAD+tO0c=")</f>
        <v>1</v>
      </c>
      <c r="BU84" t="b">
        <f>AND(DATA!T342,"AAAAAD+tO0g=")</f>
        <v>1</v>
      </c>
      <c r="BV84" t="b">
        <f>AND(DATA!U342,"AAAAAD+tO0k=")</f>
        <v>1</v>
      </c>
      <c r="BW84" t="b">
        <f>AND(DATA!V342,"AAAAAD+tO0o=")</f>
        <v>1</v>
      </c>
      <c r="BX84" t="e">
        <f>AND(DATA!W341,"AAAAAD+tO0s=")</f>
        <v>#VALUE!</v>
      </c>
      <c r="BY84" t="e">
        <f>AND(DATA!X341,"AAAAAD+tO0w=")</f>
        <v>#VALUE!</v>
      </c>
      <c r="BZ84" t="e">
        <f>AND(DATA!Y341,"AAAAAD+tO00=")</f>
        <v>#VALUE!</v>
      </c>
      <c r="CA84">
        <f>IF(DATA!342:342,"AAAAAD+tO04=",0)</f>
        <v>0</v>
      </c>
      <c r="CB84" t="e">
        <f>AND(DATA!A342,"AAAAAD+tO08=")</f>
        <v>#VALUE!</v>
      </c>
      <c r="CC84" t="e">
        <f>AND(DATA!B342,"AAAAAD+tO1A=")</f>
        <v>#VALUE!</v>
      </c>
      <c r="CD84" t="e">
        <f>AND(DATA!C342,"AAAAAD+tO1E=")</f>
        <v>#VALUE!</v>
      </c>
      <c r="CE84" t="e">
        <f>AND(DATA!D342,"AAAAAD+tO1I=")</f>
        <v>#VALUE!</v>
      </c>
      <c r="CF84" t="e">
        <f>AND(DATA!E342,"AAAAAD+tO1M=")</f>
        <v>#VALUE!</v>
      </c>
      <c r="CG84" t="e">
        <f>AND(DATA!F342,"AAAAAD+tO1Q=")</f>
        <v>#VALUE!</v>
      </c>
      <c r="CH84" t="e">
        <f>AND(DATA!G342,"AAAAAD+tO1U=")</f>
        <v>#VALUE!</v>
      </c>
      <c r="CI84" t="e">
        <f>AND(DATA!H342,"AAAAAD+tO1Y=")</f>
        <v>#VALUE!</v>
      </c>
      <c r="CJ84" t="e">
        <f>AND(DATA!I342,"AAAAAD+tO1c=")</f>
        <v>#VALUE!</v>
      </c>
      <c r="CK84" t="e">
        <f>AND(DATA!J342,"AAAAAD+tO1g=")</f>
        <v>#VALUE!</v>
      </c>
      <c r="CL84" t="e">
        <f>AND(DATA!K342,"AAAAAD+tO1k=")</f>
        <v>#VALUE!</v>
      </c>
      <c r="CM84" t="b">
        <f>AND(DATA!L343,"AAAAAD+tO1o=")</f>
        <v>1</v>
      </c>
      <c r="CN84" t="b">
        <f>AND(DATA!M343,"AAAAAD+tO1s=")</f>
        <v>1</v>
      </c>
      <c r="CO84" t="b">
        <f>AND(DATA!N343,"AAAAAD+tO1w=")</f>
        <v>1</v>
      </c>
      <c r="CP84" t="b">
        <f>AND(DATA!O343,"AAAAAD+tO10=")</f>
        <v>1</v>
      </c>
      <c r="CQ84" t="b">
        <f>AND(DATA!P343,"AAAAAD+tO14=")</f>
        <v>1</v>
      </c>
      <c r="CR84" t="b">
        <f>AND(DATA!Q343,"AAAAAD+tO18=")</f>
        <v>1</v>
      </c>
      <c r="CS84" t="b">
        <f>AND(DATA!R343,"AAAAAD+tO2A=")</f>
        <v>1</v>
      </c>
      <c r="CT84" t="b">
        <f>AND(DATA!S343,"AAAAAD+tO2E=")</f>
        <v>1</v>
      </c>
      <c r="CU84" t="b">
        <f>AND(DATA!T343,"AAAAAD+tO2I=")</f>
        <v>1</v>
      </c>
      <c r="CV84" t="b">
        <f>AND(DATA!U343,"AAAAAD+tO2M=")</f>
        <v>1</v>
      </c>
      <c r="CW84" t="b">
        <f>AND(DATA!V343,"AAAAAD+tO2Q=")</f>
        <v>1</v>
      </c>
      <c r="CX84" t="e">
        <f>AND(DATA!W342,"AAAAAD+tO2U=")</f>
        <v>#VALUE!</v>
      </c>
      <c r="CY84" t="e">
        <f>AND(DATA!X342,"AAAAAD+tO2Y=")</f>
        <v>#VALUE!</v>
      </c>
      <c r="CZ84" t="e">
        <f>AND(DATA!Y342,"AAAAAD+tO2c=")</f>
        <v>#VALUE!</v>
      </c>
      <c r="DA84">
        <f>IF(DATA!343:343,"AAAAAD+tO2g=",0)</f>
        <v>0</v>
      </c>
      <c r="DB84" t="e">
        <f>AND(DATA!A343,"AAAAAD+tO2k=")</f>
        <v>#VALUE!</v>
      </c>
      <c r="DC84" t="e">
        <f>AND(DATA!B343,"AAAAAD+tO2o=")</f>
        <v>#VALUE!</v>
      </c>
      <c r="DD84" t="e">
        <f>AND(DATA!C343,"AAAAAD+tO2s=")</f>
        <v>#VALUE!</v>
      </c>
      <c r="DE84" t="e">
        <f>AND(DATA!D343,"AAAAAD+tO2w=")</f>
        <v>#VALUE!</v>
      </c>
      <c r="DF84" t="e">
        <f>AND(DATA!E343,"AAAAAD+tO20=")</f>
        <v>#VALUE!</v>
      </c>
      <c r="DG84" t="e">
        <f>AND(DATA!F343,"AAAAAD+tO24=")</f>
        <v>#VALUE!</v>
      </c>
      <c r="DH84" t="e">
        <f>AND(DATA!G343,"AAAAAD+tO28=")</f>
        <v>#VALUE!</v>
      </c>
      <c r="DI84" t="e">
        <f>AND(DATA!H343,"AAAAAD+tO3A=")</f>
        <v>#VALUE!</v>
      </c>
      <c r="DJ84" t="e">
        <f>AND(DATA!I343,"AAAAAD+tO3E=")</f>
        <v>#VALUE!</v>
      </c>
      <c r="DK84" t="e">
        <f>AND(DATA!J343,"AAAAAD+tO3I=")</f>
        <v>#VALUE!</v>
      </c>
      <c r="DL84" t="e">
        <f>AND(DATA!K343,"AAAAAD+tO3M=")</f>
        <v>#VALUE!</v>
      </c>
      <c r="DM84" t="b">
        <f>AND(DATA!L344,"AAAAAD+tO3Q=")</f>
        <v>1</v>
      </c>
      <c r="DN84" t="b">
        <f>AND(DATA!M344,"AAAAAD+tO3U=")</f>
        <v>1</v>
      </c>
      <c r="DO84" t="b">
        <f>AND(DATA!N344,"AAAAAD+tO3Y=")</f>
        <v>1</v>
      </c>
      <c r="DP84" t="b">
        <f>AND(DATA!O344,"AAAAAD+tO3c=")</f>
        <v>1</v>
      </c>
      <c r="DQ84" t="b">
        <f>AND(DATA!P344,"AAAAAD+tO3g=")</f>
        <v>1</v>
      </c>
      <c r="DR84" t="b">
        <f>AND(DATA!Q344,"AAAAAD+tO3k=")</f>
        <v>1</v>
      </c>
      <c r="DS84" t="b">
        <f>AND(DATA!R344,"AAAAAD+tO3o=")</f>
        <v>1</v>
      </c>
      <c r="DT84" t="b">
        <f>AND(DATA!S344,"AAAAAD+tO3s=")</f>
        <v>1</v>
      </c>
      <c r="DU84" t="b">
        <f>AND(DATA!T344,"AAAAAD+tO3w=")</f>
        <v>1</v>
      </c>
      <c r="DV84" t="b">
        <f>AND(DATA!U344,"AAAAAD+tO30=")</f>
        <v>1</v>
      </c>
      <c r="DW84" t="b">
        <f>AND(DATA!V344,"AAAAAD+tO34=")</f>
        <v>1</v>
      </c>
      <c r="DX84" t="e">
        <f>AND(DATA!W343,"AAAAAD+tO38=")</f>
        <v>#VALUE!</v>
      </c>
      <c r="DY84" t="e">
        <f>AND(DATA!X343,"AAAAAD+tO4A=")</f>
        <v>#VALUE!</v>
      </c>
      <c r="DZ84" t="e">
        <f>AND(DATA!Y343,"AAAAAD+tO4E=")</f>
        <v>#VALUE!</v>
      </c>
      <c r="EA84">
        <f>IF(DATA!344:344,"AAAAAD+tO4I=",0)</f>
        <v>0</v>
      </c>
      <c r="EB84" t="e">
        <f>AND(DATA!A344,"AAAAAD+tO4M=")</f>
        <v>#VALUE!</v>
      </c>
      <c r="EC84" t="e">
        <f>AND(DATA!B344,"AAAAAD+tO4Q=")</f>
        <v>#VALUE!</v>
      </c>
      <c r="ED84" t="e">
        <f>AND(DATA!C344,"AAAAAD+tO4U=")</f>
        <v>#VALUE!</v>
      </c>
      <c r="EE84" t="e">
        <f>AND(DATA!D344,"AAAAAD+tO4Y=")</f>
        <v>#VALUE!</v>
      </c>
      <c r="EF84" t="e">
        <f>AND(DATA!E344,"AAAAAD+tO4c=")</f>
        <v>#VALUE!</v>
      </c>
      <c r="EG84" t="e">
        <f>AND(DATA!F344,"AAAAAD+tO4g=")</f>
        <v>#VALUE!</v>
      </c>
      <c r="EH84" t="e">
        <f>AND(DATA!G344,"AAAAAD+tO4k=")</f>
        <v>#VALUE!</v>
      </c>
      <c r="EI84" t="e">
        <f>AND(DATA!H344,"AAAAAD+tO4o=")</f>
        <v>#VALUE!</v>
      </c>
      <c r="EJ84" t="e">
        <f>AND(DATA!I344,"AAAAAD+tO4s=")</f>
        <v>#VALUE!</v>
      </c>
      <c r="EK84" t="e">
        <f>AND(DATA!J344,"AAAAAD+tO4w=")</f>
        <v>#VALUE!</v>
      </c>
      <c r="EL84" t="e">
        <f>AND(DATA!K344,"AAAAAD+tO40=")</f>
        <v>#VALUE!</v>
      </c>
      <c r="EM84" t="b">
        <f>AND(DATA!L345,"AAAAAD+tO44=")</f>
        <v>1</v>
      </c>
      <c r="EN84" t="b">
        <f>AND(DATA!M345,"AAAAAD+tO48=")</f>
        <v>1</v>
      </c>
      <c r="EO84" t="b">
        <f>AND(DATA!N345,"AAAAAD+tO5A=")</f>
        <v>1</v>
      </c>
      <c r="EP84" t="b">
        <f>AND(DATA!O345,"AAAAAD+tO5E=")</f>
        <v>1</v>
      </c>
      <c r="EQ84" t="b">
        <f>AND(DATA!P345,"AAAAAD+tO5I=")</f>
        <v>1</v>
      </c>
      <c r="ER84" t="b">
        <f>AND(DATA!Q345,"AAAAAD+tO5M=")</f>
        <v>1</v>
      </c>
      <c r="ES84" t="b">
        <f>AND(DATA!R345,"AAAAAD+tO5Q=")</f>
        <v>1</v>
      </c>
      <c r="ET84" t="b">
        <f>AND(DATA!S345,"AAAAAD+tO5U=")</f>
        <v>1</v>
      </c>
      <c r="EU84" t="b">
        <f>AND(DATA!T345,"AAAAAD+tO5Y=")</f>
        <v>1</v>
      </c>
      <c r="EV84" t="b">
        <f>AND(DATA!U345,"AAAAAD+tO5c=")</f>
        <v>1</v>
      </c>
      <c r="EW84" t="b">
        <f>AND(DATA!V345,"AAAAAD+tO5g=")</f>
        <v>1</v>
      </c>
      <c r="EX84" t="e">
        <f>AND(DATA!W344,"AAAAAD+tO5k=")</f>
        <v>#VALUE!</v>
      </c>
      <c r="EY84" t="e">
        <f>AND(DATA!X344,"AAAAAD+tO5o=")</f>
        <v>#VALUE!</v>
      </c>
      <c r="EZ84" t="e">
        <f>AND(DATA!Y344,"AAAAAD+tO5s=")</f>
        <v>#VALUE!</v>
      </c>
      <c r="FA84">
        <f>IF(DATA!345:345,"AAAAAD+tO5w=",0)</f>
        <v>0</v>
      </c>
      <c r="FB84" t="e">
        <f>AND(DATA!A345,"AAAAAD+tO50=")</f>
        <v>#VALUE!</v>
      </c>
      <c r="FC84" t="e">
        <f>AND(DATA!B345,"AAAAAD+tO54=")</f>
        <v>#VALUE!</v>
      </c>
      <c r="FD84" t="e">
        <f>AND(DATA!C345,"AAAAAD+tO58=")</f>
        <v>#VALUE!</v>
      </c>
      <c r="FE84" t="e">
        <f>AND(DATA!D345,"AAAAAD+tO6A=")</f>
        <v>#VALUE!</v>
      </c>
      <c r="FF84" t="e">
        <f>AND(DATA!E345,"AAAAAD+tO6E=")</f>
        <v>#VALUE!</v>
      </c>
      <c r="FG84" t="e">
        <f>AND(DATA!F345,"AAAAAD+tO6I=")</f>
        <v>#VALUE!</v>
      </c>
      <c r="FH84" t="e">
        <f>AND(DATA!G345,"AAAAAD+tO6M=")</f>
        <v>#VALUE!</v>
      </c>
      <c r="FI84" t="e">
        <f>AND(DATA!H345,"AAAAAD+tO6Q=")</f>
        <v>#VALUE!</v>
      </c>
      <c r="FJ84" t="e">
        <f>AND(DATA!I345,"AAAAAD+tO6U=")</f>
        <v>#VALUE!</v>
      </c>
      <c r="FK84" t="e">
        <f>AND(DATA!J345,"AAAAAD+tO6Y=")</f>
        <v>#VALUE!</v>
      </c>
      <c r="FL84" t="e">
        <f>AND(DATA!K345,"AAAAAD+tO6c=")</f>
        <v>#VALUE!</v>
      </c>
      <c r="FM84" t="b">
        <f>AND(DATA!L346,"AAAAAD+tO6g=")</f>
        <v>1</v>
      </c>
      <c r="FN84" t="b">
        <f>AND(DATA!M346,"AAAAAD+tO6k=")</f>
        <v>1</v>
      </c>
      <c r="FO84" t="b">
        <f>AND(DATA!N346,"AAAAAD+tO6o=")</f>
        <v>1</v>
      </c>
      <c r="FP84" t="b">
        <f>AND(DATA!O346,"AAAAAD+tO6s=")</f>
        <v>1</v>
      </c>
      <c r="FQ84" t="b">
        <f>AND(DATA!P346,"AAAAAD+tO6w=")</f>
        <v>1</v>
      </c>
      <c r="FR84" t="b">
        <f>AND(DATA!Q346,"AAAAAD+tO60=")</f>
        <v>1</v>
      </c>
      <c r="FS84" t="b">
        <f>AND(DATA!R346,"AAAAAD+tO64=")</f>
        <v>1</v>
      </c>
      <c r="FT84" t="b">
        <f>AND(DATA!S346,"AAAAAD+tO68=")</f>
        <v>1</v>
      </c>
      <c r="FU84" t="b">
        <f>AND(DATA!T346,"AAAAAD+tO7A=")</f>
        <v>1</v>
      </c>
      <c r="FV84" t="b">
        <f>AND(DATA!U346,"AAAAAD+tO7E=")</f>
        <v>1</v>
      </c>
      <c r="FW84" t="b">
        <f>AND(DATA!V346,"AAAAAD+tO7I=")</f>
        <v>1</v>
      </c>
      <c r="FX84" t="e">
        <f>AND(DATA!W345,"AAAAAD+tO7M=")</f>
        <v>#VALUE!</v>
      </c>
      <c r="FY84" t="e">
        <f>AND(DATA!X345,"AAAAAD+tO7Q=")</f>
        <v>#VALUE!</v>
      </c>
      <c r="FZ84" t="e">
        <f>AND(DATA!Y345,"AAAAAD+tO7U=")</f>
        <v>#VALUE!</v>
      </c>
      <c r="GA84">
        <f>IF(DATA!346:346,"AAAAAD+tO7Y=",0)</f>
        <v>0</v>
      </c>
      <c r="GB84" t="e">
        <f>AND(DATA!A346,"AAAAAD+tO7c=")</f>
        <v>#VALUE!</v>
      </c>
      <c r="GC84" t="e">
        <f>AND(DATA!B346,"AAAAAD+tO7g=")</f>
        <v>#VALUE!</v>
      </c>
      <c r="GD84" t="e">
        <f>AND(DATA!C346,"AAAAAD+tO7k=")</f>
        <v>#VALUE!</v>
      </c>
      <c r="GE84" t="e">
        <f>AND(DATA!D346,"AAAAAD+tO7o=")</f>
        <v>#VALUE!</v>
      </c>
      <c r="GF84" t="e">
        <f>AND(DATA!E346,"AAAAAD+tO7s=")</f>
        <v>#VALUE!</v>
      </c>
      <c r="GG84" t="e">
        <f>AND(DATA!F346,"AAAAAD+tO7w=")</f>
        <v>#VALUE!</v>
      </c>
      <c r="GH84" t="e">
        <f>AND(DATA!G346,"AAAAAD+tO70=")</f>
        <v>#VALUE!</v>
      </c>
      <c r="GI84" t="e">
        <f>AND(DATA!H346,"AAAAAD+tO74=")</f>
        <v>#VALUE!</v>
      </c>
      <c r="GJ84" t="e">
        <f>AND(DATA!I346,"AAAAAD+tO78=")</f>
        <v>#VALUE!</v>
      </c>
      <c r="GK84" t="e">
        <f>AND(DATA!J346,"AAAAAD+tO8A=")</f>
        <v>#VALUE!</v>
      </c>
      <c r="GL84" t="e">
        <f>AND(DATA!K346,"AAAAAD+tO8E=")</f>
        <v>#VALUE!</v>
      </c>
      <c r="GM84" t="b">
        <f>AND(DATA!L347,"AAAAAD+tO8I=")</f>
        <v>1</v>
      </c>
      <c r="GN84" t="b">
        <f>AND(DATA!M347,"AAAAAD+tO8M=")</f>
        <v>1</v>
      </c>
      <c r="GO84" t="b">
        <f>AND(DATA!N347,"AAAAAD+tO8Q=")</f>
        <v>1</v>
      </c>
      <c r="GP84" t="b">
        <f>AND(DATA!O347,"AAAAAD+tO8U=")</f>
        <v>1</v>
      </c>
      <c r="GQ84" t="b">
        <f>AND(DATA!P347,"AAAAAD+tO8Y=")</f>
        <v>1</v>
      </c>
      <c r="GR84" t="b">
        <f>AND(DATA!Q347,"AAAAAD+tO8c=")</f>
        <v>1</v>
      </c>
      <c r="GS84" t="b">
        <f>AND(DATA!R347,"AAAAAD+tO8g=")</f>
        <v>1</v>
      </c>
      <c r="GT84" t="b">
        <f>AND(DATA!S347,"AAAAAD+tO8k=")</f>
        <v>1</v>
      </c>
      <c r="GU84" t="b">
        <f>AND(DATA!T347,"AAAAAD+tO8o=")</f>
        <v>1</v>
      </c>
      <c r="GV84" t="b">
        <f>AND(DATA!U347,"AAAAAD+tO8s=")</f>
        <v>1</v>
      </c>
      <c r="GW84" t="b">
        <f>AND(DATA!V347,"AAAAAD+tO8w=")</f>
        <v>1</v>
      </c>
      <c r="GX84" t="e">
        <f>AND(DATA!W346,"AAAAAD+tO80=")</f>
        <v>#VALUE!</v>
      </c>
      <c r="GY84" t="e">
        <f>AND(DATA!X346,"AAAAAD+tO84=")</f>
        <v>#VALUE!</v>
      </c>
      <c r="GZ84" t="e">
        <f>AND(DATA!Y346,"AAAAAD+tO88=")</f>
        <v>#VALUE!</v>
      </c>
      <c r="HA84">
        <f>IF(DATA!347:347,"AAAAAD+tO9A=",0)</f>
        <v>0</v>
      </c>
      <c r="HB84" t="e">
        <f>AND(DATA!A347,"AAAAAD+tO9E=")</f>
        <v>#VALUE!</v>
      </c>
      <c r="HC84" t="e">
        <f>AND(DATA!B347,"AAAAAD+tO9I=")</f>
        <v>#VALUE!</v>
      </c>
      <c r="HD84" t="e">
        <f>AND(DATA!C347,"AAAAAD+tO9M=")</f>
        <v>#VALUE!</v>
      </c>
      <c r="HE84" t="e">
        <f>AND(DATA!D347,"AAAAAD+tO9Q=")</f>
        <v>#VALUE!</v>
      </c>
      <c r="HF84" t="e">
        <f>AND(DATA!E347,"AAAAAD+tO9U=")</f>
        <v>#VALUE!</v>
      </c>
      <c r="HG84" t="e">
        <f>AND(DATA!F347,"AAAAAD+tO9Y=")</f>
        <v>#VALUE!</v>
      </c>
      <c r="HH84" t="e">
        <f>AND(DATA!G347,"AAAAAD+tO9c=")</f>
        <v>#VALUE!</v>
      </c>
      <c r="HI84" t="e">
        <f>AND(DATA!H347,"AAAAAD+tO9g=")</f>
        <v>#VALUE!</v>
      </c>
      <c r="HJ84" t="e">
        <f>AND(DATA!I347,"AAAAAD+tO9k=")</f>
        <v>#VALUE!</v>
      </c>
      <c r="HK84" t="e">
        <f>AND(DATA!J347,"AAAAAD+tO9o=")</f>
        <v>#VALUE!</v>
      </c>
      <c r="HL84" t="e">
        <f>AND(DATA!K347,"AAAAAD+tO9s=")</f>
        <v>#VALUE!</v>
      </c>
      <c r="HM84" t="b">
        <f>AND(DATA!L348,"AAAAAD+tO9w=")</f>
        <v>1</v>
      </c>
      <c r="HN84" t="b">
        <f>AND(DATA!M348,"AAAAAD+tO90=")</f>
        <v>1</v>
      </c>
      <c r="HO84" t="b">
        <f>AND(DATA!N348,"AAAAAD+tO94=")</f>
        <v>1</v>
      </c>
      <c r="HP84" t="b">
        <f>AND(DATA!O348,"AAAAAD+tO98=")</f>
        <v>1</v>
      </c>
      <c r="HQ84" t="b">
        <f>AND(DATA!P348,"AAAAAD+tO+A=")</f>
        <v>1</v>
      </c>
      <c r="HR84" t="b">
        <f>AND(DATA!Q348,"AAAAAD+tO+E=")</f>
        <v>1</v>
      </c>
      <c r="HS84" t="b">
        <f>AND(DATA!R348,"AAAAAD+tO+I=")</f>
        <v>1</v>
      </c>
      <c r="HT84" t="b">
        <f>AND(DATA!S348,"AAAAAD+tO+M=")</f>
        <v>1</v>
      </c>
      <c r="HU84" t="b">
        <f>AND(DATA!T348,"AAAAAD+tO+Q=")</f>
        <v>1</v>
      </c>
      <c r="HV84" t="b">
        <f>AND(DATA!U348,"AAAAAD+tO+U=")</f>
        <v>1</v>
      </c>
      <c r="HW84" t="b">
        <f>AND(DATA!V348,"AAAAAD+tO+Y=")</f>
        <v>1</v>
      </c>
      <c r="HX84" t="e">
        <f>AND(DATA!W347,"AAAAAD+tO+c=")</f>
        <v>#VALUE!</v>
      </c>
      <c r="HY84" t="e">
        <f>AND(DATA!X347,"AAAAAD+tO+g=")</f>
        <v>#VALUE!</v>
      </c>
      <c r="HZ84" t="e">
        <f>AND(DATA!Y347,"AAAAAD+tO+k=")</f>
        <v>#VALUE!</v>
      </c>
      <c r="IA84">
        <f>IF(DATA!348:348,"AAAAAD+tO+o=",0)</f>
        <v>0</v>
      </c>
      <c r="IB84" t="e">
        <f>AND(DATA!A348,"AAAAAD+tO+s=")</f>
        <v>#VALUE!</v>
      </c>
      <c r="IC84" t="e">
        <f>AND(DATA!B348,"AAAAAD+tO+w=")</f>
        <v>#VALUE!</v>
      </c>
      <c r="ID84" t="e">
        <f>AND(DATA!C348,"AAAAAD+tO+0=")</f>
        <v>#VALUE!</v>
      </c>
      <c r="IE84" t="e">
        <f>AND(DATA!D348,"AAAAAD+tO+4=")</f>
        <v>#VALUE!</v>
      </c>
      <c r="IF84" t="e">
        <f>AND(DATA!E348,"AAAAAD+tO+8=")</f>
        <v>#VALUE!</v>
      </c>
      <c r="IG84" t="e">
        <f>AND(DATA!F348,"AAAAAD+tO/A=")</f>
        <v>#VALUE!</v>
      </c>
      <c r="IH84" t="e">
        <f>AND(DATA!G348,"AAAAAD+tO/E=")</f>
        <v>#VALUE!</v>
      </c>
      <c r="II84" t="e">
        <f>AND(DATA!H348,"AAAAAD+tO/I=")</f>
        <v>#VALUE!</v>
      </c>
      <c r="IJ84" t="e">
        <f>AND(DATA!I348,"AAAAAD+tO/M=")</f>
        <v>#VALUE!</v>
      </c>
      <c r="IK84" t="e">
        <f>AND(DATA!J348,"AAAAAD+tO/Q=")</f>
        <v>#VALUE!</v>
      </c>
      <c r="IL84" t="e">
        <f>AND(DATA!K348,"AAAAAD+tO/U=")</f>
        <v>#VALUE!</v>
      </c>
      <c r="IM84" t="b">
        <f>AND(DATA!L349,"AAAAAD+tO/Y=")</f>
        <v>1</v>
      </c>
      <c r="IN84" t="b">
        <f>AND(DATA!M349,"AAAAAD+tO/c=")</f>
        <v>1</v>
      </c>
      <c r="IO84" t="b">
        <f>AND(DATA!N349,"AAAAAD+tO/g=")</f>
        <v>1</v>
      </c>
      <c r="IP84" t="b">
        <f>AND(DATA!O349,"AAAAAD+tO/k=")</f>
        <v>1</v>
      </c>
      <c r="IQ84" t="b">
        <f>AND(DATA!P349,"AAAAAD+tO/o=")</f>
        <v>1</v>
      </c>
      <c r="IR84" t="b">
        <f>AND(DATA!Q349,"AAAAAD+tO/s=")</f>
        <v>1</v>
      </c>
      <c r="IS84" t="b">
        <f>AND(DATA!R349,"AAAAAD+tO/w=")</f>
        <v>1</v>
      </c>
      <c r="IT84" t="b">
        <f>AND(DATA!S349,"AAAAAD+tO/0=")</f>
        <v>1</v>
      </c>
      <c r="IU84" t="b">
        <f>AND(DATA!T349,"AAAAAD+tO/4=")</f>
        <v>1</v>
      </c>
      <c r="IV84" t="b">
        <f>AND(DATA!U349,"AAAAAD+tO/8=")</f>
        <v>1</v>
      </c>
    </row>
    <row r="85" spans="1:256" x14ac:dyDescent="0.25">
      <c r="A85" t="b">
        <f>AND(DATA!V349,"AAAAAH236wA=")</f>
        <v>1</v>
      </c>
      <c r="B85" t="e">
        <f>AND(DATA!W348,"AAAAAH236wE=")</f>
        <v>#VALUE!</v>
      </c>
      <c r="C85" t="e">
        <f>AND(DATA!X348,"AAAAAH236wI=")</f>
        <v>#VALUE!</v>
      </c>
      <c r="D85" t="e">
        <f>AND(DATA!Y348,"AAAAAH236wM=")</f>
        <v>#VALUE!</v>
      </c>
      <c r="E85">
        <f>IF(DATA!349:349,"AAAAAH236wQ=",0)</f>
        <v>0</v>
      </c>
      <c r="F85" t="e">
        <f>AND(DATA!A349,"AAAAAH236wU=")</f>
        <v>#VALUE!</v>
      </c>
      <c r="G85" t="e">
        <f>AND(DATA!B349,"AAAAAH236wY=")</f>
        <v>#VALUE!</v>
      </c>
      <c r="H85" t="e">
        <f>AND(DATA!C349,"AAAAAH236wc=")</f>
        <v>#VALUE!</v>
      </c>
      <c r="I85" t="e">
        <f>AND(DATA!D349,"AAAAAH236wg=")</f>
        <v>#VALUE!</v>
      </c>
      <c r="J85" t="e">
        <f>AND(DATA!E349,"AAAAAH236wk=")</f>
        <v>#VALUE!</v>
      </c>
      <c r="K85" t="e">
        <f>AND(DATA!F349,"AAAAAH236wo=")</f>
        <v>#VALUE!</v>
      </c>
      <c r="L85" t="e">
        <f>AND(DATA!G349,"AAAAAH236ws=")</f>
        <v>#VALUE!</v>
      </c>
      <c r="M85" t="e">
        <f>AND(DATA!H349,"AAAAAH236ww=")</f>
        <v>#VALUE!</v>
      </c>
      <c r="N85" t="e">
        <f>AND(DATA!I349,"AAAAAH236w0=")</f>
        <v>#VALUE!</v>
      </c>
      <c r="O85" t="e">
        <f>AND(DATA!J349,"AAAAAH236w4=")</f>
        <v>#VALUE!</v>
      </c>
      <c r="P85" t="e">
        <f>AND(DATA!K349,"AAAAAH236w8=")</f>
        <v>#VALUE!</v>
      </c>
      <c r="Q85" t="b">
        <f>AND(DATA!L350,"AAAAAH236xA=")</f>
        <v>1</v>
      </c>
      <c r="R85" t="b">
        <f>AND(DATA!M350,"AAAAAH236xE=")</f>
        <v>1</v>
      </c>
      <c r="S85" t="b">
        <f>AND(DATA!N350,"AAAAAH236xI=")</f>
        <v>1</v>
      </c>
      <c r="T85" t="b">
        <f>AND(DATA!O350,"AAAAAH236xM=")</f>
        <v>1</v>
      </c>
      <c r="U85" t="b">
        <f>AND(DATA!P350,"AAAAAH236xQ=")</f>
        <v>1</v>
      </c>
      <c r="V85" t="b">
        <f>AND(DATA!Q350,"AAAAAH236xU=")</f>
        <v>1</v>
      </c>
      <c r="W85" t="b">
        <f>AND(DATA!R350,"AAAAAH236xY=")</f>
        <v>1</v>
      </c>
      <c r="X85" t="b">
        <f>AND(DATA!S350,"AAAAAH236xc=")</f>
        <v>1</v>
      </c>
      <c r="Y85" t="b">
        <f>AND(DATA!T350,"AAAAAH236xg=")</f>
        <v>1</v>
      </c>
      <c r="Z85" t="b">
        <f>AND(DATA!U350,"AAAAAH236xk=")</f>
        <v>1</v>
      </c>
      <c r="AA85" t="b">
        <f>AND(DATA!V350,"AAAAAH236xo=")</f>
        <v>1</v>
      </c>
      <c r="AB85" t="e">
        <f>AND(DATA!W349,"AAAAAH236xs=")</f>
        <v>#VALUE!</v>
      </c>
      <c r="AC85" t="e">
        <f>AND(DATA!X349,"AAAAAH236xw=")</f>
        <v>#VALUE!</v>
      </c>
      <c r="AD85" t="e">
        <f>AND(DATA!Y349,"AAAAAH236x0=")</f>
        <v>#VALUE!</v>
      </c>
      <c r="AE85">
        <f>IF(DATA!350:350,"AAAAAH236x4=",0)</f>
        <v>0</v>
      </c>
      <c r="AF85" t="e">
        <f>AND(DATA!A350,"AAAAAH236x8=")</f>
        <v>#VALUE!</v>
      </c>
      <c r="AG85" t="e">
        <f>AND(DATA!B350,"AAAAAH236yA=")</f>
        <v>#VALUE!</v>
      </c>
      <c r="AH85" t="e">
        <f>AND(DATA!C350,"AAAAAH236yE=")</f>
        <v>#VALUE!</v>
      </c>
      <c r="AI85" t="e">
        <f>AND(DATA!D350,"AAAAAH236yI=")</f>
        <v>#VALUE!</v>
      </c>
      <c r="AJ85" t="e">
        <f>AND(DATA!E350,"AAAAAH236yM=")</f>
        <v>#VALUE!</v>
      </c>
      <c r="AK85" t="e">
        <f>AND(DATA!F350,"AAAAAH236yQ=")</f>
        <v>#VALUE!</v>
      </c>
      <c r="AL85" t="e">
        <f>AND(DATA!G350,"AAAAAH236yU=")</f>
        <v>#VALUE!</v>
      </c>
      <c r="AM85" t="e">
        <f>AND(DATA!H350,"AAAAAH236yY=")</f>
        <v>#VALUE!</v>
      </c>
      <c r="AN85" t="e">
        <f>AND(DATA!I350,"AAAAAH236yc=")</f>
        <v>#VALUE!</v>
      </c>
      <c r="AO85" t="e">
        <f>AND(DATA!J350,"AAAAAH236yg=")</f>
        <v>#VALUE!</v>
      </c>
      <c r="AP85" t="e">
        <f>AND(DATA!K350,"AAAAAH236yk=")</f>
        <v>#VALUE!</v>
      </c>
      <c r="AQ85" t="b">
        <f>AND(DATA!L351,"AAAAAH236yo=")</f>
        <v>1</v>
      </c>
      <c r="AR85" t="b">
        <f>AND(DATA!M351,"AAAAAH236ys=")</f>
        <v>1</v>
      </c>
      <c r="AS85" t="b">
        <f>AND(DATA!N351,"AAAAAH236yw=")</f>
        <v>1</v>
      </c>
      <c r="AT85" t="b">
        <f>AND(DATA!O351,"AAAAAH236y0=")</f>
        <v>1</v>
      </c>
      <c r="AU85" t="b">
        <f>AND(DATA!P351,"AAAAAH236y4=")</f>
        <v>1</v>
      </c>
      <c r="AV85" t="b">
        <f>AND(DATA!Q351,"AAAAAH236y8=")</f>
        <v>1</v>
      </c>
      <c r="AW85" t="b">
        <f>AND(DATA!R351,"AAAAAH236zA=")</f>
        <v>1</v>
      </c>
      <c r="AX85" t="b">
        <f>AND(DATA!S351,"AAAAAH236zE=")</f>
        <v>1</v>
      </c>
      <c r="AY85" t="b">
        <f>AND(DATA!T351,"AAAAAH236zI=")</f>
        <v>1</v>
      </c>
      <c r="AZ85" t="b">
        <f>AND(DATA!U351,"AAAAAH236zM=")</f>
        <v>1</v>
      </c>
      <c r="BA85" t="b">
        <f>AND(DATA!V351,"AAAAAH236zQ=")</f>
        <v>1</v>
      </c>
      <c r="BB85" t="e">
        <f>AND(DATA!W350,"AAAAAH236zU=")</f>
        <v>#VALUE!</v>
      </c>
      <c r="BC85" t="e">
        <f>AND(DATA!X350,"AAAAAH236zY=")</f>
        <v>#VALUE!</v>
      </c>
      <c r="BD85" t="e">
        <f>AND(DATA!Y350,"AAAAAH236zc=")</f>
        <v>#VALUE!</v>
      </c>
      <c r="BE85">
        <f>IF(DATA!351:351,"AAAAAH236zg=",0)</f>
        <v>0</v>
      </c>
      <c r="BF85" t="e">
        <f>AND(DATA!A351,"AAAAAH236zk=")</f>
        <v>#VALUE!</v>
      </c>
      <c r="BG85" t="e">
        <f>AND(DATA!B351,"AAAAAH236zo=")</f>
        <v>#VALUE!</v>
      </c>
      <c r="BH85" t="e">
        <f>AND(DATA!C351,"AAAAAH236zs=")</f>
        <v>#VALUE!</v>
      </c>
      <c r="BI85" t="e">
        <f>AND(DATA!D351,"AAAAAH236zw=")</f>
        <v>#VALUE!</v>
      </c>
      <c r="BJ85" t="e">
        <f>AND(DATA!E351,"AAAAAH236z0=")</f>
        <v>#VALUE!</v>
      </c>
      <c r="BK85" t="e">
        <f>AND(DATA!F351,"AAAAAH236z4=")</f>
        <v>#VALUE!</v>
      </c>
      <c r="BL85" t="e">
        <f>AND(DATA!G351,"AAAAAH236z8=")</f>
        <v>#VALUE!</v>
      </c>
      <c r="BM85" t="e">
        <f>AND(DATA!H351,"AAAAAH2360A=")</f>
        <v>#VALUE!</v>
      </c>
      <c r="BN85" t="e">
        <f>AND(DATA!I351,"AAAAAH2360E=")</f>
        <v>#VALUE!</v>
      </c>
      <c r="BO85" t="e">
        <f>AND(DATA!J351,"AAAAAH2360I=")</f>
        <v>#VALUE!</v>
      </c>
      <c r="BP85" t="e">
        <f>AND(DATA!K351,"AAAAAH2360M=")</f>
        <v>#VALUE!</v>
      </c>
      <c r="BQ85" t="b">
        <f>AND(DATA!L352,"AAAAAH2360Q=")</f>
        <v>1</v>
      </c>
      <c r="BR85" t="b">
        <f>AND(DATA!M352,"AAAAAH2360U=")</f>
        <v>1</v>
      </c>
      <c r="BS85" t="b">
        <f>AND(DATA!N352,"AAAAAH2360Y=")</f>
        <v>1</v>
      </c>
      <c r="BT85" t="b">
        <f>AND(DATA!O352,"AAAAAH2360c=")</f>
        <v>1</v>
      </c>
      <c r="BU85" t="b">
        <f>AND(DATA!P352,"AAAAAH2360g=")</f>
        <v>1</v>
      </c>
      <c r="BV85" t="b">
        <f>AND(DATA!Q352,"AAAAAH2360k=")</f>
        <v>1</v>
      </c>
      <c r="BW85" t="b">
        <f>AND(DATA!R352,"AAAAAH2360o=")</f>
        <v>1</v>
      </c>
      <c r="BX85" t="b">
        <f>AND(DATA!S352,"AAAAAH2360s=")</f>
        <v>1</v>
      </c>
      <c r="BY85" t="b">
        <f>AND(DATA!T352,"AAAAAH2360w=")</f>
        <v>1</v>
      </c>
      <c r="BZ85" t="b">
        <f>AND(DATA!U352,"AAAAAH23600=")</f>
        <v>1</v>
      </c>
      <c r="CA85" t="b">
        <f>AND(DATA!V352,"AAAAAH23604=")</f>
        <v>1</v>
      </c>
      <c r="CB85" t="e">
        <f>AND(DATA!W351,"AAAAAH23608=")</f>
        <v>#VALUE!</v>
      </c>
      <c r="CC85" t="e">
        <f>AND(DATA!X351,"AAAAAH2361A=")</f>
        <v>#VALUE!</v>
      </c>
      <c r="CD85" t="e">
        <f>AND(DATA!Y351,"AAAAAH2361E=")</f>
        <v>#VALUE!</v>
      </c>
      <c r="CE85">
        <f>IF(DATA!352:352,"AAAAAH2361I=",0)</f>
        <v>0</v>
      </c>
      <c r="CF85" t="e">
        <f>AND(DATA!A352,"AAAAAH2361M=")</f>
        <v>#VALUE!</v>
      </c>
      <c r="CG85" t="e">
        <f>AND(DATA!B352,"AAAAAH2361Q=")</f>
        <v>#VALUE!</v>
      </c>
      <c r="CH85" t="e">
        <f>AND(DATA!C352,"AAAAAH2361U=")</f>
        <v>#VALUE!</v>
      </c>
      <c r="CI85" t="e">
        <f>AND(DATA!D352,"AAAAAH2361Y=")</f>
        <v>#VALUE!</v>
      </c>
      <c r="CJ85" t="e">
        <f>AND(DATA!E352,"AAAAAH2361c=")</f>
        <v>#VALUE!</v>
      </c>
      <c r="CK85" t="e">
        <f>AND(DATA!F352,"AAAAAH2361g=")</f>
        <v>#VALUE!</v>
      </c>
      <c r="CL85" t="e">
        <f>AND(DATA!G352,"AAAAAH2361k=")</f>
        <v>#VALUE!</v>
      </c>
      <c r="CM85" t="e">
        <f>AND(DATA!H352,"AAAAAH2361o=")</f>
        <v>#VALUE!</v>
      </c>
      <c r="CN85" t="e">
        <f>AND(DATA!I352,"AAAAAH2361s=")</f>
        <v>#VALUE!</v>
      </c>
      <c r="CO85" t="e">
        <f>AND(DATA!J352,"AAAAAH2361w=")</f>
        <v>#VALUE!</v>
      </c>
      <c r="CP85" t="e">
        <f>AND(DATA!K352,"AAAAAH23610=")</f>
        <v>#VALUE!</v>
      </c>
      <c r="CQ85" t="b">
        <f>AND(DATA!L353,"AAAAAH23614=")</f>
        <v>1</v>
      </c>
      <c r="CR85" t="b">
        <f>AND(DATA!M353,"AAAAAH23618=")</f>
        <v>1</v>
      </c>
      <c r="CS85" t="b">
        <f>AND(DATA!N353,"AAAAAH2362A=")</f>
        <v>1</v>
      </c>
      <c r="CT85" t="b">
        <f>AND(DATA!O353,"AAAAAH2362E=")</f>
        <v>1</v>
      </c>
      <c r="CU85" t="b">
        <f>AND(DATA!P353,"AAAAAH2362I=")</f>
        <v>1</v>
      </c>
      <c r="CV85" t="b">
        <f>AND(DATA!Q353,"AAAAAH2362M=")</f>
        <v>1</v>
      </c>
      <c r="CW85" t="b">
        <f>AND(DATA!R353,"AAAAAH2362Q=")</f>
        <v>1</v>
      </c>
      <c r="CX85" t="b">
        <f>AND(DATA!S353,"AAAAAH2362U=")</f>
        <v>1</v>
      </c>
      <c r="CY85" t="b">
        <f>AND(DATA!T353,"AAAAAH2362Y=")</f>
        <v>1</v>
      </c>
      <c r="CZ85" t="b">
        <f>AND(DATA!U353,"AAAAAH2362c=")</f>
        <v>1</v>
      </c>
      <c r="DA85" t="b">
        <f>AND(DATA!V353,"AAAAAH2362g=")</f>
        <v>1</v>
      </c>
      <c r="DB85" t="e">
        <f>AND(DATA!W352,"AAAAAH2362k=")</f>
        <v>#VALUE!</v>
      </c>
      <c r="DC85" t="e">
        <f>AND(DATA!X352,"AAAAAH2362o=")</f>
        <v>#VALUE!</v>
      </c>
      <c r="DD85" t="e">
        <f>AND(DATA!Y352,"AAAAAH2362s=")</f>
        <v>#VALUE!</v>
      </c>
      <c r="DE85">
        <f>IF(DATA!353:353,"AAAAAH2362w=",0)</f>
        <v>0</v>
      </c>
      <c r="DF85" t="e">
        <f>AND(DATA!A353,"AAAAAH23620=")</f>
        <v>#VALUE!</v>
      </c>
      <c r="DG85" t="e">
        <f>AND(DATA!B353,"AAAAAH23624=")</f>
        <v>#VALUE!</v>
      </c>
      <c r="DH85" t="e">
        <f>AND(DATA!C353,"AAAAAH23628=")</f>
        <v>#VALUE!</v>
      </c>
      <c r="DI85" t="e">
        <f>AND(DATA!D353,"AAAAAH2363A=")</f>
        <v>#VALUE!</v>
      </c>
      <c r="DJ85" t="e">
        <f>AND(DATA!E353,"AAAAAH2363E=")</f>
        <v>#VALUE!</v>
      </c>
      <c r="DK85" t="e">
        <f>AND(DATA!F353,"AAAAAH2363I=")</f>
        <v>#VALUE!</v>
      </c>
      <c r="DL85" t="e">
        <f>AND(DATA!G353,"AAAAAH2363M=")</f>
        <v>#VALUE!</v>
      </c>
      <c r="DM85" t="e">
        <f>AND(DATA!H353,"AAAAAH2363Q=")</f>
        <v>#VALUE!</v>
      </c>
      <c r="DN85" t="e">
        <f>AND(DATA!I353,"AAAAAH2363U=")</f>
        <v>#VALUE!</v>
      </c>
      <c r="DO85" t="e">
        <f>AND(DATA!J353,"AAAAAH2363Y=")</f>
        <v>#VALUE!</v>
      </c>
      <c r="DP85" t="e">
        <f>AND(DATA!K353,"AAAAAH2363c=")</f>
        <v>#VALUE!</v>
      </c>
      <c r="DQ85" t="b">
        <f>AND(DATA!L354,"AAAAAH2363g=")</f>
        <v>1</v>
      </c>
      <c r="DR85" t="b">
        <f>AND(DATA!M354,"AAAAAH2363k=")</f>
        <v>1</v>
      </c>
      <c r="DS85" t="b">
        <f>AND(DATA!N354,"AAAAAH2363o=")</f>
        <v>1</v>
      </c>
      <c r="DT85" t="b">
        <f>AND(DATA!O354,"AAAAAH2363s=")</f>
        <v>1</v>
      </c>
      <c r="DU85" t="b">
        <f>AND(DATA!P354,"AAAAAH2363w=")</f>
        <v>1</v>
      </c>
      <c r="DV85" t="b">
        <f>AND(DATA!Q354,"AAAAAH23630=")</f>
        <v>1</v>
      </c>
      <c r="DW85" t="b">
        <f>AND(DATA!R354,"AAAAAH23634=")</f>
        <v>1</v>
      </c>
      <c r="DX85" t="b">
        <f>AND(DATA!S354,"AAAAAH23638=")</f>
        <v>1</v>
      </c>
      <c r="DY85" t="b">
        <f>AND(DATA!T354,"AAAAAH2364A=")</f>
        <v>1</v>
      </c>
      <c r="DZ85" t="b">
        <f>AND(DATA!U354,"AAAAAH2364E=")</f>
        <v>1</v>
      </c>
      <c r="EA85" t="b">
        <f>AND(DATA!V354,"AAAAAH2364I=")</f>
        <v>1</v>
      </c>
      <c r="EB85" t="e">
        <f>AND(DATA!W353,"AAAAAH2364M=")</f>
        <v>#VALUE!</v>
      </c>
      <c r="EC85" t="e">
        <f>AND(DATA!X353,"AAAAAH2364Q=")</f>
        <v>#VALUE!</v>
      </c>
      <c r="ED85" t="e">
        <f>AND(DATA!Y353,"AAAAAH2364U=")</f>
        <v>#VALUE!</v>
      </c>
      <c r="EE85">
        <f>IF(DATA!354:354,"AAAAAH2364Y=",0)</f>
        <v>0</v>
      </c>
      <c r="EF85" t="e">
        <f>AND(DATA!A354,"AAAAAH2364c=")</f>
        <v>#VALUE!</v>
      </c>
      <c r="EG85" t="e">
        <f>AND(DATA!B354,"AAAAAH2364g=")</f>
        <v>#VALUE!</v>
      </c>
      <c r="EH85" t="e">
        <f>AND(DATA!C354,"AAAAAH2364k=")</f>
        <v>#VALUE!</v>
      </c>
      <c r="EI85" t="e">
        <f>AND(DATA!D354,"AAAAAH2364o=")</f>
        <v>#VALUE!</v>
      </c>
      <c r="EJ85" t="e">
        <f>AND(DATA!E354,"AAAAAH2364s=")</f>
        <v>#VALUE!</v>
      </c>
      <c r="EK85" t="e">
        <f>AND(DATA!F354,"AAAAAH2364w=")</f>
        <v>#VALUE!</v>
      </c>
      <c r="EL85" t="e">
        <f>AND(DATA!G354,"AAAAAH23640=")</f>
        <v>#VALUE!</v>
      </c>
      <c r="EM85" t="e">
        <f>AND(DATA!H354,"AAAAAH23644=")</f>
        <v>#VALUE!</v>
      </c>
      <c r="EN85" t="e">
        <f>AND(DATA!I354,"AAAAAH23648=")</f>
        <v>#VALUE!</v>
      </c>
      <c r="EO85" t="e">
        <f>AND(DATA!J354,"AAAAAH2365A=")</f>
        <v>#VALUE!</v>
      </c>
      <c r="EP85" t="e">
        <f>AND(DATA!K354,"AAAAAH2365E=")</f>
        <v>#VALUE!</v>
      </c>
      <c r="EQ85" t="b">
        <f>AND(DATA!L355,"AAAAAH2365I=")</f>
        <v>1</v>
      </c>
      <c r="ER85" t="b">
        <f>AND(DATA!M355,"AAAAAH2365M=")</f>
        <v>1</v>
      </c>
      <c r="ES85" t="b">
        <f>AND(DATA!N355,"AAAAAH2365Q=")</f>
        <v>1</v>
      </c>
      <c r="ET85" t="b">
        <f>AND(DATA!O355,"AAAAAH2365U=")</f>
        <v>1</v>
      </c>
      <c r="EU85" t="b">
        <f>AND(DATA!P355,"AAAAAH2365Y=")</f>
        <v>1</v>
      </c>
      <c r="EV85" t="b">
        <f>AND(DATA!Q355,"AAAAAH2365c=")</f>
        <v>1</v>
      </c>
      <c r="EW85" t="b">
        <f>AND(DATA!R355,"AAAAAH2365g=")</f>
        <v>1</v>
      </c>
      <c r="EX85" t="b">
        <f>AND(DATA!S355,"AAAAAH2365k=")</f>
        <v>1</v>
      </c>
      <c r="EY85" t="b">
        <f>AND(DATA!T355,"AAAAAH2365o=")</f>
        <v>1</v>
      </c>
      <c r="EZ85" t="b">
        <f>AND(DATA!U355,"AAAAAH2365s=")</f>
        <v>1</v>
      </c>
      <c r="FA85" t="b">
        <f>AND(DATA!V355,"AAAAAH2365w=")</f>
        <v>1</v>
      </c>
      <c r="FB85" t="e">
        <f>AND(DATA!W354,"AAAAAH23650=")</f>
        <v>#VALUE!</v>
      </c>
      <c r="FC85" t="e">
        <f>AND(DATA!X354,"AAAAAH23654=")</f>
        <v>#VALUE!</v>
      </c>
      <c r="FD85" t="e">
        <f>AND(DATA!Y354,"AAAAAH23658=")</f>
        <v>#VALUE!</v>
      </c>
      <c r="FE85">
        <f>IF(DATA!355:355,"AAAAAH2366A=",0)</f>
        <v>0</v>
      </c>
      <c r="FF85" t="e">
        <f>AND(DATA!A355,"AAAAAH2366E=")</f>
        <v>#VALUE!</v>
      </c>
      <c r="FG85" t="e">
        <f>AND(DATA!B355,"AAAAAH2366I=")</f>
        <v>#VALUE!</v>
      </c>
      <c r="FH85" t="e">
        <f>AND(DATA!C355,"AAAAAH2366M=")</f>
        <v>#VALUE!</v>
      </c>
      <c r="FI85" t="e">
        <f>AND(DATA!D355,"AAAAAH2366Q=")</f>
        <v>#VALUE!</v>
      </c>
      <c r="FJ85" t="e">
        <f>AND(DATA!E355,"AAAAAH2366U=")</f>
        <v>#VALUE!</v>
      </c>
      <c r="FK85" t="e">
        <f>AND(DATA!F355,"AAAAAH2366Y=")</f>
        <v>#VALUE!</v>
      </c>
      <c r="FL85" t="e">
        <f>AND(DATA!G355,"AAAAAH2366c=")</f>
        <v>#VALUE!</v>
      </c>
      <c r="FM85" t="e">
        <f>AND(DATA!H355,"AAAAAH2366g=")</f>
        <v>#VALUE!</v>
      </c>
      <c r="FN85" t="e">
        <f>AND(DATA!I355,"AAAAAH2366k=")</f>
        <v>#VALUE!</v>
      </c>
      <c r="FO85" t="e">
        <f>AND(DATA!J355,"AAAAAH2366o=")</f>
        <v>#VALUE!</v>
      </c>
      <c r="FP85" t="e">
        <f>AND(DATA!K355,"AAAAAH2366s=")</f>
        <v>#VALUE!</v>
      </c>
      <c r="FQ85" t="b">
        <f>AND(DATA!L356,"AAAAAH2366w=")</f>
        <v>1</v>
      </c>
      <c r="FR85" t="b">
        <f>AND(DATA!M356,"AAAAAH23660=")</f>
        <v>1</v>
      </c>
      <c r="FS85" t="b">
        <f>AND(DATA!N356,"AAAAAH23664=")</f>
        <v>1</v>
      </c>
      <c r="FT85" t="b">
        <f>AND(DATA!O356,"AAAAAH23668=")</f>
        <v>1</v>
      </c>
      <c r="FU85" t="b">
        <f>AND(DATA!P356,"AAAAAH2367A=")</f>
        <v>1</v>
      </c>
      <c r="FV85" t="b">
        <f>AND(DATA!Q356,"AAAAAH2367E=")</f>
        <v>1</v>
      </c>
      <c r="FW85" t="b">
        <f>AND(DATA!R356,"AAAAAH2367I=")</f>
        <v>1</v>
      </c>
      <c r="FX85" t="b">
        <f>AND(DATA!S356,"AAAAAH2367M=")</f>
        <v>1</v>
      </c>
      <c r="FY85" t="b">
        <f>AND(DATA!T356,"AAAAAH2367Q=")</f>
        <v>1</v>
      </c>
      <c r="FZ85" t="b">
        <f>AND(DATA!U356,"AAAAAH2367U=")</f>
        <v>1</v>
      </c>
      <c r="GA85" t="b">
        <f>AND(DATA!V356,"AAAAAH2367Y=")</f>
        <v>1</v>
      </c>
      <c r="GB85" t="e">
        <f>AND(DATA!W355,"AAAAAH2367c=")</f>
        <v>#VALUE!</v>
      </c>
      <c r="GC85" t="e">
        <f>AND(DATA!X355,"AAAAAH2367g=")</f>
        <v>#VALUE!</v>
      </c>
      <c r="GD85" t="e">
        <f>AND(DATA!Y355,"AAAAAH2367k=")</f>
        <v>#VALUE!</v>
      </c>
      <c r="GE85">
        <f>IF(DATA!356:356,"AAAAAH2367o=",0)</f>
        <v>0</v>
      </c>
      <c r="GF85" t="e">
        <f>AND(DATA!A356,"AAAAAH2367s=")</f>
        <v>#VALUE!</v>
      </c>
      <c r="GG85" t="e">
        <f>AND(DATA!B356,"AAAAAH2367w=")</f>
        <v>#VALUE!</v>
      </c>
      <c r="GH85" t="e">
        <f>AND(DATA!C356,"AAAAAH23670=")</f>
        <v>#VALUE!</v>
      </c>
      <c r="GI85" t="e">
        <f>AND(DATA!D356,"AAAAAH23674=")</f>
        <v>#VALUE!</v>
      </c>
      <c r="GJ85" t="e">
        <f>AND(DATA!E356,"AAAAAH23678=")</f>
        <v>#VALUE!</v>
      </c>
      <c r="GK85" t="e">
        <f>AND(DATA!F356,"AAAAAH2368A=")</f>
        <v>#VALUE!</v>
      </c>
      <c r="GL85" t="e">
        <f>AND(DATA!G356,"AAAAAH2368E=")</f>
        <v>#VALUE!</v>
      </c>
      <c r="GM85" t="e">
        <f>AND(DATA!H356,"AAAAAH2368I=")</f>
        <v>#VALUE!</v>
      </c>
      <c r="GN85" t="e">
        <f>AND(DATA!I356,"AAAAAH2368M=")</f>
        <v>#VALUE!</v>
      </c>
      <c r="GO85" t="e">
        <f>AND(DATA!J356,"AAAAAH2368Q=")</f>
        <v>#VALUE!</v>
      </c>
      <c r="GP85" t="e">
        <f>AND(DATA!K356,"AAAAAH2368U=")</f>
        <v>#VALUE!</v>
      </c>
      <c r="GQ85" t="b">
        <f>AND(DATA!L357,"AAAAAH2368Y=")</f>
        <v>1</v>
      </c>
      <c r="GR85" t="b">
        <f>AND(DATA!M357,"AAAAAH2368c=")</f>
        <v>1</v>
      </c>
      <c r="GS85" t="b">
        <f>AND(DATA!N357,"AAAAAH2368g=")</f>
        <v>1</v>
      </c>
      <c r="GT85" t="b">
        <f>AND(DATA!O357,"AAAAAH2368k=")</f>
        <v>1</v>
      </c>
      <c r="GU85" t="b">
        <f>AND(DATA!P357,"AAAAAH2368o=")</f>
        <v>1</v>
      </c>
      <c r="GV85" t="b">
        <f>AND(DATA!Q357,"AAAAAH2368s=")</f>
        <v>1</v>
      </c>
      <c r="GW85" t="b">
        <f>AND(DATA!R357,"AAAAAH2368w=")</f>
        <v>1</v>
      </c>
      <c r="GX85" t="b">
        <f>AND(DATA!S357,"AAAAAH23680=")</f>
        <v>1</v>
      </c>
      <c r="GY85" t="b">
        <f>AND(DATA!T357,"AAAAAH23684=")</f>
        <v>1</v>
      </c>
      <c r="GZ85" t="b">
        <f>AND(DATA!U357,"AAAAAH23688=")</f>
        <v>1</v>
      </c>
      <c r="HA85" t="b">
        <f>AND(DATA!V357,"AAAAAH2369A=")</f>
        <v>1</v>
      </c>
      <c r="HB85" t="e">
        <f>AND(DATA!W356,"AAAAAH2369E=")</f>
        <v>#VALUE!</v>
      </c>
      <c r="HC85" t="e">
        <f>AND(DATA!X356,"AAAAAH2369I=")</f>
        <v>#VALUE!</v>
      </c>
      <c r="HD85" t="e">
        <f>AND(DATA!Y356,"AAAAAH2369M=")</f>
        <v>#VALUE!</v>
      </c>
      <c r="HE85">
        <f>IF(DATA!357:357,"AAAAAH2369Q=",0)</f>
        <v>0</v>
      </c>
      <c r="HF85" t="e">
        <f>AND(DATA!A357,"AAAAAH2369U=")</f>
        <v>#VALUE!</v>
      </c>
      <c r="HG85" t="e">
        <f>AND(DATA!B357,"AAAAAH2369Y=")</f>
        <v>#VALUE!</v>
      </c>
      <c r="HH85" t="e">
        <f>AND(DATA!C357,"AAAAAH2369c=")</f>
        <v>#VALUE!</v>
      </c>
      <c r="HI85" t="e">
        <f>AND(DATA!D357,"AAAAAH2369g=")</f>
        <v>#VALUE!</v>
      </c>
      <c r="HJ85" t="e">
        <f>AND(DATA!E357,"AAAAAH2369k=")</f>
        <v>#VALUE!</v>
      </c>
      <c r="HK85" t="e">
        <f>AND(DATA!F357,"AAAAAH2369o=")</f>
        <v>#VALUE!</v>
      </c>
      <c r="HL85" t="e">
        <f>AND(DATA!G357,"AAAAAH2369s=")</f>
        <v>#VALUE!</v>
      </c>
      <c r="HM85" t="e">
        <f>AND(DATA!H357,"AAAAAH2369w=")</f>
        <v>#VALUE!</v>
      </c>
      <c r="HN85" t="e">
        <f>AND(DATA!I357,"AAAAAH23690=")</f>
        <v>#VALUE!</v>
      </c>
      <c r="HO85" t="e">
        <f>AND(DATA!J357,"AAAAAH23694=")</f>
        <v>#VALUE!</v>
      </c>
      <c r="HP85" t="e">
        <f>AND(DATA!K357,"AAAAAH23698=")</f>
        <v>#VALUE!</v>
      </c>
      <c r="HQ85" t="b">
        <f>AND(DATA!L358,"AAAAAH236+A=")</f>
        <v>1</v>
      </c>
      <c r="HR85" t="b">
        <f>AND(DATA!M358,"AAAAAH236+E=")</f>
        <v>1</v>
      </c>
      <c r="HS85" t="b">
        <f>AND(DATA!N358,"AAAAAH236+I=")</f>
        <v>1</v>
      </c>
      <c r="HT85" t="b">
        <f>AND(DATA!O358,"AAAAAH236+M=")</f>
        <v>1</v>
      </c>
      <c r="HU85" t="b">
        <f>AND(DATA!P358,"AAAAAH236+Q=")</f>
        <v>1</v>
      </c>
      <c r="HV85" t="b">
        <f>AND(DATA!Q358,"AAAAAH236+U=")</f>
        <v>1</v>
      </c>
      <c r="HW85" t="b">
        <f>AND(DATA!R358,"AAAAAH236+Y=")</f>
        <v>1</v>
      </c>
      <c r="HX85" t="b">
        <f>AND(DATA!S358,"AAAAAH236+c=")</f>
        <v>1</v>
      </c>
      <c r="HY85" t="b">
        <f>AND(DATA!T358,"AAAAAH236+g=")</f>
        <v>1</v>
      </c>
      <c r="HZ85" t="b">
        <f>AND(DATA!U358,"AAAAAH236+k=")</f>
        <v>1</v>
      </c>
      <c r="IA85" t="b">
        <f>AND(DATA!V358,"AAAAAH236+o=")</f>
        <v>1</v>
      </c>
      <c r="IB85" t="e">
        <f>AND(DATA!W357,"AAAAAH236+s=")</f>
        <v>#VALUE!</v>
      </c>
      <c r="IC85" t="e">
        <f>AND(DATA!X357,"AAAAAH236+w=")</f>
        <v>#VALUE!</v>
      </c>
      <c r="ID85" t="e">
        <f>AND(DATA!Y357,"AAAAAH236+0=")</f>
        <v>#VALUE!</v>
      </c>
      <c r="IE85">
        <f>IF(DATA!358:358,"AAAAAH236+4=",0)</f>
        <v>0</v>
      </c>
      <c r="IF85" t="e">
        <f>AND(DATA!A358,"AAAAAH236+8=")</f>
        <v>#VALUE!</v>
      </c>
      <c r="IG85" t="e">
        <f>AND(DATA!B358,"AAAAAH236/A=")</f>
        <v>#VALUE!</v>
      </c>
      <c r="IH85" t="e">
        <f>AND(DATA!C358,"AAAAAH236/E=")</f>
        <v>#VALUE!</v>
      </c>
      <c r="II85" t="e">
        <f>AND(DATA!D358,"AAAAAH236/I=")</f>
        <v>#VALUE!</v>
      </c>
      <c r="IJ85" t="e">
        <f>AND(DATA!E358,"AAAAAH236/M=")</f>
        <v>#VALUE!</v>
      </c>
      <c r="IK85" t="e">
        <f>AND(DATA!F358,"AAAAAH236/Q=")</f>
        <v>#VALUE!</v>
      </c>
      <c r="IL85" t="e">
        <f>AND(DATA!G358,"AAAAAH236/U=")</f>
        <v>#VALUE!</v>
      </c>
      <c r="IM85" t="e">
        <f>AND(DATA!H358,"AAAAAH236/Y=")</f>
        <v>#VALUE!</v>
      </c>
      <c r="IN85" t="e">
        <f>AND(DATA!I358,"AAAAAH236/c=")</f>
        <v>#VALUE!</v>
      </c>
      <c r="IO85" t="e">
        <f>AND(DATA!J358,"AAAAAH236/g=")</f>
        <v>#VALUE!</v>
      </c>
      <c r="IP85" t="e">
        <f>AND(DATA!K358,"AAAAAH236/k=")</f>
        <v>#VALUE!</v>
      </c>
      <c r="IQ85" t="b">
        <f>AND(DATA!L359,"AAAAAH236/o=")</f>
        <v>1</v>
      </c>
      <c r="IR85" t="b">
        <f>AND(DATA!M359,"AAAAAH236/s=")</f>
        <v>1</v>
      </c>
      <c r="IS85" t="b">
        <f>AND(DATA!N359,"AAAAAH236/w=")</f>
        <v>1</v>
      </c>
      <c r="IT85" t="b">
        <f>AND(DATA!O359,"AAAAAH236/0=")</f>
        <v>1</v>
      </c>
      <c r="IU85" t="b">
        <f>AND(DATA!P359,"AAAAAH236/4=")</f>
        <v>1</v>
      </c>
      <c r="IV85" t="b">
        <f>AND(DATA!Q359,"AAAAAH236/8=")</f>
        <v>1</v>
      </c>
    </row>
    <row r="86" spans="1:256" x14ac:dyDescent="0.25">
      <c r="A86" t="b">
        <f>AND(DATA!R359,"AAAAAF+bfQA=")</f>
        <v>1</v>
      </c>
      <c r="B86" t="b">
        <f>AND(DATA!S359,"AAAAAF+bfQE=")</f>
        <v>1</v>
      </c>
      <c r="C86" t="b">
        <f>AND(DATA!T359,"AAAAAF+bfQI=")</f>
        <v>1</v>
      </c>
      <c r="D86" t="b">
        <f>AND(DATA!U359,"AAAAAF+bfQM=")</f>
        <v>1</v>
      </c>
      <c r="E86" t="b">
        <f>AND(DATA!V359,"AAAAAF+bfQQ=")</f>
        <v>1</v>
      </c>
      <c r="F86" t="e">
        <f>AND(DATA!W358,"AAAAAF+bfQU=")</f>
        <v>#VALUE!</v>
      </c>
      <c r="G86" t="e">
        <f>AND(DATA!X358,"AAAAAF+bfQY=")</f>
        <v>#VALUE!</v>
      </c>
      <c r="H86" t="e">
        <f>AND(DATA!Y358,"AAAAAF+bfQc=")</f>
        <v>#VALUE!</v>
      </c>
      <c r="I86">
        <f>IF(DATA!359:359,"AAAAAF+bfQg=",0)</f>
        <v>0</v>
      </c>
      <c r="J86" t="e">
        <f>AND(DATA!A359,"AAAAAF+bfQk=")</f>
        <v>#VALUE!</v>
      </c>
      <c r="K86" t="e">
        <f>AND(DATA!B359,"AAAAAF+bfQo=")</f>
        <v>#VALUE!</v>
      </c>
      <c r="L86" t="e">
        <f>AND(DATA!C359,"AAAAAF+bfQs=")</f>
        <v>#VALUE!</v>
      </c>
      <c r="M86" t="e">
        <f>AND(DATA!D359,"AAAAAF+bfQw=")</f>
        <v>#VALUE!</v>
      </c>
      <c r="N86" t="e">
        <f>AND(DATA!E359,"AAAAAF+bfQ0=")</f>
        <v>#VALUE!</v>
      </c>
      <c r="O86" t="e">
        <f>AND(DATA!F359,"AAAAAF+bfQ4=")</f>
        <v>#VALUE!</v>
      </c>
      <c r="P86" t="e">
        <f>AND(DATA!G359,"AAAAAF+bfQ8=")</f>
        <v>#VALUE!</v>
      </c>
      <c r="Q86" t="e">
        <f>AND(DATA!H359,"AAAAAF+bfRA=")</f>
        <v>#VALUE!</v>
      </c>
      <c r="R86" t="e">
        <f>AND(DATA!I359,"AAAAAF+bfRE=")</f>
        <v>#VALUE!</v>
      </c>
      <c r="S86" t="e">
        <f>AND(DATA!J359,"AAAAAF+bfRI=")</f>
        <v>#VALUE!</v>
      </c>
      <c r="T86" t="e">
        <f>AND(DATA!K359,"AAAAAF+bfRM=")</f>
        <v>#VALUE!</v>
      </c>
      <c r="U86" t="b">
        <f>AND(DATA!L360,"AAAAAF+bfRQ=")</f>
        <v>1</v>
      </c>
      <c r="V86" t="b">
        <f>AND(DATA!M360,"AAAAAF+bfRU=")</f>
        <v>1</v>
      </c>
      <c r="W86" t="b">
        <f>AND(DATA!N360,"AAAAAF+bfRY=")</f>
        <v>1</v>
      </c>
      <c r="X86" t="b">
        <f>AND(DATA!O360,"AAAAAF+bfRc=")</f>
        <v>1</v>
      </c>
      <c r="Y86" t="b">
        <f>AND(DATA!P360,"AAAAAF+bfRg=")</f>
        <v>1</v>
      </c>
      <c r="Z86" t="b">
        <f>AND(DATA!Q360,"AAAAAF+bfRk=")</f>
        <v>1</v>
      </c>
      <c r="AA86" t="b">
        <f>AND(DATA!R360,"AAAAAF+bfRo=")</f>
        <v>1</v>
      </c>
      <c r="AB86" t="b">
        <f>AND(DATA!S360,"AAAAAF+bfRs=")</f>
        <v>1</v>
      </c>
      <c r="AC86" t="b">
        <f>AND(DATA!T360,"AAAAAF+bfRw=")</f>
        <v>1</v>
      </c>
      <c r="AD86" t="b">
        <f>AND(DATA!U360,"AAAAAF+bfR0=")</f>
        <v>1</v>
      </c>
      <c r="AE86" t="b">
        <f>AND(DATA!V360,"AAAAAF+bfR4=")</f>
        <v>1</v>
      </c>
      <c r="AF86" t="e">
        <f>AND(DATA!W359,"AAAAAF+bfR8=")</f>
        <v>#VALUE!</v>
      </c>
      <c r="AG86" t="e">
        <f>AND(DATA!X359,"AAAAAF+bfSA=")</f>
        <v>#VALUE!</v>
      </c>
      <c r="AH86" t="e">
        <f>AND(DATA!Y359,"AAAAAF+bfSE=")</f>
        <v>#VALUE!</v>
      </c>
      <c r="AI86">
        <f>IF(DATA!360:360,"AAAAAF+bfSI=",0)</f>
        <v>0</v>
      </c>
      <c r="AJ86" t="e">
        <f>AND(DATA!A360,"AAAAAF+bfSM=")</f>
        <v>#VALUE!</v>
      </c>
      <c r="AK86" t="e">
        <f>AND(DATA!B360,"AAAAAF+bfSQ=")</f>
        <v>#VALUE!</v>
      </c>
      <c r="AL86" t="e">
        <f>AND(DATA!C360,"AAAAAF+bfSU=")</f>
        <v>#VALUE!</v>
      </c>
      <c r="AM86" t="e">
        <f>AND(DATA!D360,"AAAAAF+bfSY=")</f>
        <v>#VALUE!</v>
      </c>
      <c r="AN86" t="e">
        <f>AND(DATA!E360,"AAAAAF+bfSc=")</f>
        <v>#VALUE!</v>
      </c>
      <c r="AO86" t="e">
        <f>AND(DATA!F360,"AAAAAF+bfSg=")</f>
        <v>#VALUE!</v>
      </c>
      <c r="AP86" t="e">
        <f>AND(DATA!G360,"AAAAAF+bfSk=")</f>
        <v>#VALUE!</v>
      </c>
      <c r="AQ86" t="e">
        <f>AND(DATA!H360,"AAAAAF+bfSo=")</f>
        <v>#VALUE!</v>
      </c>
      <c r="AR86" t="e">
        <f>AND(DATA!I360,"AAAAAF+bfSs=")</f>
        <v>#VALUE!</v>
      </c>
      <c r="AS86" t="e">
        <f>AND(DATA!J360,"AAAAAF+bfSw=")</f>
        <v>#VALUE!</v>
      </c>
      <c r="AT86" t="e">
        <f>AND(DATA!K360,"AAAAAF+bfS0=")</f>
        <v>#VALUE!</v>
      </c>
      <c r="AU86" t="b">
        <f>AND(DATA!L361,"AAAAAF+bfS4=")</f>
        <v>1</v>
      </c>
      <c r="AV86" t="b">
        <f>AND(DATA!M361,"AAAAAF+bfS8=")</f>
        <v>1</v>
      </c>
      <c r="AW86" t="b">
        <f>AND(DATA!N361,"AAAAAF+bfTA=")</f>
        <v>1</v>
      </c>
      <c r="AX86" t="b">
        <f>AND(DATA!O361,"AAAAAF+bfTE=")</f>
        <v>1</v>
      </c>
      <c r="AY86" t="b">
        <f>AND(DATA!P361,"AAAAAF+bfTI=")</f>
        <v>1</v>
      </c>
      <c r="AZ86" t="b">
        <f>AND(DATA!Q361,"AAAAAF+bfTM=")</f>
        <v>1</v>
      </c>
      <c r="BA86" t="b">
        <f>AND(DATA!R361,"AAAAAF+bfTQ=")</f>
        <v>1</v>
      </c>
      <c r="BB86" t="b">
        <f>AND(DATA!S361,"AAAAAF+bfTU=")</f>
        <v>1</v>
      </c>
      <c r="BC86" t="b">
        <f>AND(DATA!T361,"AAAAAF+bfTY=")</f>
        <v>1</v>
      </c>
      <c r="BD86" t="b">
        <f>AND(DATA!U361,"AAAAAF+bfTc=")</f>
        <v>1</v>
      </c>
      <c r="BE86" t="b">
        <f>AND(DATA!V361,"AAAAAF+bfTg=")</f>
        <v>1</v>
      </c>
      <c r="BF86" t="e">
        <f>AND(DATA!W360,"AAAAAF+bfTk=")</f>
        <v>#VALUE!</v>
      </c>
      <c r="BG86" t="e">
        <f>AND(DATA!X360,"AAAAAF+bfTo=")</f>
        <v>#VALUE!</v>
      </c>
      <c r="BH86" t="e">
        <f>AND(DATA!Y360,"AAAAAF+bfTs=")</f>
        <v>#VALUE!</v>
      </c>
      <c r="BI86">
        <f>IF(DATA!361:361,"AAAAAF+bfTw=",0)</f>
        <v>0</v>
      </c>
      <c r="BJ86" t="e">
        <f>AND(DATA!A361,"AAAAAF+bfT0=")</f>
        <v>#VALUE!</v>
      </c>
      <c r="BK86" t="e">
        <f>AND(DATA!B361,"AAAAAF+bfT4=")</f>
        <v>#VALUE!</v>
      </c>
      <c r="BL86" t="e">
        <f>AND(DATA!C361,"AAAAAF+bfT8=")</f>
        <v>#VALUE!</v>
      </c>
      <c r="BM86" t="e">
        <f>AND(DATA!D361,"AAAAAF+bfUA=")</f>
        <v>#VALUE!</v>
      </c>
      <c r="BN86" t="e">
        <f>AND(DATA!E361,"AAAAAF+bfUE=")</f>
        <v>#VALUE!</v>
      </c>
      <c r="BO86" t="e">
        <f>AND(DATA!F361,"AAAAAF+bfUI=")</f>
        <v>#VALUE!</v>
      </c>
      <c r="BP86" t="e">
        <f>AND(DATA!G361,"AAAAAF+bfUM=")</f>
        <v>#VALUE!</v>
      </c>
      <c r="BQ86" t="e">
        <f>AND(DATA!H361,"AAAAAF+bfUQ=")</f>
        <v>#VALUE!</v>
      </c>
      <c r="BR86" t="e">
        <f>AND(DATA!I361,"AAAAAF+bfUU=")</f>
        <v>#VALUE!</v>
      </c>
      <c r="BS86" t="e">
        <f>AND(DATA!J361,"AAAAAF+bfUY=")</f>
        <v>#VALUE!</v>
      </c>
      <c r="BT86" t="e">
        <f>AND(DATA!K361,"AAAAAF+bfUc=")</f>
        <v>#VALUE!</v>
      </c>
      <c r="BU86" t="b">
        <f>AND(DATA!L362,"AAAAAF+bfUg=")</f>
        <v>1</v>
      </c>
      <c r="BV86" t="b">
        <f>AND(DATA!M362,"AAAAAF+bfUk=")</f>
        <v>1</v>
      </c>
      <c r="BW86" t="b">
        <f>AND(DATA!N362,"AAAAAF+bfUo=")</f>
        <v>1</v>
      </c>
      <c r="BX86" t="b">
        <f>AND(DATA!O362,"AAAAAF+bfUs=")</f>
        <v>1</v>
      </c>
      <c r="BY86" t="b">
        <f>AND(DATA!P362,"AAAAAF+bfUw=")</f>
        <v>1</v>
      </c>
      <c r="BZ86" t="b">
        <f>AND(DATA!Q362,"AAAAAF+bfU0=")</f>
        <v>1</v>
      </c>
      <c r="CA86" t="b">
        <f>AND(DATA!R362,"AAAAAF+bfU4=")</f>
        <v>1</v>
      </c>
      <c r="CB86" t="b">
        <f>AND(DATA!S362,"AAAAAF+bfU8=")</f>
        <v>1</v>
      </c>
      <c r="CC86" t="b">
        <f>AND(DATA!T362,"AAAAAF+bfVA=")</f>
        <v>1</v>
      </c>
      <c r="CD86" t="b">
        <f>AND(DATA!U362,"AAAAAF+bfVE=")</f>
        <v>1</v>
      </c>
      <c r="CE86" t="b">
        <f>AND(DATA!V362,"AAAAAF+bfVI=")</f>
        <v>1</v>
      </c>
      <c r="CF86" t="e">
        <f>AND(DATA!W361,"AAAAAF+bfVM=")</f>
        <v>#VALUE!</v>
      </c>
      <c r="CG86" t="e">
        <f>AND(DATA!X361,"AAAAAF+bfVQ=")</f>
        <v>#VALUE!</v>
      </c>
      <c r="CH86" t="e">
        <f>AND(DATA!Y361,"AAAAAF+bfVU=")</f>
        <v>#VALUE!</v>
      </c>
      <c r="CI86">
        <f>IF(DATA!362:362,"AAAAAF+bfVY=",0)</f>
        <v>0</v>
      </c>
      <c r="CJ86" t="e">
        <f>AND(DATA!A362,"AAAAAF+bfVc=")</f>
        <v>#VALUE!</v>
      </c>
      <c r="CK86" t="e">
        <f>AND(DATA!B362,"AAAAAF+bfVg=")</f>
        <v>#VALUE!</v>
      </c>
      <c r="CL86" t="e">
        <f>AND(DATA!C362,"AAAAAF+bfVk=")</f>
        <v>#VALUE!</v>
      </c>
      <c r="CM86" t="e">
        <f>AND(DATA!D362,"AAAAAF+bfVo=")</f>
        <v>#VALUE!</v>
      </c>
      <c r="CN86" t="e">
        <f>AND(DATA!E362,"AAAAAF+bfVs=")</f>
        <v>#VALUE!</v>
      </c>
      <c r="CO86" t="e">
        <f>AND(DATA!F362,"AAAAAF+bfVw=")</f>
        <v>#VALUE!</v>
      </c>
      <c r="CP86" t="e">
        <f>AND(DATA!G362,"AAAAAF+bfV0=")</f>
        <v>#VALUE!</v>
      </c>
      <c r="CQ86" t="e">
        <f>AND(DATA!H362,"AAAAAF+bfV4=")</f>
        <v>#VALUE!</v>
      </c>
      <c r="CR86" t="e">
        <f>AND(DATA!I362,"AAAAAF+bfV8=")</f>
        <v>#VALUE!</v>
      </c>
      <c r="CS86" t="e">
        <f>AND(DATA!J362,"AAAAAF+bfWA=")</f>
        <v>#VALUE!</v>
      </c>
      <c r="CT86" t="e">
        <f>AND(DATA!K362,"AAAAAF+bfWE=")</f>
        <v>#VALUE!</v>
      </c>
      <c r="CU86" t="b">
        <f>AND(DATA!L363,"AAAAAF+bfWI=")</f>
        <v>1</v>
      </c>
      <c r="CV86" t="b">
        <f>AND(DATA!M363,"AAAAAF+bfWM=")</f>
        <v>1</v>
      </c>
      <c r="CW86" t="b">
        <f>AND(DATA!N363,"AAAAAF+bfWQ=")</f>
        <v>1</v>
      </c>
      <c r="CX86" t="b">
        <f>AND(DATA!O363,"AAAAAF+bfWU=")</f>
        <v>1</v>
      </c>
      <c r="CY86" t="b">
        <f>AND(DATA!P363,"AAAAAF+bfWY=")</f>
        <v>1</v>
      </c>
      <c r="CZ86" t="b">
        <f>AND(DATA!Q363,"AAAAAF+bfWc=")</f>
        <v>1</v>
      </c>
      <c r="DA86" t="b">
        <f>AND(DATA!R363,"AAAAAF+bfWg=")</f>
        <v>1</v>
      </c>
      <c r="DB86" t="b">
        <f>AND(DATA!S363,"AAAAAF+bfWk=")</f>
        <v>1</v>
      </c>
      <c r="DC86" t="b">
        <f>AND(DATA!T363,"AAAAAF+bfWo=")</f>
        <v>1</v>
      </c>
      <c r="DD86" t="b">
        <f>AND(DATA!U363,"AAAAAF+bfWs=")</f>
        <v>1</v>
      </c>
      <c r="DE86" t="b">
        <f>AND(DATA!V363,"AAAAAF+bfWw=")</f>
        <v>1</v>
      </c>
      <c r="DF86" t="e">
        <f>AND(DATA!W362,"AAAAAF+bfW0=")</f>
        <v>#VALUE!</v>
      </c>
      <c r="DG86" t="e">
        <f>AND(DATA!X362,"AAAAAF+bfW4=")</f>
        <v>#VALUE!</v>
      </c>
      <c r="DH86" t="e">
        <f>AND(DATA!Y362,"AAAAAF+bfW8=")</f>
        <v>#VALUE!</v>
      </c>
      <c r="DI86">
        <f>IF(DATA!363:363,"AAAAAF+bfXA=",0)</f>
        <v>0</v>
      </c>
      <c r="DJ86" t="e">
        <f>AND(DATA!A363,"AAAAAF+bfXE=")</f>
        <v>#VALUE!</v>
      </c>
      <c r="DK86" t="e">
        <f>AND(DATA!B363,"AAAAAF+bfXI=")</f>
        <v>#VALUE!</v>
      </c>
      <c r="DL86" t="e">
        <f>AND(DATA!C363,"AAAAAF+bfXM=")</f>
        <v>#VALUE!</v>
      </c>
      <c r="DM86" t="e">
        <f>AND(DATA!D363,"AAAAAF+bfXQ=")</f>
        <v>#VALUE!</v>
      </c>
      <c r="DN86" t="e">
        <f>AND(DATA!E363,"AAAAAF+bfXU=")</f>
        <v>#VALUE!</v>
      </c>
      <c r="DO86" t="e">
        <f>AND(DATA!F363,"AAAAAF+bfXY=")</f>
        <v>#VALUE!</v>
      </c>
      <c r="DP86" t="e">
        <f>AND(DATA!G363,"AAAAAF+bfXc=")</f>
        <v>#VALUE!</v>
      </c>
      <c r="DQ86" t="e">
        <f>AND(DATA!H363,"AAAAAF+bfXg=")</f>
        <v>#VALUE!</v>
      </c>
      <c r="DR86" t="e">
        <f>AND(DATA!I363,"AAAAAF+bfXk=")</f>
        <v>#VALUE!</v>
      </c>
      <c r="DS86" t="e">
        <f>AND(DATA!J363,"AAAAAF+bfXo=")</f>
        <v>#VALUE!</v>
      </c>
      <c r="DT86" t="e">
        <f>AND(DATA!K363,"AAAAAF+bfXs=")</f>
        <v>#VALUE!</v>
      </c>
      <c r="DU86" t="b">
        <f>AND(DATA!L364,"AAAAAF+bfXw=")</f>
        <v>1</v>
      </c>
      <c r="DV86" t="b">
        <f>AND(DATA!M364,"AAAAAF+bfX0=")</f>
        <v>1</v>
      </c>
      <c r="DW86" t="b">
        <f>AND(DATA!N364,"AAAAAF+bfX4=")</f>
        <v>1</v>
      </c>
      <c r="DX86" t="b">
        <f>AND(DATA!O364,"AAAAAF+bfX8=")</f>
        <v>1</v>
      </c>
      <c r="DY86" t="b">
        <f>AND(DATA!P364,"AAAAAF+bfYA=")</f>
        <v>1</v>
      </c>
      <c r="DZ86" t="b">
        <f>AND(DATA!Q364,"AAAAAF+bfYE=")</f>
        <v>1</v>
      </c>
      <c r="EA86" t="b">
        <f>AND(DATA!R364,"AAAAAF+bfYI=")</f>
        <v>1</v>
      </c>
      <c r="EB86" t="b">
        <f>AND(DATA!S364,"AAAAAF+bfYM=")</f>
        <v>1</v>
      </c>
      <c r="EC86" t="b">
        <f>AND(DATA!T364,"AAAAAF+bfYQ=")</f>
        <v>1</v>
      </c>
      <c r="ED86" t="b">
        <f>AND(DATA!U364,"AAAAAF+bfYU=")</f>
        <v>1</v>
      </c>
      <c r="EE86" t="b">
        <f>AND(DATA!V364,"AAAAAF+bfYY=")</f>
        <v>1</v>
      </c>
      <c r="EF86" t="e">
        <f>AND(DATA!W363,"AAAAAF+bfYc=")</f>
        <v>#VALUE!</v>
      </c>
      <c r="EG86" t="e">
        <f>AND(DATA!X363,"AAAAAF+bfYg=")</f>
        <v>#VALUE!</v>
      </c>
      <c r="EH86" t="e">
        <f>AND(DATA!Y363,"AAAAAF+bfYk=")</f>
        <v>#VALUE!</v>
      </c>
      <c r="EI86">
        <f>IF(DATA!364:364,"AAAAAF+bfYo=",0)</f>
        <v>0</v>
      </c>
      <c r="EJ86" t="e">
        <f>AND(DATA!A364,"AAAAAF+bfYs=")</f>
        <v>#VALUE!</v>
      </c>
      <c r="EK86" t="e">
        <f>AND(DATA!B364,"AAAAAF+bfYw=")</f>
        <v>#VALUE!</v>
      </c>
      <c r="EL86" t="e">
        <f>AND(DATA!C364,"AAAAAF+bfY0=")</f>
        <v>#VALUE!</v>
      </c>
      <c r="EM86" t="e">
        <f>AND(DATA!D364,"AAAAAF+bfY4=")</f>
        <v>#VALUE!</v>
      </c>
      <c r="EN86" t="e">
        <f>AND(DATA!E364,"AAAAAF+bfY8=")</f>
        <v>#VALUE!</v>
      </c>
      <c r="EO86" t="e">
        <f>AND(DATA!F364,"AAAAAF+bfZA=")</f>
        <v>#VALUE!</v>
      </c>
      <c r="EP86" t="e">
        <f>AND(DATA!G364,"AAAAAF+bfZE=")</f>
        <v>#VALUE!</v>
      </c>
      <c r="EQ86" t="e">
        <f>AND(DATA!H364,"AAAAAF+bfZI=")</f>
        <v>#VALUE!</v>
      </c>
      <c r="ER86" t="e">
        <f>AND(DATA!I364,"AAAAAF+bfZM=")</f>
        <v>#VALUE!</v>
      </c>
      <c r="ES86" t="e">
        <f>AND(DATA!J364,"AAAAAF+bfZQ=")</f>
        <v>#VALUE!</v>
      </c>
      <c r="ET86" t="e">
        <f>AND(DATA!K364,"AAAAAF+bfZU=")</f>
        <v>#VALUE!</v>
      </c>
      <c r="EU86" t="b">
        <f>AND(DATA!L365,"AAAAAF+bfZY=")</f>
        <v>1</v>
      </c>
      <c r="EV86" t="b">
        <f>AND(DATA!M365,"AAAAAF+bfZc=")</f>
        <v>1</v>
      </c>
      <c r="EW86" t="b">
        <f>AND(DATA!N365,"AAAAAF+bfZg=")</f>
        <v>1</v>
      </c>
      <c r="EX86" t="b">
        <f>AND(DATA!O365,"AAAAAF+bfZk=")</f>
        <v>1</v>
      </c>
      <c r="EY86" t="b">
        <f>AND(DATA!P365,"AAAAAF+bfZo=")</f>
        <v>1</v>
      </c>
      <c r="EZ86" t="b">
        <f>AND(DATA!Q365,"AAAAAF+bfZs=")</f>
        <v>1</v>
      </c>
      <c r="FA86" t="b">
        <f>AND(DATA!R365,"AAAAAF+bfZw=")</f>
        <v>1</v>
      </c>
      <c r="FB86" t="b">
        <f>AND(DATA!S365,"AAAAAF+bfZ0=")</f>
        <v>1</v>
      </c>
      <c r="FC86" t="b">
        <f>AND(DATA!T365,"AAAAAF+bfZ4=")</f>
        <v>1</v>
      </c>
      <c r="FD86" t="b">
        <f>AND(DATA!U365,"AAAAAF+bfZ8=")</f>
        <v>1</v>
      </c>
      <c r="FE86" t="b">
        <f>AND(DATA!V365,"AAAAAF+bfaA=")</f>
        <v>1</v>
      </c>
      <c r="FF86" t="e">
        <f>AND(DATA!W364,"AAAAAF+bfaE=")</f>
        <v>#VALUE!</v>
      </c>
      <c r="FG86" t="e">
        <f>AND(DATA!X364,"AAAAAF+bfaI=")</f>
        <v>#VALUE!</v>
      </c>
      <c r="FH86" t="e">
        <f>AND(DATA!Y364,"AAAAAF+bfaM=")</f>
        <v>#VALUE!</v>
      </c>
      <c r="FI86">
        <f>IF(DATA!365:365,"AAAAAF+bfaQ=",0)</f>
        <v>0</v>
      </c>
      <c r="FJ86" t="e">
        <f>AND(DATA!A365,"AAAAAF+bfaU=")</f>
        <v>#VALUE!</v>
      </c>
      <c r="FK86" t="e">
        <f>AND(DATA!B365,"AAAAAF+bfaY=")</f>
        <v>#VALUE!</v>
      </c>
      <c r="FL86" t="e">
        <f>AND(DATA!C365,"AAAAAF+bfac=")</f>
        <v>#VALUE!</v>
      </c>
      <c r="FM86" t="e">
        <f>AND(DATA!D365,"AAAAAF+bfag=")</f>
        <v>#VALUE!</v>
      </c>
      <c r="FN86" t="e">
        <f>AND(DATA!E365,"AAAAAF+bfak=")</f>
        <v>#VALUE!</v>
      </c>
      <c r="FO86" t="e">
        <f>AND(DATA!F365,"AAAAAF+bfao=")</f>
        <v>#VALUE!</v>
      </c>
      <c r="FP86" t="e">
        <f>AND(DATA!G365,"AAAAAF+bfas=")</f>
        <v>#VALUE!</v>
      </c>
      <c r="FQ86" t="e">
        <f>AND(DATA!H365,"AAAAAF+bfaw=")</f>
        <v>#VALUE!</v>
      </c>
      <c r="FR86" t="e">
        <f>AND(DATA!I365,"AAAAAF+bfa0=")</f>
        <v>#VALUE!</v>
      </c>
      <c r="FS86" t="e">
        <f>AND(DATA!J365,"AAAAAF+bfa4=")</f>
        <v>#VALUE!</v>
      </c>
      <c r="FT86" t="e">
        <f>AND(DATA!K365,"AAAAAF+bfa8=")</f>
        <v>#VALUE!</v>
      </c>
      <c r="FU86" t="b">
        <f>AND(DATA!L366,"AAAAAF+bfbA=")</f>
        <v>1</v>
      </c>
      <c r="FV86" t="b">
        <f>AND(DATA!M366,"AAAAAF+bfbE=")</f>
        <v>1</v>
      </c>
      <c r="FW86" t="b">
        <f>AND(DATA!N366,"AAAAAF+bfbI=")</f>
        <v>1</v>
      </c>
      <c r="FX86" t="b">
        <f>AND(DATA!O366,"AAAAAF+bfbM=")</f>
        <v>1</v>
      </c>
      <c r="FY86" t="b">
        <f>AND(DATA!P366,"AAAAAF+bfbQ=")</f>
        <v>1</v>
      </c>
      <c r="FZ86" t="b">
        <f>AND(DATA!Q366,"AAAAAF+bfbU=")</f>
        <v>1</v>
      </c>
      <c r="GA86" t="b">
        <f>AND(DATA!R366,"AAAAAF+bfbY=")</f>
        <v>1</v>
      </c>
      <c r="GB86" t="b">
        <f>AND(DATA!S366,"AAAAAF+bfbc=")</f>
        <v>1</v>
      </c>
      <c r="GC86" t="b">
        <f>AND(DATA!T366,"AAAAAF+bfbg=")</f>
        <v>1</v>
      </c>
      <c r="GD86" t="b">
        <f>AND(DATA!U366,"AAAAAF+bfbk=")</f>
        <v>1</v>
      </c>
      <c r="GE86" t="b">
        <f>AND(DATA!V366,"AAAAAF+bfbo=")</f>
        <v>1</v>
      </c>
      <c r="GF86" t="e">
        <f>AND(DATA!W365,"AAAAAF+bfbs=")</f>
        <v>#VALUE!</v>
      </c>
      <c r="GG86" t="e">
        <f>AND(DATA!X365,"AAAAAF+bfbw=")</f>
        <v>#VALUE!</v>
      </c>
      <c r="GH86" t="e">
        <f>AND(DATA!Y365,"AAAAAF+bfb0=")</f>
        <v>#VALUE!</v>
      </c>
      <c r="GI86">
        <f>IF(DATA!366:366,"AAAAAF+bfb4=",0)</f>
        <v>0</v>
      </c>
      <c r="GJ86" t="e">
        <f>AND(DATA!A366,"AAAAAF+bfb8=")</f>
        <v>#VALUE!</v>
      </c>
      <c r="GK86" t="e">
        <f>AND(DATA!B366,"AAAAAF+bfcA=")</f>
        <v>#VALUE!</v>
      </c>
      <c r="GL86" t="e">
        <f>AND(DATA!C366,"AAAAAF+bfcE=")</f>
        <v>#VALUE!</v>
      </c>
      <c r="GM86" t="e">
        <f>AND(DATA!D366,"AAAAAF+bfcI=")</f>
        <v>#VALUE!</v>
      </c>
      <c r="GN86" t="e">
        <f>AND(DATA!E366,"AAAAAF+bfcM=")</f>
        <v>#VALUE!</v>
      </c>
      <c r="GO86" t="e">
        <f>AND(DATA!F366,"AAAAAF+bfcQ=")</f>
        <v>#VALUE!</v>
      </c>
      <c r="GP86" t="e">
        <f>AND(DATA!G366,"AAAAAF+bfcU=")</f>
        <v>#VALUE!</v>
      </c>
      <c r="GQ86" t="e">
        <f>AND(DATA!H366,"AAAAAF+bfcY=")</f>
        <v>#VALUE!</v>
      </c>
      <c r="GR86" t="e">
        <f>AND(DATA!I366,"AAAAAF+bfcc=")</f>
        <v>#VALUE!</v>
      </c>
      <c r="GS86" t="e">
        <f>AND(DATA!J366,"AAAAAF+bfcg=")</f>
        <v>#VALUE!</v>
      </c>
      <c r="GT86" t="e">
        <f>AND(DATA!K366,"AAAAAF+bfck=")</f>
        <v>#VALUE!</v>
      </c>
      <c r="GU86" t="b">
        <f>AND(DATA!L367,"AAAAAF+bfco=")</f>
        <v>1</v>
      </c>
      <c r="GV86" t="b">
        <f>AND(DATA!M367,"AAAAAF+bfcs=")</f>
        <v>1</v>
      </c>
      <c r="GW86" t="b">
        <f>AND(DATA!N367,"AAAAAF+bfcw=")</f>
        <v>1</v>
      </c>
      <c r="GX86" t="b">
        <f>AND(DATA!O367,"AAAAAF+bfc0=")</f>
        <v>1</v>
      </c>
      <c r="GY86" t="b">
        <f>AND(DATA!P367,"AAAAAF+bfc4=")</f>
        <v>1</v>
      </c>
      <c r="GZ86" t="b">
        <f>AND(DATA!Q367,"AAAAAF+bfc8=")</f>
        <v>1</v>
      </c>
      <c r="HA86" t="b">
        <f>AND(DATA!R367,"AAAAAF+bfdA=")</f>
        <v>1</v>
      </c>
      <c r="HB86" t="b">
        <f>AND(DATA!S367,"AAAAAF+bfdE=")</f>
        <v>1</v>
      </c>
      <c r="HC86" t="b">
        <f>AND(DATA!T367,"AAAAAF+bfdI=")</f>
        <v>1</v>
      </c>
      <c r="HD86" t="b">
        <f>AND(DATA!U367,"AAAAAF+bfdM=")</f>
        <v>1</v>
      </c>
      <c r="HE86" t="b">
        <f>AND(DATA!V367,"AAAAAF+bfdQ=")</f>
        <v>1</v>
      </c>
      <c r="HF86" t="e">
        <f>AND(DATA!W366,"AAAAAF+bfdU=")</f>
        <v>#VALUE!</v>
      </c>
      <c r="HG86" t="e">
        <f>AND(DATA!X366,"AAAAAF+bfdY=")</f>
        <v>#VALUE!</v>
      </c>
      <c r="HH86" t="e">
        <f>AND(DATA!Y366,"AAAAAF+bfdc=")</f>
        <v>#VALUE!</v>
      </c>
      <c r="HI86">
        <f>IF(DATA!367:367,"AAAAAF+bfdg=",0)</f>
        <v>0</v>
      </c>
      <c r="HJ86" t="e">
        <f>AND(DATA!A367,"AAAAAF+bfdk=")</f>
        <v>#VALUE!</v>
      </c>
      <c r="HK86" t="e">
        <f>AND(DATA!B367,"AAAAAF+bfdo=")</f>
        <v>#VALUE!</v>
      </c>
      <c r="HL86" t="e">
        <f>AND(DATA!C367,"AAAAAF+bfds=")</f>
        <v>#VALUE!</v>
      </c>
      <c r="HM86" t="e">
        <f>AND(DATA!D367,"AAAAAF+bfdw=")</f>
        <v>#VALUE!</v>
      </c>
      <c r="HN86" t="e">
        <f>AND(DATA!E367,"AAAAAF+bfd0=")</f>
        <v>#VALUE!</v>
      </c>
      <c r="HO86" t="e">
        <f>AND(DATA!F367,"AAAAAF+bfd4=")</f>
        <v>#VALUE!</v>
      </c>
      <c r="HP86" t="e">
        <f>AND(DATA!G367,"AAAAAF+bfd8=")</f>
        <v>#VALUE!</v>
      </c>
      <c r="HQ86" t="e">
        <f>AND(DATA!H367,"AAAAAF+bfeA=")</f>
        <v>#VALUE!</v>
      </c>
      <c r="HR86" t="e">
        <f>AND(DATA!I367,"AAAAAF+bfeE=")</f>
        <v>#VALUE!</v>
      </c>
      <c r="HS86" t="e">
        <f>AND(DATA!J367,"AAAAAF+bfeI=")</f>
        <v>#VALUE!</v>
      </c>
      <c r="HT86" t="e">
        <f>AND(DATA!K367,"AAAAAF+bfeM=")</f>
        <v>#VALUE!</v>
      </c>
      <c r="HU86" t="b">
        <f>AND(DATA!L368,"AAAAAF+bfeQ=")</f>
        <v>1</v>
      </c>
      <c r="HV86" t="b">
        <f>AND(DATA!M368,"AAAAAF+bfeU=")</f>
        <v>1</v>
      </c>
      <c r="HW86" t="b">
        <f>AND(DATA!N368,"AAAAAF+bfeY=")</f>
        <v>1</v>
      </c>
      <c r="HX86" t="b">
        <f>AND(DATA!O368,"AAAAAF+bfec=")</f>
        <v>1</v>
      </c>
      <c r="HY86" t="b">
        <f>AND(DATA!P368,"AAAAAF+bfeg=")</f>
        <v>1</v>
      </c>
      <c r="HZ86" t="b">
        <f>AND(DATA!Q368,"AAAAAF+bfek=")</f>
        <v>1</v>
      </c>
      <c r="IA86" t="b">
        <f>AND(DATA!R368,"AAAAAF+bfeo=")</f>
        <v>1</v>
      </c>
      <c r="IB86" t="b">
        <f>AND(DATA!S368,"AAAAAF+bfes=")</f>
        <v>1</v>
      </c>
      <c r="IC86" t="b">
        <f>AND(DATA!T368,"AAAAAF+bfew=")</f>
        <v>1</v>
      </c>
      <c r="ID86" t="b">
        <f>AND(DATA!U368,"AAAAAF+bfe0=")</f>
        <v>1</v>
      </c>
      <c r="IE86" t="b">
        <f>AND(DATA!V368,"AAAAAF+bfe4=")</f>
        <v>1</v>
      </c>
      <c r="IF86" t="e">
        <f>AND(DATA!W367,"AAAAAF+bfe8=")</f>
        <v>#VALUE!</v>
      </c>
      <c r="IG86" t="e">
        <f>AND(DATA!X367,"AAAAAF+bffA=")</f>
        <v>#VALUE!</v>
      </c>
      <c r="IH86" t="e">
        <f>AND(DATA!Y367,"AAAAAF+bffE=")</f>
        <v>#VALUE!</v>
      </c>
      <c r="II86">
        <f>IF(DATA!368:368,"AAAAAF+bffI=",0)</f>
        <v>0</v>
      </c>
      <c r="IJ86" t="e">
        <f>AND(DATA!A368,"AAAAAF+bffM=")</f>
        <v>#VALUE!</v>
      </c>
      <c r="IK86" t="e">
        <f>AND(DATA!B368,"AAAAAF+bffQ=")</f>
        <v>#VALUE!</v>
      </c>
      <c r="IL86" t="e">
        <f>AND(DATA!C368,"AAAAAF+bffU=")</f>
        <v>#VALUE!</v>
      </c>
      <c r="IM86" t="e">
        <f>AND(DATA!D368,"AAAAAF+bffY=")</f>
        <v>#VALUE!</v>
      </c>
      <c r="IN86" t="e">
        <f>AND(DATA!E368,"AAAAAF+bffc=")</f>
        <v>#VALUE!</v>
      </c>
      <c r="IO86" t="e">
        <f>AND(DATA!F368,"AAAAAF+bffg=")</f>
        <v>#VALUE!</v>
      </c>
      <c r="IP86" t="e">
        <f>AND(DATA!G368,"AAAAAF+bffk=")</f>
        <v>#VALUE!</v>
      </c>
      <c r="IQ86" t="e">
        <f>AND(DATA!H368,"AAAAAF+bffo=")</f>
        <v>#VALUE!</v>
      </c>
      <c r="IR86" t="e">
        <f>AND(DATA!I368,"AAAAAF+bffs=")</f>
        <v>#VALUE!</v>
      </c>
      <c r="IS86" t="e">
        <f>AND(DATA!J368,"AAAAAF+bffw=")</f>
        <v>#VALUE!</v>
      </c>
      <c r="IT86" t="e">
        <f>AND(DATA!K368,"AAAAAF+bff0=")</f>
        <v>#VALUE!</v>
      </c>
      <c r="IU86" t="b">
        <f>AND(DATA!L369,"AAAAAF+bff4=")</f>
        <v>1</v>
      </c>
      <c r="IV86" t="b">
        <f>AND(DATA!M369,"AAAAAF+bff8=")</f>
        <v>1</v>
      </c>
    </row>
    <row r="87" spans="1:256" x14ac:dyDescent="0.25">
      <c r="A87" t="b">
        <f>AND(DATA!N369,"AAAAAHN9uwA=")</f>
        <v>1</v>
      </c>
      <c r="B87" t="b">
        <f>AND(DATA!O369,"AAAAAHN9uwE=")</f>
        <v>1</v>
      </c>
      <c r="C87" t="b">
        <f>AND(DATA!P369,"AAAAAHN9uwI=")</f>
        <v>1</v>
      </c>
      <c r="D87" t="b">
        <f>AND(DATA!Q369,"AAAAAHN9uwM=")</f>
        <v>1</v>
      </c>
      <c r="E87" t="b">
        <f>AND(DATA!R369,"AAAAAHN9uwQ=")</f>
        <v>1</v>
      </c>
      <c r="F87" t="b">
        <f>AND(DATA!S369,"AAAAAHN9uwU=")</f>
        <v>1</v>
      </c>
      <c r="G87" t="b">
        <f>AND(DATA!T369,"AAAAAHN9uwY=")</f>
        <v>1</v>
      </c>
      <c r="H87" t="b">
        <f>AND(DATA!U369,"AAAAAHN9uwc=")</f>
        <v>1</v>
      </c>
      <c r="I87" t="b">
        <f>AND(DATA!V369,"AAAAAHN9uwg=")</f>
        <v>1</v>
      </c>
      <c r="J87" t="e">
        <f>AND(DATA!W368,"AAAAAHN9uwk=")</f>
        <v>#VALUE!</v>
      </c>
      <c r="K87" t="e">
        <f>AND(DATA!X368,"AAAAAHN9uwo=")</f>
        <v>#VALUE!</v>
      </c>
      <c r="L87" t="e">
        <f>AND(DATA!Y368,"AAAAAHN9uws=")</f>
        <v>#VALUE!</v>
      </c>
      <c r="M87" t="str">
        <f>IF(DATA!369:369,"AAAAAHN9uww=",0)</f>
        <v>AAAAAHN9uww=</v>
      </c>
      <c r="N87" t="e">
        <f>AND(DATA!A369,"AAAAAHN9uw0=")</f>
        <v>#VALUE!</v>
      </c>
      <c r="O87" t="e">
        <f>AND(DATA!B369,"AAAAAHN9uw4=")</f>
        <v>#VALUE!</v>
      </c>
      <c r="P87" t="e">
        <f>AND(DATA!C369,"AAAAAHN9uw8=")</f>
        <v>#VALUE!</v>
      </c>
      <c r="Q87" t="e">
        <f>AND(DATA!D369,"AAAAAHN9uxA=")</f>
        <v>#VALUE!</v>
      </c>
      <c r="R87" t="e">
        <f>AND(DATA!E369,"AAAAAHN9uxE=")</f>
        <v>#VALUE!</v>
      </c>
      <c r="S87" t="e">
        <f>AND(DATA!F369,"AAAAAHN9uxI=")</f>
        <v>#VALUE!</v>
      </c>
      <c r="T87" t="e">
        <f>AND(DATA!G369,"AAAAAHN9uxM=")</f>
        <v>#VALUE!</v>
      </c>
      <c r="U87" t="e">
        <f>AND(DATA!H369,"AAAAAHN9uxQ=")</f>
        <v>#VALUE!</v>
      </c>
      <c r="V87" t="e">
        <f>AND(DATA!I369,"AAAAAHN9uxU=")</f>
        <v>#VALUE!</v>
      </c>
      <c r="W87" t="e">
        <f>AND(DATA!J369,"AAAAAHN9uxY=")</f>
        <v>#VALUE!</v>
      </c>
      <c r="X87" t="e">
        <f>AND(DATA!K369,"AAAAAHN9uxc=")</f>
        <v>#VALUE!</v>
      </c>
      <c r="Y87" t="b">
        <f>AND(DATA!L370,"AAAAAHN9uxg=")</f>
        <v>1</v>
      </c>
      <c r="Z87" t="b">
        <f>AND(DATA!M370,"AAAAAHN9uxk=")</f>
        <v>1</v>
      </c>
      <c r="AA87" t="b">
        <f>AND(DATA!N370,"AAAAAHN9uxo=")</f>
        <v>1</v>
      </c>
      <c r="AB87" t="b">
        <f>AND(DATA!O370,"AAAAAHN9uxs=")</f>
        <v>1</v>
      </c>
      <c r="AC87" t="b">
        <f>AND(DATA!P370,"AAAAAHN9uxw=")</f>
        <v>1</v>
      </c>
      <c r="AD87" t="b">
        <f>AND(DATA!Q370,"AAAAAHN9ux0=")</f>
        <v>1</v>
      </c>
      <c r="AE87" t="b">
        <f>AND(DATA!R370,"AAAAAHN9ux4=")</f>
        <v>1</v>
      </c>
      <c r="AF87" t="b">
        <f>AND(DATA!S370,"AAAAAHN9ux8=")</f>
        <v>1</v>
      </c>
      <c r="AG87" t="b">
        <f>AND(DATA!T370,"AAAAAHN9uyA=")</f>
        <v>1</v>
      </c>
      <c r="AH87" t="b">
        <f>AND(DATA!U370,"AAAAAHN9uyE=")</f>
        <v>1</v>
      </c>
      <c r="AI87" t="b">
        <f>AND(DATA!V370,"AAAAAHN9uyI=")</f>
        <v>1</v>
      </c>
      <c r="AJ87" t="e">
        <f>AND(DATA!W369,"AAAAAHN9uyM=")</f>
        <v>#VALUE!</v>
      </c>
      <c r="AK87" t="e">
        <f>AND(DATA!X369,"AAAAAHN9uyQ=")</f>
        <v>#VALUE!</v>
      </c>
      <c r="AL87" t="e">
        <f>AND(DATA!Y369,"AAAAAHN9uyU=")</f>
        <v>#VALUE!</v>
      </c>
      <c r="AM87">
        <f>IF(DATA!370:370,"AAAAAHN9uyY=",0)</f>
        <v>0</v>
      </c>
      <c r="AN87" t="e">
        <f>AND(DATA!A370,"AAAAAHN9uyc=")</f>
        <v>#VALUE!</v>
      </c>
      <c r="AO87" t="e">
        <f>AND(DATA!B370,"AAAAAHN9uyg=")</f>
        <v>#VALUE!</v>
      </c>
      <c r="AP87" t="e">
        <f>AND(DATA!C370,"AAAAAHN9uyk=")</f>
        <v>#VALUE!</v>
      </c>
      <c r="AQ87" t="e">
        <f>AND(DATA!D370,"AAAAAHN9uyo=")</f>
        <v>#VALUE!</v>
      </c>
      <c r="AR87" t="e">
        <f>AND(DATA!E370,"AAAAAHN9uys=")</f>
        <v>#VALUE!</v>
      </c>
      <c r="AS87" t="e">
        <f>AND(DATA!F370,"AAAAAHN9uyw=")</f>
        <v>#VALUE!</v>
      </c>
      <c r="AT87" t="e">
        <f>AND(DATA!G370,"AAAAAHN9uy0=")</f>
        <v>#VALUE!</v>
      </c>
      <c r="AU87" t="e">
        <f>AND(DATA!H370,"AAAAAHN9uy4=")</f>
        <v>#VALUE!</v>
      </c>
      <c r="AV87" t="e">
        <f>AND(DATA!I370,"AAAAAHN9uy8=")</f>
        <v>#VALUE!</v>
      </c>
      <c r="AW87" t="e">
        <f>AND(DATA!J370,"AAAAAHN9uzA=")</f>
        <v>#VALUE!</v>
      </c>
      <c r="AX87" t="e">
        <f>AND(DATA!K370,"AAAAAHN9uzE=")</f>
        <v>#VALUE!</v>
      </c>
      <c r="AY87" t="b">
        <f>AND(DATA!L371,"AAAAAHN9uzI=")</f>
        <v>1</v>
      </c>
      <c r="AZ87" t="b">
        <f>AND(DATA!M371,"AAAAAHN9uzM=")</f>
        <v>1</v>
      </c>
      <c r="BA87" t="b">
        <f>AND(DATA!N371,"AAAAAHN9uzQ=")</f>
        <v>1</v>
      </c>
      <c r="BB87" t="b">
        <f>AND(DATA!O371,"AAAAAHN9uzU=")</f>
        <v>1</v>
      </c>
      <c r="BC87" t="b">
        <f>AND(DATA!P371,"AAAAAHN9uzY=")</f>
        <v>1</v>
      </c>
      <c r="BD87" t="b">
        <f>AND(DATA!Q371,"AAAAAHN9uzc=")</f>
        <v>1</v>
      </c>
      <c r="BE87" t="b">
        <f>AND(DATA!R371,"AAAAAHN9uzg=")</f>
        <v>1</v>
      </c>
      <c r="BF87" t="b">
        <f>AND(DATA!S371,"AAAAAHN9uzk=")</f>
        <v>1</v>
      </c>
      <c r="BG87" t="b">
        <f>AND(DATA!T371,"AAAAAHN9uzo=")</f>
        <v>1</v>
      </c>
      <c r="BH87" t="b">
        <f>AND(DATA!U371,"AAAAAHN9uzs=")</f>
        <v>1</v>
      </c>
      <c r="BI87" t="b">
        <f>AND(DATA!V371,"AAAAAHN9uzw=")</f>
        <v>1</v>
      </c>
      <c r="BJ87" t="e">
        <f>AND(DATA!W370,"AAAAAHN9uz0=")</f>
        <v>#VALUE!</v>
      </c>
      <c r="BK87" t="e">
        <f>AND(DATA!X370,"AAAAAHN9uz4=")</f>
        <v>#VALUE!</v>
      </c>
      <c r="BL87" t="e">
        <f>AND(DATA!Y370,"AAAAAHN9uz8=")</f>
        <v>#VALUE!</v>
      </c>
      <c r="BM87">
        <f>IF(DATA!371:371,"AAAAAHN9u0A=",0)</f>
        <v>0</v>
      </c>
      <c r="BN87" t="e">
        <f>AND(DATA!A371,"AAAAAHN9u0E=")</f>
        <v>#VALUE!</v>
      </c>
      <c r="BO87" t="e">
        <f>AND(DATA!B371,"AAAAAHN9u0I=")</f>
        <v>#VALUE!</v>
      </c>
      <c r="BP87" t="e">
        <f>AND(DATA!C371,"AAAAAHN9u0M=")</f>
        <v>#VALUE!</v>
      </c>
      <c r="BQ87" t="e">
        <f>AND(DATA!D371,"AAAAAHN9u0Q=")</f>
        <v>#VALUE!</v>
      </c>
      <c r="BR87" t="e">
        <f>AND(DATA!E371,"AAAAAHN9u0U=")</f>
        <v>#VALUE!</v>
      </c>
      <c r="BS87" t="e">
        <f>AND(DATA!F371,"AAAAAHN9u0Y=")</f>
        <v>#VALUE!</v>
      </c>
      <c r="BT87" t="e">
        <f>AND(DATA!G371,"AAAAAHN9u0c=")</f>
        <v>#VALUE!</v>
      </c>
      <c r="BU87" t="e">
        <f>AND(DATA!H371,"AAAAAHN9u0g=")</f>
        <v>#VALUE!</v>
      </c>
      <c r="BV87" t="e">
        <f>AND(DATA!I371,"AAAAAHN9u0k=")</f>
        <v>#VALUE!</v>
      </c>
      <c r="BW87" t="e">
        <f>AND(DATA!J371,"AAAAAHN9u0o=")</f>
        <v>#VALUE!</v>
      </c>
      <c r="BX87" t="e">
        <f>AND(DATA!K371,"AAAAAHN9u0s=")</f>
        <v>#VALUE!</v>
      </c>
      <c r="BY87" t="b">
        <f>AND(DATA!L372,"AAAAAHN9u0w=")</f>
        <v>1</v>
      </c>
      <c r="BZ87" t="b">
        <f>AND(DATA!M372,"AAAAAHN9u00=")</f>
        <v>1</v>
      </c>
      <c r="CA87" t="b">
        <f>AND(DATA!N372,"AAAAAHN9u04=")</f>
        <v>1</v>
      </c>
      <c r="CB87" t="b">
        <f>AND(DATA!O372,"AAAAAHN9u08=")</f>
        <v>1</v>
      </c>
      <c r="CC87" t="b">
        <f>AND(DATA!P372,"AAAAAHN9u1A=")</f>
        <v>1</v>
      </c>
      <c r="CD87" t="b">
        <f>AND(DATA!Q372,"AAAAAHN9u1E=")</f>
        <v>1</v>
      </c>
      <c r="CE87" t="b">
        <f>AND(DATA!R372,"AAAAAHN9u1I=")</f>
        <v>1</v>
      </c>
      <c r="CF87" t="b">
        <f>AND(DATA!S372,"AAAAAHN9u1M=")</f>
        <v>1</v>
      </c>
      <c r="CG87" t="b">
        <f>AND(DATA!T372,"AAAAAHN9u1Q=")</f>
        <v>1</v>
      </c>
      <c r="CH87" t="b">
        <f>AND(DATA!U372,"AAAAAHN9u1U=")</f>
        <v>1</v>
      </c>
      <c r="CI87" t="b">
        <f>AND(DATA!V372,"AAAAAHN9u1Y=")</f>
        <v>1</v>
      </c>
      <c r="CJ87" t="e">
        <f>AND(DATA!W371,"AAAAAHN9u1c=")</f>
        <v>#VALUE!</v>
      </c>
      <c r="CK87" t="e">
        <f>AND(DATA!X371,"AAAAAHN9u1g=")</f>
        <v>#VALUE!</v>
      </c>
      <c r="CL87" t="e">
        <f>AND(DATA!Y371,"AAAAAHN9u1k=")</f>
        <v>#VALUE!</v>
      </c>
      <c r="CM87">
        <f>IF(DATA!372:372,"AAAAAHN9u1o=",0)</f>
        <v>0</v>
      </c>
      <c r="CN87" t="e">
        <f>AND(DATA!A372,"AAAAAHN9u1s=")</f>
        <v>#VALUE!</v>
      </c>
      <c r="CO87" t="e">
        <f>AND(DATA!B372,"AAAAAHN9u1w=")</f>
        <v>#VALUE!</v>
      </c>
      <c r="CP87" t="e">
        <f>AND(DATA!C372,"AAAAAHN9u10=")</f>
        <v>#VALUE!</v>
      </c>
      <c r="CQ87" t="e">
        <f>AND(DATA!D372,"AAAAAHN9u14=")</f>
        <v>#VALUE!</v>
      </c>
      <c r="CR87" t="e">
        <f>AND(DATA!E372,"AAAAAHN9u18=")</f>
        <v>#VALUE!</v>
      </c>
      <c r="CS87" t="e">
        <f>AND(DATA!F372,"AAAAAHN9u2A=")</f>
        <v>#VALUE!</v>
      </c>
      <c r="CT87" t="e">
        <f>AND(DATA!G372,"AAAAAHN9u2E=")</f>
        <v>#VALUE!</v>
      </c>
      <c r="CU87" t="e">
        <f>AND(DATA!H372,"AAAAAHN9u2I=")</f>
        <v>#VALUE!</v>
      </c>
      <c r="CV87" t="e">
        <f>AND(DATA!I372,"AAAAAHN9u2M=")</f>
        <v>#VALUE!</v>
      </c>
      <c r="CW87" t="e">
        <f>AND(DATA!J372,"AAAAAHN9u2Q=")</f>
        <v>#VALUE!</v>
      </c>
      <c r="CX87" t="e">
        <f>AND(DATA!K372,"AAAAAHN9u2U=")</f>
        <v>#VALUE!</v>
      </c>
      <c r="CY87" t="b">
        <f>AND(DATA!L373,"AAAAAHN9u2Y=")</f>
        <v>1</v>
      </c>
      <c r="CZ87" t="b">
        <f>AND(DATA!M373,"AAAAAHN9u2c=")</f>
        <v>1</v>
      </c>
      <c r="DA87" t="b">
        <f>AND(DATA!N373,"AAAAAHN9u2g=")</f>
        <v>1</v>
      </c>
      <c r="DB87" t="b">
        <f>AND(DATA!O373,"AAAAAHN9u2k=")</f>
        <v>1</v>
      </c>
      <c r="DC87" t="b">
        <f>AND(DATA!P373,"AAAAAHN9u2o=")</f>
        <v>1</v>
      </c>
      <c r="DD87" t="b">
        <f>AND(DATA!Q373,"AAAAAHN9u2s=")</f>
        <v>1</v>
      </c>
      <c r="DE87" t="b">
        <f>AND(DATA!R373,"AAAAAHN9u2w=")</f>
        <v>1</v>
      </c>
      <c r="DF87" t="b">
        <f>AND(DATA!S373,"AAAAAHN9u20=")</f>
        <v>1</v>
      </c>
      <c r="DG87" t="b">
        <f>AND(DATA!T373,"AAAAAHN9u24=")</f>
        <v>1</v>
      </c>
      <c r="DH87" t="b">
        <f>AND(DATA!U373,"AAAAAHN9u28=")</f>
        <v>1</v>
      </c>
      <c r="DI87" t="b">
        <f>AND(DATA!V373,"AAAAAHN9u3A=")</f>
        <v>1</v>
      </c>
      <c r="DJ87" t="e">
        <f>AND(DATA!W372,"AAAAAHN9u3E=")</f>
        <v>#VALUE!</v>
      </c>
      <c r="DK87" t="e">
        <f>AND(DATA!X372,"AAAAAHN9u3I=")</f>
        <v>#VALUE!</v>
      </c>
      <c r="DL87" t="e">
        <f>AND(DATA!Y372,"AAAAAHN9u3M=")</f>
        <v>#VALUE!</v>
      </c>
      <c r="DM87">
        <f>IF(DATA!373:373,"AAAAAHN9u3Q=",0)</f>
        <v>0</v>
      </c>
      <c r="DN87" t="e">
        <f>AND(DATA!A373,"AAAAAHN9u3U=")</f>
        <v>#VALUE!</v>
      </c>
      <c r="DO87" t="e">
        <f>AND(DATA!B373,"AAAAAHN9u3Y=")</f>
        <v>#VALUE!</v>
      </c>
      <c r="DP87" t="e">
        <f>AND(DATA!C373,"AAAAAHN9u3c=")</f>
        <v>#VALUE!</v>
      </c>
      <c r="DQ87" t="e">
        <f>AND(DATA!D373,"AAAAAHN9u3g=")</f>
        <v>#VALUE!</v>
      </c>
      <c r="DR87" t="e">
        <f>AND(DATA!E373,"AAAAAHN9u3k=")</f>
        <v>#VALUE!</v>
      </c>
      <c r="DS87" t="e">
        <f>AND(DATA!F373,"AAAAAHN9u3o=")</f>
        <v>#VALUE!</v>
      </c>
      <c r="DT87" t="e">
        <f>AND(DATA!G373,"AAAAAHN9u3s=")</f>
        <v>#VALUE!</v>
      </c>
      <c r="DU87" t="e">
        <f>AND(DATA!H373,"AAAAAHN9u3w=")</f>
        <v>#VALUE!</v>
      </c>
      <c r="DV87" t="e">
        <f>AND(DATA!I373,"AAAAAHN9u30=")</f>
        <v>#VALUE!</v>
      </c>
      <c r="DW87" t="e">
        <f>AND(DATA!J373,"AAAAAHN9u34=")</f>
        <v>#VALUE!</v>
      </c>
      <c r="DX87" t="e">
        <f>AND(DATA!K373,"AAAAAHN9u38=")</f>
        <v>#VALUE!</v>
      </c>
      <c r="DY87" t="b">
        <f>AND(DATA!L374,"AAAAAHN9u4A=")</f>
        <v>1</v>
      </c>
      <c r="DZ87" t="b">
        <f>AND(DATA!M374,"AAAAAHN9u4E=")</f>
        <v>1</v>
      </c>
      <c r="EA87" t="b">
        <f>AND(DATA!N374,"AAAAAHN9u4I=")</f>
        <v>1</v>
      </c>
      <c r="EB87" t="b">
        <f>AND(DATA!O374,"AAAAAHN9u4M=")</f>
        <v>1</v>
      </c>
      <c r="EC87" t="b">
        <f>AND(DATA!P374,"AAAAAHN9u4Q=")</f>
        <v>1</v>
      </c>
      <c r="ED87" t="b">
        <f>AND(DATA!Q374,"AAAAAHN9u4U=")</f>
        <v>1</v>
      </c>
      <c r="EE87" t="b">
        <f>AND(DATA!R374,"AAAAAHN9u4Y=")</f>
        <v>1</v>
      </c>
      <c r="EF87" t="b">
        <f>AND(DATA!S374,"AAAAAHN9u4c=")</f>
        <v>1</v>
      </c>
      <c r="EG87" t="b">
        <f>AND(DATA!T374,"AAAAAHN9u4g=")</f>
        <v>1</v>
      </c>
      <c r="EH87" t="b">
        <f>AND(DATA!U374,"AAAAAHN9u4k=")</f>
        <v>1</v>
      </c>
      <c r="EI87" t="b">
        <f>AND(DATA!V374,"AAAAAHN9u4o=")</f>
        <v>1</v>
      </c>
      <c r="EJ87" t="e">
        <f>AND(DATA!W373,"AAAAAHN9u4s=")</f>
        <v>#VALUE!</v>
      </c>
      <c r="EK87" t="e">
        <f>AND(DATA!X373,"AAAAAHN9u4w=")</f>
        <v>#VALUE!</v>
      </c>
      <c r="EL87" t="e">
        <f>AND(DATA!Y373,"AAAAAHN9u40=")</f>
        <v>#VALUE!</v>
      </c>
      <c r="EM87">
        <f>IF(DATA!374:374,"AAAAAHN9u44=",0)</f>
        <v>0</v>
      </c>
      <c r="EN87" t="e">
        <f>AND(DATA!A374,"AAAAAHN9u48=")</f>
        <v>#VALUE!</v>
      </c>
      <c r="EO87" t="e">
        <f>AND(DATA!B374,"AAAAAHN9u5A=")</f>
        <v>#VALUE!</v>
      </c>
      <c r="EP87" t="e">
        <f>AND(DATA!C374,"AAAAAHN9u5E=")</f>
        <v>#VALUE!</v>
      </c>
      <c r="EQ87" t="e">
        <f>AND(DATA!D374,"AAAAAHN9u5I=")</f>
        <v>#VALUE!</v>
      </c>
      <c r="ER87" t="e">
        <f>AND(DATA!E374,"AAAAAHN9u5M=")</f>
        <v>#VALUE!</v>
      </c>
      <c r="ES87" t="e">
        <f>AND(DATA!F374,"AAAAAHN9u5Q=")</f>
        <v>#VALUE!</v>
      </c>
      <c r="ET87" t="e">
        <f>AND(DATA!G374,"AAAAAHN9u5U=")</f>
        <v>#VALUE!</v>
      </c>
      <c r="EU87" t="e">
        <f>AND(DATA!H374,"AAAAAHN9u5Y=")</f>
        <v>#VALUE!</v>
      </c>
      <c r="EV87" t="e">
        <f>AND(DATA!I374,"AAAAAHN9u5c=")</f>
        <v>#VALUE!</v>
      </c>
      <c r="EW87" t="e">
        <f>AND(DATA!J374,"AAAAAHN9u5g=")</f>
        <v>#VALUE!</v>
      </c>
      <c r="EX87" t="e">
        <f>AND(DATA!K374,"AAAAAHN9u5k=")</f>
        <v>#VALUE!</v>
      </c>
      <c r="EY87" t="b">
        <f>AND(DATA!L375,"AAAAAHN9u5o=")</f>
        <v>1</v>
      </c>
      <c r="EZ87" t="b">
        <f>AND(DATA!M375,"AAAAAHN9u5s=")</f>
        <v>1</v>
      </c>
      <c r="FA87" t="b">
        <f>AND(DATA!N375,"AAAAAHN9u5w=")</f>
        <v>1</v>
      </c>
      <c r="FB87" t="b">
        <f>AND(DATA!O375,"AAAAAHN9u50=")</f>
        <v>1</v>
      </c>
      <c r="FC87" t="b">
        <f>AND(DATA!P375,"AAAAAHN9u54=")</f>
        <v>1</v>
      </c>
      <c r="FD87" t="b">
        <f>AND(DATA!Q375,"AAAAAHN9u58=")</f>
        <v>1</v>
      </c>
      <c r="FE87" t="b">
        <f>AND(DATA!R375,"AAAAAHN9u6A=")</f>
        <v>1</v>
      </c>
      <c r="FF87" t="b">
        <f>AND(DATA!S375,"AAAAAHN9u6E=")</f>
        <v>1</v>
      </c>
      <c r="FG87" t="b">
        <f>AND(DATA!T375,"AAAAAHN9u6I=")</f>
        <v>1</v>
      </c>
      <c r="FH87" t="b">
        <f>AND(DATA!U375,"AAAAAHN9u6M=")</f>
        <v>1</v>
      </c>
      <c r="FI87" t="b">
        <f>AND(DATA!V375,"AAAAAHN9u6Q=")</f>
        <v>1</v>
      </c>
      <c r="FJ87" t="e">
        <f>AND(DATA!W374,"AAAAAHN9u6U=")</f>
        <v>#VALUE!</v>
      </c>
      <c r="FK87" t="e">
        <f>AND(DATA!X374,"AAAAAHN9u6Y=")</f>
        <v>#VALUE!</v>
      </c>
      <c r="FL87" t="e">
        <f>AND(DATA!Y374,"AAAAAHN9u6c=")</f>
        <v>#VALUE!</v>
      </c>
      <c r="FM87">
        <f>IF(DATA!375:375,"AAAAAHN9u6g=",0)</f>
        <v>0</v>
      </c>
      <c r="FN87" t="e">
        <f>AND(DATA!A375,"AAAAAHN9u6k=")</f>
        <v>#VALUE!</v>
      </c>
      <c r="FO87" t="e">
        <f>AND(DATA!B375,"AAAAAHN9u6o=")</f>
        <v>#VALUE!</v>
      </c>
      <c r="FP87" t="e">
        <f>AND(DATA!C375,"AAAAAHN9u6s=")</f>
        <v>#VALUE!</v>
      </c>
      <c r="FQ87" t="e">
        <f>AND(DATA!D375,"AAAAAHN9u6w=")</f>
        <v>#VALUE!</v>
      </c>
      <c r="FR87" t="e">
        <f>AND(DATA!E375,"AAAAAHN9u60=")</f>
        <v>#VALUE!</v>
      </c>
      <c r="FS87" t="e">
        <f>AND(DATA!F375,"AAAAAHN9u64=")</f>
        <v>#VALUE!</v>
      </c>
      <c r="FT87" t="e">
        <f>AND(DATA!G375,"AAAAAHN9u68=")</f>
        <v>#VALUE!</v>
      </c>
      <c r="FU87" t="e">
        <f>AND(DATA!H375,"AAAAAHN9u7A=")</f>
        <v>#VALUE!</v>
      </c>
      <c r="FV87" t="e">
        <f>AND(DATA!I375,"AAAAAHN9u7E=")</f>
        <v>#VALUE!</v>
      </c>
      <c r="FW87" t="e">
        <f>AND(DATA!J375,"AAAAAHN9u7I=")</f>
        <v>#VALUE!</v>
      </c>
      <c r="FX87" t="e">
        <f>AND(DATA!K375,"AAAAAHN9u7M=")</f>
        <v>#VALUE!</v>
      </c>
      <c r="FY87" t="b">
        <f>AND(DATA!L376,"AAAAAHN9u7Q=")</f>
        <v>1</v>
      </c>
      <c r="FZ87" t="b">
        <f>AND(DATA!M376,"AAAAAHN9u7U=")</f>
        <v>1</v>
      </c>
      <c r="GA87" t="b">
        <f>AND(DATA!N376,"AAAAAHN9u7Y=")</f>
        <v>1</v>
      </c>
      <c r="GB87" t="b">
        <f>AND(DATA!O376,"AAAAAHN9u7c=")</f>
        <v>1</v>
      </c>
      <c r="GC87" t="b">
        <f>AND(DATA!P376,"AAAAAHN9u7g=")</f>
        <v>1</v>
      </c>
      <c r="GD87" t="b">
        <f>AND(DATA!Q376,"AAAAAHN9u7k=")</f>
        <v>1</v>
      </c>
      <c r="GE87" t="b">
        <f>AND(DATA!R376,"AAAAAHN9u7o=")</f>
        <v>1</v>
      </c>
      <c r="GF87" t="b">
        <f>AND(DATA!S376,"AAAAAHN9u7s=")</f>
        <v>1</v>
      </c>
      <c r="GG87" t="b">
        <f>AND(DATA!T376,"AAAAAHN9u7w=")</f>
        <v>1</v>
      </c>
      <c r="GH87" t="b">
        <f>AND(DATA!U376,"AAAAAHN9u70=")</f>
        <v>1</v>
      </c>
      <c r="GI87" t="b">
        <f>AND(DATA!V376,"AAAAAHN9u74=")</f>
        <v>1</v>
      </c>
      <c r="GJ87" t="e">
        <f>AND(DATA!W375,"AAAAAHN9u78=")</f>
        <v>#VALUE!</v>
      </c>
      <c r="GK87" t="e">
        <f>AND(DATA!X375,"AAAAAHN9u8A=")</f>
        <v>#VALUE!</v>
      </c>
      <c r="GL87" t="e">
        <f>AND(DATA!Y375,"AAAAAHN9u8E=")</f>
        <v>#VALUE!</v>
      </c>
      <c r="GM87">
        <f>IF(DATA!376:376,"AAAAAHN9u8I=",0)</f>
        <v>0</v>
      </c>
      <c r="GN87" t="e">
        <f>AND(DATA!A376,"AAAAAHN9u8M=")</f>
        <v>#VALUE!</v>
      </c>
      <c r="GO87" t="e">
        <f>AND(DATA!B376,"AAAAAHN9u8Q=")</f>
        <v>#VALUE!</v>
      </c>
      <c r="GP87" t="e">
        <f>AND(DATA!C376,"AAAAAHN9u8U=")</f>
        <v>#VALUE!</v>
      </c>
      <c r="GQ87" t="e">
        <f>AND(DATA!D376,"AAAAAHN9u8Y=")</f>
        <v>#VALUE!</v>
      </c>
      <c r="GR87" t="e">
        <f>AND(DATA!E376,"AAAAAHN9u8c=")</f>
        <v>#VALUE!</v>
      </c>
      <c r="GS87" t="e">
        <f>AND(DATA!F376,"AAAAAHN9u8g=")</f>
        <v>#VALUE!</v>
      </c>
      <c r="GT87" t="e">
        <f>AND(DATA!G376,"AAAAAHN9u8k=")</f>
        <v>#VALUE!</v>
      </c>
      <c r="GU87" t="e">
        <f>AND(DATA!H376,"AAAAAHN9u8o=")</f>
        <v>#VALUE!</v>
      </c>
      <c r="GV87" t="e">
        <f>AND(DATA!I376,"AAAAAHN9u8s=")</f>
        <v>#VALUE!</v>
      </c>
      <c r="GW87" t="e">
        <f>AND(DATA!J376,"AAAAAHN9u8w=")</f>
        <v>#VALUE!</v>
      </c>
      <c r="GX87" t="e">
        <f>AND(DATA!K376,"AAAAAHN9u80=")</f>
        <v>#VALUE!</v>
      </c>
      <c r="GY87" t="b">
        <f>AND(DATA!L377,"AAAAAHN9u84=")</f>
        <v>1</v>
      </c>
      <c r="GZ87" t="b">
        <f>AND(DATA!M377,"AAAAAHN9u88=")</f>
        <v>1</v>
      </c>
      <c r="HA87" t="b">
        <f>AND(DATA!N377,"AAAAAHN9u9A=")</f>
        <v>1</v>
      </c>
      <c r="HB87" t="b">
        <f>AND(DATA!O377,"AAAAAHN9u9E=")</f>
        <v>1</v>
      </c>
      <c r="HC87" t="b">
        <f>AND(DATA!P377,"AAAAAHN9u9I=")</f>
        <v>1</v>
      </c>
      <c r="HD87" t="b">
        <f>AND(DATA!Q377,"AAAAAHN9u9M=")</f>
        <v>1</v>
      </c>
      <c r="HE87" t="b">
        <f>AND(DATA!R377,"AAAAAHN9u9Q=")</f>
        <v>1</v>
      </c>
      <c r="HF87" t="b">
        <f>AND(DATA!S377,"AAAAAHN9u9U=")</f>
        <v>1</v>
      </c>
      <c r="HG87" t="b">
        <f>AND(DATA!T377,"AAAAAHN9u9Y=")</f>
        <v>1</v>
      </c>
      <c r="HH87" t="b">
        <f>AND(DATA!U377,"AAAAAHN9u9c=")</f>
        <v>1</v>
      </c>
      <c r="HI87" t="b">
        <f>AND(DATA!V377,"AAAAAHN9u9g=")</f>
        <v>1</v>
      </c>
      <c r="HJ87" t="e">
        <f>AND(DATA!W376,"AAAAAHN9u9k=")</f>
        <v>#VALUE!</v>
      </c>
      <c r="HK87" t="e">
        <f>AND(DATA!X376,"AAAAAHN9u9o=")</f>
        <v>#VALUE!</v>
      </c>
      <c r="HL87" t="e">
        <f>AND(DATA!Y376,"AAAAAHN9u9s=")</f>
        <v>#VALUE!</v>
      </c>
      <c r="HM87">
        <f>IF(DATA!377:377,"AAAAAHN9u9w=",0)</f>
        <v>0</v>
      </c>
      <c r="HN87" t="e">
        <f>AND(DATA!A377,"AAAAAHN9u90=")</f>
        <v>#VALUE!</v>
      </c>
      <c r="HO87" t="e">
        <f>AND(DATA!B377,"AAAAAHN9u94=")</f>
        <v>#VALUE!</v>
      </c>
      <c r="HP87" t="e">
        <f>AND(DATA!C377,"AAAAAHN9u98=")</f>
        <v>#VALUE!</v>
      </c>
      <c r="HQ87" t="e">
        <f>AND(DATA!D377,"AAAAAHN9u+A=")</f>
        <v>#VALUE!</v>
      </c>
      <c r="HR87" t="e">
        <f>AND(DATA!E377,"AAAAAHN9u+E=")</f>
        <v>#VALUE!</v>
      </c>
      <c r="HS87" t="e">
        <f>AND(DATA!F377,"AAAAAHN9u+I=")</f>
        <v>#VALUE!</v>
      </c>
      <c r="HT87" t="e">
        <f>AND(DATA!G377,"AAAAAHN9u+M=")</f>
        <v>#VALUE!</v>
      </c>
      <c r="HU87" t="e">
        <f>AND(DATA!H377,"AAAAAHN9u+Q=")</f>
        <v>#VALUE!</v>
      </c>
      <c r="HV87" t="e">
        <f>AND(DATA!I377,"AAAAAHN9u+U=")</f>
        <v>#VALUE!</v>
      </c>
      <c r="HW87" t="e">
        <f>AND(DATA!J377,"AAAAAHN9u+Y=")</f>
        <v>#VALUE!</v>
      </c>
      <c r="HX87" t="e">
        <f>AND(DATA!K377,"AAAAAHN9u+c=")</f>
        <v>#VALUE!</v>
      </c>
      <c r="HY87" t="b">
        <f>AND(DATA!L378,"AAAAAHN9u+g=")</f>
        <v>1</v>
      </c>
      <c r="HZ87" t="b">
        <f>AND(DATA!M378,"AAAAAHN9u+k=")</f>
        <v>1</v>
      </c>
      <c r="IA87" t="b">
        <f>AND(DATA!N378,"AAAAAHN9u+o=")</f>
        <v>1</v>
      </c>
      <c r="IB87" t="b">
        <f>AND(DATA!O378,"AAAAAHN9u+s=")</f>
        <v>1</v>
      </c>
      <c r="IC87" t="b">
        <f>AND(DATA!P378,"AAAAAHN9u+w=")</f>
        <v>1</v>
      </c>
      <c r="ID87" t="b">
        <f>AND(DATA!Q378,"AAAAAHN9u+0=")</f>
        <v>1</v>
      </c>
      <c r="IE87" t="b">
        <f>AND(DATA!R378,"AAAAAHN9u+4=")</f>
        <v>1</v>
      </c>
      <c r="IF87" t="b">
        <f>AND(DATA!S378,"AAAAAHN9u+8=")</f>
        <v>1</v>
      </c>
      <c r="IG87" t="b">
        <f>AND(DATA!T378,"AAAAAHN9u/A=")</f>
        <v>1</v>
      </c>
      <c r="IH87" t="b">
        <f>AND(DATA!U378,"AAAAAHN9u/E=")</f>
        <v>1</v>
      </c>
      <c r="II87" t="b">
        <f>AND(DATA!V378,"AAAAAHN9u/I=")</f>
        <v>1</v>
      </c>
      <c r="IJ87" t="e">
        <f>AND(DATA!W377,"AAAAAHN9u/M=")</f>
        <v>#VALUE!</v>
      </c>
      <c r="IK87" t="e">
        <f>AND(DATA!X377,"AAAAAHN9u/Q=")</f>
        <v>#VALUE!</v>
      </c>
      <c r="IL87" t="e">
        <f>AND(DATA!Y377,"AAAAAHN9u/U=")</f>
        <v>#VALUE!</v>
      </c>
      <c r="IM87">
        <f>IF(DATA!378:378,"AAAAAHN9u/Y=",0)</f>
        <v>0</v>
      </c>
      <c r="IN87" t="e">
        <f>AND(DATA!A378,"AAAAAHN9u/c=")</f>
        <v>#VALUE!</v>
      </c>
      <c r="IO87" t="e">
        <f>AND(DATA!B378,"AAAAAHN9u/g=")</f>
        <v>#VALUE!</v>
      </c>
      <c r="IP87" t="e">
        <f>AND(DATA!C378,"AAAAAHN9u/k=")</f>
        <v>#VALUE!</v>
      </c>
      <c r="IQ87" t="e">
        <f>AND(DATA!D378,"AAAAAHN9u/o=")</f>
        <v>#VALUE!</v>
      </c>
      <c r="IR87" t="e">
        <f>AND(DATA!E378,"AAAAAHN9u/s=")</f>
        <v>#VALUE!</v>
      </c>
      <c r="IS87" t="e">
        <f>AND(DATA!F378,"AAAAAHN9u/w=")</f>
        <v>#VALUE!</v>
      </c>
      <c r="IT87" t="e">
        <f>AND(DATA!G378,"AAAAAHN9u/0=")</f>
        <v>#VALUE!</v>
      </c>
      <c r="IU87" t="e">
        <f>AND(DATA!H378,"AAAAAHN9u/4=")</f>
        <v>#VALUE!</v>
      </c>
      <c r="IV87" t="e">
        <f>AND(DATA!I378,"AAAAAHN9u/8=")</f>
        <v>#VALUE!</v>
      </c>
    </row>
    <row r="88" spans="1:256" x14ac:dyDescent="0.25">
      <c r="A88" t="e">
        <f>AND(DATA!J378,"AAAAAFW7/wA=")</f>
        <v>#VALUE!</v>
      </c>
      <c r="B88" t="e">
        <f>AND(DATA!K378,"AAAAAFW7/wE=")</f>
        <v>#VALUE!</v>
      </c>
      <c r="C88" t="b">
        <f>AND(DATA!L379,"AAAAAFW7/wI=")</f>
        <v>1</v>
      </c>
      <c r="D88" t="b">
        <f>AND(DATA!M379,"AAAAAFW7/wM=")</f>
        <v>1</v>
      </c>
      <c r="E88" t="b">
        <f>AND(DATA!N379,"AAAAAFW7/wQ=")</f>
        <v>1</v>
      </c>
      <c r="F88" t="b">
        <f>AND(DATA!O379,"AAAAAFW7/wU=")</f>
        <v>1</v>
      </c>
      <c r="G88" t="b">
        <f>AND(DATA!P379,"AAAAAFW7/wY=")</f>
        <v>1</v>
      </c>
      <c r="H88" t="b">
        <f>AND(DATA!Q379,"AAAAAFW7/wc=")</f>
        <v>1</v>
      </c>
      <c r="I88" t="b">
        <f>AND(DATA!R379,"AAAAAFW7/wg=")</f>
        <v>1</v>
      </c>
      <c r="J88" t="b">
        <f>AND(DATA!S379,"AAAAAFW7/wk=")</f>
        <v>1</v>
      </c>
      <c r="K88" t="b">
        <f>AND(DATA!T379,"AAAAAFW7/wo=")</f>
        <v>1</v>
      </c>
      <c r="L88" t="b">
        <f>AND(DATA!U379,"AAAAAFW7/ws=")</f>
        <v>1</v>
      </c>
      <c r="M88" t="b">
        <f>AND(DATA!V379,"AAAAAFW7/ww=")</f>
        <v>1</v>
      </c>
      <c r="N88" t="e">
        <f>AND(DATA!W378,"AAAAAFW7/w0=")</f>
        <v>#VALUE!</v>
      </c>
      <c r="O88" t="e">
        <f>AND(DATA!X378,"AAAAAFW7/w4=")</f>
        <v>#VALUE!</v>
      </c>
      <c r="P88" t="e">
        <f>AND(DATA!Y378,"AAAAAFW7/w8=")</f>
        <v>#VALUE!</v>
      </c>
      <c r="Q88" t="str">
        <f>IF(DATA!379:379,"AAAAAFW7/xA=",0)</f>
        <v>AAAAAFW7/xA=</v>
      </c>
      <c r="R88" t="e">
        <f>AND(DATA!A379,"AAAAAFW7/xE=")</f>
        <v>#VALUE!</v>
      </c>
      <c r="S88" t="e">
        <f>AND(DATA!B379,"AAAAAFW7/xI=")</f>
        <v>#VALUE!</v>
      </c>
      <c r="T88" t="e">
        <f>AND(DATA!C379,"AAAAAFW7/xM=")</f>
        <v>#VALUE!</v>
      </c>
      <c r="U88" t="e">
        <f>AND(DATA!D379,"AAAAAFW7/xQ=")</f>
        <v>#VALUE!</v>
      </c>
      <c r="V88" t="e">
        <f>AND(DATA!E379,"AAAAAFW7/xU=")</f>
        <v>#VALUE!</v>
      </c>
      <c r="W88" t="e">
        <f>AND(DATA!F379,"AAAAAFW7/xY=")</f>
        <v>#VALUE!</v>
      </c>
      <c r="X88" t="e">
        <f>AND(DATA!G379,"AAAAAFW7/xc=")</f>
        <v>#VALUE!</v>
      </c>
      <c r="Y88" t="e">
        <f>AND(DATA!H379,"AAAAAFW7/xg=")</f>
        <v>#VALUE!</v>
      </c>
      <c r="Z88" t="e">
        <f>AND(DATA!I379,"AAAAAFW7/xk=")</f>
        <v>#VALUE!</v>
      </c>
      <c r="AA88" t="e">
        <f>AND(DATA!J379,"AAAAAFW7/xo=")</f>
        <v>#VALUE!</v>
      </c>
      <c r="AB88" t="e">
        <f>AND(DATA!K379,"AAAAAFW7/xs=")</f>
        <v>#VALUE!</v>
      </c>
      <c r="AC88" t="b">
        <f>AND(DATA!L380,"AAAAAFW7/xw=")</f>
        <v>1</v>
      </c>
      <c r="AD88" t="b">
        <f>AND(DATA!M380,"AAAAAFW7/x0=")</f>
        <v>1</v>
      </c>
      <c r="AE88" t="b">
        <f>AND(DATA!N380,"AAAAAFW7/x4=")</f>
        <v>1</v>
      </c>
      <c r="AF88" t="b">
        <f>AND(DATA!O380,"AAAAAFW7/x8=")</f>
        <v>1</v>
      </c>
      <c r="AG88" t="b">
        <f>AND(DATA!P380,"AAAAAFW7/yA=")</f>
        <v>1</v>
      </c>
      <c r="AH88" t="b">
        <f>AND(DATA!Q380,"AAAAAFW7/yE=")</f>
        <v>1</v>
      </c>
      <c r="AI88" t="b">
        <f>AND(DATA!R380,"AAAAAFW7/yI=")</f>
        <v>1</v>
      </c>
      <c r="AJ88" t="b">
        <f>AND(DATA!S380,"AAAAAFW7/yM=")</f>
        <v>1</v>
      </c>
      <c r="AK88" t="b">
        <f>AND(DATA!T380,"AAAAAFW7/yQ=")</f>
        <v>1</v>
      </c>
      <c r="AL88" t="b">
        <f>AND(DATA!U380,"AAAAAFW7/yU=")</f>
        <v>1</v>
      </c>
      <c r="AM88" t="b">
        <f>AND(DATA!V380,"AAAAAFW7/yY=")</f>
        <v>1</v>
      </c>
      <c r="AN88" t="e">
        <f>AND(DATA!W379,"AAAAAFW7/yc=")</f>
        <v>#VALUE!</v>
      </c>
      <c r="AO88" t="e">
        <f>AND(DATA!X379,"AAAAAFW7/yg=")</f>
        <v>#VALUE!</v>
      </c>
      <c r="AP88" t="e">
        <f>AND(DATA!Y379,"AAAAAFW7/yk=")</f>
        <v>#VALUE!</v>
      </c>
      <c r="AQ88">
        <f>IF(DATA!380:380,"AAAAAFW7/yo=",0)</f>
        <v>0</v>
      </c>
      <c r="AR88" t="e">
        <f>AND(DATA!A380,"AAAAAFW7/ys=")</f>
        <v>#VALUE!</v>
      </c>
      <c r="AS88" t="e">
        <f>AND(DATA!B380,"AAAAAFW7/yw=")</f>
        <v>#VALUE!</v>
      </c>
      <c r="AT88" t="e">
        <f>AND(DATA!C380,"AAAAAFW7/y0=")</f>
        <v>#VALUE!</v>
      </c>
      <c r="AU88" t="e">
        <f>AND(DATA!D380,"AAAAAFW7/y4=")</f>
        <v>#VALUE!</v>
      </c>
      <c r="AV88" t="e">
        <f>AND(DATA!E380,"AAAAAFW7/y8=")</f>
        <v>#VALUE!</v>
      </c>
      <c r="AW88" t="e">
        <f>AND(DATA!F380,"AAAAAFW7/zA=")</f>
        <v>#VALUE!</v>
      </c>
      <c r="AX88" t="e">
        <f>AND(DATA!G380,"AAAAAFW7/zE=")</f>
        <v>#VALUE!</v>
      </c>
      <c r="AY88" t="e">
        <f>AND(DATA!H380,"AAAAAFW7/zI=")</f>
        <v>#VALUE!</v>
      </c>
      <c r="AZ88" t="e">
        <f>AND(DATA!I380,"AAAAAFW7/zM=")</f>
        <v>#VALUE!</v>
      </c>
      <c r="BA88" t="e">
        <f>AND(DATA!J380,"AAAAAFW7/zQ=")</f>
        <v>#VALUE!</v>
      </c>
      <c r="BB88" t="e">
        <f>AND(DATA!K380,"AAAAAFW7/zU=")</f>
        <v>#VALUE!</v>
      </c>
      <c r="BC88" t="b">
        <f>AND(DATA!L381,"AAAAAFW7/zY=")</f>
        <v>1</v>
      </c>
      <c r="BD88" t="b">
        <f>AND(DATA!M381,"AAAAAFW7/zc=")</f>
        <v>1</v>
      </c>
      <c r="BE88" t="b">
        <f>AND(DATA!N381,"AAAAAFW7/zg=")</f>
        <v>1</v>
      </c>
      <c r="BF88" t="b">
        <f>AND(DATA!O381,"AAAAAFW7/zk=")</f>
        <v>1</v>
      </c>
      <c r="BG88" t="b">
        <f>AND(DATA!P381,"AAAAAFW7/zo=")</f>
        <v>1</v>
      </c>
      <c r="BH88" t="b">
        <f>AND(DATA!Q381,"AAAAAFW7/zs=")</f>
        <v>1</v>
      </c>
      <c r="BI88" t="b">
        <f>AND(DATA!R381,"AAAAAFW7/zw=")</f>
        <v>1</v>
      </c>
      <c r="BJ88" t="b">
        <f>AND(DATA!S381,"AAAAAFW7/z0=")</f>
        <v>1</v>
      </c>
      <c r="BK88" t="b">
        <f>AND(DATA!T381,"AAAAAFW7/z4=")</f>
        <v>1</v>
      </c>
      <c r="BL88" t="b">
        <f>AND(DATA!U381,"AAAAAFW7/z8=")</f>
        <v>1</v>
      </c>
      <c r="BM88" t="b">
        <f>AND(DATA!V381,"AAAAAFW7/0A=")</f>
        <v>1</v>
      </c>
      <c r="BN88" t="e">
        <f>AND(DATA!W380,"AAAAAFW7/0E=")</f>
        <v>#VALUE!</v>
      </c>
      <c r="BO88" t="e">
        <f>AND(DATA!X380,"AAAAAFW7/0I=")</f>
        <v>#VALUE!</v>
      </c>
      <c r="BP88" t="e">
        <f>AND(DATA!Y380,"AAAAAFW7/0M=")</f>
        <v>#VALUE!</v>
      </c>
      <c r="BQ88">
        <f>IF(DATA!381:381,"AAAAAFW7/0Q=",0)</f>
        <v>0</v>
      </c>
      <c r="BR88" t="e">
        <f>AND(DATA!A381,"AAAAAFW7/0U=")</f>
        <v>#VALUE!</v>
      </c>
      <c r="BS88" t="e">
        <f>AND(DATA!B381,"AAAAAFW7/0Y=")</f>
        <v>#VALUE!</v>
      </c>
      <c r="BT88" t="e">
        <f>AND(DATA!C381,"AAAAAFW7/0c=")</f>
        <v>#VALUE!</v>
      </c>
      <c r="BU88" t="e">
        <f>AND(DATA!D381,"AAAAAFW7/0g=")</f>
        <v>#VALUE!</v>
      </c>
      <c r="BV88" t="e">
        <f>AND(DATA!E381,"AAAAAFW7/0k=")</f>
        <v>#VALUE!</v>
      </c>
      <c r="BW88" t="e">
        <f>AND(DATA!F381,"AAAAAFW7/0o=")</f>
        <v>#VALUE!</v>
      </c>
      <c r="BX88" t="e">
        <f>AND(DATA!G381,"AAAAAFW7/0s=")</f>
        <v>#VALUE!</v>
      </c>
      <c r="BY88" t="e">
        <f>AND(DATA!H381,"AAAAAFW7/0w=")</f>
        <v>#VALUE!</v>
      </c>
      <c r="BZ88" t="e">
        <f>AND(DATA!I381,"AAAAAFW7/00=")</f>
        <v>#VALUE!</v>
      </c>
      <c r="CA88" t="e">
        <f>AND(DATA!J381,"AAAAAFW7/04=")</f>
        <v>#VALUE!</v>
      </c>
      <c r="CB88" t="e">
        <f>AND(DATA!K381,"AAAAAFW7/08=")</f>
        <v>#VALUE!</v>
      </c>
      <c r="CC88" t="b">
        <f>AND(DATA!L382,"AAAAAFW7/1A=")</f>
        <v>1</v>
      </c>
      <c r="CD88" t="b">
        <f>AND(DATA!M382,"AAAAAFW7/1E=")</f>
        <v>1</v>
      </c>
      <c r="CE88" t="b">
        <f>AND(DATA!N382,"AAAAAFW7/1I=")</f>
        <v>1</v>
      </c>
      <c r="CF88" t="b">
        <f>AND(DATA!O382,"AAAAAFW7/1M=")</f>
        <v>1</v>
      </c>
      <c r="CG88" t="b">
        <f>AND(DATA!P382,"AAAAAFW7/1Q=")</f>
        <v>1</v>
      </c>
      <c r="CH88" t="b">
        <f>AND(DATA!Q382,"AAAAAFW7/1U=")</f>
        <v>1</v>
      </c>
      <c r="CI88" t="b">
        <f>AND(DATA!R382,"AAAAAFW7/1Y=")</f>
        <v>1</v>
      </c>
      <c r="CJ88" t="b">
        <f>AND(DATA!S382,"AAAAAFW7/1c=")</f>
        <v>1</v>
      </c>
      <c r="CK88" t="b">
        <f>AND(DATA!T382,"AAAAAFW7/1g=")</f>
        <v>1</v>
      </c>
      <c r="CL88" t="b">
        <f>AND(DATA!U382,"AAAAAFW7/1k=")</f>
        <v>1</v>
      </c>
      <c r="CM88" t="b">
        <f>AND(DATA!V382,"AAAAAFW7/1o=")</f>
        <v>1</v>
      </c>
      <c r="CN88" t="e">
        <f>AND(DATA!W381,"AAAAAFW7/1s=")</f>
        <v>#VALUE!</v>
      </c>
      <c r="CO88" t="e">
        <f>AND(DATA!X381,"AAAAAFW7/1w=")</f>
        <v>#VALUE!</v>
      </c>
      <c r="CP88" t="e">
        <f>AND(DATA!Y381,"AAAAAFW7/10=")</f>
        <v>#VALUE!</v>
      </c>
      <c r="CQ88">
        <f>IF(DATA!382:382,"AAAAAFW7/14=",0)</f>
        <v>0</v>
      </c>
      <c r="CR88" t="e">
        <f>AND(DATA!A382,"AAAAAFW7/18=")</f>
        <v>#VALUE!</v>
      </c>
      <c r="CS88" t="e">
        <f>AND(DATA!B382,"AAAAAFW7/2A=")</f>
        <v>#VALUE!</v>
      </c>
      <c r="CT88" t="e">
        <f>AND(DATA!C382,"AAAAAFW7/2E=")</f>
        <v>#VALUE!</v>
      </c>
      <c r="CU88" t="e">
        <f>AND(DATA!D382,"AAAAAFW7/2I=")</f>
        <v>#VALUE!</v>
      </c>
      <c r="CV88" t="e">
        <f>AND(DATA!E382,"AAAAAFW7/2M=")</f>
        <v>#VALUE!</v>
      </c>
      <c r="CW88" t="e">
        <f>AND(DATA!F382,"AAAAAFW7/2Q=")</f>
        <v>#VALUE!</v>
      </c>
      <c r="CX88" t="e">
        <f>AND(DATA!G382,"AAAAAFW7/2U=")</f>
        <v>#VALUE!</v>
      </c>
      <c r="CY88" t="e">
        <f>AND(DATA!H382,"AAAAAFW7/2Y=")</f>
        <v>#VALUE!</v>
      </c>
      <c r="CZ88" t="e">
        <f>AND(DATA!I382,"AAAAAFW7/2c=")</f>
        <v>#VALUE!</v>
      </c>
      <c r="DA88" t="e">
        <f>AND(DATA!J382,"AAAAAFW7/2g=")</f>
        <v>#VALUE!</v>
      </c>
      <c r="DB88" t="e">
        <f>AND(DATA!K382,"AAAAAFW7/2k=")</f>
        <v>#VALUE!</v>
      </c>
      <c r="DC88" t="b">
        <f>AND(DATA!L383,"AAAAAFW7/2o=")</f>
        <v>1</v>
      </c>
      <c r="DD88" t="b">
        <f>AND(DATA!M383,"AAAAAFW7/2s=")</f>
        <v>1</v>
      </c>
      <c r="DE88" t="b">
        <f>AND(DATA!N383,"AAAAAFW7/2w=")</f>
        <v>1</v>
      </c>
      <c r="DF88" t="b">
        <f>AND(DATA!O383,"AAAAAFW7/20=")</f>
        <v>1</v>
      </c>
      <c r="DG88" t="b">
        <f>AND(DATA!P383,"AAAAAFW7/24=")</f>
        <v>1</v>
      </c>
      <c r="DH88" t="b">
        <f>AND(DATA!Q383,"AAAAAFW7/28=")</f>
        <v>1</v>
      </c>
      <c r="DI88" t="b">
        <f>AND(DATA!R383,"AAAAAFW7/3A=")</f>
        <v>1</v>
      </c>
      <c r="DJ88" t="b">
        <f>AND(DATA!S383,"AAAAAFW7/3E=")</f>
        <v>1</v>
      </c>
      <c r="DK88" t="b">
        <f>AND(DATA!T383,"AAAAAFW7/3I=")</f>
        <v>1</v>
      </c>
      <c r="DL88" t="b">
        <f>AND(DATA!U383,"AAAAAFW7/3M=")</f>
        <v>1</v>
      </c>
      <c r="DM88" t="b">
        <f>AND(DATA!V383,"AAAAAFW7/3Q=")</f>
        <v>1</v>
      </c>
      <c r="DN88" t="e">
        <f>AND(DATA!W382,"AAAAAFW7/3U=")</f>
        <v>#VALUE!</v>
      </c>
      <c r="DO88" t="e">
        <f>AND(DATA!X382,"AAAAAFW7/3Y=")</f>
        <v>#VALUE!</v>
      </c>
      <c r="DP88" t="e">
        <f>AND(DATA!Y382,"AAAAAFW7/3c=")</f>
        <v>#VALUE!</v>
      </c>
      <c r="DQ88">
        <f>IF(DATA!383:383,"AAAAAFW7/3g=",0)</f>
        <v>0</v>
      </c>
      <c r="DR88" t="e">
        <f>AND(DATA!A383,"AAAAAFW7/3k=")</f>
        <v>#VALUE!</v>
      </c>
      <c r="DS88" t="e">
        <f>AND(DATA!B383,"AAAAAFW7/3o=")</f>
        <v>#VALUE!</v>
      </c>
      <c r="DT88" t="e">
        <f>AND(DATA!C383,"AAAAAFW7/3s=")</f>
        <v>#VALUE!</v>
      </c>
      <c r="DU88" t="e">
        <f>AND(DATA!D383,"AAAAAFW7/3w=")</f>
        <v>#VALUE!</v>
      </c>
      <c r="DV88" t="e">
        <f>AND(DATA!E383,"AAAAAFW7/30=")</f>
        <v>#VALUE!</v>
      </c>
      <c r="DW88" t="e">
        <f>AND(DATA!F383,"AAAAAFW7/34=")</f>
        <v>#VALUE!</v>
      </c>
      <c r="DX88" t="e">
        <f>AND(DATA!G383,"AAAAAFW7/38=")</f>
        <v>#VALUE!</v>
      </c>
      <c r="DY88" t="e">
        <f>AND(DATA!H383,"AAAAAFW7/4A=")</f>
        <v>#VALUE!</v>
      </c>
      <c r="DZ88" t="e">
        <f>AND(DATA!I383,"AAAAAFW7/4E=")</f>
        <v>#VALUE!</v>
      </c>
      <c r="EA88" t="e">
        <f>AND(DATA!J383,"AAAAAFW7/4I=")</f>
        <v>#VALUE!</v>
      </c>
      <c r="EB88" t="e">
        <f>AND(DATA!K383,"AAAAAFW7/4M=")</f>
        <v>#VALUE!</v>
      </c>
      <c r="EC88" t="b">
        <f>AND(DATA!L384,"AAAAAFW7/4Q=")</f>
        <v>1</v>
      </c>
      <c r="ED88" t="b">
        <f>AND(DATA!M384,"AAAAAFW7/4U=")</f>
        <v>1</v>
      </c>
      <c r="EE88" t="b">
        <f>AND(DATA!N384,"AAAAAFW7/4Y=")</f>
        <v>1</v>
      </c>
      <c r="EF88" t="b">
        <f>AND(DATA!O384,"AAAAAFW7/4c=")</f>
        <v>1</v>
      </c>
      <c r="EG88" t="b">
        <f>AND(DATA!P384,"AAAAAFW7/4g=")</f>
        <v>1</v>
      </c>
      <c r="EH88" t="b">
        <f>AND(DATA!Q384,"AAAAAFW7/4k=")</f>
        <v>1</v>
      </c>
      <c r="EI88" t="b">
        <f>AND(DATA!R384,"AAAAAFW7/4o=")</f>
        <v>1</v>
      </c>
      <c r="EJ88" t="b">
        <f>AND(DATA!S384,"AAAAAFW7/4s=")</f>
        <v>1</v>
      </c>
      <c r="EK88" t="b">
        <f>AND(DATA!T384,"AAAAAFW7/4w=")</f>
        <v>1</v>
      </c>
      <c r="EL88" t="b">
        <f>AND(DATA!U384,"AAAAAFW7/40=")</f>
        <v>1</v>
      </c>
      <c r="EM88" t="b">
        <f>AND(DATA!V384,"AAAAAFW7/44=")</f>
        <v>1</v>
      </c>
      <c r="EN88" t="e">
        <f>AND(DATA!W383,"AAAAAFW7/48=")</f>
        <v>#VALUE!</v>
      </c>
      <c r="EO88" t="e">
        <f>AND(DATA!X383,"AAAAAFW7/5A=")</f>
        <v>#VALUE!</v>
      </c>
      <c r="EP88" t="e">
        <f>AND(DATA!Y383,"AAAAAFW7/5E=")</f>
        <v>#VALUE!</v>
      </c>
      <c r="EQ88">
        <f>IF(DATA!384:384,"AAAAAFW7/5I=",0)</f>
        <v>0</v>
      </c>
      <c r="ER88" t="e">
        <f>AND(DATA!A384,"AAAAAFW7/5M=")</f>
        <v>#VALUE!</v>
      </c>
      <c r="ES88" t="e">
        <f>AND(DATA!B384,"AAAAAFW7/5Q=")</f>
        <v>#VALUE!</v>
      </c>
      <c r="ET88" t="e">
        <f>AND(DATA!C384,"AAAAAFW7/5U=")</f>
        <v>#VALUE!</v>
      </c>
      <c r="EU88" t="e">
        <f>AND(DATA!D384,"AAAAAFW7/5Y=")</f>
        <v>#VALUE!</v>
      </c>
      <c r="EV88" t="e">
        <f>AND(DATA!E384,"AAAAAFW7/5c=")</f>
        <v>#VALUE!</v>
      </c>
      <c r="EW88" t="e">
        <f>AND(DATA!F384,"AAAAAFW7/5g=")</f>
        <v>#VALUE!</v>
      </c>
      <c r="EX88" t="e">
        <f>AND(DATA!G384,"AAAAAFW7/5k=")</f>
        <v>#VALUE!</v>
      </c>
      <c r="EY88" t="e">
        <f>AND(DATA!H384,"AAAAAFW7/5o=")</f>
        <v>#VALUE!</v>
      </c>
      <c r="EZ88" t="e">
        <f>AND(DATA!I384,"AAAAAFW7/5s=")</f>
        <v>#VALUE!</v>
      </c>
      <c r="FA88" t="e">
        <f>AND(DATA!J384,"AAAAAFW7/5w=")</f>
        <v>#VALUE!</v>
      </c>
      <c r="FB88" t="e">
        <f>AND(DATA!K384,"AAAAAFW7/50=")</f>
        <v>#VALUE!</v>
      </c>
      <c r="FC88" t="b">
        <f>AND(DATA!L385,"AAAAAFW7/54=")</f>
        <v>1</v>
      </c>
      <c r="FD88" t="b">
        <f>AND(DATA!M385,"AAAAAFW7/58=")</f>
        <v>1</v>
      </c>
      <c r="FE88" t="b">
        <f>AND(DATA!N385,"AAAAAFW7/6A=")</f>
        <v>1</v>
      </c>
      <c r="FF88" t="b">
        <f>AND(DATA!O385,"AAAAAFW7/6E=")</f>
        <v>1</v>
      </c>
      <c r="FG88" t="b">
        <f>AND(DATA!P385,"AAAAAFW7/6I=")</f>
        <v>1</v>
      </c>
      <c r="FH88" t="b">
        <f>AND(DATA!Q385,"AAAAAFW7/6M=")</f>
        <v>1</v>
      </c>
      <c r="FI88" t="b">
        <f>AND(DATA!R385,"AAAAAFW7/6Q=")</f>
        <v>1</v>
      </c>
      <c r="FJ88" t="b">
        <f>AND(DATA!S385,"AAAAAFW7/6U=")</f>
        <v>1</v>
      </c>
      <c r="FK88" t="b">
        <f>AND(DATA!T385,"AAAAAFW7/6Y=")</f>
        <v>1</v>
      </c>
      <c r="FL88" t="b">
        <f>AND(DATA!U385,"AAAAAFW7/6c=")</f>
        <v>1</v>
      </c>
      <c r="FM88" t="b">
        <f>AND(DATA!V385,"AAAAAFW7/6g=")</f>
        <v>1</v>
      </c>
      <c r="FN88" t="e">
        <f>AND(DATA!W384,"AAAAAFW7/6k=")</f>
        <v>#VALUE!</v>
      </c>
      <c r="FO88" t="e">
        <f>AND(DATA!X384,"AAAAAFW7/6o=")</f>
        <v>#VALUE!</v>
      </c>
      <c r="FP88" t="e">
        <f>AND(DATA!Y384,"AAAAAFW7/6s=")</f>
        <v>#VALUE!</v>
      </c>
      <c r="FQ88">
        <f>IF(DATA!385:385,"AAAAAFW7/6w=",0)</f>
        <v>0</v>
      </c>
      <c r="FR88" t="e">
        <f>AND(DATA!A385,"AAAAAFW7/60=")</f>
        <v>#VALUE!</v>
      </c>
      <c r="FS88" t="e">
        <f>AND(DATA!B385,"AAAAAFW7/64=")</f>
        <v>#VALUE!</v>
      </c>
      <c r="FT88" t="e">
        <f>AND(DATA!C385,"AAAAAFW7/68=")</f>
        <v>#VALUE!</v>
      </c>
      <c r="FU88" t="e">
        <f>AND(DATA!D385,"AAAAAFW7/7A=")</f>
        <v>#VALUE!</v>
      </c>
      <c r="FV88" t="e">
        <f>AND(DATA!E385,"AAAAAFW7/7E=")</f>
        <v>#VALUE!</v>
      </c>
      <c r="FW88" t="e">
        <f>AND(DATA!F385,"AAAAAFW7/7I=")</f>
        <v>#VALUE!</v>
      </c>
      <c r="FX88" t="e">
        <f>AND(DATA!G385,"AAAAAFW7/7M=")</f>
        <v>#VALUE!</v>
      </c>
      <c r="FY88" t="e">
        <f>AND(DATA!H385,"AAAAAFW7/7Q=")</f>
        <v>#VALUE!</v>
      </c>
      <c r="FZ88" t="e">
        <f>AND(DATA!I385,"AAAAAFW7/7U=")</f>
        <v>#VALUE!</v>
      </c>
      <c r="GA88" t="e">
        <f>AND(DATA!J385,"AAAAAFW7/7Y=")</f>
        <v>#VALUE!</v>
      </c>
      <c r="GB88" t="e">
        <f>AND(DATA!K385,"AAAAAFW7/7c=")</f>
        <v>#VALUE!</v>
      </c>
      <c r="GC88" t="b">
        <f>AND(DATA!L386,"AAAAAFW7/7g=")</f>
        <v>1</v>
      </c>
      <c r="GD88" t="b">
        <f>AND(DATA!M386,"AAAAAFW7/7k=")</f>
        <v>1</v>
      </c>
      <c r="GE88" t="b">
        <f>AND(DATA!N386,"AAAAAFW7/7o=")</f>
        <v>1</v>
      </c>
      <c r="GF88" t="b">
        <f>AND(DATA!O386,"AAAAAFW7/7s=")</f>
        <v>1</v>
      </c>
      <c r="GG88" t="b">
        <f>AND(DATA!P386,"AAAAAFW7/7w=")</f>
        <v>1</v>
      </c>
      <c r="GH88" t="b">
        <f>AND(DATA!Q386,"AAAAAFW7/70=")</f>
        <v>1</v>
      </c>
      <c r="GI88" t="b">
        <f>AND(DATA!R386,"AAAAAFW7/74=")</f>
        <v>1</v>
      </c>
      <c r="GJ88" t="b">
        <f>AND(DATA!S386,"AAAAAFW7/78=")</f>
        <v>1</v>
      </c>
      <c r="GK88" t="b">
        <f>AND(DATA!T386,"AAAAAFW7/8A=")</f>
        <v>1</v>
      </c>
      <c r="GL88" t="b">
        <f>AND(DATA!U386,"AAAAAFW7/8E=")</f>
        <v>1</v>
      </c>
      <c r="GM88" t="b">
        <f>AND(DATA!V386,"AAAAAFW7/8I=")</f>
        <v>1</v>
      </c>
      <c r="GN88" t="e">
        <f>AND(DATA!W385,"AAAAAFW7/8M=")</f>
        <v>#VALUE!</v>
      </c>
      <c r="GO88" t="e">
        <f>AND(DATA!X385,"AAAAAFW7/8Q=")</f>
        <v>#VALUE!</v>
      </c>
      <c r="GP88" t="e">
        <f>AND(DATA!Y385,"AAAAAFW7/8U=")</f>
        <v>#VALUE!</v>
      </c>
      <c r="GQ88">
        <f>IF(DATA!386:386,"AAAAAFW7/8Y=",0)</f>
        <v>0</v>
      </c>
      <c r="GR88" t="e">
        <f>AND(DATA!A386,"AAAAAFW7/8c=")</f>
        <v>#VALUE!</v>
      </c>
      <c r="GS88" t="e">
        <f>AND(DATA!B386,"AAAAAFW7/8g=")</f>
        <v>#VALUE!</v>
      </c>
      <c r="GT88" t="e">
        <f>AND(DATA!C386,"AAAAAFW7/8k=")</f>
        <v>#VALUE!</v>
      </c>
      <c r="GU88" t="e">
        <f>AND(DATA!D386,"AAAAAFW7/8o=")</f>
        <v>#VALUE!</v>
      </c>
      <c r="GV88" t="e">
        <f>AND(DATA!E386,"AAAAAFW7/8s=")</f>
        <v>#VALUE!</v>
      </c>
      <c r="GW88" t="e">
        <f>AND(DATA!F386,"AAAAAFW7/8w=")</f>
        <v>#VALUE!</v>
      </c>
      <c r="GX88" t="e">
        <f>AND(DATA!G386,"AAAAAFW7/80=")</f>
        <v>#VALUE!</v>
      </c>
      <c r="GY88" t="e">
        <f>AND(DATA!H386,"AAAAAFW7/84=")</f>
        <v>#VALUE!</v>
      </c>
      <c r="GZ88" t="e">
        <f>AND(DATA!I386,"AAAAAFW7/88=")</f>
        <v>#VALUE!</v>
      </c>
      <c r="HA88" t="e">
        <f>AND(DATA!J386,"AAAAAFW7/9A=")</f>
        <v>#VALUE!</v>
      </c>
      <c r="HB88" t="e">
        <f>AND(DATA!K386,"AAAAAFW7/9E=")</f>
        <v>#VALUE!</v>
      </c>
      <c r="HC88" t="b">
        <f>AND(DATA!L387,"AAAAAFW7/9I=")</f>
        <v>1</v>
      </c>
      <c r="HD88" t="b">
        <f>AND(DATA!M387,"AAAAAFW7/9M=")</f>
        <v>1</v>
      </c>
      <c r="HE88" t="b">
        <f>AND(DATA!N387,"AAAAAFW7/9Q=")</f>
        <v>1</v>
      </c>
      <c r="HF88" t="b">
        <f>AND(DATA!O387,"AAAAAFW7/9U=")</f>
        <v>1</v>
      </c>
      <c r="HG88" t="b">
        <f>AND(DATA!P387,"AAAAAFW7/9Y=")</f>
        <v>1</v>
      </c>
      <c r="HH88" t="b">
        <f>AND(DATA!Q387,"AAAAAFW7/9c=")</f>
        <v>1</v>
      </c>
      <c r="HI88" t="b">
        <f>AND(DATA!R387,"AAAAAFW7/9g=")</f>
        <v>1</v>
      </c>
      <c r="HJ88" t="b">
        <f>AND(DATA!S387,"AAAAAFW7/9k=")</f>
        <v>1</v>
      </c>
      <c r="HK88" t="b">
        <f>AND(DATA!T387,"AAAAAFW7/9o=")</f>
        <v>1</v>
      </c>
      <c r="HL88" t="b">
        <f>AND(DATA!U387,"AAAAAFW7/9s=")</f>
        <v>1</v>
      </c>
      <c r="HM88" t="b">
        <f>AND(DATA!V387,"AAAAAFW7/9w=")</f>
        <v>1</v>
      </c>
      <c r="HN88" t="e">
        <f>AND(DATA!W386,"AAAAAFW7/90=")</f>
        <v>#VALUE!</v>
      </c>
      <c r="HO88" t="e">
        <f>AND(DATA!X386,"AAAAAFW7/94=")</f>
        <v>#VALUE!</v>
      </c>
      <c r="HP88" t="e">
        <f>AND(DATA!Y386,"AAAAAFW7/98=")</f>
        <v>#VALUE!</v>
      </c>
      <c r="HQ88">
        <f>IF(DATA!387:387,"AAAAAFW7/+A=",0)</f>
        <v>0</v>
      </c>
      <c r="HR88" t="e">
        <f>AND(DATA!A387,"AAAAAFW7/+E=")</f>
        <v>#VALUE!</v>
      </c>
      <c r="HS88" t="e">
        <f>AND(DATA!B387,"AAAAAFW7/+I=")</f>
        <v>#VALUE!</v>
      </c>
      <c r="HT88" t="e">
        <f>AND(DATA!C387,"AAAAAFW7/+M=")</f>
        <v>#VALUE!</v>
      </c>
      <c r="HU88" t="e">
        <f>AND(DATA!D387,"AAAAAFW7/+Q=")</f>
        <v>#VALUE!</v>
      </c>
      <c r="HV88" t="e">
        <f>AND(DATA!E387,"AAAAAFW7/+U=")</f>
        <v>#VALUE!</v>
      </c>
      <c r="HW88" t="e">
        <f>AND(DATA!F387,"AAAAAFW7/+Y=")</f>
        <v>#VALUE!</v>
      </c>
      <c r="HX88" t="e">
        <f>AND(DATA!G387,"AAAAAFW7/+c=")</f>
        <v>#VALUE!</v>
      </c>
      <c r="HY88" t="e">
        <f>AND(DATA!H387,"AAAAAFW7/+g=")</f>
        <v>#VALUE!</v>
      </c>
      <c r="HZ88" t="e">
        <f>AND(DATA!I387,"AAAAAFW7/+k=")</f>
        <v>#VALUE!</v>
      </c>
      <c r="IA88" t="e">
        <f>AND(DATA!J387,"AAAAAFW7/+o=")</f>
        <v>#VALUE!</v>
      </c>
      <c r="IB88" t="e">
        <f>AND(DATA!K387,"AAAAAFW7/+s=")</f>
        <v>#VALUE!</v>
      </c>
      <c r="IC88" t="b">
        <f>AND(DATA!L388,"AAAAAFW7/+w=")</f>
        <v>1</v>
      </c>
      <c r="ID88" t="b">
        <f>AND(DATA!M388,"AAAAAFW7/+0=")</f>
        <v>1</v>
      </c>
      <c r="IE88" t="b">
        <f>AND(DATA!N388,"AAAAAFW7/+4=")</f>
        <v>1</v>
      </c>
      <c r="IF88" t="b">
        <f>AND(DATA!O388,"AAAAAFW7/+8=")</f>
        <v>1</v>
      </c>
      <c r="IG88" t="b">
        <f>AND(DATA!P388,"AAAAAFW7//A=")</f>
        <v>1</v>
      </c>
      <c r="IH88" t="b">
        <f>AND(DATA!Q388,"AAAAAFW7//E=")</f>
        <v>1</v>
      </c>
      <c r="II88" t="b">
        <f>AND(DATA!R388,"AAAAAFW7//I=")</f>
        <v>1</v>
      </c>
      <c r="IJ88" t="b">
        <f>AND(DATA!S388,"AAAAAFW7//M=")</f>
        <v>1</v>
      </c>
      <c r="IK88" t="b">
        <f>AND(DATA!T388,"AAAAAFW7//Q=")</f>
        <v>1</v>
      </c>
      <c r="IL88" t="b">
        <f>AND(DATA!U388,"AAAAAFW7//U=")</f>
        <v>1</v>
      </c>
      <c r="IM88" t="b">
        <f>AND(DATA!V388,"AAAAAFW7//Y=")</f>
        <v>1</v>
      </c>
      <c r="IN88" t="e">
        <f>AND(DATA!W387,"AAAAAFW7//c=")</f>
        <v>#VALUE!</v>
      </c>
      <c r="IO88" t="e">
        <f>AND(DATA!X387,"AAAAAFW7//g=")</f>
        <v>#VALUE!</v>
      </c>
      <c r="IP88" t="e">
        <f>AND(DATA!Y387,"AAAAAFW7//k=")</f>
        <v>#VALUE!</v>
      </c>
      <c r="IQ88">
        <f>IF(DATA!388:388,"AAAAAFW7//o=",0)</f>
        <v>0</v>
      </c>
      <c r="IR88" t="e">
        <f>AND(DATA!A388,"AAAAAFW7//s=")</f>
        <v>#VALUE!</v>
      </c>
      <c r="IS88" t="e">
        <f>AND(DATA!B388,"AAAAAFW7//w=")</f>
        <v>#VALUE!</v>
      </c>
      <c r="IT88" t="e">
        <f>AND(DATA!C388,"AAAAAFW7//0=")</f>
        <v>#VALUE!</v>
      </c>
      <c r="IU88" t="e">
        <f>AND(DATA!D388,"AAAAAFW7//4=")</f>
        <v>#VALUE!</v>
      </c>
      <c r="IV88" t="e">
        <f>AND(DATA!E388,"AAAAAFW7//8=")</f>
        <v>#VALUE!</v>
      </c>
    </row>
    <row r="89" spans="1:256" x14ac:dyDescent="0.25">
      <c r="A89" t="e">
        <f>AND(DATA!F388,"AAAAAH//9wA=")</f>
        <v>#VALUE!</v>
      </c>
      <c r="B89" t="e">
        <f>AND(DATA!G388,"AAAAAH//9wE=")</f>
        <v>#VALUE!</v>
      </c>
      <c r="C89" t="e">
        <f>AND(DATA!H388,"AAAAAH//9wI=")</f>
        <v>#VALUE!</v>
      </c>
      <c r="D89" t="e">
        <f>AND(DATA!I388,"AAAAAH//9wM=")</f>
        <v>#VALUE!</v>
      </c>
      <c r="E89" t="e">
        <f>AND(DATA!J388,"AAAAAH//9wQ=")</f>
        <v>#VALUE!</v>
      </c>
      <c r="F89" t="e">
        <f>AND(DATA!K388,"AAAAAH//9wU=")</f>
        <v>#VALUE!</v>
      </c>
      <c r="G89" t="b">
        <f>AND(DATA!L389,"AAAAAH//9wY=")</f>
        <v>1</v>
      </c>
      <c r="H89" t="b">
        <f>AND(DATA!M389,"AAAAAH//9wc=")</f>
        <v>1</v>
      </c>
      <c r="I89" t="b">
        <f>AND(DATA!N389,"AAAAAH//9wg=")</f>
        <v>1</v>
      </c>
      <c r="J89" t="b">
        <f>AND(DATA!O389,"AAAAAH//9wk=")</f>
        <v>1</v>
      </c>
      <c r="K89" t="b">
        <f>AND(DATA!P389,"AAAAAH//9wo=")</f>
        <v>1</v>
      </c>
      <c r="L89" t="b">
        <f>AND(DATA!Q389,"AAAAAH//9ws=")</f>
        <v>1</v>
      </c>
      <c r="M89" t="b">
        <f>AND(DATA!R389,"AAAAAH//9ww=")</f>
        <v>1</v>
      </c>
      <c r="N89" t="b">
        <f>AND(DATA!S389,"AAAAAH//9w0=")</f>
        <v>1</v>
      </c>
      <c r="O89" t="b">
        <f>AND(DATA!T389,"AAAAAH//9w4=")</f>
        <v>1</v>
      </c>
      <c r="P89" t="b">
        <f>AND(DATA!U389,"AAAAAH//9w8=")</f>
        <v>1</v>
      </c>
      <c r="Q89" t="b">
        <f>AND(DATA!V389,"AAAAAH//9xA=")</f>
        <v>1</v>
      </c>
      <c r="R89" t="e">
        <f>AND(DATA!W388,"AAAAAH//9xE=")</f>
        <v>#VALUE!</v>
      </c>
      <c r="S89" t="e">
        <f>AND(DATA!X388,"AAAAAH//9xI=")</f>
        <v>#VALUE!</v>
      </c>
      <c r="T89" t="e">
        <f>AND(DATA!Y388,"AAAAAH//9xM=")</f>
        <v>#VALUE!</v>
      </c>
      <c r="U89" t="str">
        <f>IF(DATA!389:389,"AAAAAH//9xQ=",0)</f>
        <v>AAAAAH//9xQ=</v>
      </c>
      <c r="V89" t="e">
        <f>AND(DATA!A389,"AAAAAH//9xU=")</f>
        <v>#VALUE!</v>
      </c>
      <c r="W89" t="e">
        <f>AND(DATA!B389,"AAAAAH//9xY=")</f>
        <v>#VALUE!</v>
      </c>
      <c r="X89" t="e">
        <f>AND(DATA!C389,"AAAAAH//9xc=")</f>
        <v>#VALUE!</v>
      </c>
      <c r="Y89" t="e">
        <f>AND(DATA!D389,"AAAAAH//9xg=")</f>
        <v>#VALUE!</v>
      </c>
      <c r="Z89" t="e">
        <f>AND(DATA!E389,"AAAAAH//9xk=")</f>
        <v>#VALUE!</v>
      </c>
      <c r="AA89" t="e">
        <f>AND(DATA!F389,"AAAAAH//9xo=")</f>
        <v>#VALUE!</v>
      </c>
      <c r="AB89" t="e">
        <f>AND(DATA!G389,"AAAAAH//9xs=")</f>
        <v>#VALUE!</v>
      </c>
      <c r="AC89" t="e">
        <f>AND(DATA!H389,"AAAAAH//9xw=")</f>
        <v>#VALUE!</v>
      </c>
      <c r="AD89" t="e">
        <f>AND(DATA!I389,"AAAAAH//9x0=")</f>
        <v>#VALUE!</v>
      </c>
      <c r="AE89" t="e">
        <f>AND(DATA!J389,"AAAAAH//9x4=")</f>
        <v>#VALUE!</v>
      </c>
      <c r="AF89" t="e">
        <f>AND(DATA!K389,"AAAAAH//9x8=")</f>
        <v>#VALUE!</v>
      </c>
      <c r="AG89" t="b">
        <f>AND(DATA!L390,"AAAAAH//9yA=")</f>
        <v>1</v>
      </c>
      <c r="AH89" t="b">
        <f>AND(DATA!M390,"AAAAAH//9yE=")</f>
        <v>1</v>
      </c>
      <c r="AI89" t="b">
        <f>AND(DATA!N390,"AAAAAH//9yI=")</f>
        <v>1</v>
      </c>
      <c r="AJ89" t="b">
        <f>AND(DATA!O390,"AAAAAH//9yM=")</f>
        <v>1</v>
      </c>
      <c r="AK89" t="b">
        <f>AND(DATA!P390,"AAAAAH//9yQ=")</f>
        <v>1</v>
      </c>
      <c r="AL89" t="b">
        <f>AND(DATA!Q390,"AAAAAH//9yU=")</f>
        <v>1</v>
      </c>
      <c r="AM89" t="b">
        <f>AND(DATA!R390,"AAAAAH//9yY=")</f>
        <v>1</v>
      </c>
      <c r="AN89" t="b">
        <f>AND(DATA!S390,"AAAAAH//9yc=")</f>
        <v>1</v>
      </c>
      <c r="AO89" t="b">
        <f>AND(DATA!T390,"AAAAAH//9yg=")</f>
        <v>1</v>
      </c>
      <c r="AP89" t="b">
        <f>AND(DATA!U390,"AAAAAH//9yk=")</f>
        <v>1</v>
      </c>
      <c r="AQ89" t="b">
        <f>AND(DATA!V390,"AAAAAH//9yo=")</f>
        <v>1</v>
      </c>
      <c r="AR89" t="e">
        <f>AND(DATA!W389,"AAAAAH//9ys=")</f>
        <v>#VALUE!</v>
      </c>
      <c r="AS89" t="e">
        <f>AND(DATA!X389,"AAAAAH//9yw=")</f>
        <v>#VALUE!</v>
      </c>
      <c r="AT89" t="e">
        <f>AND(DATA!Y389,"AAAAAH//9y0=")</f>
        <v>#VALUE!</v>
      </c>
      <c r="AU89">
        <f>IF(DATA!390:390,"AAAAAH//9y4=",0)</f>
        <v>0</v>
      </c>
      <c r="AV89" t="e">
        <f>AND(DATA!A390,"AAAAAH//9y8=")</f>
        <v>#VALUE!</v>
      </c>
      <c r="AW89" t="e">
        <f>AND(DATA!B390,"AAAAAH//9zA=")</f>
        <v>#VALUE!</v>
      </c>
      <c r="AX89" t="e">
        <f>AND(DATA!C390,"AAAAAH//9zE=")</f>
        <v>#VALUE!</v>
      </c>
      <c r="AY89" t="e">
        <f>AND(DATA!D390,"AAAAAH//9zI=")</f>
        <v>#VALUE!</v>
      </c>
      <c r="AZ89" t="e">
        <f>AND(DATA!E390,"AAAAAH//9zM=")</f>
        <v>#VALUE!</v>
      </c>
      <c r="BA89" t="e">
        <f>AND(DATA!F390,"AAAAAH//9zQ=")</f>
        <v>#VALUE!</v>
      </c>
      <c r="BB89" t="e">
        <f>AND(DATA!G390,"AAAAAH//9zU=")</f>
        <v>#VALUE!</v>
      </c>
      <c r="BC89" t="e">
        <f>AND(DATA!H390,"AAAAAH//9zY=")</f>
        <v>#VALUE!</v>
      </c>
      <c r="BD89" t="e">
        <f>AND(DATA!I390,"AAAAAH//9zc=")</f>
        <v>#VALUE!</v>
      </c>
      <c r="BE89" t="e">
        <f>AND(DATA!J390,"AAAAAH//9zg=")</f>
        <v>#VALUE!</v>
      </c>
      <c r="BF89" t="e">
        <f>AND(DATA!K390,"AAAAAH//9zk=")</f>
        <v>#VALUE!</v>
      </c>
      <c r="BG89" t="b">
        <f>AND(DATA!L391,"AAAAAH//9zo=")</f>
        <v>1</v>
      </c>
      <c r="BH89" t="b">
        <f>AND(DATA!M391,"AAAAAH//9zs=")</f>
        <v>1</v>
      </c>
      <c r="BI89" t="b">
        <f>AND(DATA!N391,"AAAAAH//9zw=")</f>
        <v>1</v>
      </c>
      <c r="BJ89" t="b">
        <f>AND(DATA!O391,"AAAAAH//9z0=")</f>
        <v>1</v>
      </c>
      <c r="BK89" t="b">
        <f>AND(DATA!P391,"AAAAAH//9z4=")</f>
        <v>1</v>
      </c>
      <c r="BL89" t="b">
        <f>AND(DATA!Q391,"AAAAAH//9z8=")</f>
        <v>1</v>
      </c>
      <c r="BM89" t="b">
        <f>AND(DATA!R391,"AAAAAH//90A=")</f>
        <v>1</v>
      </c>
      <c r="BN89" t="b">
        <f>AND(DATA!S391,"AAAAAH//90E=")</f>
        <v>1</v>
      </c>
      <c r="BO89" t="b">
        <f>AND(DATA!T391,"AAAAAH//90I=")</f>
        <v>1</v>
      </c>
      <c r="BP89" t="b">
        <f>AND(DATA!U391,"AAAAAH//90M=")</f>
        <v>1</v>
      </c>
      <c r="BQ89" t="b">
        <f>AND(DATA!V391,"AAAAAH//90Q=")</f>
        <v>1</v>
      </c>
      <c r="BR89" t="e">
        <f>AND(DATA!W390,"AAAAAH//90U=")</f>
        <v>#VALUE!</v>
      </c>
      <c r="BS89" t="e">
        <f>AND(DATA!X390,"AAAAAH//90Y=")</f>
        <v>#VALUE!</v>
      </c>
      <c r="BT89" t="e">
        <f>AND(DATA!Y390,"AAAAAH//90c=")</f>
        <v>#VALUE!</v>
      </c>
      <c r="BU89">
        <f>IF(DATA!391:391,"AAAAAH//90g=",0)</f>
        <v>0</v>
      </c>
      <c r="BV89" t="e">
        <f>AND(DATA!A391,"AAAAAH//90k=")</f>
        <v>#VALUE!</v>
      </c>
      <c r="BW89" t="e">
        <f>AND(DATA!B391,"AAAAAH//90o=")</f>
        <v>#VALUE!</v>
      </c>
      <c r="BX89" t="e">
        <f>AND(DATA!C391,"AAAAAH//90s=")</f>
        <v>#VALUE!</v>
      </c>
      <c r="BY89" t="e">
        <f>AND(DATA!D391,"AAAAAH//90w=")</f>
        <v>#VALUE!</v>
      </c>
      <c r="BZ89" t="e">
        <f>AND(DATA!E391,"AAAAAH//900=")</f>
        <v>#VALUE!</v>
      </c>
      <c r="CA89" t="e">
        <f>AND(DATA!F391,"AAAAAH//904=")</f>
        <v>#VALUE!</v>
      </c>
      <c r="CB89" t="e">
        <f>AND(DATA!G391,"AAAAAH//908=")</f>
        <v>#VALUE!</v>
      </c>
      <c r="CC89" t="e">
        <f>AND(DATA!H391,"AAAAAH//91A=")</f>
        <v>#VALUE!</v>
      </c>
      <c r="CD89" t="e">
        <f>AND(DATA!I391,"AAAAAH//91E=")</f>
        <v>#VALUE!</v>
      </c>
      <c r="CE89" t="e">
        <f>AND(DATA!J391,"AAAAAH//91I=")</f>
        <v>#VALUE!</v>
      </c>
      <c r="CF89" t="e">
        <f>AND(DATA!K391,"AAAAAH//91M=")</f>
        <v>#VALUE!</v>
      </c>
      <c r="CG89" t="b">
        <f>AND(DATA!L392,"AAAAAH//91Q=")</f>
        <v>1</v>
      </c>
      <c r="CH89" t="b">
        <f>AND(DATA!M392,"AAAAAH//91U=")</f>
        <v>1</v>
      </c>
      <c r="CI89" t="b">
        <f>AND(DATA!N392,"AAAAAH//91Y=")</f>
        <v>1</v>
      </c>
      <c r="CJ89" t="b">
        <f>AND(DATA!O392,"AAAAAH//91c=")</f>
        <v>1</v>
      </c>
      <c r="CK89" t="b">
        <f>AND(DATA!P392,"AAAAAH//91g=")</f>
        <v>1</v>
      </c>
      <c r="CL89" t="b">
        <f>AND(DATA!Q392,"AAAAAH//91k=")</f>
        <v>1</v>
      </c>
      <c r="CM89" t="b">
        <f>AND(DATA!R392,"AAAAAH//91o=")</f>
        <v>1</v>
      </c>
      <c r="CN89" t="b">
        <f>AND(DATA!S392,"AAAAAH//91s=")</f>
        <v>1</v>
      </c>
      <c r="CO89" t="b">
        <f>AND(DATA!T392,"AAAAAH//91w=")</f>
        <v>1</v>
      </c>
      <c r="CP89" t="b">
        <f>AND(DATA!U392,"AAAAAH//910=")</f>
        <v>1</v>
      </c>
      <c r="CQ89" t="b">
        <f>AND(DATA!V392,"AAAAAH//914=")</f>
        <v>1</v>
      </c>
      <c r="CR89" t="e">
        <f>AND(DATA!W391,"AAAAAH//918=")</f>
        <v>#VALUE!</v>
      </c>
      <c r="CS89" t="e">
        <f>AND(DATA!X391,"AAAAAH//92A=")</f>
        <v>#VALUE!</v>
      </c>
      <c r="CT89" t="e">
        <f>AND(DATA!Y391,"AAAAAH//92E=")</f>
        <v>#VALUE!</v>
      </c>
      <c r="CU89">
        <f>IF(DATA!392:392,"AAAAAH//92I=",0)</f>
        <v>0</v>
      </c>
      <c r="CV89" t="e">
        <f>AND(DATA!A392,"AAAAAH//92M=")</f>
        <v>#VALUE!</v>
      </c>
      <c r="CW89" t="e">
        <f>AND(DATA!B392,"AAAAAH//92Q=")</f>
        <v>#VALUE!</v>
      </c>
      <c r="CX89" t="e">
        <f>AND(DATA!C392,"AAAAAH//92U=")</f>
        <v>#VALUE!</v>
      </c>
      <c r="CY89" t="e">
        <f>AND(DATA!D392,"AAAAAH//92Y=")</f>
        <v>#VALUE!</v>
      </c>
      <c r="CZ89" t="e">
        <f>AND(DATA!E392,"AAAAAH//92c=")</f>
        <v>#VALUE!</v>
      </c>
      <c r="DA89" t="e">
        <f>AND(DATA!F392,"AAAAAH//92g=")</f>
        <v>#VALUE!</v>
      </c>
      <c r="DB89" t="e">
        <f>AND(DATA!G392,"AAAAAH//92k=")</f>
        <v>#VALUE!</v>
      </c>
      <c r="DC89" t="e">
        <f>AND(DATA!H392,"AAAAAH//92o=")</f>
        <v>#VALUE!</v>
      </c>
      <c r="DD89" t="e">
        <f>AND(DATA!I392,"AAAAAH//92s=")</f>
        <v>#VALUE!</v>
      </c>
      <c r="DE89" t="e">
        <f>AND(DATA!J392,"AAAAAH//92w=")</f>
        <v>#VALUE!</v>
      </c>
      <c r="DF89" t="e">
        <f>AND(DATA!K392,"AAAAAH//920=")</f>
        <v>#VALUE!</v>
      </c>
      <c r="DG89" t="b">
        <f>AND(DATA!L393,"AAAAAH//924=")</f>
        <v>1</v>
      </c>
      <c r="DH89" t="b">
        <f>AND(DATA!M393,"AAAAAH//928=")</f>
        <v>1</v>
      </c>
      <c r="DI89" t="b">
        <f>AND(DATA!N393,"AAAAAH//93A=")</f>
        <v>1</v>
      </c>
      <c r="DJ89" t="b">
        <f>AND(DATA!O393,"AAAAAH//93E=")</f>
        <v>1</v>
      </c>
      <c r="DK89" t="b">
        <f>AND(DATA!P393,"AAAAAH//93I=")</f>
        <v>1</v>
      </c>
      <c r="DL89" t="b">
        <f>AND(DATA!Q393,"AAAAAH//93M=")</f>
        <v>1</v>
      </c>
      <c r="DM89" t="b">
        <f>AND(DATA!R393,"AAAAAH//93Q=")</f>
        <v>1</v>
      </c>
      <c r="DN89" t="b">
        <f>AND(DATA!S393,"AAAAAH//93U=")</f>
        <v>1</v>
      </c>
      <c r="DO89" t="b">
        <f>AND(DATA!T393,"AAAAAH//93Y=")</f>
        <v>1</v>
      </c>
      <c r="DP89" t="b">
        <f>AND(DATA!U393,"AAAAAH//93c=")</f>
        <v>1</v>
      </c>
      <c r="DQ89" t="b">
        <f>AND(DATA!V393,"AAAAAH//93g=")</f>
        <v>1</v>
      </c>
      <c r="DR89" t="e">
        <f>AND(DATA!W392,"AAAAAH//93k=")</f>
        <v>#VALUE!</v>
      </c>
      <c r="DS89" t="e">
        <f>AND(DATA!X392,"AAAAAH//93o=")</f>
        <v>#VALUE!</v>
      </c>
      <c r="DT89" t="e">
        <f>AND(DATA!Y392,"AAAAAH//93s=")</f>
        <v>#VALUE!</v>
      </c>
      <c r="DU89">
        <f>IF(DATA!393:393,"AAAAAH//93w=",0)</f>
        <v>0</v>
      </c>
      <c r="DV89" t="e">
        <f>AND(DATA!A393,"AAAAAH//930=")</f>
        <v>#VALUE!</v>
      </c>
      <c r="DW89" t="e">
        <f>AND(DATA!B393,"AAAAAH//934=")</f>
        <v>#VALUE!</v>
      </c>
      <c r="DX89" t="e">
        <f>AND(DATA!C393,"AAAAAH//938=")</f>
        <v>#VALUE!</v>
      </c>
      <c r="DY89" t="e">
        <f>AND(DATA!D393,"AAAAAH//94A=")</f>
        <v>#VALUE!</v>
      </c>
      <c r="DZ89" t="e">
        <f>AND(DATA!E393,"AAAAAH//94E=")</f>
        <v>#VALUE!</v>
      </c>
      <c r="EA89" t="e">
        <f>AND(DATA!F393,"AAAAAH//94I=")</f>
        <v>#VALUE!</v>
      </c>
      <c r="EB89" t="e">
        <f>AND(DATA!G393,"AAAAAH//94M=")</f>
        <v>#VALUE!</v>
      </c>
      <c r="EC89" t="e">
        <f>AND(DATA!H393,"AAAAAH//94Q=")</f>
        <v>#VALUE!</v>
      </c>
      <c r="ED89" t="e">
        <f>AND(DATA!I393,"AAAAAH//94U=")</f>
        <v>#VALUE!</v>
      </c>
      <c r="EE89" t="e">
        <f>AND(DATA!J393,"AAAAAH//94Y=")</f>
        <v>#VALUE!</v>
      </c>
      <c r="EF89" t="e">
        <f>AND(DATA!K393,"AAAAAH//94c=")</f>
        <v>#VALUE!</v>
      </c>
      <c r="EG89" t="b">
        <f>AND(DATA!L394,"AAAAAH//94g=")</f>
        <v>1</v>
      </c>
      <c r="EH89" t="b">
        <f>AND(DATA!M394,"AAAAAH//94k=")</f>
        <v>1</v>
      </c>
      <c r="EI89" t="b">
        <f>AND(DATA!N394,"AAAAAH//94o=")</f>
        <v>1</v>
      </c>
      <c r="EJ89" t="b">
        <f>AND(DATA!O394,"AAAAAH//94s=")</f>
        <v>1</v>
      </c>
      <c r="EK89" t="b">
        <f>AND(DATA!P394,"AAAAAH//94w=")</f>
        <v>1</v>
      </c>
      <c r="EL89" t="b">
        <f>AND(DATA!Q394,"AAAAAH//940=")</f>
        <v>1</v>
      </c>
      <c r="EM89" t="b">
        <f>AND(DATA!R394,"AAAAAH//944=")</f>
        <v>1</v>
      </c>
      <c r="EN89" t="b">
        <f>AND(DATA!S394,"AAAAAH//948=")</f>
        <v>1</v>
      </c>
      <c r="EO89" t="b">
        <f>AND(DATA!T394,"AAAAAH//95A=")</f>
        <v>1</v>
      </c>
      <c r="EP89" t="b">
        <f>AND(DATA!U394,"AAAAAH//95E=")</f>
        <v>1</v>
      </c>
      <c r="EQ89" t="b">
        <f>AND(DATA!V394,"AAAAAH//95I=")</f>
        <v>1</v>
      </c>
      <c r="ER89" t="e">
        <f>AND(DATA!W393,"AAAAAH//95M=")</f>
        <v>#VALUE!</v>
      </c>
      <c r="ES89" t="e">
        <f>AND(DATA!X393,"AAAAAH//95Q=")</f>
        <v>#VALUE!</v>
      </c>
      <c r="ET89" t="e">
        <f>AND(DATA!Y393,"AAAAAH//95U=")</f>
        <v>#VALUE!</v>
      </c>
      <c r="EU89">
        <f>IF(DATA!394:394,"AAAAAH//95Y=",0)</f>
        <v>0</v>
      </c>
      <c r="EV89" t="e">
        <f>AND(DATA!A394,"AAAAAH//95c=")</f>
        <v>#VALUE!</v>
      </c>
      <c r="EW89" t="e">
        <f>AND(DATA!B394,"AAAAAH//95g=")</f>
        <v>#VALUE!</v>
      </c>
      <c r="EX89" t="e">
        <f>AND(DATA!C394,"AAAAAH//95k=")</f>
        <v>#VALUE!</v>
      </c>
      <c r="EY89" t="e">
        <f>AND(DATA!D394,"AAAAAH//95o=")</f>
        <v>#VALUE!</v>
      </c>
      <c r="EZ89" t="e">
        <f>AND(DATA!E394,"AAAAAH//95s=")</f>
        <v>#VALUE!</v>
      </c>
      <c r="FA89" t="e">
        <f>AND(DATA!F394,"AAAAAH//95w=")</f>
        <v>#VALUE!</v>
      </c>
      <c r="FB89" t="e">
        <f>AND(DATA!G394,"AAAAAH//950=")</f>
        <v>#VALUE!</v>
      </c>
      <c r="FC89" t="e">
        <f>AND(DATA!H394,"AAAAAH//954=")</f>
        <v>#VALUE!</v>
      </c>
      <c r="FD89" t="e">
        <f>AND(DATA!I394,"AAAAAH//958=")</f>
        <v>#VALUE!</v>
      </c>
      <c r="FE89" t="e">
        <f>AND(DATA!J394,"AAAAAH//96A=")</f>
        <v>#VALUE!</v>
      </c>
      <c r="FF89" t="e">
        <f>AND(DATA!K394,"AAAAAH//96E=")</f>
        <v>#VALUE!</v>
      </c>
      <c r="FG89" t="b">
        <f>AND(DATA!L395,"AAAAAH//96I=")</f>
        <v>1</v>
      </c>
      <c r="FH89" t="b">
        <f>AND(DATA!M395,"AAAAAH//96M=")</f>
        <v>1</v>
      </c>
      <c r="FI89" t="b">
        <f>AND(DATA!N395,"AAAAAH//96Q=")</f>
        <v>1</v>
      </c>
      <c r="FJ89" t="b">
        <f>AND(DATA!O395,"AAAAAH//96U=")</f>
        <v>1</v>
      </c>
      <c r="FK89" t="b">
        <f>AND(DATA!P395,"AAAAAH//96Y=")</f>
        <v>1</v>
      </c>
      <c r="FL89" t="b">
        <f>AND(DATA!Q395,"AAAAAH//96c=")</f>
        <v>1</v>
      </c>
      <c r="FM89" t="b">
        <f>AND(DATA!R395,"AAAAAH//96g=")</f>
        <v>1</v>
      </c>
      <c r="FN89" t="b">
        <f>AND(DATA!S395,"AAAAAH//96k=")</f>
        <v>1</v>
      </c>
      <c r="FO89" t="b">
        <f>AND(DATA!T395,"AAAAAH//96o=")</f>
        <v>1</v>
      </c>
      <c r="FP89" t="b">
        <f>AND(DATA!U395,"AAAAAH//96s=")</f>
        <v>1</v>
      </c>
      <c r="FQ89" t="b">
        <f>AND(DATA!V395,"AAAAAH//96w=")</f>
        <v>1</v>
      </c>
      <c r="FR89" t="e">
        <f>AND(DATA!W394,"AAAAAH//960=")</f>
        <v>#VALUE!</v>
      </c>
      <c r="FS89" t="e">
        <f>AND(DATA!X394,"AAAAAH//964=")</f>
        <v>#VALUE!</v>
      </c>
      <c r="FT89" t="e">
        <f>AND(DATA!Y394,"AAAAAH//968=")</f>
        <v>#VALUE!</v>
      </c>
      <c r="FU89">
        <f>IF(DATA!395:395,"AAAAAH//97A=",0)</f>
        <v>0</v>
      </c>
      <c r="FV89" t="e">
        <f>AND(DATA!A395,"AAAAAH//97E=")</f>
        <v>#VALUE!</v>
      </c>
      <c r="FW89" t="e">
        <f>AND(DATA!B395,"AAAAAH//97I=")</f>
        <v>#VALUE!</v>
      </c>
      <c r="FX89" t="e">
        <f>AND(DATA!C395,"AAAAAH//97M=")</f>
        <v>#VALUE!</v>
      </c>
      <c r="FY89" t="e">
        <f>AND(DATA!D395,"AAAAAH//97Q=")</f>
        <v>#VALUE!</v>
      </c>
      <c r="FZ89" t="e">
        <f>AND(DATA!E395,"AAAAAH//97U=")</f>
        <v>#VALUE!</v>
      </c>
      <c r="GA89" t="e">
        <f>AND(DATA!F395,"AAAAAH//97Y=")</f>
        <v>#VALUE!</v>
      </c>
      <c r="GB89" t="e">
        <f>AND(DATA!G395,"AAAAAH//97c=")</f>
        <v>#VALUE!</v>
      </c>
      <c r="GC89" t="e">
        <f>AND(DATA!H395,"AAAAAH//97g=")</f>
        <v>#VALUE!</v>
      </c>
      <c r="GD89" t="e">
        <f>AND(DATA!I395,"AAAAAH//97k=")</f>
        <v>#VALUE!</v>
      </c>
      <c r="GE89" t="e">
        <f>AND(DATA!J395,"AAAAAH//97o=")</f>
        <v>#VALUE!</v>
      </c>
      <c r="GF89" t="e">
        <f>AND(DATA!K395,"AAAAAH//97s=")</f>
        <v>#VALUE!</v>
      </c>
      <c r="GG89" t="b">
        <f>AND(DATA!L396,"AAAAAH//97w=")</f>
        <v>1</v>
      </c>
      <c r="GH89" t="b">
        <f>AND(DATA!M396,"AAAAAH//970=")</f>
        <v>1</v>
      </c>
      <c r="GI89" t="b">
        <f>AND(DATA!N396,"AAAAAH//974=")</f>
        <v>1</v>
      </c>
      <c r="GJ89" t="b">
        <f>AND(DATA!O396,"AAAAAH//978=")</f>
        <v>1</v>
      </c>
      <c r="GK89" t="b">
        <f>AND(DATA!P396,"AAAAAH//98A=")</f>
        <v>1</v>
      </c>
      <c r="GL89" t="b">
        <f>AND(DATA!Q396,"AAAAAH//98E=")</f>
        <v>1</v>
      </c>
      <c r="GM89" t="b">
        <f>AND(DATA!R396,"AAAAAH//98I=")</f>
        <v>1</v>
      </c>
      <c r="GN89" t="b">
        <f>AND(DATA!S396,"AAAAAH//98M=")</f>
        <v>1</v>
      </c>
      <c r="GO89" t="b">
        <f>AND(DATA!T396,"AAAAAH//98Q=")</f>
        <v>1</v>
      </c>
      <c r="GP89" t="b">
        <f>AND(DATA!U396,"AAAAAH//98U=")</f>
        <v>1</v>
      </c>
      <c r="GQ89" t="b">
        <f>AND(DATA!V396,"AAAAAH//98Y=")</f>
        <v>1</v>
      </c>
      <c r="GR89" t="e">
        <f>AND(DATA!W395,"AAAAAH//98c=")</f>
        <v>#VALUE!</v>
      </c>
      <c r="GS89" t="e">
        <f>AND(DATA!X395,"AAAAAH//98g=")</f>
        <v>#VALUE!</v>
      </c>
      <c r="GT89" t="e">
        <f>AND(DATA!Y395,"AAAAAH//98k=")</f>
        <v>#VALUE!</v>
      </c>
      <c r="GU89">
        <f>IF(DATA!396:396,"AAAAAH//98o=",0)</f>
        <v>0</v>
      </c>
      <c r="GV89" t="e">
        <f>AND(DATA!A396,"AAAAAH//98s=")</f>
        <v>#VALUE!</v>
      </c>
      <c r="GW89" t="e">
        <f>AND(DATA!B396,"AAAAAH//98w=")</f>
        <v>#VALUE!</v>
      </c>
      <c r="GX89" t="e">
        <f>AND(DATA!C396,"AAAAAH//980=")</f>
        <v>#VALUE!</v>
      </c>
      <c r="GY89" t="e">
        <f>AND(DATA!D396,"AAAAAH//984=")</f>
        <v>#VALUE!</v>
      </c>
      <c r="GZ89" t="e">
        <f>AND(DATA!E396,"AAAAAH//988=")</f>
        <v>#VALUE!</v>
      </c>
      <c r="HA89" t="e">
        <f>AND(DATA!F396,"AAAAAH//99A=")</f>
        <v>#VALUE!</v>
      </c>
      <c r="HB89" t="e">
        <f>AND(DATA!G396,"AAAAAH//99E=")</f>
        <v>#VALUE!</v>
      </c>
      <c r="HC89" t="e">
        <f>AND(DATA!H396,"AAAAAH//99I=")</f>
        <v>#VALUE!</v>
      </c>
      <c r="HD89" t="e">
        <f>AND(DATA!I396,"AAAAAH//99M=")</f>
        <v>#VALUE!</v>
      </c>
      <c r="HE89" t="e">
        <f>AND(DATA!J396,"AAAAAH//99Q=")</f>
        <v>#VALUE!</v>
      </c>
      <c r="HF89" t="e">
        <f>AND(DATA!K396,"AAAAAH//99U=")</f>
        <v>#VALUE!</v>
      </c>
      <c r="HG89" t="b">
        <f>AND(DATA!L397,"AAAAAH//99Y=")</f>
        <v>1</v>
      </c>
      <c r="HH89" t="b">
        <f>AND(DATA!M397,"AAAAAH//99c=")</f>
        <v>1</v>
      </c>
      <c r="HI89" t="b">
        <f>AND(DATA!N397,"AAAAAH//99g=")</f>
        <v>1</v>
      </c>
      <c r="HJ89" t="b">
        <f>AND(DATA!O397,"AAAAAH//99k=")</f>
        <v>1</v>
      </c>
      <c r="HK89" t="b">
        <f>AND(DATA!P397,"AAAAAH//99o=")</f>
        <v>1</v>
      </c>
      <c r="HL89" t="b">
        <f>AND(DATA!Q397,"AAAAAH//99s=")</f>
        <v>1</v>
      </c>
      <c r="HM89" t="b">
        <f>AND(DATA!R397,"AAAAAH//99w=")</f>
        <v>1</v>
      </c>
      <c r="HN89" t="b">
        <f>AND(DATA!S397,"AAAAAH//990=")</f>
        <v>1</v>
      </c>
      <c r="HO89" t="b">
        <f>AND(DATA!T397,"AAAAAH//994=")</f>
        <v>1</v>
      </c>
      <c r="HP89" t="b">
        <f>AND(DATA!U397,"AAAAAH//998=")</f>
        <v>1</v>
      </c>
      <c r="HQ89" t="b">
        <f>AND(DATA!V397,"AAAAAH//9+A=")</f>
        <v>1</v>
      </c>
      <c r="HR89" t="e">
        <f>AND(DATA!W396,"AAAAAH//9+E=")</f>
        <v>#VALUE!</v>
      </c>
      <c r="HS89" t="e">
        <f>AND(DATA!X396,"AAAAAH//9+I=")</f>
        <v>#VALUE!</v>
      </c>
      <c r="HT89" t="e">
        <f>AND(DATA!Y396,"AAAAAH//9+M=")</f>
        <v>#VALUE!</v>
      </c>
      <c r="HU89">
        <f>IF(DATA!397:397,"AAAAAH//9+Q=",0)</f>
        <v>0</v>
      </c>
      <c r="HV89" t="e">
        <f>AND(DATA!A397,"AAAAAH//9+U=")</f>
        <v>#VALUE!</v>
      </c>
      <c r="HW89" t="e">
        <f>AND(DATA!B397,"AAAAAH//9+Y=")</f>
        <v>#VALUE!</v>
      </c>
      <c r="HX89" t="e">
        <f>AND(DATA!C397,"AAAAAH//9+c=")</f>
        <v>#VALUE!</v>
      </c>
      <c r="HY89" t="e">
        <f>AND(DATA!D397,"AAAAAH//9+g=")</f>
        <v>#VALUE!</v>
      </c>
      <c r="HZ89" t="e">
        <f>AND(DATA!E397,"AAAAAH//9+k=")</f>
        <v>#VALUE!</v>
      </c>
      <c r="IA89" t="e">
        <f>AND(DATA!F397,"AAAAAH//9+o=")</f>
        <v>#VALUE!</v>
      </c>
      <c r="IB89" t="e">
        <f>AND(DATA!G397,"AAAAAH//9+s=")</f>
        <v>#VALUE!</v>
      </c>
      <c r="IC89" t="e">
        <f>AND(DATA!H397,"AAAAAH//9+w=")</f>
        <v>#VALUE!</v>
      </c>
      <c r="ID89" t="e">
        <f>AND(DATA!I397,"AAAAAH//9+0=")</f>
        <v>#VALUE!</v>
      </c>
      <c r="IE89" t="e">
        <f>AND(DATA!J397,"AAAAAH//9+4=")</f>
        <v>#VALUE!</v>
      </c>
      <c r="IF89" t="e">
        <f>AND(DATA!K397,"AAAAAH//9+8=")</f>
        <v>#VALUE!</v>
      </c>
      <c r="IG89" t="b">
        <f>AND(DATA!L398,"AAAAAH//9/A=")</f>
        <v>1</v>
      </c>
      <c r="IH89" t="b">
        <f>AND(DATA!M398,"AAAAAH//9/E=")</f>
        <v>1</v>
      </c>
      <c r="II89" t="b">
        <f>AND(DATA!N398,"AAAAAH//9/I=")</f>
        <v>1</v>
      </c>
      <c r="IJ89" t="b">
        <f>AND(DATA!O398,"AAAAAH//9/M=")</f>
        <v>1</v>
      </c>
      <c r="IK89" t="b">
        <f>AND(DATA!P398,"AAAAAH//9/Q=")</f>
        <v>1</v>
      </c>
      <c r="IL89" t="b">
        <f>AND(DATA!Q398,"AAAAAH//9/U=")</f>
        <v>1</v>
      </c>
      <c r="IM89" t="b">
        <f>AND(DATA!R398,"AAAAAH//9/Y=")</f>
        <v>1</v>
      </c>
      <c r="IN89" t="b">
        <f>AND(DATA!S398,"AAAAAH//9/c=")</f>
        <v>1</v>
      </c>
      <c r="IO89" t="b">
        <f>AND(DATA!T398,"AAAAAH//9/g=")</f>
        <v>1</v>
      </c>
      <c r="IP89" t="b">
        <f>AND(DATA!U398,"AAAAAH//9/k=")</f>
        <v>1</v>
      </c>
      <c r="IQ89" t="b">
        <f>AND(DATA!V398,"AAAAAH//9/o=")</f>
        <v>1</v>
      </c>
      <c r="IR89" t="e">
        <f>AND(DATA!W397,"AAAAAH//9/s=")</f>
        <v>#VALUE!</v>
      </c>
      <c r="IS89" t="e">
        <f>AND(DATA!X397,"AAAAAH//9/w=")</f>
        <v>#VALUE!</v>
      </c>
      <c r="IT89" t="e">
        <f>AND(DATA!Y397,"AAAAAH//9/0=")</f>
        <v>#VALUE!</v>
      </c>
      <c r="IU89">
        <f>IF(DATA!398:398,"AAAAAH//9/4=",0)</f>
        <v>0</v>
      </c>
      <c r="IV89" t="e">
        <f>AND(DATA!A398,"AAAAAH//9/8=")</f>
        <v>#VALUE!</v>
      </c>
    </row>
    <row r="90" spans="1:256" x14ac:dyDescent="0.25">
      <c r="A90" t="e">
        <f>AND(DATA!B398,"AAAAAD72wwA=")</f>
        <v>#VALUE!</v>
      </c>
      <c r="B90" t="e">
        <f>AND(DATA!C398,"AAAAAD72wwE=")</f>
        <v>#VALUE!</v>
      </c>
      <c r="C90" t="e">
        <f>AND(DATA!D398,"AAAAAD72wwI=")</f>
        <v>#VALUE!</v>
      </c>
      <c r="D90" t="e">
        <f>AND(DATA!E398,"AAAAAD72wwM=")</f>
        <v>#VALUE!</v>
      </c>
      <c r="E90" t="e">
        <f>AND(DATA!F398,"AAAAAD72wwQ=")</f>
        <v>#VALUE!</v>
      </c>
      <c r="F90" t="e">
        <f>AND(DATA!G398,"AAAAAD72wwU=")</f>
        <v>#VALUE!</v>
      </c>
      <c r="G90" t="e">
        <f>AND(DATA!H398,"AAAAAD72wwY=")</f>
        <v>#VALUE!</v>
      </c>
      <c r="H90" t="e">
        <f>AND(DATA!I398,"AAAAAD72wwc=")</f>
        <v>#VALUE!</v>
      </c>
      <c r="I90" t="e">
        <f>AND(DATA!J398,"AAAAAD72wwg=")</f>
        <v>#VALUE!</v>
      </c>
      <c r="J90" t="e">
        <f>AND(DATA!K398,"AAAAAD72wwk=")</f>
        <v>#VALUE!</v>
      </c>
      <c r="K90" t="b">
        <f>AND(DATA!L399,"AAAAAD72wwo=")</f>
        <v>1</v>
      </c>
      <c r="L90" t="b">
        <f>AND(DATA!M399,"AAAAAD72wws=")</f>
        <v>1</v>
      </c>
      <c r="M90" t="b">
        <f>AND(DATA!N399,"AAAAAD72www=")</f>
        <v>1</v>
      </c>
      <c r="N90" t="b">
        <f>AND(DATA!O399,"AAAAAD72ww0=")</f>
        <v>1</v>
      </c>
      <c r="O90" t="b">
        <f>AND(DATA!P399,"AAAAAD72ww4=")</f>
        <v>1</v>
      </c>
      <c r="P90" t="b">
        <f>AND(DATA!Q399,"AAAAAD72ww8=")</f>
        <v>1</v>
      </c>
      <c r="Q90" t="b">
        <f>AND(DATA!R399,"AAAAAD72wxA=")</f>
        <v>1</v>
      </c>
      <c r="R90" t="b">
        <f>AND(DATA!S399,"AAAAAD72wxE=")</f>
        <v>1</v>
      </c>
      <c r="S90" t="b">
        <f>AND(DATA!T399,"AAAAAD72wxI=")</f>
        <v>1</v>
      </c>
      <c r="T90" t="b">
        <f>AND(DATA!U399,"AAAAAD72wxM=")</f>
        <v>1</v>
      </c>
      <c r="U90" t="b">
        <f>AND(DATA!V399,"AAAAAD72wxQ=")</f>
        <v>1</v>
      </c>
      <c r="V90" t="e">
        <f>AND(DATA!W398,"AAAAAD72wxU=")</f>
        <v>#VALUE!</v>
      </c>
      <c r="W90" t="e">
        <f>AND(DATA!X398,"AAAAAD72wxY=")</f>
        <v>#VALUE!</v>
      </c>
      <c r="X90" t="e">
        <f>AND(DATA!Y398,"AAAAAD72wxc=")</f>
        <v>#VALUE!</v>
      </c>
      <c r="Y90">
        <f>IF(DATA!399:399,"AAAAAD72wxg=",0)</f>
        <v>0</v>
      </c>
      <c r="Z90" t="e">
        <f>AND(DATA!A399,"AAAAAD72wxk=")</f>
        <v>#VALUE!</v>
      </c>
      <c r="AA90" t="e">
        <f>AND(DATA!B399,"AAAAAD72wxo=")</f>
        <v>#VALUE!</v>
      </c>
      <c r="AB90" t="e">
        <f>AND(DATA!C399,"AAAAAD72wxs=")</f>
        <v>#VALUE!</v>
      </c>
      <c r="AC90" t="e">
        <f>AND(DATA!D399,"AAAAAD72wxw=")</f>
        <v>#VALUE!</v>
      </c>
      <c r="AD90" t="e">
        <f>AND(DATA!E399,"AAAAAD72wx0=")</f>
        <v>#VALUE!</v>
      </c>
      <c r="AE90" t="e">
        <f>AND(DATA!F399,"AAAAAD72wx4=")</f>
        <v>#VALUE!</v>
      </c>
      <c r="AF90" t="e">
        <f>AND(DATA!G399,"AAAAAD72wx8=")</f>
        <v>#VALUE!</v>
      </c>
      <c r="AG90" t="e">
        <f>AND(DATA!H399,"AAAAAD72wyA=")</f>
        <v>#VALUE!</v>
      </c>
      <c r="AH90" t="e">
        <f>AND(DATA!I399,"AAAAAD72wyE=")</f>
        <v>#VALUE!</v>
      </c>
      <c r="AI90" t="e">
        <f>AND(DATA!J399,"AAAAAD72wyI=")</f>
        <v>#VALUE!</v>
      </c>
      <c r="AJ90" t="e">
        <f>AND(DATA!K399,"AAAAAD72wyM=")</f>
        <v>#VALUE!</v>
      </c>
      <c r="AK90" t="b">
        <f>AND(DATA!L400,"AAAAAD72wyQ=")</f>
        <v>1</v>
      </c>
      <c r="AL90" t="b">
        <f>AND(DATA!M400,"AAAAAD72wyU=")</f>
        <v>1</v>
      </c>
      <c r="AM90" t="b">
        <f>AND(DATA!N400,"AAAAAD72wyY=")</f>
        <v>1</v>
      </c>
      <c r="AN90" t="b">
        <f>AND(DATA!O400,"AAAAAD72wyc=")</f>
        <v>1</v>
      </c>
      <c r="AO90" t="b">
        <f>AND(DATA!P400,"AAAAAD72wyg=")</f>
        <v>1</v>
      </c>
      <c r="AP90" t="b">
        <f>AND(DATA!Q400,"AAAAAD72wyk=")</f>
        <v>1</v>
      </c>
      <c r="AQ90" t="b">
        <f>AND(DATA!R400,"AAAAAD72wyo=")</f>
        <v>1</v>
      </c>
      <c r="AR90" t="b">
        <f>AND(DATA!S400,"AAAAAD72wys=")</f>
        <v>1</v>
      </c>
      <c r="AS90" t="b">
        <f>AND(DATA!T400,"AAAAAD72wyw=")</f>
        <v>1</v>
      </c>
      <c r="AT90" t="b">
        <f>AND(DATA!U400,"AAAAAD72wy0=")</f>
        <v>1</v>
      </c>
      <c r="AU90" t="b">
        <f>AND(DATA!V400,"AAAAAD72wy4=")</f>
        <v>1</v>
      </c>
      <c r="AV90" t="e">
        <f>AND(DATA!W399,"AAAAAD72wy8=")</f>
        <v>#VALUE!</v>
      </c>
      <c r="AW90" t="e">
        <f>AND(DATA!X399,"AAAAAD72wzA=")</f>
        <v>#VALUE!</v>
      </c>
      <c r="AX90" t="e">
        <f>AND(DATA!Y399,"AAAAAD72wzE=")</f>
        <v>#VALUE!</v>
      </c>
      <c r="AY90">
        <f>IF(DATA!400:400,"AAAAAD72wzI=",0)</f>
        <v>0</v>
      </c>
      <c r="AZ90" t="e">
        <f>AND(DATA!A400,"AAAAAD72wzM=")</f>
        <v>#VALUE!</v>
      </c>
      <c r="BA90" t="e">
        <f>AND(DATA!B400,"AAAAAD72wzQ=")</f>
        <v>#VALUE!</v>
      </c>
      <c r="BB90" t="e">
        <f>AND(DATA!C400,"AAAAAD72wzU=")</f>
        <v>#VALUE!</v>
      </c>
      <c r="BC90" t="e">
        <f>AND(DATA!D400,"AAAAAD72wzY=")</f>
        <v>#VALUE!</v>
      </c>
      <c r="BD90" t="e">
        <f>AND(DATA!E400,"AAAAAD72wzc=")</f>
        <v>#VALUE!</v>
      </c>
      <c r="BE90" t="e">
        <f>AND(DATA!F400,"AAAAAD72wzg=")</f>
        <v>#VALUE!</v>
      </c>
      <c r="BF90" t="e">
        <f>AND(DATA!G400,"AAAAAD72wzk=")</f>
        <v>#VALUE!</v>
      </c>
      <c r="BG90" t="e">
        <f>AND(DATA!H400,"AAAAAD72wzo=")</f>
        <v>#VALUE!</v>
      </c>
      <c r="BH90" t="e">
        <f>AND(DATA!I400,"AAAAAD72wzs=")</f>
        <v>#VALUE!</v>
      </c>
      <c r="BI90" t="e">
        <f>AND(DATA!J400,"AAAAAD72wzw=")</f>
        <v>#VALUE!</v>
      </c>
      <c r="BJ90" t="e">
        <f>AND(DATA!K400,"AAAAAD72wz0=")</f>
        <v>#VALUE!</v>
      </c>
      <c r="BK90" t="b">
        <f>AND(DATA!L401,"AAAAAD72wz4=")</f>
        <v>1</v>
      </c>
      <c r="BL90" t="b">
        <f>AND(DATA!M401,"AAAAAD72wz8=")</f>
        <v>1</v>
      </c>
      <c r="BM90" t="b">
        <f>AND(DATA!N401,"AAAAAD72w0A=")</f>
        <v>1</v>
      </c>
      <c r="BN90" t="b">
        <f>AND(DATA!O401,"AAAAAD72w0E=")</f>
        <v>1</v>
      </c>
      <c r="BO90" t="b">
        <f>AND(DATA!P401,"AAAAAD72w0I=")</f>
        <v>1</v>
      </c>
      <c r="BP90" t="b">
        <f>AND(DATA!Q401,"AAAAAD72w0M=")</f>
        <v>1</v>
      </c>
      <c r="BQ90" t="b">
        <f>AND(DATA!R401,"AAAAAD72w0Q=")</f>
        <v>1</v>
      </c>
      <c r="BR90" t="b">
        <f>AND(DATA!S401,"AAAAAD72w0U=")</f>
        <v>1</v>
      </c>
      <c r="BS90" t="b">
        <f>AND(DATA!T401,"AAAAAD72w0Y=")</f>
        <v>1</v>
      </c>
      <c r="BT90" t="b">
        <f>AND(DATA!U401,"AAAAAD72w0c=")</f>
        <v>1</v>
      </c>
      <c r="BU90" t="b">
        <f>AND(DATA!V401,"AAAAAD72w0g=")</f>
        <v>1</v>
      </c>
      <c r="BV90" t="e">
        <f>AND(DATA!W400,"AAAAAD72w0k=")</f>
        <v>#VALUE!</v>
      </c>
      <c r="BW90" t="e">
        <f>AND(DATA!X400,"AAAAAD72w0o=")</f>
        <v>#VALUE!</v>
      </c>
      <c r="BX90" t="e">
        <f>AND(DATA!Y400,"AAAAAD72w0s=")</f>
        <v>#VALUE!</v>
      </c>
      <c r="BY90">
        <f>IF(DATA!401:401,"AAAAAD72w0w=",0)</f>
        <v>0</v>
      </c>
      <c r="BZ90" t="e">
        <f>AND(DATA!A401,"AAAAAD72w00=")</f>
        <v>#VALUE!</v>
      </c>
      <c r="CA90" t="e">
        <f>AND(DATA!B401,"AAAAAD72w04=")</f>
        <v>#VALUE!</v>
      </c>
      <c r="CB90" t="e">
        <f>AND(DATA!C401,"AAAAAD72w08=")</f>
        <v>#VALUE!</v>
      </c>
      <c r="CC90" t="e">
        <f>AND(DATA!D401,"AAAAAD72w1A=")</f>
        <v>#VALUE!</v>
      </c>
      <c r="CD90" t="e">
        <f>AND(DATA!E401,"AAAAAD72w1E=")</f>
        <v>#VALUE!</v>
      </c>
      <c r="CE90" t="e">
        <f>AND(DATA!F401,"AAAAAD72w1I=")</f>
        <v>#VALUE!</v>
      </c>
      <c r="CF90" t="e">
        <f>AND(DATA!G401,"AAAAAD72w1M=")</f>
        <v>#VALUE!</v>
      </c>
      <c r="CG90" t="e">
        <f>AND(DATA!H401,"AAAAAD72w1Q=")</f>
        <v>#VALUE!</v>
      </c>
      <c r="CH90" t="e">
        <f>AND(DATA!I401,"AAAAAD72w1U=")</f>
        <v>#VALUE!</v>
      </c>
      <c r="CI90" t="e">
        <f>AND(DATA!J401,"AAAAAD72w1Y=")</f>
        <v>#VALUE!</v>
      </c>
      <c r="CJ90" t="e">
        <f>AND(DATA!K401,"AAAAAD72w1c=")</f>
        <v>#VALUE!</v>
      </c>
      <c r="CK90" t="b">
        <f>AND(DATA!L402,"AAAAAD72w1g=")</f>
        <v>1</v>
      </c>
      <c r="CL90" t="b">
        <f>AND(DATA!M402,"AAAAAD72w1k=")</f>
        <v>1</v>
      </c>
      <c r="CM90" t="b">
        <f>AND(DATA!N402,"AAAAAD72w1o=")</f>
        <v>1</v>
      </c>
      <c r="CN90" t="b">
        <f>AND(DATA!O402,"AAAAAD72w1s=")</f>
        <v>1</v>
      </c>
      <c r="CO90" t="b">
        <f>AND(DATA!P402,"AAAAAD72w1w=")</f>
        <v>1</v>
      </c>
      <c r="CP90" t="b">
        <f>AND(DATA!Q402,"AAAAAD72w10=")</f>
        <v>1</v>
      </c>
      <c r="CQ90" t="b">
        <f>AND(DATA!R402,"AAAAAD72w14=")</f>
        <v>1</v>
      </c>
      <c r="CR90" t="b">
        <f>AND(DATA!S402,"AAAAAD72w18=")</f>
        <v>1</v>
      </c>
      <c r="CS90" t="b">
        <f>AND(DATA!T402,"AAAAAD72w2A=")</f>
        <v>1</v>
      </c>
      <c r="CT90" t="b">
        <f>AND(DATA!U402,"AAAAAD72w2E=")</f>
        <v>1</v>
      </c>
      <c r="CU90" t="b">
        <f>AND(DATA!V402,"AAAAAD72w2I=")</f>
        <v>1</v>
      </c>
      <c r="CV90" t="e">
        <f>AND(DATA!W401,"AAAAAD72w2M=")</f>
        <v>#VALUE!</v>
      </c>
      <c r="CW90" t="e">
        <f>AND(DATA!X401,"AAAAAD72w2Q=")</f>
        <v>#VALUE!</v>
      </c>
      <c r="CX90" t="e">
        <f>AND(DATA!Y401,"AAAAAD72w2U=")</f>
        <v>#VALUE!</v>
      </c>
      <c r="CY90">
        <f>IF(DATA!402:402,"AAAAAD72w2Y=",0)</f>
        <v>0</v>
      </c>
      <c r="CZ90" t="e">
        <f>AND(DATA!A402,"AAAAAD72w2c=")</f>
        <v>#VALUE!</v>
      </c>
      <c r="DA90" t="e">
        <f>AND(DATA!B402,"AAAAAD72w2g=")</f>
        <v>#VALUE!</v>
      </c>
      <c r="DB90" t="e">
        <f>AND(DATA!C402,"AAAAAD72w2k=")</f>
        <v>#VALUE!</v>
      </c>
      <c r="DC90" t="e">
        <f>AND(DATA!D402,"AAAAAD72w2o=")</f>
        <v>#VALUE!</v>
      </c>
      <c r="DD90" t="e">
        <f>AND(DATA!E402,"AAAAAD72w2s=")</f>
        <v>#VALUE!</v>
      </c>
      <c r="DE90" t="e">
        <f>AND(DATA!F402,"AAAAAD72w2w=")</f>
        <v>#VALUE!</v>
      </c>
      <c r="DF90" t="e">
        <f>AND(DATA!G402,"AAAAAD72w20=")</f>
        <v>#VALUE!</v>
      </c>
      <c r="DG90" t="e">
        <f>AND(DATA!H402,"AAAAAD72w24=")</f>
        <v>#VALUE!</v>
      </c>
      <c r="DH90" t="e">
        <f>AND(DATA!I402,"AAAAAD72w28=")</f>
        <v>#VALUE!</v>
      </c>
      <c r="DI90" t="e">
        <f>AND(DATA!J402,"AAAAAD72w3A=")</f>
        <v>#VALUE!</v>
      </c>
      <c r="DJ90" t="e">
        <f>AND(DATA!K402,"AAAAAD72w3E=")</f>
        <v>#VALUE!</v>
      </c>
      <c r="DK90" t="b">
        <f>AND(DATA!L403,"AAAAAD72w3I=")</f>
        <v>1</v>
      </c>
      <c r="DL90" t="b">
        <f>AND(DATA!M403,"AAAAAD72w3M=")</f>
        <v>1</v>
      </c>
      <c r="DM90" t="b">
        <f>AND(DATA!N403,"AAAAAD72w3Q=")</f>
        <v>1</v>
      </c>
      <c r="DN90" t="b">
        <f>AND(DATA!O403,"AAAAAD72w3U=")</f>
        <v>1</v>
      </c>
      <c r="DO90" t="b">
        <f>AND(DATA!P403,"AAAAAD72w3Y=")</f>
        <v>1</v>
      </c>
      <c r="DP90" t="b">
        <f>AND(DATA!Q403,"AAAAAD72w3c=")</f>
        <v>1</v>
      </c>
      <c r="DQ90" t="b">
        <f>AND(DATA!R403,"AAAAAD72w3g=")</f>
        <v>1</v>
      </c>
      <c r="DR90" t="b">
        <f>AND(DATA!S403,"AAAAAD72w3k=")</f>
        <v>1</v>
      </c>
      <c r="DS90" t="b">
        <f>AND(DATA!T403,"AAAAAD72w3o=")</f>
        <v>1</v>
      </c>
      <c r="DT90" t="b">
        <f>AND(DATA!U403,"AAAAAD72w3s=")</f>
        <v>1</v>
      </c>
      <c r="DU90" t="b">
        <f>AND(DATA!V403,"AAAAAD72w3w=")</f>
        <v>1</v>
      </c>
      <c r="DV90" t="e">
        <f>AND(DATA!W402,"AAAAAD72w30=")</f>
        <v>#VALUE!</v>
      </c>
      <c r="DW90" t="e">
        <f>AND(DATA!X402,"AAAAAD72w34=")</f>
        <v>#VALUE!</v>
      </c>
      <c r="DX90" t="e">
        <f>AND(DATA!Y402,"AAAAAD72w38=")</f>
        <v>#VALUE!</v>
      </c>
      <c r="DY90">
        <f>IF(DATA!403:403,"AAAAAD72w4A=",0)</f>
        <v>0</v>
      </c>
      <c r="DZ90" t="e">
        <f>AND(DATA!A403,"AAAAAD72w4E=")</f>
        <v>#VALUE!</v>
      </c>
      <c r="EA90" t="e">
        <f>AND(DATA!B403,"AAAAAD72w4I=")</f>
        <v>#VALUE!</v>
      </c>
      <c r="EB90" t="e">
        <f>AND(DATA!C403,"AAAAAD72w4M=")</f>
        <v>#VALUE!</v>
      </c>
      <c r="EC90" t="e">
        <f>AND(DATA!D403,"AAAAAD72w4Q=")</f>
        <v>#VALUE!</v>
      </c>
      <c r="ED90" t="e">
        <f>AND(DATA!E403,"AAAAAD72w4U=")</f>
        <v>#VALUE!</v>
      </c>
      <c r="EE90" t="e">
        <f>AND(DATA!F403,"AAAAAD72w4Y=")</f>
        <v>#VALUE!</v>
      </c>
      <c r="EF90" t="e">
        <f>AND(DATA!G403,"AAAAAD72w4c=")</f>
        <v>#VALUE!</v>
      </c>
      <c r="EG90" t="e">
        <f>AND(DATA!H403,"AAAAAD72w4g=")</f>
        <v>#VALUE!</v>
      </c>
      <c r="EH90" t="e">
        <f>AND(DATA!I403,"AAAAAD72w4k=")</f>
        <v>#VALUE!</v>
      </c>
      <c r="EI90" t="e">
        <f>AND(DATA!J403,"AAAAAD72w4o=")</f>
        <v>#VALUE!</v>
      </c>
      <c r="EJ90" t="e">
        <f>AND(DATA!K403,"AAAAAD72w4s=")</f>
        <v>#VALUE!</v>
      </c>
      <c r="EK90" t="b">
        <f>AND(DATA!L404,"AAAAAD72w4w=")</f>
        <v>1</v>
      </c>
      <c r="EL90" t="b">
        <f>AND(DATA!M404,"AAAAAD72w40=")</f>
        <v>1</v>
      </c>
      <c r="EM90" t="b">
        <f>AND(DATA!N404,"AAAAAD72w44=")</f>
        <v>1</v>
      </c>
      <c r="EN90" t="b">
        <f>AND(DATA!O404,"AAAAAD72w48=")</f>
        <v>1</v>
      </c>
      <c r="EO90" t="b">
        <f>AND(DATA!P404,"AAAAAD72w5A=")</f>
        <v>1</v>
      </c>
      <c r="EP90" t="b">
        <f>AND(DATA!Q404,"AAAAAD72w5E=")</f>
        <v>1</v>
      </c>
      <c r="EQ90" t="b">
        <f>AND(DATA!R404,"AAAAAD72w5I=")</f>
        <v>1</v>
      </c>
      <c r="ER90" t="b">
        <f>AND(DATA!S404,"AAAAAD72w5M=")</f>
        <v>1</v>
      </c>
      <c r="ES90" t="b">
        <f>AND(DATA!T404,"AAAAAD72w5Q=")</f>
        <v>1</v>
      </c>
      <c r="ET90" t="b">
        <f>AND(DATA!U404,"AAAAAD72w5U=")</f>
        <v>1</v>
      </c>
      <c r="EU90" t="b">
        <f>AND(DATA!V404,"AAAAAD72w5Y=")</f>
        <v>1</v>
      </c>
      <c r="EV90" t="e">
        <f>AND(DATA!W403,"AAAAAD72w5c=")</f>
        <v>#VALUE!</v>
      </c>
      <c r="EW90" t="e">
        <f>AND(DATA!X403,"AAAAAD72w5g=")</f>
        <v>#VALUE!</v>
      </c>
      <c r="EX90" t="e">
        <f>AND(DATA!Y403,"AAAAAD72w5k=")</f>
        <v>#VALUE!</v>
      </c>
      <c r="EY90">
        <f>IF(DATA!404:404,"AAAAAD72w5o=",0)</f>
        <v>0</v>
      </c>
      <c r="EZ90" t="e">
        <f>AND(DATA!A404,"AAAAAD72w5s=")</f>
        <v>#VALUE!</v>
      </c>
      <c r="FA90" t="e">
        <f>AND(DATA!B404,"AAAAAD72w5w=")</f>
        <v>#VALUE!</v>
      </c>
      <c r="FB90" t="e">
        <f>AND(DATA!C404,"AAAAAD72w50=")</f>
        <v>#VALUE!</v>
      </c>
      <c r="FC90" t="e">
        <f>AND(DATA!D404,"AAAAAD72w54=")</f>
        <v>#VALUE!</v>
      </c>
      <c r="FD90" t="e">
        <f>AND(DATA!E404,"AAAAAD72w58=")</f>
        <v>#VALUE!</v>
      </c>
      <c r="FE90" t="e">
        <f>AND(DATA!F404,"AAAAAD72w6A=")</f>
        <v>#VALUE!</v>
      </c>
      <c r="FF90" t="e">
        <f>AND(DATA!G404,"AAAAAD72w6E=")</f>
        <v>#VALUE!</v>
      </c>
      <c r="FG90" t="e">
        <f>AND(DATA!H404,"AAAAAD72w6I=")</f>
        <v>#VALUE!</v>
      </c>
      <c r="FH90" t="e">
        <f>AND(DATA!I404,"AAAAAD72w6M=")</f>
        <v>#VALUE!</v>
      </c>
      <c r="FI90" t="e">
        <f>AND(DATA!J404,"AAAAAD72w6Q=")</f>
        <v>#VALUE!</v>
      </c>
      <c r="FJ90" t="e">
        <f>AND(DATA!K404,"AAAAAD72w6U=")</f>
        <v>#VALUE!</v>
      </c>
      <c r="FK90" t="b">
        <f>AND(DATA!L405,"AAAAAD72w6Y=")</f>
        <v>1</v>
      </c>
      <c r="FL90" t="b">
        <f>AND(DATA!M405,"AAAAAD72w6c=")</f>
        <v>1</v>
      </c>
      <c r="FM90" t="b">
        <f>AND(DATA!N405,"AAAAAD72w6g=")</f>
        <v>1</v>
      </c>
      <c r="FN90" t="b">
        <f>AND(DATA!O405,"AAAAAD72w6k=")</f>
        <v>1</v>
      </c>
      <c r="FO90" t="b">
        <f>AND(DATA!P405,"AAAAAD72w6o=")</f>
        <v>1</v>
      </c>
      <c r="FP90" t="b">
        <f>AND(DATA!Q405,"AAAAAD72w6s=")</f>
        <v>1</v>
      </c>
      <c r="FQ90" t="b">
        <f>AND(DATA!R405,"AAAAAD72w6w=")</f>
        <v>1</v>
      </c>
      <c r="FR90" t="b">
        <f>AND(DATA!S405,"AAAAAD72w60=")</f>
        <v>1</v>
      </c>
      <c r="FS90" t="b">
        <f>AND(DATA!T405,"AAAAAD72w64=")</f>
        <v>1</v>
      </c>
      <c r="FT90" t="b">
        <f>AND(DATA!U405,"AAAAAD72w68=")</f>
        <v>1</v>
      </c>
      <c r="FU90" t="b">
        <f>AND(DATA!V405,"AAAAAD72w7A=")</f>
        <v>1</v>
      </c>
      <c r="FV90" t="e">
        <f>AND(DATA!W404,"AAAAAD72w7E=")</f>
        <v>#VALUE!</v>
      </c>
      <c r="FW90" t="e">
        <f>AND(DATA!X404,"AAAAAD72w7I=")</f>
        <v>#VALUE!</v>
      </c>
      <c r="FX90" t="e">
        <f>AND(DATA!Y404,"AAAAAD72w7M=")</f>
        <v>#VALUE!</v>
      </c>
      <c r="FY90">
        <f>IF(DATA!405:405,"AAAAAD72w7Q=",0)</f>
        <v>0</v>
      </c>
      <c r="FZ90" t="e">
        <f>AND(DATA!A405,"AAAAAD72w7U=")</f>
        <v>#VALUE!</v>
      </c>
      <c r="GA90" t="e">
        <f>AND(DATA!B405,"AAAAAD72w7Y=")</f>
        <v>#VALUE!</v>
      </c>
      <c r="GB90" t="e">
        <f>AND(DATA!C405,"AAAAAD72w7c=")</f>
        <v>#VALUE!</v>
      </c>
      <c r="GC90" t="e">
        <f>AND(DATA!D405,"AAAAAD72w7g=")</f>
        <v>#VALUE!</v>
      </c>
      <c r="GD90" t="e">
        <f>AND(DATA!E405,"AAAAAD72w7k=")</f>
        <v>#VALUE!</v>
      </c>
      <c r="GE90" t="e">
        <f>AND(DATA!F405,"AAAAAD72w7o=")</f>
        <v>#VALUE!</v>
      </c>
      <c r="GF90" t="e">
        <f>AND(DATA!G405,"AAAAAD72w7s=")</f>
        <v>#VALUE!</v>
      </c>
      <c r="GG90" t="e">
        <f>AND(DATA!H405,"AAAAAD72w7w=")</f>
        <v>#VALUE!</v>
      </c>
      <c r="GH90" t="e">
        <f>AND(DATA!I405,"AAAAAD72w70=")</f>
        <v>#VALUE!</v>
      </c>
      <c r="GI90" t="e">
        <f>AND(DATA!J405,"AAAAAD72w74=")</f>
        <v>#VALUE!</v>
      </c>
      <c r="GJ90" t="e">
        <f>AND(DATA!K405,"AAAAAD72w78=")</f>
        <v>#VALUE!</v>
      </c>
      <c r="GK90" t="b">
        <f>AND(DATA!L406,"AAAAAD72w8A=")</f>
        <v>1</v>
      </c>
      <c r="GL90" t="b">
        <f>AND(DATA!M406,"AAAAAD72w8E=")</f>
        <v>1</v>
      </c>
      <c r="GM90" t="b">
        <f>AND(DATA!N406,"AAAAAD72w8I=")</f>
        <v>1</v>
      </c>
      <c r="GN90" t="b">
        <f>AND(DATA!O406,"AAAAAD72w8M=")</f>
        <v>1</v>
      </c>
      <c r="GO90" t="b">
        <f>AND(DATA!P406,"AAAAAD72w8Q=")</f>
        <v>1</v>
      </c>
      <c r="GP90" t="b">
        <f>AND(DATA!Q406,"AAAAAD72w8U=")</f>
        <v>1</v>
      </c>
      <c r="GQ90" t="b">
        <f>AND(DATA!R406,"AAAAAD72w8Y=")</f>
        <v>1</v>
      </c>
      <c r="GR90" t="b">
        <f>AND(DATA!S406,"AAAAAD72w8c=")</f>
        <v>1</v>
      </c>
      <c r="GS90" t="b">
        <f>AND(DATA!T406,"AAAAAD72w8g=")</f>
        <v>1</v>
      </c>
      <c r="GT90" t="b">
        <f>AND(DATA!U406,"AAAAAD72w8k=")</f>
        <v>1</v>
      </c>
      <c r="GU90" t="b">
        <f>AND(DATA!V406,"AAAAAD72w8o=")</f>
        <v>1</v>
      </c>
      <c r="GV90" t="e">
        <f>AND(DATA!W405,"AAAAAD72w8s=")</f>
        <v>#VALUE!</v>
      </c>
      <c r="GW90" t="e">
        <f>AND(DATA!X405,"AAAAAD72w8w=")</f>
        <v>#VALUE!</v>
      </c>
      <c r="GX90" t="e">
        <f>AND(DATA!Y405,"AAAAAD72w80=")</f>
        <v>#VALUE!</v>
      </c>
      <c r="GY90">
        <f>IF(DATA!406:406,"AAAAAD72w84=",0)</f>
        <v>0</v>
      </c>
      <c r="GZ90" t="e">
        <f>AND(DATA!A406,"AAAAAD72w88=")</f>
        <v>#VALUE!</v>
      </c>
      <c r="HA90" t="e">
        <f>AND(DATA!B406,"AAAAAD72w9A=")</f>
        <v>#VALUE!</v>
      </c>
      <c r="HB90" t="e">
        <f>AND(DATA!C406,"AAAAAD72w9E=")</f>
        <v>#VALUE!</v>
      </c>
      <c r="HC90" t="e">
        <f>AND(DATA!D406,"AAAAAD72w9I=")</f>
        <v>#VALUE!</v>
      </c>
      <c r="HD90" t="e">
        <f>AND(DATA!E406,"AAAAAD72w9M=")</f>
        <v>#VALUE!</v>
      </c>
      <c r="HE90" t="e">
        <f>AND(DATA!F406,"AAAAAD72w9Q=")</f>
        <v>#VALUE!</v>
      </c>
      <c r="HF90" t="e">
        <f>AND(DATA!G406,"AAAAAD72w9U=")</f>
        <v>#VALUE!</v>
      </c>
      <c r="HG90" t="e">
        <f>AND(DATA!H406,"AAAAAD72w9Y=")</f>
        <v>#VALUE!</v>
      </c>
      <c r="HH90" t="e">
        <f>AND(DATA!I406,"AAAAAD72w9c=")</f>
        <v>#VALUE!</v>
      </c>
      <c r="HI90" t="e">
        <f>AND(DATA!J406,"AAAAAD72w9g=")</f>
        <v>#VALUE!</v>
      </c>
      <c r="HJ90" t="e">
        <f>AND(DATA!K406,"AAAAAD72w9k=")</f>
        <v>#VALUE!</v>
      </c>
      <c r="HK90" t="b">
        <f>AND(DATA!L407,"AAAAAD72w9o=")</f>
        <v>1</v>
      </c>
      <c r="HL90" t="b">
        <f>AND(DATA!M407,"AAAAAD72w9s=")</f>
        <v>1</v>
      </c>
      <c r="HM90" t="b">
        <f>AND(DATA!N407,"AAAAAD72w9w=")</f>
        <v>1</v>
      </c>
      <c r="HN90" t="b">
        <f>AND(DATA!O407,"AAAAAD72w90=")</f>
        <v>1</v>
      </c>
      <c r="HO90" t="b">
        <f>AND(DATA!P407,"AAAAAD72w94=")</f>
        <v>1</v>
      </c>
      <c r="HP90" t="b">
        <f>AND(DATA!Q407,"AAAAAD72w98=")</f>
        <v>1</v>
      </c>
      <c r="HQ90" t="b">
        <f>AND(DATA!R407,"AAAAAD72w+A=")</f>
        <v>1</v>
      </c>
      <c r="HR90" t="b">
        <f>AND(DATA!S407,"AAAAAD72w+E=")</f>
        <v>1</v>
      </c>
      <c r="HS90" t="b">
        <f>AND(DATA!T407,"AAAAAD72w+I=")</f>
        <v>1</v>
      </c>
      <c r="HT90" t="b">
        <f>AND(DATA!U407,"AAAAAD72w+M=")</f>
        <v>1</v>
      </c>
      <c r="HU90" t="b">
        <f>AND(DATA!V407,"AAAAAD72w+Q=")</f>
        <v>1</v>
      </c>
      <c r="HV90" t="e">
        <f>AND(DATA!W406,"AAAAAD72w+U=")</f>
        <v>#VALUE!</v>
      </c>
      <c r="HW90" t="e">
        <f>AND(DATA!X406,"AAAAAD72w+Y=")</f>
        <v>#VALUE!</v>
      </c>
      <c r="HX90" t="e">
        <f>AND(DATA!Y406,"AAAAAD72w+c=")</f>
        <v>#VALUE!</v>
      </c>
      <c r="HY90">
        <f>IF(DATA!407:407,"AAAAAD72w+g=",0)</f>
        <v>0</v>
      </c>
      <c r="HZ90" t="e">
        <f>AND(DATA!A407,"AAAAAD72w+k=")</f>
        <v>#VALUE!</v>
      </c>
      <c r="IA90" t="e">
        <f>AND(DATA!B407,"AAAAAD72w+o=")</f>
        <v>#VALUE!</v>
      </c>
      <c r="IB90" t="e">
        <f>AND(DATA!C407,"AAAAAD72w+s=")</f>
        <v>#VALUE!</v>
      </c>
      <c r="IC90" t="e">
        <f>AND(DATA!D407,"AAAAAD72w+w=")</f>
        <v>#VALUE!</v>
      </c>
      <c r="ID90" t="e">
        <f>AND(DATA!E407,"AAAAAD72w+0=")</f>
        <v>#VALUE!</v>
      </c>
      <c r="IE90" t="e">
        <f>AND(DATA!F407,"AAAAAD72w+4=")</f>
        <v>#VALUE!</v>
      </c>
      <c r="IF90" t="e">
        <f>AND(DATA!G407,"AAAAAD72w+8=")</f>
        <v>#VALUE!</v>
      </c>
      <c r="IG90" t="e">
        <f>AND(DATA!H407,"AAAAAD72w/A=")</f>
        <v>#VALUE!</v>
      </c>
      <c r="IH90" t="e">
        <f>AND(DATA!I407,"AAAAAD72w/E=")</f>
        <v>#VALUE!</v>
      </c>
      <c r="II90" t="e">
        <f>AND(DATA!J407,"AAAAAD72w/I=")</f>
        <v>#VALUE!</v>
      </c>
      <c r="IJ90" t="e">
        <f>AND(DATA!K407,"AAAAAD72w/M=")</f>
        <v>#VALUE!</v>
      </c>
      <c r="IK90" t="b">
        <f>AND(DATA!L408,"AAAAAD72w/Q=")</f>
        <v>1</v>
      </c>
      <c r="IL90" t="b">
        <f>AND(DATA!M408,"AAAAAD72w/U=")</f>
        <v>1</v>
      </c>
      <c r="IM90" t="b">
        <f>AND(DATA!N408,"AAAAAD72w/Y=")</f>
        <v>1</v>
      </c>
      <c r="IN90" t="b">
        <f>AND(DATA!O408,"AAAAAD72w/c=")</f>
        <v>1</v>
      </c>
      <c r="IO90" t="b">
        <f>AND(DATA!P408,"AAAAAD72w/g=")</f>
        <v>1</v>
      </c>
      <c r="IP90" t="b">
        <f>AND(DATA!Q408,"AAAAAD72w/k=")</f>
        <v>1</v>
      </c>
      <c r="IQ90" t="b">
        <f>AND(DATA!R408,"AAAAAD72w/o=")</f>
        <v>1</v>
      </c>
      <c r="IR90" t="b">
        <f>AND(DATA!S408,"AAAAAD72w/s=")</f>
        <v>1</v>
      </c>
      <c r="IS90" t="b">
        <f>AND(DATA!T408,"AAAAAD72w/w=")</f>
        <v>1</v>
      </c>
      <c r="IT90" t="b">
        <f>AND(DATA!U408,"AAAAAD72w/0=")</f>
        <v>1</v>
      </c>
      <c r="IU90" t="b">
        <f>AND(DATA!V408,"AAAAAD72w/4=")</f>
        <v>1</v>
      </c>
      <c r="IV90" t="e">
        <f>AND(DATA!W407,"AAAAAD72w/8=")</f>
        <v>#VALUE!</v>
      </c>
    </row>
    <row r="91" spans="1:256" x14ac:dyDescent="0.25">
      <c r="A91" t="e">
        <f>AND(DATA!X407,"AAAAAF7J9QA=")</f>
        <v>#VALUE!</v>
      </c>
      <c r="B91" t="e">
        <f>AND(DATA!Y407,"AAAAAF7J9QE=")</f>
        <v>#VALUE!</v>
      </c>
      <c r="C91">
        <f>IF(DATA!408:408,"AAAAAF7J9QI=",0)</f>
        <v>0</v>
      </c>
      <c r="D91" t="e">
        <f>AND(DATA!A408,"AAAAAF7J9QM=")</f>
        <v>#VALUE!</v>
      </c>
      <c r="E91" t="e">
        <f>AND(DATA!B408,"AAAAAF7J9QQ=")</f>
        <v>#VALUE!</v>
      </c>
      <c r="F91" t="e">
        <f>AND(DATA!C408,"AAAAAF7J9QU=")</f>
        <v>#VALUE!</v>
      </c>
      <c r="G91" t="e">
        <f>AND(DATA!D408,"AAAAAF7J9QY=")</f>
        <v>#VALUE!</v>
      </c>
      <c r="H91" t="e">
        <f>AND(DATA!E408,"AAAAAF7J9Qc=")</f>
        <v>#VALUE!</v>
      </c>
      <c r="I91" t="e">
        <f>AND(DATA!F408,"AAAAAF7J9Qg=")</f>
        <v>#VALUE!</v>
      </c>
      <c r="J91" t="e">
        <f>AND(DATA!G408,"AAAAAF7J9Qk=")</f>
        <v>#VALUE!</v>
      </c>
      <c r="K91" t="e">
        <f>AND(DATA!H408,"AAAAAF7J9Qo=")</f>
        <v>#VALUE!</v>
      </c>
      <c r="L91" t="e">
        <f>AND(DATA!I408,"AAAAAF7J9Qs=")</f>
        <v>#VALUE!</v>
      </c>
      <c r="M91" t="e">
        <f>AND(DATA!J408,"AAAAAF7J9Qw=")</f>
        <v>#VALUE!</v>
      </c>
      <c r="N91" t="e">
        <f>AND(DATA!K408,"AAAAAF7J9Q0=")</f>
        <v>#VALUE!</v>
      </c>
      <c r="O91" t="b">
        <f>AND(DATA!L409,"AAAAAF7J9Q4=")</f>
        <v>1</v>
      </c>
      <c r="P91" t="b">
        <f>AND(DATA!M409,"AAAAAF7J9Q8=")</f>
        <v>1</v>
      </c>
      <c r="Q91" t="b">
        <f>AND(DATA!N409,"AAAAAF7J9RA=")</f>
        <v>1</v>
      </c>
      <c r="R91" t="b">
        <f>AND(DATA!O409,"AAAAAF7J9RE=")</f>
        <v>1</v>
      </c>
      <c r="S91" t="b">
        <f>AND(DATA!P409,"AAAAAF7J9RI=")</f>
        <v>1</v>
      </c>
      <c r="T91" t="b">
        <f>AND(DATA!Q409,"AAAAAF7J9RM=")</f>
        <v>1</v>
      </c>
      <c r="U91" t="b">
        <f>AND(DATA!R409,"AAAAAF7J9RQ=")</f>
        <v>1</v>
      </c>
      <c r="V91" t="b">
        <f>AND(DATA!S409,"AAAAAF7J9RU=")</f>
        <v>1</v>
      </c>
      <c r="W91" t="b">
        <f>AND(DATA!T409,"AAAAAF7J9RY=")</f>
        <v>1</v>
      </c>
      <c r="X91" t="b">
        <f>AND(DATA!U409,"AAAAAF7J9Rc=")</f>
        <v>1</v>
      </c>
      <c r="Y91" t="b">
        <f>AND(DATA!V409,"AAAAAF7J9Rg=")</f>
        <v>1</v>
      </c>
      <c r="Z91" t="e">
        <f>AND(DATA!W408,"AAAAAF7J9Rk=")</f>
        <v>#VALUE!</v>
      </c>
      <c r="AA91" t="e">
        <f>AND(DATA!X408,"AAAAAF7J9Ro=")</f>
        <v>#VALUE!</v>
      </c>
      <c r="AB91" t="e">
        <f>AND(DATA!Y408,"AAAAAF7J9Rs=")</f>
        <v>#VALUE!</v>
      </c>
      <c r="AC91">
        <f>IF(DATA!409:409,"AAAAAF7J9Rw=",0)</f>
        <v>0</v>
      </c>
      <c r="AD91" t="e">
        <f>AND(DATA!A409,"AAAAAF7J9R0=")</f>
        <v>#VALUE!</v>
      </c>
      <c r="AE91" t="e">
        <f>AND(DATA!B409,"AAAAAF7J9R4=")</f>
        <v>#VALUE!</v>
      </c>
      <c r="AF91" t="e">
        <f>AND(DATA!C409,"AAAAAF7J9R8=")</f>
        <v>#VALUE!</v>
      </c>
      <c r="AG91" t="e">
        <f>AND(DATA!D409,"AAAAAF7J9SA=")</f>
        <v>#VALUE!</v>
      </c>
      <c r="AH91" t="e">
        <f>AND(DATA!E409,"AAAAAF7J9SE=")</f>
        <v>#VALUE!</v>
      </c>
      <c r="AI91" t="e">
        <f>AND(DATA!F409,"AAAAAF7J9SI=")</f>
        <v>#VALUE!</v>
      </c>
      <c r="AJ91" t="e">
        <f>AND(DATA!G409,"AAAAAF7J9SM=")</f>
        <v>#VALUE!</v>
      </c>
      <c r="AK91" t="e">
        <f>AND(DATA!H409,"AAAAAF7J9SQ=")</f>
        <v>#VALUE!</v>
      </c>
      <c r="AL91" t="e">
        <f>AND(DATA!I409,"AAAAAF7J9SU=")</f>
        <v>#VALUE!</v>
      </c>
      <c r="AM91" t="e">
        <f>AND(DATA!J409,"AAAAAF7J9SY=")</f>
        <v>#VALUE!</v>
      </c>
      <c r="AN91" t="e">
        <f>AND(DATA!K409,"AAAAAF7J9Sc=")</f>
        <v>#VALUE!</v>
      </c>
      <c r="AO91" t="b">
        <f>AND(DATA!L410,"AAAAAF7J9Sg=")</f>
        <v>1</v>
      </c>
      <c r="AP91" t="b">
        <f>AND(DATA!M410,"AAAAAF7J9Sk=")</f>
        <v>1</v>
      </c>
      <c r="AQ91" t="b">
        <f>AND(DATA!N410,"AAAAAF7J9So=")</f>
        <v>1</v>
      </c>
      <c r="AR91" t="b">
        <f>AND(DATA!O410,"AAAAAF7J9Ss=")</f>
        <v>1</v>
      </c>
      <c r="AS91" t="b">
        <f>AND(DATA!P410,"AAAAAF7J9Sw=")</f>
        <v>1</v>
      </c>
      <c r="AT91" t="b">
        <f>AND(DATA!Q410,"AAAAAF7J9S0=")</f>
        <v>1</v>
      </c>
      <c r="AU91" t="b">
        <f>AND(DATA!R410,"AAAAAF7J9S4=")</f>
        <v>1</v>
      </c>
      <c r="AV91" t="b">
        <f>AND(DATA!S410,"AAAAAF7J9S8=")</f>
        <v>1</v>
      </c>
      <c r="AW91" t="b">
        <f>AND(DATA!T410,"AAAAAF7J9TA=")</f>
        <v>1</v>
      </c>
      <c r="AX91" t="b">
        <f>AND(DATA!U410,"AAAAAF7J9TE=")</f>
        <v>1</v>
      </c>
      <c r="AY91" t="b">
        <f>AND(DATA!V410,"AAAAAF7J9TI=")</f>
        <v>1</v>
      </c>
      <c r="AZ91" t="e">
        <f>AND(DATA!W409,"AAAAAF7J9TM=")</f>
        <v>#VALUE!</v>
      </c>
      <c r="BA91" t="e">
        <f>AND(DATA!X409,"AAAAAF7J9TQ=")</f>
        <v>#VALUE!</v>
      </c>
      <c r="BB91" t="e">
        <f>AND(DATA!Y409,"AAAAAF7J9TU=")</f>
        <v>#VALUE!</v>
      </c>
      <c r="BC91">
        <f>IF(DATA!410:410,"AAAAAF7J9TY=",0)</f>
        <v>0</v>
      </c>
      <c r="BD91" t="e">
        <f>AND(DATA!A410,"AAAAAF7J9Tc=")</f>
        <v>#VALUE!</v>
      </c>
      <c r="BE91" t="e">
        <f>AND(DATA!B410,"AAAAAF7J9Tg=")</f>
        <v>#VALUE!</v>
      </c>
      <c r="BF91" t="e">
        <f>AND(DATA!C410,"AAAAAF7J9Tk=")</f>
        <v>#VALUE!</v>
      </c>
      <c r="BG91" t="e">
        <f>AND(DATA!D410,"AAAAAF7J9To=")</f>
        <v>#VALUE!</v>
      </c>
      <c r="BH91" t="e">
        <f>AND(DATA!E410,"AAAAAF7J9Ts=")</f>
        <v>#VALUE!</v>
      </c>
      <c r="BI91" t="e">
        <f>AND(DATA!F410,"AAAAAF7J9Tw=")</f>
        <v>#VALUE!</v>
      </c>
      <c r="BJ91" t="e">
        <f>AND(DATA!G410,"AAAAAF7J9T0=")</f>
        <v>#VALUE!</v>
      </c>
      <c r="BK91" t="e">
        <f>AND(DATA!H410,"AAAAAF7J9T4=")</f>
        <v>#VALUE!</v>
      </c>
      <c r="BL91" t="e">
        <f>AND(DATA!I410,"AAAAAF7J9T8=")</f>
        <v>#VALUE!</v>
      </c>
      <c r="BM91" t="e">
        <f>AND(DATA!J410,"AAAAAF7J9UA=")</f>
        <v>#VALUE!</v>
      </c>
      <c r="BN91" t="e">
        <f>AND(DATA!K410,"AAAAAF7J9UE=")</f>
        <v>#VALUE!</v>
      </c>
      <c r="BO91" t="b">
        <f>AND(DATA!L411,"AAAAAF7J9UI=")</f>
        <v>1</v>
      </c>
      <c r="BP91" t="b">
        <f>AND(DATA!M411,"AAAAAF7J9UM=")</f>
        <v>1</v>
      </c>
      <c r="BQ91" t="b">
        <f>AND(DATA!N411,"AAAAAF7J9UQ=")</f>
        <v>1</v>
      </c>
      <c r="BR91" t="b">
        <f>AND(DATA!O411,"AAAAAF7J9UU=")</f>
        <v>1</v>
      </c>
      <c r="BS91" t="b">
        <f>AND(DATA!P411,"AAAAAF7J9UY=")</f>
        <v>1</v>
      </c>
      <c r="BT91" t="b">
        <f>AND(DATA!Q411,"AAAAAF7J9Uc=")</f>
        <v>1</v>
      </c>
      <c r="BU91" t="b">
        <f>AND(DATA!R411,"AAAAAF7J9Ug=")</f>
        <v>1</v>
      </c>
      <c r="BV91" t="b">
        <f>AND(DATA!S411,"AAAAAF7J9Uk=")</f>
        <v>1</v>
      </c>
      <c r="BW91" t="b">
        <f>AND(DATA!T411,"AAAAAF7J9Uo=")</f>
        <v>1</v>
      </c>
      <c r="BX91" t="b">
        <f>AND(DATA!U411,"AAAAAF7J9Us=")</f>
        <v>1</v>
      </c>
      <c r="BY91" t="b">
        <f>AND(DATA!V411,"AAAAAF7J9Uw=")</f>
        <v>1</v>
      </c>
      <c r="BZ91" t="e">
        <f>AND(DATA!W410,"AAAAAF7J9U0=")</f>
        <v>#VALUE!</v>
      </c>
      <c r="CA91" t="e">
        <f>AND(DATA!X410,"AAAAAF7J9U4=")</f>
        <v>#VALUE!</v>
      </c>
      <c r="CB91" t="e">
        <f>AND(DATA!Y410,"AAAAAF7J9U8=")</f>
        <v>#VALUE!</v>
      </c>
      <c r="CC91">
        <f>IF(DATA!411:411,"AAAAAF7J9VA=",0)</f>
        <v>0</v>
      </c>
      <c r="CD91" t="e">
        <f>AND(DATA!A411,"AAAAAF7J9VE=")</f>
        <v>#VALUE!</v>
      </c>
      <c r="CE91" t="e">
        <f>AND(DATA!B411,"AAAAAF7J9VI=")</f>
        <v>#VALUE!</v>
      </c>
      <c r="CF91" t="e">
        <f>AND(DATA!C411,"AAAAAF7J9VM=")</f>
        <v>#VALUE!</v>
      </c>
      <c r="CG91" t="e">
        <f>AND(DATA!D411,"AAAAAF7J9VQ=")</f>
        <v>#VALUE!</v>
      </c>
      <c r="CH91" t="e">
        <f>AND(DATA!E411,"AAAAAF7J9VU=")</f>
        <v>#VALUE!</v>
      </c>
      <c r="CI91" t="e">
        <f>AND(DATA!F411,"AAAAAF7J9VY=")</f>
        <v>#VALUE!</v>
      </c>
      <c r="CJ91" t="e">
        <f>AND(DATA!G411,"AAAAAF7J9Vc=")</f>
        <v>#VALUE!</v>
      </c>
      <c r="CK91" t="e">
        <f>AND(DATA!H411,"AAAAAF7J9Vg=")</f>
        <v>#VALUE!</v>
      </c>
      <c r="CL91" t="e">
        <f>AND(DATA!I411,"AAAAAF7J9Vk=")</f>
        <v>#VALUE!</v>
      </c>
      <c r="CM91" t="e">
        <f>AND(DATA!J411,"AAAAAF7J9Vo=")</f>
        <v>#VALUE!</v>
      </c>
      <c r="CN91" t="e">
        <f>AND(DATA!K411,"AAAAAF7J9Vs=")</f>
        <v>#VALUE!</v>
      </c>
      <c r="CO91" t="b">
        <f>AND(DATA!L412,"AAAAAF7J9Vw=")</f>
        <v>1</v>
      </c>
      <c r="CP91" t="b">
        <f>AND(DATA!M412,"AAAAAF7J9V0=")</f>
        <v>1</v>
      </c>
      <c r="CQ91" t="b">
        <f>AND(DATA!N412,"AAAAAF7J9V4=")</f>
        <v>1</v>
      </c>
      <c r="CR91" t="b">
        <f>AND(DATA!O412,"AAAAAF7J9V8=")</f>
        <v>1</v>
      </c>
      <c r="CS91" t="b">
        <f>AND(DATA!P412,"AAAAAF7J9WA=")</f>
        <v>1</v>
      </c>
      <c r="CT91" t="b">
        <f>AND(DATA!Q412,"AAAAAF7J9WE=")</f>
        <v>1</v>
      </c>
      <c r="CU91" t="b">
        <f>AND(DATA!R412,"AAAAAF7J9WI=")</f>
        <v>1</v>
      </c>
      <c r="CV91" t="b">
        <f>AND(DATA!S412,"AAAAAF7J9WM=")</f>
        <v>1</v>
      </c>
      <c r="CW91" t="b">
        <f>AND(DATA!T412,"AAAAAF7J9WQ=")</f>
        <v>1</v>
      </c>
      <c r="CX91" t="b">
        <f>AND(DATA!U412,"AAAAAF7J9WU=")</f>
        <v>1</v>
      </c>
      <c r="CY91" t="b">
        <f>AND(DATA!V412,"AAAAAF7J9WY=")</f>
        <v>1</v>
      </c>
      <c r="CZ91" t="e">
        <f>AND(DATA!W411,"AAAAAF7J9Wc=")</f>
        <v>#VALUE!</v>
      </c>
      <c r="DA91" t="e">
        <f>AND(DATA!X411,"AAAAAF7J9Wg=")</f>
        <v>#VALUE!</v>
      </c>
      <c r="DB91" t="e">
        <f>AND(DATA!Y411,"AAAAAF7J9Wk=")</f>
        <v>#VALUE!</v>
      </c>
      <c r="DC91">
        <f>IF(DATA!412:412,"AAAAAF7J9Wo=",0)</f>
        <v>0</v>
      </c>
      <c r="DD91" t="e">
        <f>AND(DATA!A412,"AAAAAF7J9Ws=")</f>
        <v>#VALUE!</v>
      </c>
      <c r="DE91" t="e">
        <f>AND(DATA!B412,"AAAAAF7J9Ww=")</f>
        <v>#VALUE!</v>
      </c>
      <c r="DF91" t="e">
        <f>AND(DATA!C412,"AAAAAF7J9W0=")</f>
        <v>#VALUE!</v>
      </c>
      <c r="DG91" t="e">
        <f>AND(DATA!D412,"AAAAAF7J9W4=")</f>
        <v>#VALUE!</v>
      </c>
      <c r="DH91" t="e">
        <f>AND(DATA!E412,"AAAAAF7J9W8=")</f>
        <v>#VALUE!</v>
      </c>
      <c r="DI91" t="e">
        <f>AND(DATA!F412,"AAAAAF7J9XA=")</f>
        <v>#VALUE!</v>
      </c>
      <c r="DJ91" t="e">
        <f>AND(DATA!G412,"AAAAAF7J9XE=")</f>
        <v>#VALUE!</v>
      </c>
      <c r="DK91" t="e">
        <f>AND(DATA!H412,"AAAAAF7J9XI=")</f>
        <v>#VALUE!</v>
      </c>
      <c r="DL91" t="e">
        <f>AND(DATA!I412,"AAAAAF7J9XM=")</f>
        <v>#VALUE!</v>
      </c>
      <c r="DM91" t="e">
        <f>AND(DATA!J412,"AAAAAF7J9XQ=")</f>
        <v>#VALUE!</v>
      </c>
      <c r="DN91" t="e">
        <f>AND(DATA!K412,"AAAAAF7J9XU=")</f>
        <v>#VALUE!</v>
      </c>
      <c r="DO91" t="b">
        <f>AND(DATA!L413,"AAAAAF7J9XY=")</f>
        <v>1</v>
      </c>
      <c r="DP91" t="b">
        <f>AND(DATA!M413,"AAAAAF7J9Xc=")</f>
        <v>1</v>
      </c>
      <c r="DQ91" t="b">
        <f>AND(DATA!N413,"AAAAAF7J9Xg=")</f>
        <v>1</v>
      </c>
      <c r="DR91" t="b">
        <f>AND(DATA!O413,"AAAAAF7J9Xk=")</f>
        <v>1</v>
      </c>
      <c r="DS91" t="b">
        <f>AND(DATA!P413,"AAAAAF7J9Xo=")</f>
        <v>1</v>
      </c>
      <c r="DT91" t="b">
        <f>AND(DATA!Q413,"AAAAAF7J9Xs=")</f>
        <v>1</v>
      </c>
      <c r="DU91" t="b">
        <f>AND(DATA!R413,"AAAAAF7J9Xw=")</f>
        <v>1</v>
      </c>
      <c r="DV91" t="b">
        <f>AND(DATA!S413,"AAAAAF7J9X0=")</f>
        <v>1</v>
      </c>
      <c r="DW91" t="b">
        <f>AND(DATA!T413,"AAAAAF7J9X4=")</f>
        <v>1</v>
      </c>
      <c r="DX91" t="b">
        <f>AND(DATA!U413,"AAAAAF7J9X8=")</f>
        <v>1</v>
      </c>
      <c r="DY91" t="b">
        <f>AND(DATA!V413,"AAAAAF7J9YA=")</f>
        <v>1</v>
      </c>
      <c r="DZ91" t="e">
        <f>AND(DATA!W412,"AAAAAF7J9YE=")</f>
        <v>#VALUE!</v>
      </c>
      <c r="EA91" t="e">
        <f>AND(DATA!X412,"AAAAAF7J9YI=")</f>
        <v>#VALUE!</v>
      </c>
      <c r="EB91" t="e">
        <f>AND(DATA!Y412,"AAAAAF7J9YM=")</f>
        <v>#VALUE!</v>
      </c>
      <c r="EC91">
        <f>IF(DATA!413:413,"AAAAAF7J9YQ=",0)</f>
        <v>0</v>
      </c>
      <c r="ED91" t="e">
        <f>AND(DATA!A413,"AAAAAF7J9YU=")</f>
        <v>#VALUE!</v>
      </c>
      <c r="EE91" t="e">
        <f>AND(DATA!B413,"AAAAAF7J9YY=")</f>
        <v>#VALUE!</v>
      </c>
      <c r="EF91" t="e">
        <f>AND(DATA!C413,"AAAAAF7J9Yc=")</f>
        <v>#VALUE!</v>
      </c>
      <c r="EG91" t="e">
        <f>AND(DATA!D413,"AAAAAF7J9Yg=")</f>
        <v>#VALUE!</v>
      </c>
      <c r="EH91" t="e">
        <f>AND(DATA!E413,"AAAAAF7J9Yk=")</f>
        <v>#VALUE!</v>
      </c>
      <c r="EI91" t="e">
        <f>AND(DATA!F413,"AAAAAF7J9Yo=")</f>
        <v>#VALUE!</v>
      </c>
      <c r="EJ91" t="e">
        <f>AND(DATA!G413,"AAAAAF7J9Ys=")</f>
        <v>#VALUE!</v>
      </c>
      <c r="EK91" t="e">
        <f>AND(DATA!H413,"AAAAAF7J9Yw=")</f>
        <v>#VALUE!</v>
      </c>
      <c r="EL91" t="e">
        <f>AND(DATA!I413,"AAAAAF7J9Y0=")</f>
        <v>#VALUE!</v>
      </c>
      <c r="EM91" t="e">
        <f>AND(DATA!J413,"AAAAAF7J9Y4=")</f>
        <v>#VALUE!</v>
      </c>
      <c r="EN91" t="e">
        <f>AND(DATA!K413,"AAAAAF7J9Y8=")</f>
        <v>#VALUE!</v>
      </c>
      <c r="EO91" t="b">
        <f>AND(DATA!L414,"AAAAAF7J9ZA=")</f>
        <v>1</v>
      </c>
      <c r="EP91" t="b">
        <f>AND(DATA!M414,"AAAAAF7J9ZE=")</f>
        <v>1</v>
      </c>
      <c r="EQ91" t="b">
        <f>AND(DATA!N414,"AAAAAF7J9ZI=")</f>
        <v>1</v>
      </c>
      <c r="ER91" t="b">
        <f>AND(DATA!O414,"AAAAAF7J9ZM=")</f>
        <v>1</v>
      </c>
      <c r="ES91" t="b">
        <f>AND(DATA!P414,"AAAAAF7J9ZQ=")</f>
        <v>1</v>
      </c>
      <c r="ET91" t="b">
        <f>AND(DATA!Q414,"AAAAAF7J9ZU=")</f>
        <v>1</v>
      </c>
      <c r="EU91" t="b">
        <f>AND(DATA!R414,"AAAAAF7J9ZY=")</f>
        <v>1</v>
      </c>
      <c r="EV91" t="b">
        <f>AND(DATA!S414,"AAAAAF7J9Zc=")</f>
        <v>1</v>
      </c>
      <c r="EW91" t="b">
        <f>AND(DATA!T414,"AAAAAF7J9Zg=")</f>
        <v>1</v>
      </c>
      <c r="EX91" t="b">
        <f>AND(DATA!U414,"AAAAAF7J9Zk=")</f>
        <v>1</v>
      </c>
      <c r="EY91" t="b">
        <f>AND(DATA!V414,"AAAAAF7J9Zo=")</f>
        <v>1</v>
      </c>
      <c r="EZ91" t="e">
        <f>AND(DATA!W413,"AAAAAF7J9Zs=")</f>
        <v>#VALUE!</v>
      </c>
      <c r="FA91" t="e">
        <f>AND(DATA!X413,"AAAAAF7J9Zw=")</f>
        <v>#VALUE!</v>
      </c>
      <c r="FB91" t="e">
        <f>AND(DATA!Y413,"AAAAAF7J9Z0=")</f>
        <v>#VALUE!</v>
      </c>
      <c r="FC91">
        <f>IF(DATA!414:414,"AAAAAF7J9Z4=",0)</f>
        <v>0</v>
      </c>
      <c r="FD91" t="e">
        <f>AND(DATA!A414,"AAAAAF7J9Z8=")</f>
        <v>#VALUE!</v>
      </c>
      <c r="FE91" t="e">
        <f>AND(DATA!B414,"AAAAAF7J9aA=")</f>
        <v>#VALUE!</v>
      </c>
      <c r="FF91" t="e">
        <f>AND(DATA!C414,"AAAAAF7J9aE=")</f>
        <v>#VALUE!</v>
      </c>
      <c r="FG91" t="e">
        <f>AND(DATA!D414,"AAAAAF7J9aI=")</f>
        <v>#VALUE!</v>
      </c>
      <c r="FH91" t="e">
        <f>AND(DATA!E414,"AAAAAF7J9aM=")</f>
        <v>#VALUE!</v>
      </c>
      <c r="FI91" t="e">
        <f>AND(DATA!F414,"AAAAAF7J9aQ=")</f>
        <v>#VALUE!</v>
      </c>
      <c r="FJ91" t="e">
        <f>AND(DATA!G414,"AAAAAF7J9aU=")</f>
        <v>#VALUE!</v>
      </c>
      <c r="FK91" t="e">
        <f>AND(DATA!H414,"AAAAAF7J9aY=")</f>
        <v>#VALUE!</v>
      </c>
      <c r="FL91" t="e">
        <f>AND(DATA!I414,"AAAAAF7J9ac=")</f>
        <v>#VALUE!</v>
      </c>
      <c r="FM91" t="e">
        <f>AND(DATA!J414,"AAAAAF7J9ag=")</f>
        <v>#VALUE!</v>
      </c>
      <c r="FN91" t="e">
        <f>AND(DATA!K414,"AAAAAF7J9ak=")</f>
        <v>#VALUE!</v>
      </c>
      <c r="FO91" t="b">
        <f>AND(DATA!L415,"AAAAAF7J9ao=")</f>
        <v>1</v>
      </c>
      <c r="FP91" t="b">
        <f>AND(DATA!M415,"AAAAAF7J9as=")</f>
        <v>1</v>
      </c>
      <c r="FQ91" t="b">
        <f>AND(DATA!N415,"AAAAAF7J9aw=")</f>
        <v>1</v>
      </c>
      <c r="FR91" t="b">
        <f>AND(DATA!O415,"AAAAAF7J9a0=")</f>
        <v>1</v>
      </c>
      <c r="FS91" t="b">
        <f>AND(DATA!P415,"AAAAAF7J9a4=")</f>
        <v>1</v>
      </c>
      <c r="FT91" t="b">
        <f>AND(DATA!Q415,"AAAAAF7J9a8=")</f>
        <v>1</v>
      </c>
      <c r="FU91" t="b">
        <f>AND(DATA!R415,"AAAAAF7J9bA=")</f>
        <v>1</v>
      </c>
      <c r="FV91" t="b">
        <f>AND(DATA!S415,"AAAAAF7J9bE=")</f>
        <v>1</v>
      </c>
      <c r="FW91" t="b">
        <f>AND(DATA!T415,"AAAAAF7J9bI=")</f>
        <v>1</v>
      </c>
      <c r="FX91" t="b">
        <f>AND(DATA!U415,"AAAAAF7J9bM=")</f>
        <v>1</v>
      </c>
      <c r="FY91" t="b">
        <f>AND(DATA!V415,"AAAAAF7J9bQ=")</f>
        <v>1</v>
      </c>
      <c r="FZ91" t="e">
        <f>AND(DATA!W414,"AAAAAF7J9bU=")</f>
        <v>#VALUE!</v>
      </c>
      <c r="GA91" t="e">
        <f>AND(DATA!X414,"AAAAAF7J9bY=")</f>
        <v>#VALUE!</v>
      </c>
      <c r="GB91" t="e">
        <f>AND(DATA!Y414,"AAAAAF7J9bc=")</f>
        <v>#VALUE!</v>
      </c>
      <c r="GC91">
        <f>IF(DATA!415:415,"AAAAAF7J9bg=",0)</f>
        <v>0</v>
      </c>
      <c r="GD91" t="e">
        <f>AND(DATA!A415,"AAAAAF7J9bk=")</f>
        <v>#VALUE!</v>
      </c>
      <c r="GE91" t="e">
        <f>AND(DATA!B415,"AAAAAF7J9bo=")</f>
        <v>#VALUE!</v>
      </c>
      <c r="GF91" t="e">
        <f>AND(DATA!C415,"AAAAAF7J9bs=")</f>
        <v>#VALUE!</v>
      </c>
      <c r="GG91" t="e">
        <f>AND(DATA!D415,"AAAAAF7J9bw=")</f>
        <v>#VALUE!</v>
      </c>
      <c r="GH91" t="e">
        <f>AND(DATA!E415,"AAAAAF7J9b0=")</f>
        <v>#VALUE!</v>
      </c>
      <c r="GI91" t="e">
        <f>AND(DATA!F415,"AAAAAF7J9b4=")</f>
        <v>#VALUE!</v>
      </c>
      <c r="GJ91" t="e">
        <f>AND(DATA!G415,"AAAAAF7J9b8=")</f>
        <v>#VALUE!</v>
      </c>
      <c r="GK91" t="e">
        <f>AND(DATA!H415,"AAAAAF7J9cA=")</f>
        <v>#VALUE!</v>
      </c>
      <c r="GL91" t="e">
        <f>AND(DATA!I415,"AAAAAF7J9cE=")</f>
        <v>#VALUE!</v>
      </c>
      <c r="GM91" t="e">
        <f>AND(DATA!J415,"AAAAAF7J9cI=")</f>
        <v>#VALUE!</v>
      </c>
      <c r="GN91" t="e">
        <f>AND(DATA!K415,"AAAAAF7J9cM=")</f>
        <v>#VALUE!</v>
      </c>
      <c r="GO91" t="b">
        <f>AND(DATA!L416,"AAAAAF7J9cQ=")</f>
        <v>1</v>
      </c>
      <c r="GP91" t="b">
        <f>AND(DATA!M416,"AAAAAF7J9cU=")</f>
        <v>1</v>
      </c>
      <c r="GQ91" t="b">
        <f>AND(DATA!N416,"AAAAAF7J9cY=")</f>
        <v>1</v>
      </c>
      <c r="GR91" t="b">
        <f>AND(DATA!O416,"AAAAAF7J9cc=")</f>
        <v>1</v>
      </c>
      <c r="GS91" t="b">
        <f>AND(DATA!P416,"AAAAAF7J9cg=")</f>
        <v>1</v>
      </c>
      <c r="GT91" t="b">
        <f>AND(DATA!Q416,"AAAAAF7J9ck=")</f>
        <v>1</v>
      </c>
      <c r="GU91" t="b">
        <f>AND(DATA!R416,"AAAAAF7J9co=")</f>
        <v>1</v>
      </c>
      <c r="GV91" t="b">
        <f>AND(DATA!S416,"AAAAAF7J9cs=")</f>
        <v>1</v>
      </c>
      <c r="GW91" t="b">
        <f>AND(DATA!T416,"AAAAAF7J9cw=")</f>
        <v>1</v>
      </c>
      <c r="GX91" t="b">
        <f>AND(DATA!U416,"AAAAAF7J9c0=")</f>
        <v>1</v>
      </c>
      <c r="GY91" t="b">
        <f>AND(DATA!V416,"AAAAAF7J9c4=")</f>
        <v>1</v>
      </c>
      <c r="GZ91" t="e">
        <f>AND(DATA!W415,"AAAAAF7J9c8=")</f>
        <v>#VALUE!</v>
      </c>
      <c r="HA91" t="e">
        <f>AND(DATA!X415,"AAAAAF7J9dA=")</f>
        <v>#VALUE!</v>
      </c>
      <c r="HB91" t="e">
        <f>AND(DATA!Y415,"AAAAAF7J9dE=")</f>
        <v>#VALUE!</v>
      </c>
      <c r="HC91">
        <f>IF(DATA!416:416,"AAAAAF7J9dI=",0)</f>
        <v>0</v>
      </c>
      <c r="HD91" t="e">
        <f>AND(DATA!A416,"AAAAAF7J9dM=")</f>
        <v>#VALUE!</v>
      </c>
      <c r="HE91" t="e">
        <f>AND(DATA!B416,"AAAAAF7J9dQ=")</f>
        <v>#VALUE!</v>
      </c>
      <c r="HF91" t="e">
        <f>AND(DATA!C416,"AAAAAF7J9dU=")</f>
        <v>#VALUE!</v>
      </c>
      <c r="HG91" t="e">
        <f>AND(DATA!D416,"AAAAAF7J9dY=")</f>
        <v>#VALUE!</v>
      </c>
      <c r="HH91" t="e">
        <f>AND(DATA!E416,"AAAAAF7J9dc=")</f>
        <v>#VALUE!</v>
      </c>
      <c r="HI91" t="e">
        <f>AND(DATA!F416,"AAAAAF7J9dg=")</f>
        <v>#VALUE!</v>
      </c>
      <c r="HJ91" t="e">
        <f>AND(DATA!G416,"AAAAAF7J9dk=")</f>
        <v>#VALUE!</v>
      </c>
      <c r="HK91" t="e">
        <f>AND(DATA!H416,"AAAAAF7J9do=")</f>
        <v>#VALUE!</v>
      </c>
      <c r="HL91" t="e">
        <f>AND(DATA!I416,"AAAAAF7J9ds=")</f>
        <v>#VALUE!</v>
      </c>
      <c r="HM91" t="e">
        <f>AND(DATA!J416,"AAAAAF7J9dw=")</f>
        <v>#VALUE!</v>
      </c>
      <c r="HN91" t="e">
        <f>AND(DATA!K416,"AAAAAF7J9d0=")</f>
        <v>#VALUE!</v>
      </c>
      <c r="HO91" t="b">
        <f>AND(DATA!L417,"AAAAAF7J9d4=")</f>
        <v>1</v>
      </c>
      <c r="HP91" t="b">
        <f>AND(DATA!M417,"AAAAAF7J9d8=")</f>
        <v>1</v>
      </c>
      <c r="HQ91" t="b">
        <f>AND(DATA!N417,"AAAAAF7J9eA=")</f>
        <v>1</v>
      </c>
      <c r="HR91" t="b">
        <f>AND(DATA!O417,"AAAAAF7J9eE=")</f>
        <v>1</v>
      </c>
      <c r="HS91" t="b">
        <f>AND(DATA!P417,"AAAAAF7J9eI=")</f>
        <v>1</v>
      </c>
      <c r="HT91" t="b">
        <f>AND(DATA!Q417,"AAAAAF7J9eM=")</f>
        <v>1</v>
      </c>
      <c r="HU91" t="b">
        <f>AND(DATA!R417,"AAAAAF7J9eQ=")</f>
        <v>1</v>
      </c>
      <c r="HV91" t="b">
        <f>AND(DATA!S417,"AAAAAF7J9eU=")</f>
        <v>1</v>
      </c>
      <c r="HW91" t="b">
        <f>AND(DATA!T417,"AAAAAF7J9eY=")</f>
        <v>1</v>
      </c>
      <c r="HX91" t="b">
        <f>AND(DATA!U417,"AAAAAF7J9ec=")</f>
        <v>1</v>
      </c>
      <c r="HY91" t="b">
        <f>AND(DATA!V417,"AAAAAF7J9eg=")</f>
        <v>1</v>
      </c>
      <c r="HZ91" t="e">
        <f>AND(DATA!W416,"AAAAAF7J9ek=")</f>
        <v>#VALUE!</v>
      </c>
      <c r="IA91" t="e">
        <f>AND(DATA!X416,"AAAAAF7J9eo=")</f>
        <v>#VALUE!</v>
      </c>
      <c r="IB91" t="e">
        <f>AND(DATA!Y416,"AAAAAF7J9es=")</f>
        <v>#VALUE!</v>
      </c>
      <c r="IC91">
        <f>IF(DATA!417:417,"AAAAAF7J9ew=",0)</f>
        <v>0</v>
      </c>
      <c r="ID91" t="e">
        <f>AND(DATA!A417,"AAAAAF7J9e0=")</f>
        <v>#VALUE!</v>
      </c>
      <c r="IE91" t="e">
        <f>AND(DATA!B417,"AAAAAF7J9e4=")</f>
        <v>#VALUE!</v>
      </c>
      <c r="IF91" t="e">
        <f>AND(DATA!C417,"AAAAAF7J9e8=")</f>
        <v>#VALUE!</v>
      </c>
      <c r="IG91" t="e">
        <f>AND(DATA!D417,"AAAAAF7J9fA=")</f>
        <v>#VALUE!</v>
      </c>
      <c r="IH91" t="e">
        <f>AND(DATA!E417,"AAAAAF7J9fE=")</f>
        <v>#VALUE!</v>
      </c>
      <c r="II91" t="e">
        <f>AND(DATA!F417,"AAAAAF7J9fI=")</f>
        <v>#VALUE!</v>
      </c>
      <c r="IJ91" t="e">
        <f>AND(DATA!G417,"AAAAAF7J9fM=")</f>
        <v>#VALUE!</v>
      </c>
      <c r="IK91" t="e">
        <f>AND(DATA!H417,"AAAAAF7J9fQ=")</f>
        <v>#VALUE!</v>
      </c>
      <c r="IL91" t="e">
        <f>AND(DATA!I417,"AAAAAF7J9fU=")</f>
        <v>#VALUE!</v>
      </c>
      <c r="IM91" t="e">
        <f>AND(DATA!J417,"AAAAAF7J9fY=")</f>
        <v>#VALUE!</v>
      </c>
      <c r="IN91" t="e">
        <f>AND(DATA!K417,"AAAAAF7J9fc=")</f>
        <v>#VALUE!</v>
      </c>
      <c r="IO91" t="b">
        <f>AND(DATA!L418,"AAAAAF7J9fg=")</f>
        <v>1</v>
      </c>
      <c r="IP91" t="b">
        <f>AND(DATA!M418,"AAAAAF7J9fk=")</f>
        <v>1</v>
      </c>
      <c r="IQ91" t="b">
        <f>AND(DATA!N418,"AAAAAF7J9fo=")</f>
        <v>1</v>
      </c>
      <c r="IR91" t="b">
        <f>AND(DATA!O418,"AAAAAF7J9fs=")</f>
        <v>1</v>
      </c>
      <c r="IS91" t="b">
        <f>AND(DATA!P418,"AAAAAF7J9fw=")</f>
        <v>1</v>
      </c>
      <c r="IT91" t="b">
        <f>AND(DATA!Q418,"AAAAAF7J9f0=")</f>
        <v>1</v>
      </c>
      <c r="IU91" t="b">
        <f>AND(DATA!R418,"AAAAAF7J9f4=")</f>
        <v>1</v>
      </c>
      <c r="IV91" t="b">
        <f>AND(DATA!S418,"AAAAAF7J9f8=")</f>
        <v>1</v>
      </c>
    </row>
    <row r="92" spans="1:256" x14ac:dyDescent="0.25">
      <c r="A92" t="b">
        <f>AND(DATA!T418,"AAAAAF1f4wA=")</f>
        <v>1</v>
      </c>
      <c r="B92" t="b">
        <f>AND(DATA!U418,"AAAAAF1f4wE=")</f>
        <v>1</v>
      </c>
      <c r="C92" t="b">
        <f>AND(DATA!V418,"AAAAAF1f4wI=")</f>
        <v>1</v>
      </c>
      <c r="D92" t="e">
        <f>AND(DATA!W417,"AAAAAF1f4wM=")</f>
        <v>#VALUE!</v>
      </c>
      <c r="E92" t="e">
        <f>AND(DATA!X417,"AAAAAF1f4wQ=")</f>
        <v>#VALUE!</v>
      </c>
      <c r="F92" t="e">
        <f>AND(DATA!Y417,"AAAAAF1f4wU=")</f>
        <v>#VALUE!</v>
      </c>
      <c r="G92">
        <f>IF(DATA!418:418,"AAAAAF1f4wY=",0)</f>
        <v>0</v>
      </c>
      <c r="H92" t="e">
        <f>AND(DATA!A418,"AAAAAF1f4wc=")</f>
        <v>#VALUE!</v>
      </c>
      <c r="I92" t="e">
        <f>AND(DATA!B418,"AAAAAF1f4wg=")</f>
        <v>#VALUE!</v>
      </c>
      <c r="J92" t="e">
        <f>AND(DATA!C418,"AAAAAF1f4wk=")</f>
        <v>#VALUE!</v>
      </c>
      <c r="K92" t="e">
        <f>AND(DATA!D418,"AAAAAF1f4wo=")</f>
        <v>#VALUE!</v>
      </c>
      <c r="L92" t="e">
        <f>AND(DATA!E418,"AAAAAF1f4ws=")</f>
        <v>#VALUE!</v>
      </c>
      <c r="M92" t="e">
        <f>AND(DATA!F418,"AAAAAF1f4ww=")</f>
        <v>#VALUE!</v>
      </c>
      <c r="N92" t="e">
        <f>AND(DATA!G418,"AAAAAF1f4w0=")</f>
        <v>#VALUE!</v>
      </c>
      <c r="O92" t="e">
        <f>AND(DATA!H418,"AAAAAF1f4w4=")</f>
        <v>#VALUE!</v>
      </c>
      <c r="P92" t="e">
        <f>AND(DATA!I418,"AAAAAF1f4w8=")</f>
        <v>#VALUE!</v>
      </c>
      <c r="Q92" t="e">
        <f>AND(DATA!J418,"AAAAAF1f4xA=")</f>
        <v>#VALUE!</v>
      </c>
      <c r="R92" t="e">
        <f>AND(DATA!K418,"AAAAAF1f4xE=")</f>
        <v>#VALUE!</v>
      </c>
      <c r="S92" t="b">
        <f>AND(DATA!L419,"AAAAAF1f4xI=")</f>
        <v>1</v>
      </c>
      <c r="T92" t="b">
        <f>AND(DATA!M419,"AAAAAF1f4xM=")</f>
        <v>1</v>
      </c>
      <c r="U92" t="b">
        <f>AND(DATA!N419,"AAAAAF1f4xQ=")</f>
        <v>1</v>
      </c>
      <c r="V92" t="b">
        <f>AND(DATA!O419,"AAAAAF1f4xU=")</f>
        <v>1</v>
      </c>
      <c r="W92" t="b">
        <f>AND(DATA!P419,"AAAAAF1f4xY=")</f>
        <v>1</v>
      </c>
      <c r="X92" t="b">
        <f>AND(DATA!Q419,"AAAAAF1f4xc=")</f>
        <v>1</v>
      </c>
      <c r="Y92" t="b">
        <f>AND(DATA!R419,"AAAAAF1f4xg=")</f>
        <v>1</v>
      </c>
      <c r="Z92" t="b">
        <f>AND(DATA!S419,"AAAAAF1f4xk=")</f>
        <v>1</v>
      </c>
      <c r="AA92" t="b">
        <f>AND(DATA!T419,"AAAAAF1f4xo=")</f>
        <v>1</v>
      </c>
      <c r="AB92" t="b">
        <f>AND(DATA!U419,"AAAAAF1f4xs=")</f>
        <v>1</v>
      </c>
      <c r="AC92" t="b">
        <f>AND(DATA!V419,"AAAAAF1f4xw=")</f>
        <v>1</v>
      </c>
      <c r="AD92" t="e">
        <f>AND(DATA!W418,"AAAAAF1f4x0=")</f>
        <v>#VALUE!</v>
      </c>
      <c r="AE92" t="e">
        <f>AND(DATA!X418,"AAAAAF1f4x4=")</f>
        <v>#VALUE!</v>
      </c>
      <c r="AF92" t="e">
        <f>AND(DATA!Y418,"AAAAAF1f4x8=")</f>
        <v>#VALUE!</v>
      </c>
      <c r="AG92">
        <f>IF(DATA!419:419,"AAAAAF1f4yA=",0)</f>
        <v>0</v>
      </c>
      <c r="AH92" t="e">
        <f>AND(DATA!A419,"AAAAAF1f4yE=")</f>
        <v>#VALUE!</v>
      </c>
      <c r="AI92" t="e">
        <f>AND(DATA!B419,"AAAAAF1f4yI=")</f>
        <v>#VALUE!</v>
      </c>
      <c r="AJ92" t="e">
        <f>AND(DATA!C419,"AAAAAF1f4yM=")</f>
        <v>#VALUE!</v>
      </c>
      <c r="AK92" t="e">
        <f>AND(DATA!D419,"AAAAAF1f4yQ=")</f>
        <v>#VALUE!</v>
      </c>
      <c r="AL92" t="e">
        <f>AND(DATA!E419,"AAAAAF1f4yU=")</f>
        <v>#VALUE!</v>
      </c>
      <c r="AM92" t="e">
        <f>AND(DATA!F419,"AAAAAF1f4yY=")</f>
        <v>#VALUE!</v>
      </c>
      <c r="AN92" t="e">
        <f>AND(DATA!G419,"AAAAAF1f4yc=")</f>
        <v>#VALUE!</v>
      </c>
      <c r="AO92" t="e">
        <f>AND(DATA!H419,"AAAAAF1f4yg=")</f>
        <v>#VALUE!</v>
      </c>
      <c r="AP92" t="e">
        <f>AND(DATA!I419,"AAAAAF1f4yk=")</f>
        <v>#VALUE!</v>
      </c>
      <c r="AQ92" t="e">
        <f>AND(DATA!J419,"AAAAAF1f4yo=")</f>
        <v>#VALUE!</v>
      </c>
      <c r="AR92" t="e">
        <f>AND(DATA!K419,"AAAAAF1f4ys=")</f>
        <v>#VALUE!</v>
      </c>
      <c r="AS92" t="b">
        <f>AND(DATA!L420,"AAAAAF1f4yw=")</f>
        <v>1</v>
      </c>
      <c r="AT92" t="b">
        <f>AND(DATA!M420,"AAAAAF1f4y0=")</f>
        <v>1</v>
      </c>
      <c r="AU92" t="b">
        <f>AND(DATA!N420,"AAAAAF1f4y4=")</f>
        <v>1</v>
      </c>
      <c r="AV92" t="b">
        <f>AND(DATA!O420,"AAAAAF1f4y8=")</f>
        <v>1</v>
      </c>
      <c r="AW92" t="b">
        <f>AND(DATA!P420,"AAAAAF1f4zA=")</f>
        <v>1</v>
      </c>
      <c r="AX92" t="b">
        <f>AND(DATA!Q420,"AAAAAF1f4zE=")</f>
        <v>1</v>
      </c>
      <c r="AY92" t="b">
        <f>AND(DATA!R420,"AAAAAF1f4zI=")</f>
        <v>1</v>
      </c>
      <c r="AZ92" t="b">
        <f>AND(DATA!S420,"AAAAAF1f4zM=")</f>
        <v>1</v>
      </c>
      <c r="BA92" t="b">
        <f>AND(DATA!T420,"AAAAAF1f4zQ=")</f>
        <v>1</v>
      </c>
      <c r="BB92" t="b">
        <f>AND(DATA!U420,"AAAAAF1f4zU=")</f>
        <v>1</v>
      </c>
      <c r="BC92" t="b">
        <f>AND(DATA!V420,"AAAAAF1f4zY=")</f>
        <v>1</v>
      </c>
      <c r="BD92" t="e">
        <f>AND(DATA!W419,"AAAAAF1f4zc=")</f>
        <v>#VALUE!</v>
      </c>
      <c r="BE92" t="e">
        <f>AND(DATA!X419,"AAAAAF1f4zg=")</f>
        <v>#VALUE!</v>
      </c>
      <c r="BF92" t="e">
        <f>AND(DATA!Y419,"AAAAAF1f4zk=")</f>
        <v>#VALUE!</v>
      </c>
      <c r="BG92">
        <f>IF(DATA!420:420,"AAAAAF1f4zo=",0)</f>
        <v>0</v>
      </c>
      <c r="BH92" t="e">
        <f>AND(DATA!A420,"AAAAAF1f4zs=")</f>
        <v>#VALUE!</v>
      </c>
      <c r="BI92" t="e">
        <f>AND(DATA!B420,"AAAAAF1f4zw=")</f>
        <v>#VALUE!</v>
      </c>
      <c r="BJ92" t="e">
        <f>AND(DATA!C420,"AAAAAF1f4z0=")</f>
        <v>#VALUE!</v>
      </c>
      <c r="BK92" t="e">
        <f>AND(DATA!D420,"AAAAAF1f4z4=")</f>
        <v>#VALUE!</v>
      </c>
      <c r="BL92" t="e">
        <f>AND(DATA!E420,"AAAAAF1f4z8=")</f>
        <v>#VALUE!</v>
      </c>
      <c r="BM92" t="e">
        <f>AND(DATA!F420,"AAAAAF1f40A=")</f>
        <v>#VALUE!</v>
      </c>
      <c r="BN92" t="e">
        <f>AND(DATA!G420,"AAAAAF1f40E=")</f>
        <v>#VALUE!</v>
      </c>
      <c r="BO92" t="e">
        <f>AND(DATA!H420,"AAAAAF1f40I=")</f>
        <v>#VALUE!</v>
      </c>
      <c r="BP92" t="e">
        <f>AND(DATA!I420,"AAAAAF1f40M=")</f>
        <v>#VALUE!</v>
      </c>
      <c r="BQ92" t="e">
        <f>AND(DATA!J420,"AAAAAF1f40Q=")</f>
        <v>#VALUE!</v>
      </c>
      <c r="BR92" t="e">
        <f>AND(DATA!K420,"AAAAAF1f40U=")</f>
        <v>#VALUE!</v>
      </c>
      <c r="BS92" t="b">
        <f>AND(DATA!L421,"AAAAAF1f40Y=")</f>
        <v>1</v>
      </c>
      <c r="BT92" t="b">
        <f>AND(DATA!M421,"AAAAAF1f40c=")</f>
        <v>1</v>
      </c>
      <c r="BU92" t="b">
        <f>AND(DATA!N421,"AAAAAF1f40g=")</f>
        <v>1</v>
      </c>
      <c r="BV92" t="b">
        <f>AND(DATA!O421,"AAAAAF1f40k=")</f>
        <v>1</v>
      </c>
      <c r="BW92" t="b">
        <f>AND(DATA!P421,"AAAAAF1f40o=")</f>
        <v>1</v>
      </c>
      <c r="BX92" t="b">
        <f>AND(DATA!Q421,"AAAAAF1f40s=")</f>
        <v>1</v>
      </c>
      <c r="BY92" t="b">
        <f>AND(DATA!R421,"AAAAAF1f40w=")</f>
        <v>1</v>
      </c>
      <c r="BZ92" t="b">
        <f>AND(DATA!S421,"AAAAAF1f400=")</f>
        <v>1</v>
      </c>
      <c r="CA92" t="b">
        <f>AND(DATA!T421,"AAAAAF1f404=")</f>
        <v>1</v>
      </c>
      <c r="CB92" t="b">
        <f>AND(DATA!U421,"AAAAAF1f408=")</f>
        <v>1</v>
      </c>
      <c r="CC92" t="b">
        <f>AND(DATA!V421,"AAAAAF1f41A=")</f>
        <v>1</v>
      </c>
      <c r="CD92" t="e">
        <f>AND(DATA!W420,"AAAAAF1f41E=")</f>
        <v>#VALUE!</v>
      </c>
      <c r="CE92" t="e">
        <f>AND(DATA!X420,"AAAAAF1f41I=")</f>
        <v>#VALUE!</v>
      </c>
      <c r="CF92" t="e">
        <f>AND(DATA!Y420,"AAAAAF1f41M=")</f>
        <v>#VALUE!</v>
      </c>
      <c r="CG92">
        <f>IF(DATA!421:421,"AAAAAF1f41Q=",0)</f>
        <v>0</v>
      </c>
      <c r="CH92" t="e">
        <f>AND(DATA!A421,"AAAAAF1f41U=")</f>
        <v>#VALUE!</v>
      </c>
      <c r="CI92" t="e">
        <f>AND(DATA!B421,"AAAAAF1f41Y=")</f>
        <v>#VALUE!</v>
      </c>
      <c r="CJ92" t="e">
        <f>AND(DATA!C421,"AAAAAF1f41c=")</f>
        <v>#VALUE!</v>
      </c>
      <c r="CK92" t="e">
        <f>AND(DATA!D421,"AAAAAF1f41g=")</f>
        <v>#VALUE!</v>
      </c>
      <c r="CL92" t="e">
        <f>AND(DATA!E421,"AAAAAF1f41k=")</f>
        <v>#VALUE!</v>
      </c>
      <c r="CM92" t="e">
        <f>AND(DATA!F421,"AAAAAF1f41o=")</f>
        <v>#VALUE!</v>
      </c>
      <c r="CN92" t="e">
        <f>AND(DATA!G421,"AAAAAF1f41s=")</f>
        <v>#VALUE!</v>
      </c>
      <c r="CO92" t="e">
        <f>AND(DATA!H421,"AAAAAF1f41w=")</f>
        <v>#VALUE!</v>
      </c>
      <c r="CP92" t="e">
        <f>AND(DATA!I421,"AAAAAF1f410=")</f>
        <v>#VALUE!</v>
      </c>
      <c r="CQ92" t="e">
        <f>AND(DATA!J421,"AAAAAF1f414=")</f>
        <v>#VALUE!</v>
      </c>
      <c r="CR92" t="e">
        <f>AND(DATA!K421,"AAAAAF1f418=")</f>
        <v>#VALUE!</v>
      </c>
      <c r="CS92" t="b">
        <f>AND(DATA!L422,"AAAAAF1f42A=")</f>
        <v>1</v>
      </c>
      <c r="CT92" t="b">
        <f>AND(DATA!M422,"AAAAAF1f42E=")</f>
        <v>1</v>
      </c>
      <c r="CU92" t="b">
        <f>AND(DATA!N422,"AAAAAF1f42I=")</f>
        <v>1</v>
      </c>
      <c r="CV92" t="b">
        <f>AND(DATA!O422,"AAAAAF1f42M=")</f>
        <v>1</v>
      </c>
      <c r="CW92" t="b">
        <f>AND(DATA!P422,"AAAAAF1f42Q=")</f>
        <v>1</v>
      </c>
      <c r="CX92" t="b">
        <f>AND(DATA!Q422,"AAAAAF1f42U=")</f>
        <v>1</v>
      </c>
      <c r="CY92" t="b">
        <f>AND(DATA!R422,"AAAAAF1f42Y=")</f>
        <v>1</v>
      </c>
      <c r="CZ92" t="b">
        <f>AND(DATA!S422,"AAAAAF1f42c=")</f>
        <v>1</v>
      </c>
      <c r="DA92" t="b">
        <f>AND(DATA!T422,"AAAAAF1f42g=")</f>
        <v>1</v>
      </c>
      <c r="DB92" t="b">
        <f>AND(DATA!U422,"AAAAAF1f42k=")</f>
        <v>1</v>
      </c>
      <c r="DC92" t="b">
        <f>AND(DATA!V422,"AAAAAF1f42o=")</f>
        <v>1</v>
      </c>
      <c r="DD92" t="e">
        <f>AND(DATA!W421,"AAAAAF1f42s=")</f>
        <v>#VALUE!</v>
      </c>
      <c r="DE92" t="e">
        <f>AND(DATA!X421,"AAAAAF1f42w=")</f>
        <v>#VALUE!</v>
      </c>
      <c r="DF92" t="e">
        <f>AND(DATA!Y421,"AAAAAF1f420=")</f>
        <v>#VALUE!</v>
      </c>
      <c r="DG92">
        <f>IF(DATA!422:422,"AAAAAF1f424=",0)</f>
        <v>0</v>
      </c>
      <c r="DH92" t="e">
        <f>AND(DATA!A422,"AAAAAF1f428=")</f>
        <v>#VALUE!</v>
      </c>
      <c r="DI92" t="e">
        <f>AND(DATA!B422,"AAAAAF1f43A=")</f>
        <v>#VALUE!</v>
      </c>
      <c r="DJ92" t="e">
        <f>AND(DATA!C422,"AAAAAF1f43E=")</f>
        <v>#VALUE!</v>
      </c>
      <c r="DK92" t="e">
        <f>AND(DATA!D422,"AAAAAF1f43I=")</f>
        <v>#VALUE!</v>
      </c>
      <c r="DL92" t="e">
        <f>AND(DATA!E422,"AAAAAF1f43M=")</f>
        <v>#VALUE!</v>
      </c>
      <c r="DM92" t="e">
        <f>AND(DATA!F422,"AAAAAF1f43Q=")</f>
        <v>#VALUE!</v>
      </c>
      <c r="DN92" t="e">
        <f>AND(DATA!G422,"AAAAAF1f43U=")</f>
        <v>#VALUE!</v>
      </c>
      <c r="DO92" t="e">
        <f>AND(DATA!H422,"AAAAAF1f43Y=")</f>
        <v>#VALUE!</v>
      </c>
      <c r="DP92" t="e">
        <f>AND(DATA!I422,"AAAAAF1f43c=")</f>
        <v>#VALUE!</v>
      </c>
      <c r="DQ92" t="e">
        <f>AND(DATA!J422,"AAAAAF1f43g=")</f>
        <v>#VALUE!</v>
      </c>
      <c r="DR92" t="e">
        <f>AND(DATA!K422,"AAAAAF1f43k=")</f>
        <v>#VALUE!</v>
      </c>
      <c r="DS92" t="b">
        <f>AND(DATA!L423,"AAAAAF1f43o=")</f>
        <v>1</v>
      </c>
      <c r="DT92" t="b">
        <f>AND(DATA!M423,"AAAAAF1f43s=")</f>
        <v>1</v>
      </c>
      <c r="DU92" t="b">
        <f>AND(DATA!N423,"AAAAAF1f43w=")</f>
        <v>1</v>
      </c>
      <c r="DV92" t="b">
        <f>AND(DATA!O423,"AAAAAF1f430=")</f>
        <v>1</v>
      </c>
      <c r="DW92" t="b">
        <f>AND(DATA!P423,"AAAAAF1f434=")</f>
        <v>1</v>
      </c>
      <c r="DX92" t="b">
        <f>AND(DATA!Q423,"AAAAAF1f438=")</f>
        <v>1</v>
      </c>
      <c r="DY92" t="b">
        <f>AND(DATA!R423,"AAAAAF1f44A=")</f>
        <v>1</v>
      </c>
      <c r="DZ92" t="b">
        <f>AND(DATA!S423,"AAAAAF1f44E=")</f>
        <v>1</v>
      </c>
      <c r="EA92" t="b">
        <f>AND(DATA!T423,"AAAAAF1f44I=")</f>
        <v>1</v>
      </c>
      <c r="EB92" t="b">
        <f>AND(DATA!U423,"AAAAAF1f44M=")</f>
        <v>1</v>
      </c>
      <c r="EC92" t="b">
        <f>AND(DATA!V423,"AAAAAF1f44Q=")</f>
        <v>1</v>
      </c>
      <c r="ED92" t="e">
        <f>AND(DATA!W422,"AAAAAF1f44U=")</f>
        <v>#VALUE!</v>
      </c>
      <c r="EE92" t="e">
        <f>AND(DATA!X422,"AAAAAF1f44Y=")</f>
        <v>#VALUE!</v>
      </c>
      <c r="EF92" t="e">
        <f>AND(DATA!Y422,"AAAAAF1f44c=")</f>
        <v>#VALUE!</v>
      </c>
      <c r="EG92">
        <f>IF(DATA!423:423,"AAAAAF1f44g=",0)</f>
        <v>0</v>
      </c>
      <c r="EH92" t="e">
        <f>AND(DATA!A423,"AAAAAF1f44k=")</f>
        <v>#VALUE!</v>
      </c>
      <c r="EI92" t="e">
        <f>AND(DATA!B423,"AAAAAF1f44o=")</f>
        <v>#VALUE!</v>
      </c>
      <c r="EJ92" t="e">
        <f>AND(DATA!C423,"AAAAAF1f44s=")</f>
        <v>#VALUE!</v>
      </c>
      <c r="EK92" t="e">
        <f>AND(DATA!D423,"AAAAAF1f44w=")</f>
        <v>#VALUE!</v>
      </c>
      <c r="EL92" t="e">
        <f>AND(DATA!E423,"AAAAAF1f440=")</f>
        <v>#VALUE!</v>
      </c>
      <c r="EM92" t="e">
        <f>AND(DATA!F423,"AAAAAF1f444=")</f>
        <v>#VALUE!</v>
      </c>
      <c r="EN92" t="e">
        <f>AND(DATA!G423,"AAAAAF1f448=")</f>
        <v>#VALUE!</v>
      </c>
      <c r="EO92" t="e">
        <f>AND(DATA!H423,"AAAAAF1f45A=")</f>
        <v>#VALUE!</v>
      </c>
      <c r="EP92" t="e">
        <f>AND(DATA!I423,"AAAAAF1f45E=")</f>
        <v>#VALUE!</v>
      </c>
      <c r="EQ92" t="e">
        <f>AND(DATA!J423,"AAAAAF1f45I=")</f>
        <v>#VALUE!</v>
      </c>
      <c r="ER92" t="e">
        <f>AND(DATA!K423,"AAAAAF1f45M=")</f>
        <v>#VALUE!</v>
      </c>
      <c r="ES92" t="b">
        <f>AND(DATA!L424,"AAAAAF1f45Q=")</f>
        <v>1</v>
      </c>
      <c r="ET92" t="b">
        <f>AND(DATA!M424,"AAAAAF1f45U=")</f>
        <v>1</v>
      </c>
      <c r="EU92" t="b">
        <f>AND(DATA!N424,"AAAAAF1f45Y=")</f>
        <v>1</v>
      </c>
      <c r="EV92" t="b">
        <f>AND(DATA!O424,"AAAAAF1f45c=")</f>
        <v>1</v>
      </c>
      <c r="EW92" t="b">
        <f>AND(DATA!P424,"AAAAAF1f45g=")</f>
        <v>1</v>
      </c>
      <c r="EX92" t="b">
        <f>AND(DATA!Q424,"AAAAAF1f45k=")</f>
        <v>1</v>
      </c>
      <c r="EY92" t="b">
        <f>AND(DATA!R424,"AAAAAF1f45o=")</f>
        <v>1</v>
      </c>
      <c r="EZ92" t="b">
        <f>AND(DATA!S424,"AAAAAF1f45s=")</f>
        <v>1</v>
      </c>
      <c r="FA92" t="b">
        <f>AND(DATA!T424,"AAAAAF1f45w=")</f>
        <v>1</v>
      </c>
      <c r="FB92" t="b">
        <f>AND(DATA!U424,"AAAAAF1f450=")</f>
        <v>1</v>
      </c>
      <c r="FC92" t="b">
        <f>AND(DATA!V424,"AAAAAF1f454=")</f>
        <v>1</v>
      </c>
      <c r="FD92" t="e">
        <f>AND(DATA!W423,"AAAAAF1f458=")</f>
        <v>#VALUE!</v>
      </c>
      <c r="FE92" t="e">
        <f>AND(DATA!X423,"AAAAAF1f46A=")</f>
        <v>#VALUE!</v>
      </c>
      <c r="FF92" t="e">
        <f>AND(DATA!Y423,"AAAAAF1f46E=")</f>
        <v>#VALUE!</v>
      </c>
      <c r="FG92">
        <f>IF(DATA!424:424,"AAAAAF1f46I=",0)</f>
        <v>0</v>
      </c>
      <c r="FH92" t="e">
        <f>AND(DATA!A424,"AAAAAF1f46M=")</f>
        <v>#VALUE!</v>
      </c>
      <c r="FI92" t="e">
        <f>AND(DATA!B424,"AAAAAF1f46Q=")</f>
        <v>#VALUE!</v>
      </c>
      <c r="FJ92" t="e">
        <f>AND(DATA!C424,"AAAAAF1f46U=")</f>
        <v>#VALUE!</v>
      </c>
      <c r="FK92" t="e">
        <f>AND(DATA!D424,"AAAAAF1f46Y=")</f>
        <v>#VALUE!</v>
      </c>
      <c r="FL92" t="e">
        <f>AND(DATA!E424,"AAAAAF1f46c=")</f>
        <v>#VALUE!</v>
      </c>
      <c r="FM92" t="e">
        <f>AND(DATA!F424,"AAAAAF1f46g=")</f>
        <v>#VALUE!</v>
      </c>
      <c r="FN92" t="e">
        <f>AND(DATA!G424,"AAAAAF1f46k=")</f>
        <v>#VALUE!</v>
      </c>
      <c r="FO92" t="e">
        <f>AND(DATA!H424,"AAAAAF1f46o=")</f>
        <v>#VALUE!</v>
      </c>
      <c r="FP92" t="e">
        <f>AND(DATA!I424,"AAAAAF1f46s=")</f>
        <v>#VALUE!</v>
      </c>
      <c r="FQ92" t="e">
        <f>AND(DATA!J424,"AAAAAF1f46w=")</f>
        <v>#VALUE!</v>
      </c>
      <c r="FR92" t="e">
        <f>AND(DATA!K424,"AAAAAF1f460=")</f>
        <v>#VALUE!</v>
      </c>
      <c r="FS92" t="b">
        <f>AND(DATA!L425,"AAAAAF1f464=")</f>
        <v>1</v>
      </c>
      <c r="FT92" t="b">
        <f>AND(DATA!M425,"AAAAAF1f468=")</f>
        <v>1</v>
      </c>
      <c r="FU92" t="b">
        <f>AND(DATA!N425,"AAAAAF1f47A=")</f>
        <v>1</v>
      </c>
      <c r="FV92" t="b">
        <f>AND(DATA!O425,"AAAAAF1f47E=")</f>
        <v>1</v>
      </c>
      <c r="FW92" t="b">
        <f>AND(DATA!P425,"AAAAAF1f47I=")</f>
        <v>1</v>
      </c>
      <c r="FX92" t="b">
        <f>AND(DATA!Q425,"AAAAAF1f47M=")</f>
        <v>1</v>
      </c>
      <c r="FY92" t="b">
        <f>AND(DATA!R425,"AAAAAF1f47Q=")</f>
        <v>1</v>
      </c>
      <c r="FZ92" t="b">
        <f>AND(DATA!S425,"AAAAAF1f47U=")</f>
        <v>1</v>
      </c>
      <c r="GA92" t="b">
        <f>AND(DATA!T425,"AAAAAF1f47Y=")</f>
        <v>1</v>
      </c>
      <c r="GB92" t="b">
        <f>AND(DATA!U425,"AAAAAF1f47c=")</f>
        <v>1</v>
      </c>
      <c r="GC92" t="b">
        <f>AND(DATA!V425,"AAAAAF1f47g=")</f>
        <v>1</v>
      </c>
      <c r="GD92" t="e">
        <f>AND(DATA!W424,"AAAAAF1f47k=")</f>
        <v>#VALUE!</v>
      </c>
      <c r="GE92" t="e">
        <f>AND(DATA!X424,"AAAAAF1f47o=")</f>
        <v>#VALUE!</v>
      </c>
      <c r="GF92" t="e">
        <f>AND(DATA!Y424,"AAAAAF1f47s=")</f>
        <v>#VALUE!</v>
      </c>
      <c r="GG92">
        <f>IF(DATA!425:425,"AAAAAF1f47w=",0)</f>
        <v>0</v>
      </c>
      <c r="GH92" t="e">
        <f>AND(DATA!A425,"AAAAAF1f470=")</f>
        <v>#VALUE!</v>
      </c>
      <c r="GI92" t="e">
        <f>AND(DATA!B425,"AAAAAF1f474=")</f>
        <v>#VALUE!</v>
      </c>
      <c r="GJ92" t="e">
        <f>AND(DATA!C425,"AAAAAF1f478=")</f>
        <v>#VALUE!</v>
      </c>
      <c r="GK92" t="e">
        <f>AND(DATA!D425,"AAAAAF1f48A=")</f>
        <v>#VALUE!</v>
      </c>
      <c r="GL92" t="e">
        <f>AND(DATA!E425,"AAAAAF1f48E=")</f>
        <v>#VALUE!</v>
      </c>
      <c r="GM92" t="e">
        <f>AND(DATA!F425,"AAAAAF1f48I=")</f>
        <v>#VALUE!</v>
      </c>
      <c r="GN92" t="e">
        <f>AND(DATA!G425,"AAAAAF1f48M=")</f>
        <v>#VALUE!</v>
      </c>
      <c r="GO92" t="e">
        <f>AND(DATA!H425,"AAAAAF1f48Q=")</f>
        <v>#VALUE!</v>
      </c>
      <c r="GP92" t="e">
        <f>AND(DATA!I425,"AAAAAF1f48U=")</f>
        <v>#VALUE!</v>
      </c>
      <c r="GQ92" t="e">
        <f>AND(DATA!J425,"AAAAAF1f48Y=")</f>
        <v>#VALUE!</v>
      </c>
      <c r="GR92" t="e">
        <f>AND(DATA!K425,"AAAAAF1f48c=")</f>
        <v>#VALUE!</v>
      </c>
      <c r="GS92" t="b">
        <f>AND(DATA!L426,"AAAAAF1f48g=")</f>
        <v>1</v>
      </c>
      <c r="GT92" t="b">
        <f>AND(DATA!M426,"AAAAAF1f48k=")</f>
        <v>1</v>
      </c>
      <c r="GU92" t="b">
        <f>AND(DATA!N426,"AAAAAF1f48o=")</f>
        <v>1</v>
      </c>
      <c r="GV92" t="b">
        <f>AND(DATA!O426,"AAAAAF1f48s=")</f>
        <v>1</v>
      </c>
      <c r="GW92" t="b">
        <f>AND(DATA!P426,"AAAAAF1f48w=")</f>
        <v>1</v>
      </c>
      <c r="GX92" t="b">
        <f>AND(DATA!Q426,"AAAAAF1f480=")</f>
        <v>1</v>
      </c>
      <c r="GY92" t="b">
        <f>AND(DATA!R426,"AAAAAF1f484=")</f>
        <v>1</v>
      </c>
      <c r="GZ92" t="b">
        <f>AND(DATA!S426,"AAAAAF1f488=")</f>
        <v>1</v>
      </c>
      <c r="HA92" t="b">
        <f>AND(DATA!T426,"AAAAAF1f49A=")</f>
        <v>1</v>
      </c>
      <c r="HB92" t="b">
        <f>AND(DATA!U426,"AAAAAF1f49E=")</f>
        <v>1</v>
      </c>
      <c r="HC92" t="b">
        <f>AND(DATA!V426,"AAAAAF1f49I=")</f>
        <v>1</v>
      </c>
      <c r="HD92" t="e">
        <f>AND(DATA!W425,"AAAAAF1f49M=")</f>
        <v>#VALUE!</v>
      </c>
      <c r="HE92" t="e">
        <f>AND(DATA!X425,"AAAAAF1f49Q=")</f>
        <v>#VALUE!</v>
      </c>
      <c r="HF92" t="e">
        <f>AND(DATA!Y425,"AAAAAF1f49U=")</f>
        <v>#VALUE!</v>
      </c>
      <c r="HG92">
        <f>IF(DATA!426:426,"AAAAAF1f49Y=",0)</f>
        <v>0</v>
      </c>
      <c r="HH92" t="e">
        <f>AND(DATA!A426,"AAAAAF1f49c=")</f>
        <v>#VALUE!</v>
      </c>
      <c r="HI92" t="e">
        <f>AND(DATA!B426,"AAAAAF1f49g=")</f>
        <v>#VALUE!</v>
      </c>
      <c r="HJ92" t="e">
        <f>AND(DATA!C426,"AAAAAF1f49k=")</f>
        <v>#VALUE!</v>
      </c>
      <c r="HK92" t="e">
        <f>AND(DATA!D426,"AAAAAF1f49o=")</f>
        <v>#VALUE!</v>
      </c>
      <c r="HL92" t="e">
        <f>AND(DATA!E426,"AAAAAF1f49s=")</f>
        <v>#VALUE!</v>
      </c>
      <c r="HM92" t="e">
        <f>AND(DATA!F426,"AAAAAF1f49w=")</f>
        <v>#VALUE!</v>
      </c>
      <c r="HN92" t="e">
        <f>AND(DATA!G426,"AAAAAF1f490=")</f>
        <v>#VALUE!</v>
      </c>
      <c r="HO92" t="e">
        <f>AND(DATA!H426,"AAAAAF1f494=")</f>
        <v>#VALUE!</v>
      </c>
      <c r="HP92" t="e">
        <f>AND(DATA!I426,"AAAAAF1f498=")</f>
        <v>#VALUE!</v>
      </c>
      <c r="HQ92" t="e">
        <f>AND(DATA!J426,"AAAAAF1f4+A=")</f>
        <v>#VALUE!</v>
      </c>
      <c r="HR92" t="e">
        <f>AND(DATA!K426,"AAAAAF1f4+E=")</f>
        <v>#VALUE!</v>
      </c>
      <c r="HS92" t="b">
        <f>AND(DATA!L427,"AAAAAF1f4+I=")</f>
        <v>1</v>
      </c>
      <c r="HT92" t="b">
        <f>AND(DATA!M427,"AAAAAF1f4+M=")</f>
        <v>1</v>
      </c>
      <c r="HU92" t="b">
        <f>AND(DATA!N427,"AAAAAF1f4+Q=")</f>
        <v>1</v>
      </c>
      <c r="HV92" t="b">
        <f>AND(DATA!O427,"AAAAAF1f4+U=")</f>
        <v>1</v>
      </c>
      <c r="HW92" t="b">
        <f>AND(DATA!P427,"AAAAAF1f4+Y=")</f>
        <v>1</v>
      </c>
      <c r="HX92" t="b">
        <f>AND(DATA!Q427,"AAAAAF1f4+c=")</f>
        <v>1</v>
      </c>
      <c r="HY92" t="b">
        <f>AND(DATA!R427,"AAAAAF1f4+g=")</f>
        <v>1</v>
      </c>
      <c r="HZ92" t="b">
        <f>AND(DATA!S427,"AAAAAF1f4+k=")</f>
        <v>1</v>
      </c>
      <c r="IA92" t="b">
        <f>AND(DATA!T427,"AAAAAF1f4+o=")</f>
        <v>1</v>
      </c>
      <c r="IB92" t="b">
        <f>AND(DATA!U427,"AAAAAF1f4+s=")</f>
        <v>1</v>
      </c>
      <c r="IC92" t="b">
        <f>AND(DATA!V427,"AAAAAF1f4+w=")</f>
        <v>1</v>
      </c>
      <c r="ID92" t="e">
        <f>AND(DATA!W426,"AAAAAF1f4+0=")</f>
        <v>#VALUE!</v>
      </c>
      <c r="IE92" t="e">
        <f>AND(DATA!X426,"AAAAAF1f4+4=")</f>
        <v>#VALUE!</v>
      </c>
      <c r="IF92" t="e">
        <f>AND(DATA!Y426,"AAAAAF1f4+8=")</f>
        <v>#VALUE!</v>
      </c>
      <c r="IG92">
        <f>IF(DATA!427:427,"AAAAAF1f4/A=",0)</f>
        <v>0</v>
      </c>
      <c r="IH92" t="e">
        <f>AND(DATA!A427,"AAAAAF1f4/E=")</f>
        <v>#VALUE!</v>
      </c>
      <c r="II92" t="e">
        <f>AND(DATA!B427,"AAAAAF1f4/I=")</f>
        <v>#VALUE!</v>
      </c>
      <c r="IJ92" t="e">
        <f>AND(DATA!C427,"AAAAAF1f4/M=")</f>
        <v>#VALUE!</v>
      </c>
      <c r="IK92" t="e">
        <f>AND(DATA!D427,"AAAAAF1f4/Q=")</f>
        <v>#VALUE!</v>
      </c>
      <c r="IL92" t="e">
        <f>AND(DATA!E427,"AAAAAF1f4/U=")</f>
        <v>#VALUE!</v>
      </c>
      <c r="IM92" t="e">
        <f>AND(DATA!F427,"AAAAAF1f4/Y=")</f>
        <v>#VALUE!</v>
      </c>
      <c r="IN92" t="e">
        <f>AND(DATA!G427,"AAAAAF1f4/c=")</f>
        <v>#VALUE!</v>
      </c>
      <c r="IO92" t="e">
        <f>AND(DATA!H427,"AAAAAF1f4/g=")</f>
        <v>#VALUE!</v>
      </c>
      <c r="IP92" t="e">
        <f>AND(DATA!I427,"AAAAAF1f4/k=")</f>
        <v>#VALUE!</v>
      </c>
      <c r="IQ92" t="e">
        <f>AND(DATA!J427,"AAAAAF1f4/o=")</f>
        <v>#VALUE!</v>
      </c>
      <c r="IR92" t="e">
        <f>AND(DATA!K427,"AAAAAF1f4/s=")</f>
        <v>#VALUE!</v>
      </c>
      <c r="IS92" t="b">
        <f>AND(DATA!L428,"AAAAAF1f4/w=")</f>
        <v>1</v>
      </c>
      <c r="IT92" t="b">
        <f>AND(DATA!M428,"AAAAAF1f4/0=")</f>
        <v>1</v>
      </c>
      <c r="IU92" t="b">
        <f>AND(DATA!N428,"AAAAAF1f4/4=")</f>
        <v>1</v>
      </c>
      <c r="IV92" t="b">
        <f>AND(DATA!O428,"AAAAAF1f4/8=")</f>
        <v>1</v>
      </c>
    </row>
    <row r="93" spans="1:256" x14ac:dyDescent="0.25">
      <c r="A93" t="b">
        <f>AND(DATA!P428,"AAAAAHFvsgA=")</f>
        <v>1</v>
      </c>
      <c r="B93" t="b">
        <f>AND(DATA!Q428,"AAAAAHFvsgE=")</f>
        <v>1</v>
      </c>
      <c r="C93" t="b">
        <f>AND(DATA!R428,"AAAAAHFvsgI=")</f>
        <v>1</v>
      </c>
      <c r="D93" t="b">
        <f>AND(DATA!S428,"AAAAAHFvsgM=")</f>
        <v>1</v>
      </c>
      <c r="E93" t="b">
        <f>AND(DATA!T428,"AAAAAHFvsgQ=")</f>
        <v>1</v>
      </c>
      <c r="F93" t="b">
        <f>AND(DATA!U428,"AAAAAHFvsgU=")</f>
        <v>1</v>
      </c>
      <c r="G93" t="b">
        <f>AND(DATA!V428,"AAAAAHFvsgY=")</f>
        <v>1</v>
      </c>
      <c r="H93" t="e">
        <f>AND(DATA!W427,"AAAAAHFvsgc=")</f>
        <v>#VALUE!</v>
      </c>
      <c r="I93" t="e">
        <f>AND(DATA!X427,"AAAAAHFvsgg=")</f>
        <v>#VALUE!</v>
      </c>
      <c r="J93" t="e">
        <f>AND(DATA!Y427,"AAAAAHFvsgk=")</f>
        <v>#VALUE!</v>
      </c>
      <c r="K93">
        <f>IF(DATA!428:428,"AAAAAHFvsgo=",0)</f>
        <v>0</v>
      </c>
      <c r="L93" t="e">
        <f>AND(DATA!A428,"AAAAAHFvsgs=")</f>
        <v>#VALUE!</v>
      </c>
      <c r="M93" t="e">
        <f>AND(DATA!B428,"AAAAAHFvsgw=")</f>
        <v>#VALUE!</v>
      </c>
      <c r="N93" t="e">
        <f>AND(DATA!C428,"AAAAAHFvsg0=")</f>
        <v>#VALUE!</v>
      </c>
      <c r="O93" t="e">
        <f>AND(DATA!D428,"AAAAAHFvsg4=")</f>
        <v>#VALUE!</v>
      </c>
      <c r="P93" t="e">
        <f>AND(DATA!E428,"AAAAAHFvsg8=")</f>
        <v>#VALUE!</v>
      </c>
      <c r="Q93" t="e">
        <f>AND(DATA!F428,"AAAAAHFvshA=")</f>
        <v>#VALUE!</v>
      </c>
      <c r="R93" t="e">
        <f>AND(DATA!G428,"AAAAAHFvshE=")</f>
        <v>#VALUE!</v>
      </c>
      <c r="S93" t="e">
        <f>AND(DATA!H428,"AAAAAHFvshI=")</f>
        <v>#VALUE!</v>
      </c>
      <c r="T93" t="e">
        <f>AND(DATA!I428,"AAAAAHFvshM=")</f>
        <v>#VALUE!</v>
      </c>
      <c r="U93" t="e">
        <f>AND(DATA!J428,"AAAAAHFvshQ=")</f>
        <v>#VALUE!</v>
      </c>
      <c r="V93" t="e">
        <f>AND(DATA!K428,"AAAAAHFvshU=")</f>
        <v>#VALUE!</v>
      </c>
      <c r="W93" t="b">
        <f>AND(DATA!L429,"AAAAAHFvshY=")</f>
        <v>1</v>
      </c>
      <c r="X93" t="b">
        <f>AND(DATA!M429,"AAAAAHFvshc=")</f>
        <v>1</v>
      </c>
      <c r="Y93" t="b">
        <f>AND(DATA!N429,"AAAAAHFvshg=")</f>
        <v>1</v>
      </c>
      <c r="Z93" t="b">
        <f>AND(DATA!O429,"AAAAAHFvshk=")</f>
        <v>1</v>
      </c>
      <c r="AA93" t="b">
        <f>AND(DATA!P429,"AAAAAHFvsho=")</f>
        <v>1</v>
      </c>
      <c r="AB93" t="b">
        <f>AND(DATA!Q429,"AAAAAHFvshs=")</f>
        <v>1</v>
      </c>
      <c r="AC93" t="b">
        <f>AND(DATA!R429,"AAAAAHFvshw=")</f>
        <v>1</v>
      </c>
      <c r="AD93" t="b">
        <f>AND(DATA!S429,"AAAAAHFvsh0=")</f>
        <v>1</v>
      </c>
      <c r="AE93" t="b">
        <f>AND(DATA!T429,"AAAAAHFvsh4=")</f>
        <v>1</v>
      </c>
      <c r="AF93" t="b">
        <f>AND(DATA!U429,"AAAAAHFvsh8=")</f>
        <v>1</v>
      </c>
      <c r="AG93" t="b">
        <f>AND(DATA!V429,"AAAAAHFvsiA=")</f>
        <v>1</v>
      </c>
      <c r="AH93" t="e">
        <f>AND(DATA!W428,"AAAAAHFvsiE=")</f>
        <v>#VALUE!</v>
      </c>
      <c r="AI93" t="e">
        <f>AND(DATA!X428,"AAAAAHFvsiI=")</f>
        <v>#VALUE!</v>
      </c>
      <c r="AJ93" t="e">
        <f>AND(DATA!Y428,"AAAAAHFvsiM=")</f>
        <v>#VALUE!</v>
      </c>
      <c r="AK93">
        <f>IF(DATA!429:429,"AAAAAHFvsiQ=",0)</f>
        <v>0</v>
      </c>
      <c r="AL93" t="e">
        <f>AND(DATA!A429,"AAAAAHFvsiU=")</f>
        <v>#VALUE!</v>
      </c>
      <c r="AM93" t="e">
        <f>AND(DATA!B429,"AAAAAHFvsiY=")</f>
        <v>#VALUE!</v>
      </c>
      <c r="AN93" t="e">
        <f>AND(DATA!C429,"AAAAAHFvsic=")</f>
        <v>#VALUE!</v>
      </c>
      <c r="AO93" t="e">
        <f>AND(DATA!D429,"AAAAAHFvsig=")</f>
        <v>#VALUE!</v>
      </c>
      <c r="AP93" t="e">
        <f>AND(DATA!E429,"AAAAAHFvsik=")</f>
        <v>#VALUE!</v>
      </c>
      <c r="AQ93" t="e">
        <f>AND(DATA!F429,"AAAAAHFvsio=")</f>
        <v>#VALUE!</v>
      </c>
      <c r="AR93" t="e">
        <f>AND(DATA!G429,"AAAAAHFvsis=")</f>
        <v>#VALUE!</v>
      </c>
      <c r="AS93" t="e">
        <f>AND(DATA!H429,"AAAAAHFvsiw=")</f>
        <v>#VALUE!</v>
      </c>
      <c r="AT93" t="e">
        <f>AND(DATA!I429,"AAAAAHFvsi0=")</f>
        <v>#VALUE!</v>
      </c>
      <c r="AU93" t="e">
        <f>AND(DATA!J429,"AAAAAHFvsi4=")</f>
        <v>#VALUE!</v>
      </c>
      <c r="AV93" t="e">
        <f>AND(DATA!K429,"AAAAAHFvsi8=")</f>
        <v>#VALUE!</v>
      </c>
      <c r="AW93" t="b">
        <f>AND(DATA!L430,"AAAAAHFvsjA=")</f>
        <v>1</v>
      </c>
      <c r="AX93" t="b">
        <f>AND(DATA!M430,"AAAAAHFvsjE=")</f>
        <v>1</v>
      </c>
      <c r="AY93" t="b">
        <f>AND(DATA!N430,"AAAAAHFvsjI=")</f>
        <v>1</v>
      </c>
      <c r="AZ93" t="b">
        <f>AND(DATA!O430,"AAAAAHFvsjM=")</f>
        <v>1</v>
      </c>
      <c r="BA93" t="b">
        <f>AND(DATA!P430,"AAAAAHFvsjQ=")</f>
        <v>1</v>
      </c>
      <c r="BB93" t="b">
        <f>AND(DATA!Q430,"AAAAAHFvsjU=")</f>
        <v>1</v>
      </c>
      <c r="BC93" t="b">
        <f>AND(DATA!R430,"AAAAAHFvsjY=")</f>
        <v>1</v>
      </c>
      <c r="BD93" t="b">
        <f>AND(DATA!S430,"AAAAAHFvsjc=")</f>
        <v>1</v>
      </c>
      <c r="BE93" t="b">
        <f>AND(DATA!T430,"AAAAAHFvsjg=")</f>
        <v>1</v>
      </c>
      <c r="BF93" t="b">
        <f>AND(DATA!U430,"AAAAAHFvsjk=")</f>
        <v>1</v>
      </c>
      <c r="BG93" t="b">
        <f>AND(DATA!V430,"AAAAAHFvsjo=")</f>
        <v>1</v>
      </c>
      <c r="BH93" t="e">
        <f>AND(DATA!W429,"AAAAAHFvsjs=")</f>
        <v>#VALUE!</v>
      </c>
      <c r="BI93" t="e">
        <f>AND(DATA!X429,"AAAAAHFvsjw=")</f>
        <v>#VALUE!</v>
      </c>
      <c r="BJ93" t="e">
        <f>AND(DATA!Y429,"AAAAAHFvsj0=")</f>
        <v>#VALUE!</v>
      </c>
      <c r="BK93">
        <f>IF(DATA!430:430,"AAAAAHFvsj4=",0)</f>
        <v>0</v>
      </c>
      <c r="BL93" t="e">
        <f>AND(DATA!A430,"AAAAAHFvsj8=")</f>
        <v>#VALUE!</v>
      </c>
      <c r="BM93" t="e">
        <f>AND(DATA!B430,"AAAAAHFvskA=")</f>
        <v>#VALUE!</v>
      </c>
      <c r="BN93" t="e">
        <f>AND(DATA!C430,"AAAAAHFvskE=")</f>
        <v>#VALUE!</v>
      </c>
      <c r="BO93" t="e">
        <f>AND(DATA!D430,"AAAAAHFvskI=")</f>
        <v>#VALUE!</v>
      </c>
      <c r="BP93" t="e">
        <f>AND(DATA!E430,"AAAAAHFvskM=")</f>
        <v>#VALUE!</v>
      </c>
      <c r="BQ93" t="e">
        <f>AND(DATA!F430,"AAAAAHFvskQ=")</f>
        <v>#VALUE!</v>
      </c>
      <c r="BR93" t="e">
        <f>AND(DATA!G430,"AAAAAHFvskU=")</f>
        <v>#VALUE!</v>
      </c>
      <c r="BS93" t="e">
        <f>AND(DATA!H430,"AAAAAHFvskY=")</f>
        <v>#VALUE!</v>
      </c>
      <c r="BT93" t="e">
        <f>AND(DATA!I430,"AAAAAHFvskc=")</f>
        <v>#VALUE!</v>
      </c>
      <c r="BU93" t="e">
        <f>AND(DATA!J430,"AAAAAHFvskg=")</f>
        <v>#VALUE!</v>
      </c>
      <c r="BV93" t="e">
        <f>AND(DATA!K430,"AAAAAHFvskk=")</f>
        <v>#VALUE!</v>
      </c>
      <c r="BW93" t="b">
        <f>AND(DATA!L431,"AAAAAHFvsko=")</f>
        <v>1</v>
      </c>
      <c r="BX93" t="b">
        <f>AND(DATA!M431,"AAAAAHFvsks=")</f>
        <v>1</v>
      </c>
      <c r="BY93" t="b">
        <f>AND(DATA!N431,"AAAAAHFvskw=")</f>
        <v>1</v>
      </c>
      <c r="BZ93" t="b">
        <f>AND(DATA!O431,"AAAAAHFvsk0=")</f>
        <v>1</v>
      </c>
      <c r="CA93" t="b">
        <f>AND(DATA!P431,"AAAAAHFvsk4=")</f>
        <v>1</v>
      </c>
      <c r="CB93" t="b">
        <f>AND(DATA!Q431,"AAAAAHFvsk8=")</f>
        <v>1</v>
      </c>
      <c r="CC93" t="b">
        <f>AND(DATA!R431,"AAAAAHFvslA=")</f>
        <v>1</v>
      </c>
      <c r="CD93" t="b">
        <f>AND(DATA!S431,"AAAAAHFvslE=")</f>
        <v>1</v>
      </c>
      <c r="CE93" t="b">
        <f>AND(DATA!T431,"AAAAAHFvslI=")</f>
        <v>1</v>
      </c>
      <c r="CF93" t="b">
        <f>AND(DATA!U431,"AAAAAHFvslM=")</f>
        <v>1</v>
      </c>
      <c r="CG93" t="b">
        <f>AND(DATA!V431,"AAAAAHFvslQ=")</f>
        <v>1</v>
      </c>
      <c r="CH93" t="e">
        <f>AND(DATA!W430,"AAAAAHFvslU=")</f>
        <v>#VALUE!</v>
      </c>
      <c r="CI93" t="e">
        <f>AND(DATA!X430,"AAAAAHFvslY=")</f>
        <v>#VALUE!</v>
      </c>
      <c r="CJ93" t="e">
        <f>AND(DATA!Y430,"AAAAAHFvslc=")</f>
        <v>#VALUE!</v>
      </c>
      <c r="CK93">
        <f>IF(DATA!431:431,"AAAAAHFvslg=",0)</f>
        <v>0</v>
      </c>
      <c r="CL93" t="e">
        <f>AND(DATA!A431,"AAAAAHFvslk=")</f>
        <v>#VALUE!</v>
      </c>
      <c r="CM93" t="e">
        <f>AND(DATA!B431,"AAAAAHFvslo=")</f>
        <v>#VALUE!</v>
      </c>
      <c r="CN93" t="e">
        <f>AND(DATA!C431,"AAAAAHFvsls=")</f>
        <v>#VALUE!</v>
      </c>
      <c r="CO93" t="e">
        <f>AND(DATA!D431,"AAAAAHFvslw=")</f>
        <v>#VALUE!</v>
      </c>
      <c r="CP93" t="e">
        <f>AND(DATA!E431,"AAAAAHFvsl0=")</f>
        <v>#VALUE!</v>
      </c>
      <c r="CQ93" t="e">
        <f>AND(DATA!F431,"AAAAAHFvsl4=")</f>
        <v>#VALUE!</v>
      </c>
      <c r="CR93" t="e">
        <f>AND(DATA!G431,"AAAAAHFvsl8=")</f>
        <v>#VALUE!</v>
      </c>
      <c r="CS93" t="e">
        <f>AND(DATA!H431,"AAAAAHFvsmA=")</f>
        <v>#VALUE!</v>
      </c>
      <c r="CT93" t="e">
        <f>AND(DATA!I431,"AAAAAHFvsmE=")</f>
        <v>#VALUE!</v>
      </c>
      <c r="CU93" t="e">
        <f>AND(DATA!J431,"AAAAAHFvsmI=")</f>
        <v>#VALUE!</v>
      </c>
      <c r="CV93" t="e">
        <f>AND(DATA!K431,"AAAAAHFvsmM=")</f>
        <v>#VALUE!</v>
      </c>
      <c r="CW93" t="b">
        <f>AND(DATA!L432,"AAAAAHFvsmQ=")</f>
        <v>1</v>
      </c>
      <c r="CX93" t="b">
        <f>AND(DATA!M432,"AAAAAHFvsmU=")</f>
        <v>1</v>
      </c>
      <c r="CY93" t="b">
        <f>AND(DATA!N432,"AAAAAHFvsmY=")</f>
        <v>1</v>
      </c>
      <c r="CZ93" t="b">
        <f>AND(DATA!O432,"AAAAAHFvsmc=")</f>
        <v>1</v>
      </c>
      <c r="DA93" t="b">
        <f>AND(DATA!P432,"AAAAAHFvsmg=")</f>
        <v>1</v>
      </c>
      <c r="DB93" t="b">
        <f>AND(DATA!Q432,"AAAAAHFvsmk=")</f>
        <v>1</v>
      </c>
      <c r="DC93" t="b">
        <f>AND(DATA!R432,"AAAAAHFvsmo=")</f>
        <v>1</v>
      </c>
      <c r="DD93" t="b">
        <f>AND(DATA!S432,"AAAAAHFvsms=")</f>
        <v>1</v>
      </c>
      <c r="DE93" t="b">
        <f>AND(DATA!T432,"AAAAAHFvsmw=")</f>
        <v>1</v>
      </c>
      <c r="DF93" t="b">
        <f>AND(DATA!U432,"AAAAAHFvsm0=")</f>
        <v>1</v>
      </c>
      <c r="DG93" t="b">
        <f>AND(DATA!V432,"AAAAAHFvsm4=")</f>
        <v>1</v>
      </c>
      <c r="DH93" t="e">
        <f>AND(DATA!W431,"AAAAAHFvsm8=")</f>
        <v>#VALUE!</v>
      </c>
      <c r="DI93" t="e">
        <f>AND(DATA!X431,"AAAAAHFvsnA=")</f>
        <v>#VALUE!</v>
      </c>
      <c r="DJ93" t="e">
        <f>AND(DATA!Y431,"AAAAAHFvsnE=")</f>
        <v>#VALUE!</v>
      </c>
      <c r="DK93">
        <f>IF(DATA!432:432,"AAAAAHFvsnI=",0)</f>
        <v>0</v>
      </c>
      <c r="DL93" t="e">
        <f>AND(DATA!A432,"AAAAAHFvsnM=")</f>
        <v>#VALUE!</v>
      </c>
      <c r="DM93" t="e">
        <f>AND(DATA!B432,"AAAAAHFvsnQ=")</f>
        <v>#VALUE!</v>
      </c>
      <c r="DN93" t="e">
        <f>AND(DATA!C432,"AAAAAHFvsnU=")</f>
        <v>#VALUE!</v>
      </c>
      <c r="DO93" t="e">
        <f>AND(DATA!D432,"AAAAAHFvsnY=")</f>
        <v>#VALUE!</v>
      </c>
      <c r="DP93" t="e">
        <f>AND(DATA!E432,"AAAAAHFvsnc=")</f>
        <v>#VALUE!</v>
      </c>
      <c r="DQ93" t="e">
        <f>AND(DATA!F432,"AAAAAHFvsng=")</f>
        <v>#VALUE!</v>
      </c>
      <c r="DR93" t="e">
        <f>AND(DATA!G432,"AAAAAHFvsnk=")</f>
        <v>#VALUE!</v>
      </c>
      <c r="DS93" t="e">
        <f>AND(DATA!H432,"AAAAAHFvsno=")</f>
        <v>#VALUE!</v>
      </c>
      <c r="DT93" t="e">
        <f>AND(DATA!I432,"AAAAAHFvsns=")</f>
        <v>#VALUE!</v>
      </c>
      <c r="DU93" t="e">
        <f>AND(DATA!J432,"AAAAAHFvsnw=")</f>
        <v>#VALUE!</v>
      </c>
      <c r="DV93" t="e">
        <f>AND(DATA!K432,"AAAAAHFvsn0=")</f>
        <v>#VALUE!</v>
      </c>
      <c r="DW93" t="b">
        <f>AND(DATA!L433,"AAAAAHFvsn4=")</f>
        <v>1</v>
      </c>
      <c r="DX93" t="b">
        <f>AND(DATA!M433,"AAAAAHFvsn8=")</f>
        <v>1</v>
      </c>
      <c r="DY93" t="b">
        <f>AND(DATA!N433,"AAAAAHFvsoA=")</f>
        <v>1</v>
      </c>
      <c r="DZ93" t="b">
        <f>AND(DATA!O433,"AAAAAHFvsoE=")</f>
        <v>1</v>
      </c>
      <c r="EA93" t="b">
        <f>AND(DATA!P433,"AAAAAHFvsoI=")</f>
        <v>1</v>
      </c>
      <c r="EB93" t="b">
        <f>AND(DATA!Q433,"AAAAAHFvsoM=")</f>
        <v>1</v>
      </c>
      <c r="EC93" t="b">
        <f>AND(DATA!R433,"AAAAAHFvsoQ=")</f>
        <v>1</v>
      </c>
      <c r="ED93" t="b">
        <f>AND(DATA!S433,"AAAAAHFvsoU=")</f>
        <v>1</v>
      </c>
      <c r="EE93" t="b">
        <f>AND(DATA!T433,"AAAAAHFvsoY=")</f>
        <v>1</v>
      </c>
      <c r="EF93" t="b">
        <f>AND(DATA!U433,"AAAAAHFvsoc=")</f>
        <v>1</v>
      </c>
      <c r="EG93" t="b">
        <f>AND(DATA!V433,"AAAAAHFvsog=")</f>
        <v>1</v>
      </c>
      <c r="EH93" t="e">
        <f>AND(DATA!W432,"AAAAAHFvsok=")</f>
        <v>#VALUE!</v>
      </c>
      <c r="EI93" t="e">
        <f>AND(DATA!X432,"AAAAAHFvsoo=")</f>
        <v>#VALUE!</v>
      </c>
      <c r="EJ93" t="e">
        <f>AND(DATA!Y432,"AAAAAHFvsos=")</f>
        <v>#VALUE!</v>
      </c>
      <c r="EK93">
        <f>IF(DATA!433:433,"AAAAAHFvsow=",0)</f>
        <v>0</v>
      </c>
      <c r="EL93" t="e">
        <f>AND(DATA!A433,"AAAAAHFvso0=")</f>
        <v>#VALUE!</v>
      </c>
      <c r="EM93" t="e">
        <f>AND(DATA!B433,"AAAAAHFvso4=")</f>
        <v>#VALUE!</v>
      </c>
      <c r="EN93" t="e">
        <f>AND(DATA!C433,"AAAAAHFvso8=")</f>
        <v>#VALUE!</v>
      </c>
      <c r="EO93" t="e">
        <f>AND(DATA!D433,"AAAAAHFvspA=")</f>
        <v>#VALUE!</v>
      </c>
      <c r="EP93" t="e">
        <f>AND(DATA!E433,"AAAAAHFvspE=")</f>
        <v>#VALUE!</v>
      </c>
      <c r="EQ93" t="e">
        <f>AND(DATA!F433,"AAAAAHFvspI=")</f>
        <v>#VALUE!</v>
      </c>
      <c r="ER93" t="e">
        <f>AND(DATA!G433,"AAAAAHFvspM=")</f>
        <v>#VALUE!</v>
      </c>
      <c r="ES93" t="e">
        <f>AND(DATA!H433,"AAAAAHFvspQ=")</f>
        <v>#VALUE!</v>
      </c>
      <c r="ET93" t="e">
        <f>AND(DATA!I433,"AAAAAHFvspU=")</f>
        <v>#VALUE!</v>
      </c>
      <c r="EU93" t="e">
        <f>AND(DATA!J433,"AAAAAHFvspY=")</f>
        <v>#VALUE!</v>
      </c>
      <c r="EV93" t="e">
        <f>AND(DATA!K433,"AAAAAHFvspc=")</f>
        <v>#VALUE!</v>
      </c>
      <c r="EW93" t="b">
        <f>AND(DATA!L434,"AAAAAHFvspg=")</f>
        <v>1</v>
      </c>
      <c r="EX93" t="b">
        <f>AND(DATA!M434,"AAAAAHFvspk=")</f>
        <v>1</v>
      </c>
      <c r="EY93" t="b">
        <f>AND(DATA!N434,"AAAAAHFvspo=")</f>
        <v>1</v>
      </c>
      <c r="EZ93" t="b">
        <f>AND(DATA!O434,"AAAAAHFvsps=")</f>
        <v>1</v>
      </c>
      <c r="FA93" t="b">
        <f>AND(DATA!P434,"AAAAAHFvspw=")</f>
        <v>1</v>
      </c>
      <c r="FB93" t="b">
        <f>AND(DATA!Q434,"AAAAAHFvsp0=")</f>
        <v>1</v>
      </c>
      <c r="FC93" t="b">
        <f>AND(DATA!R434,"AAAAAHFvsp4=")</f>
        <v>1</v>
      </c>
      <c r="FD93" t="b">
        <f>AND(DATA!S434,"AAAAAHFvsp8=")</f>
        <v>1</v>
      </c>
      <c r="FE93" t="b">
        <f>AND(DATA!T434,"AAAAAHFvsqA=")</f>
        <v>1</v>
      </c>
      <c r="FF93" t="b">
        <f>AND(DATA!U434,"AAAAAHFvsqE=")</f>
        <v>1</v>
      </c>
      <c r="FG93" t="b">
        <f>AND(DATA!V434,"AAAAAHFvsqI=")</f>
        <v>1</v>
      </c>
      <c r="FH93" t="e">
        <f>AND(DATA!W433,"AAAAAHFvsqM=")</f>
        <v>#VALUE!</v>
      </c>
      <c r="FI93" t="e">
        <f>AND(DATA!X433,"AAAAAHFvsqQ=")</f>
        <v>#VALUE!</v>
      </c>
      <c r="FJ93" t="e">
        <f>AND(DATA!Y433,"AAAAAHFvsqU=")</f>
        <v>#VALUE!</v>
      </c>
      <c r="FK93">
        <f>IF(DATA!434:434,"AAAAAHFvsqY=",0)</f>
        <v>0</v>
      </c>
      <c r="FL93" t="e">
        <f>AND(DATA!A434,"AAAAAHFvsqc=")</f>
        <v>#VALUE!</v>
      </c>
      <c r="FM93" t="e">
        <f>AND(DATA!B434,"AAAAAHFvsqg=")</f>
        <v>#VALUE!</v>
      </c>
      <c r="FN93" t="e">
        <f>AND(DATA!C434,"AAAAAHFvsqk=")</f>
        <v>#VALUE!</v>
      </c>
      <c r="FO93" t="e">
        <f>AND(DATA!D434,"AAAAAHFvsqo=")</f>
        <v>#VALUE!</v>
      </c>
      <c r="FP93" t="e">
        <f>AND(DATA!E434,"AAAAAHFvsqs=")</f>
        <v>#VALUE!</v>
      </c>
      <c r="FQ93" t="e">
        <f>AND(DATA!F434,"AAAAAHFvsqw=")</f>
        <v>#VALUE!</v>
      </c>
      <c r="FR93" t="e">
        <f>AND(DATA!G434,"AAAAAHFvsq0=")</f>
        <v>#VALUE!</v>
      </c>
      <c r="FS93" t="e">
        <f>AND(DATA!H434,"AAAAAHFvsq4=")</f>
        <v>#VALUE!</v>
      </c>
      <c r="FT93" t="e">
        <f>AND(DATA!I434,"AAAAAHFvsq8=")</f>
        <v>#VALUE!</v>
      </c>
      <c r="FU93" t="e">
        <f>AND(DATA!J434,"AAAAAHFvsrA=")</f>
        <v>#VALUE!</v>
      </c>
      <c r="FV93" t="e">
        <f>AND(DATA!K434,"AAAAAHFvsrE=")</f>
        <v>#VALUE!</v>
      </c>
      <c r="FW93" t="b">
        <f>AND(DATA!L435,"AAAAAHFvsrI=")</f>
        <v>1</v>
      </c>
      <c r="FX93" t="b">
        <f>AND(DATA!M435,"AAAAAHFvsrM=")</f>
        <v>1</v>
      </c>
      <c r="FY93" t="b">
        <f>AND(DATA!N435,"AAAAAHFvsrQ=")</f>
        <v>1</v>
      </c>
      <c r="FZ93" t="b">
        <f>AND(DATA!O435,"AAAAAHFvsrU=")</f>
        <v>1</v>
      </c>
      <c r="GA93" t="b">
        <f>AND(DATA!P435,"AAAAAHFvsrY=")</f>
        <v>1</v>
      </c>
      <c r="GB93" t="b">
        <f>AND(DATA!Q435,"AAAAAHFvsrc=")</f>
        <v>1</v>
      </c>
      <c r="GC93" t="b">
        <f>AND(DATA!R435,"AAAAAHFvsrg=")</f>
        <v>1</v>
      </c>
      <c r="GD93" t="b">
        <f>AND(DATA!S435,"AAAAAHFvsrk=")</f>
        <v>1</v>
      </c>
      <c r="GE93" t="b">
        <f>AND(DATA!T435,"AAAAAHFvsro=")</f>
        <v>1</v>
      </c>
      <c r="GF93" t="b">
        <f>AND(DATA!U435,"AAAAAHFvsrs=")</f>
        <v>1</v>
      </c>
      <c r="GG93" t="b">
        <f>AND(DATA!V435,"AAAAAHFvsrw=")</f>
        <v>1</v>
      </c>
      <c r="GH93" t="e">
        <f>AND(DATA!W434,"AAAAAHFvsr0=")</f>
        <v>#VALUE!</v>
      </c>
      <c r="GI93" t="e">
        <f>AND(DATA!X434,"AAAAAHFvsr4=")</f>
        <v>#VALUE!</v>
      </c>
      <c r="GJ93" t="e">
        <f>AND(DATA!Y434,"AAAAAHFvsr8=")</f>
        <v>#VALUE!</v>
      </c>
      <c r="GK93">
        <f>IF(DATA!435:435,"AAAAAHFvssA=",0)</f>
        <v>0</v>
      </c>
      <c r="GL93" t="e">
        <f>AND(DATA!A435,"AAAAAHFvssE=")</f>
        <v>#VALUE!</v>
      </c>
      <c r="GM93" t="e">
        <f>AND(DATA!B435,"AAAAAHFvssI=")</f>
        <v>#VALUE!</v>
      </c>
      <c r="GN93" t="e">
        <f>AND(DATA!C435,"AAAAAHFvssM=")</f>
        <v>#VALUE!</v>
      </c>
      <c r="GO93" t="e">
        <f>AND(DATA!D435,"AAAAAHFvssQ=")</f>
        <v>#VALUE!</v>
      </c>
      <c r="GP93" t="e">
        <f>AND(DATA!E435,"AAAAAHFvssU=")</f>
        <v>#VALUE!</v>
      </c>
      <c r="GQ93" t="e">
        <f>AND(DATA!F435,"AAAAAHFvssY=")</f>
        <v>#VALUE!</v>
      </c>
      <c r="GR93" t="e">
        <f>AND(DATA!G435,"AAAAAHFvssc=")</f>
        <v>#VALUE!</v>
      </c>
      <c r="GS93" t="e">
        <f>AND(DATA!H435,"AAAAAHFvssg=")</f>
        <v>#VALUE!</v>
      </c>
      <c r="GT93" t="e">
        <f>AND(DATA!I435,"AAAAAHFvssk=")</f>
        <v>#VALUE!</v>
      </c>
      <c r="GU93" t="e">
        <f>AND(DATA!J435,"AAAAAHFvsso=")</f>
        <v>#VALUE!</v>
      </c>
      <c r="GV93" t="e">
        <f>AND(DATA!K435,"AAAAAHFvsss=")</f>
        <v>#VALUE!</v>
      </c>
      <c r="GW93" t="b">
        <f>AND(DATA!L436,"AAAAAHFvssw=")</f>
        <v>1</v>
      </c>
      <c r="GX93" t="b">
        <f>AND(DATA!M436,"AAAAAHFvss0=")</f>
        <v>1</v>
      </c>
      <c r="GY93" t="b">
        <f>AND(DATA!N436,"AAAAAHFvss4=")</f>
        <v>1</v>
      </c>
      <c r="GZ93" t="b">
        <f>AND(DATA!O436,"AAAAAHFvss8=")</f>
        <v>1</v>
      </c>
      <c r="HA93" t="b">
        <f>AND(DATA!P436,"AAAAAHFvstA=")</f>
        <v>1</v>
      </c>
      <c r="HB93" t="b">
        <f>AND(DATA!Q436,"AAAAAHFvstE=")</f>
        <v>1</v>
      </c>
      <c r="HC93" t="b">
        <f>AND(DATA!R436,"AAAAAHFvstI=")</f>
        <v>1</v>
      </c>
      <c r="HD93" t="b">
        <f>AND(DATA!S436,"AAAAAHFvstM=")</f>
        <v>1</v>
      </c>
      <c r="HE93" t="b">
        <f>AND(DATA!T436,"AAAAAHFvstQ=")</f>
        <v>1</v>
      </c>
      <c r="HF93" t="b">
        <f>AND(DATA!U436,"AAAAAHFvstU=")</f>
        <v>1</v>
      </c>
      <c r="HG93" t="b">
        <f>AND(DATA!V436,"AAAAAHFvstY=")</f>
        <v>1</v>
      </c>
      <c r="HH93" t="e">
        <f>AND(DATA!W435,"AAAAAHFvstc=")</f>
        <v>#VALUE!</v>
      </c>
      <c r="HI93" t="e">
        <f>AND(DATA!X435,"AAAAAHFvstg=")</f>
        <v>#VALUE!</v>
      </c>
      <c r="HJ93" t="e">
        <f>AND(DATA!Y435,"AAAAAHFvstk=")</f>
        <v>#VALUE!</v>
      </c>
      <c r="HK93">
        <f>IF(DATA!436:436,"AAAAAHFvsto=",0)</f>
        <v>0</v>
      </c>
      <c r="HL93" t="e">
        <f>AND(DATA!A436,"AAAAAHFvsts=")</f>
        <v>#VALUE!</v>
      </c>
      <c r="HM93" t="e">
        <f>AND(DATA!B436,"AAAAAHFvstw=")</f>
        <v>#VALUE!</v>
      </c>
      <c r="HN93" t="e">
        <f>AND(DATA!C436,"AAAAAHFvst0=")</f>
        <v>#VALUE!</v>
      </c>
      <c r="HO93" t="e">
        <f>AND(DATA!D436,"AAAAAHFvst4=")</f>
        <v>#VALUE!</v>
      </c>
      <c r="HP93" t="e">
        <f>AND(DATA!E436,"AAAAAHFvst8=")</f>
        <v>#VALUE!</v>
      </c>
      <c r="HQ93" t="e">
        <f>AND(DATA!F436,"AAAAAHFvsuA=")</f>
        <v>#VALUE!</v>
      </c>
      <c r="HR93" t="e">
        <f>AND(DATA!G436,"AAAAAHFvsuE=")</f>
        <v>#VALUE!</v>
      </c>
      <c r="HS93" t="e">
        <f>AND(DATA!H436,"AAAAAHFvsuI=")</f>
        <v>#VALUE!</v>
      </c>
      <c r="HT93" t="e">
        <f>AND(DATA!I436,"AAAAAHFvsuM=")</f>
        <v>#VALUE!</v>
      </c>
      <c r="HU93" t="e">
        <f>AND(DATA!J436,"AAAAAHFvsuQ=")</f>
        <v>#VALUE!</v>
      </c>
      <c r="HV93" t="e">
        <f>AND(DATA!K436,"AAAAAHFvsuU=")</f>
        <v>#VALUE!</v>
      </c>
      <c r="HW93" t="b">
        <f>AND(DATA!L437,"AAAAAHFvsuY=")</f>
        <v>1</v>
      </c>
      <c r="HX93" t="b">
        <f>AND(DATA!M437,"AAAAAHFvsuc=")</f>
        <v>1</v>
      </c>
      <c r="HY93" t="b">
        <f>AND(DATA!N437,"AAAAAHFvsug=")</f>
        <v>1</v>
      </c>
      <c r="HZ93" t="b">
        <f>AND(DATA!O437,"AAAAAHFvsuk=")</f>
        <v>1</v>
      </c>
      <c r="IA93" t="b">
        <f>AND(DATA!P437,"AAAAAHFvsuo=")</f>
        <v>1</v>
      </c>
      <c r="IB93" t="b">
        <f>AND(DATA!Q437,"AAAAAHFvsus=")</f>
        <v>1</v>
      </c>
      <c r="IC93" t="b">
        <f>AND(DATA!R437,"AAAAAHFvsuw=")</f>
        <v>1</v>
      </c>
      <c r="ID93" t="b">
        <f>AND(DATA!S437,"AAAAAHFvsu0=")</f>
        <v>1</v>
      </c>
      <c r="IE93" t="b">
        <f>AND(DATA!T437,"AAAAAHFvsu4=")</f>
        <v>1</v>
      </c>
      <c r="IF93" t="b">
        <f>AND(DATA!U437,"AAAAAHFvsu8=")</f>
        <v>1</v>
      </c>
      <c r="IG93" t="b">
        <f>AND(DATA!V437,"AAAAAHFvsvA=")</f>
        <v>1</v>
      </c>
      <c r="IH93" t="e">
        <f>AND(DATA!W436,"AAAAAHFvsvE=")</f>
        <v>#VALUE!</v>
      </c>
      <c r="II93" t="e">
        <f>AND(DATA!X436,"AAAAAHFvsvI=")</f>
        <v>#VALUE!</v>
      </c>
      <c r="IJ93" t="e">
        <f>AND(DATA!Y436,"AAAAAHFvsvM=")</f>
        <v>#VALUE!</v>
      </c>
      <c r="IK93">
        <f>IF(DATA!437:437,"AAAAAHFvsvQ=",0)</f>
        <v>0</v>
      </c>
      <c r="IL93" t="e">
        <f>AND(DATA!A437,"AAAAAHFvsvU=")</f>
        <v>#VALUE!</v>
      </c>
      <c r="IM93" t="e">
        <f>AND(DATA!B437,"AAAAAHFvsvY=")</f>
        <v>#VALUE!</v>
      </c>
      <c r="IN93" t="e">
        <f>AND(DATA!C437,"AAAAAHFvsvc=")</f>
        <v>#VALUE!</v>
      </c>
      <c r="IO93" t="e">
        <f>AND(DATA!D437,"AAAAAHFvsvg=")</f>
        <v>#VALUE!</v>
      </c>
      <c r="IP93" t="e">
        <f>AND(DATA!E437,"AAAAAHFvsvk=")</f>
        <v>#VALUE!</v>
      </c>
      <c r="IQ93" t="e">
        <f>AND(DATA!F437,"AAAAAHFvsvo=")</f>
        <v>#VALUE!</v>
      </c>
      <c r="IR93" t="e">
        <f>AND(DATA!G437,"AAAAAHFvsvs=")</f>
        <v>#VALUE!</v>
      </c>
      <c r="IS93" t="e">
        <f>AND(DATA!H437,"AAAAAHFvsvw=")</f>
        <v>#VALUE!</v>
      </c>
      <c r="IT93" t="e">
        <f>AND(DATA!I437,"AAAAAHFvsv0=")</f>
        <v>#VALUE!</v>
      </c>
      <c r="IU93" t="e">
        <f>AND(DATA!J437,"AAAAAHFvsv4=")</f>
        <v>#VALUE!</v>
      </c>
      <c r="IV93" t="e">
        <f>AND(DATA!K437,"AAAAAHFvsv8=")</f>
        <v>#VALUE!</v>
      </c>
    </row>
    <row r="94" spans="1:256" x14ac:dyDescent="0.25">
      <c r="A94" t="b">
        <f>AND(DATA!L438,"AAAAAHy//wA=")</f>
        <v>1</v>
      </c>
      <c r="B94" t="b">
        <f>AND(DATA!M438,"AAAAAHy//wE=")</f>
        <v>1</v>
      </c>
      <c r="C94" t="b">
        <f>AND(DATA!N438,"AAAAAHy//wI=")</f>
        <v>1</v>
      </c>
      <c r="D94" t="b">
        <f>AND(DATA!O438,"AAAAAHy//wM=")</f>
        <v>1</v>
      </c>
      <c r="E94" t="b">
        <f>AND(DATA!P438,"AAAAAHy//wQ=")</f>
        <v>1</v>
      </c>
      <c r="F94" t="b">
        <f>AND(DATA!Q438,"AAAAAHy//wU=")</f>
        <v>1</v>
      </c>
      <c r="G94" t="b">
        <f>AND(DATA!R438,"AAAAAHy//wY=")</f>
        <v>1</v>
      </c>
      <c r="H94" t="b">
        <f>AND(DATA!S438,"AAAAAHy//wc=")</f>
        <v>1</v>
      </c>
      <c r="I94" t="b">
        <f>AND(DATA!T438,"AAAAAHy//wg=")</f>
        <v>1</v>
      </c>
      <c r="J94" t="b">
        <f>AND(DATA!U438,"AAAAAHy//wk=")</f>
        <v>1</v>
      </c>
      <c r="K94" t="b">
        <f>AND(DATA!V438,"AAAAAHy//wo=")</f>
        <v>1</v>
      </c>
      <c r="L94" t="e">
        <f>AND(DATA!W437,"AAAAAHy//ws=")</f>
        <v>#VALUE!</v>
      </c>
      <c r="M94" t="e">
        <f>AND(DATA!X437,"AAAAAHy//ww=")</f>
        <v>#VALUE!</v>
      </c>
      <c r="N94" t="e">
        <f>AND(DATA!Y437,"AAAAAHy//w0=")</f>
        <v>#VALUE!</v>
      </c>
      <c r="O94" t="str">
        <f>IF(DATA!438:438,"AAAAAHy//w4=",0)</f>
        <v>AAAAAHy//w4=</v>
      </c>
      <c r="P94" t="e">
        <f>AND(DATA!A438,"AAAAAHy//w8=")</f>
        <v>#VALUE!</v>
      </c>
      <c r="Q94" t="e">
        <f>AND(DATA!B438,"AAAAAHy//xA=")</f>
        <v>#VALUE!</v>
      </c>
      <c r="R94" t="e">
        <f>AND(DATA!C438,"AAAAAHy//xE=")</f>
        <v>#VALUE!</v>
      </c>
      <c r="S94" t="e">
        <f>AND(DATA!D438,"AAAAAHy//xI=")</f>
        <v>#VALUE!</v>
      </c>
      <c r="T94" t="e">
        <f>AND(DATA!E438,"AAAAAHy//xM=")</f>
        <v>#VALUE!</v>
      </c>
      <c r="U94" t="e">
        <f>AND(DATA!F438,"AAAAAHy//xQ=")</f>
        <v>#VALUE!</v>
      </c>
      <c r="V94" t="e">
        <f>AND(DATA!G438,"AAAAAHy//xU=")</f>
        <v>#VALUE!</v>
      </c>
      <c r="W94" t="e">
        <f>AND(DATA!H438,"AAAAAHy//xY=")</f>
        <v>#VALUE!</v>
      </c>
      <c r="X94" t="e">
        <f>AND(DATA!I438,"AAAAAHy//xc=")</f>
        <v>#VALUE!</v>
      </c>
      <c r="Y94" t="e">
        <f>AND(DATA!J438,"AAAAAHy//xg=")</f>
        <v>#VALUE!</v>
      </c>
      <c r="Z94" t="e">
        <f>AND(DATA!K438,"AAAAAHy//xk=")</f>
        <v>#VALUE!</v>
      </c>
      <c r="AA94" t="b">
        <f>AND(DATA!L439,"AAAAAHy//xo=")</f>
        <v>1</v>
      </c>
      <c r="AB94" t="b">
        <f>AND(DATA!M439,"AAAAAHy//xs=")</f>
        <v>1</v>
      </c>
      <c r="AC94" t="b">
        <f>AND(DATA!N439,"AAAAAHy//xw=")</f>
        <v>1</v>
      </c>
      <c r="AD94" t="b">
        <f>AND(DATA!O439,"AAAAAHy//x0=")</f>
        <v>1</v>
      </c>
      <c r="AE94" t="b">
        <f>AND(DATA!P439,"AAAAAHy//x4=")</f>
        <v>1</v>
      </c>
      <c r="AF94" t="b">
        <f>AND(DATA!Q439,"AAAAAHy//x8=")</f>
        <v>1</v>
      </c>
      <c r="AG94" t="b">
        <f>AND(DATA!R439,"AAAAAHy//yA=")</f>
        <v>1</v>
      </c>
      <c r="AH94" t="b">
        <f>AND(DATA!S439,"AAAAAHy//yE=")</f>
        <v>1</v>
      </c>
      <c r="AI94" t="b">
        <f>AND(DATA!T439,"AAAAAHy//yI=")</f>
        <v>1</v>
      </c>
      <c r="AJ94" t="b">
        <f>AND(DATA!U439,"AAAAAHy//yM=")</f>
        <v>1</v>
      </c>
      <c r="AK94" t="b">
        <f>AND(DATA!V439,"AAAAAHy//yQ=")</f>
        <v>1</v>
      </c>
      <c r="AL94" t="e">
        <f>AND(DATA!W438,"AAAAAHy//yU=")</f>
        <v>#VALUE!</v>
      </c>
      <c r="AM94" t="e">
        <f>AND(DATA!X438,"AAAAAHy//yY=")</f>
        <v>#VALUE!</v>
      </c>
      <c r="AN94" t="e">
        <f>AND(DATA!Y438,"AAAAAHy//yc=")</f>
        <v>#VALUE!</v>
      </c>
      <c r="AO94">
        <f>IF(DATA!439:439,"AAAAAHy//yg=",0)</f>
        <v>0</v>
      </c>
      <c r="AP94" t="e">
        <f>AND(DATA!A439,"AAAAAHy//yk=")</f>
        <v>#VALUE!</v>
      </c>
      <c r="AQ94" t="e">
        <f>AND(DATA!B439,"AAAAAHy//yo=")</f>
        <v>#VALUE!</v>
      </c>
      <c r="AR94" t="e">
        <f>AND(DATA!C439,"AAAAAHy//ys=")</f>
        <v>#VALUE!</v>
      </c>
      <c r="AS94" t="e">
        <f>AND(DATA!D439,"AAAAAHy//yw=")</f>
        <v>#VALUE!</v>
      </c>
      <c r="AT94" t="e">
        <f>AND(DATA!E439,"AAAAAHy//y0=")</f>
        <v>#VALUE!</v>
      </c>
      <c r="AU94" t="e">
        <f>AND(DATA!F439,"AAAAAHy//y4=")</f>
        <v>#VALUE!</v>
      </c>
      <c r="AV94" t="e">
        <f>AND(DATA!G439,"AAAAAHy//y8=")</f>
        <v>#VALUE!</v>
      </c>
      <c r="AW94" t="e">
        <f>AND(DATA!H439,"AAAAAHy//zA=")</f>
        <v>#VALUE!</v>
      </c>
      <c r="AX94" t="e">
        <f>AND(DATA!I439,"AAAAAHy//zE=")</f>
        <v>#VALUE!</v>
      </c>
      <c r="AY94" t="e">
        <f>AND(DATA!J439,"AAAAAHy//zI=")</f>
        <v>#VALUE!</v>
      </c>
      <c r="AZ94" t="e">
        <f>AND(DATA!K439,"AAAAAHy//zM=")</f>
        <v>#VALUE!</v>
      </c>
      <c r="BA94" t="b">
        <f>AND(DATA!L440,"AAAAAHy//zQ=")</f>
        <v>1</v>
      </c>
      <c r="BB94" t="b">
        <f>AND(DATA!M440,"AAAAAHy//zU=")</f>
        <v>1</v>
      </c>
      <c r="BC94" t="b">
        <f>AND(DATA!N440,"AAAAAHy//zY=")</f>
        <v>1</v>
      </c>
      <c r="BD94" t="b">
        <f>AND(DATA!O440,"AAAAAHy//zc=")</f>
        <v>1</v>
      </c>
      <c r="BE94" t="b">
        <f>AND(DATA!P440,"AAAAAHy//zg=")</f>
        <v>1</v>
      </c>
      <c r="BF94" t="b">
        <f>AND(DATA!Q440,"AAAAAHy//zk=")</f>
        <v>1</v>
      </c>
      <c r="BG94" t="b">
        <f>AND(DATA!R440,"AAAAAHy//zo=")</f>
        <v>1</v>
      </c>
      <c r="BH94" t="b">
        <f>AND(DATA!S440,"AAAAAHy//zs=")</f>
        <v>1</v>
      </c>
      <c r="BI94" t="b">
        <f>AND(DATA!T440,"AAAAAHy//zw=")</f>
        <v>1</v>
      </c>
      <c r="BJ94" t="b">
        <f>AND(DATA!U440,"AAAAAHy//z0=")</f>
        <v>1</v>
      </c>
      <c r="BK94" t="b">
        <f>AND(DATA!V440,"AAAAAHy//z4=")</f>
        <v>1</v>
      </c>
      <c r="BL94" t="e">
        <f>AND(DATA!W439,"AAAAAHy//z8=")</f>
        <v>#VALUE!</v>
      </c>
      <c r="BM94" t="e">
        <f>AND(DATA!X439,"AAAAAHy//0A=")</f>
        <v>#VALUE!</v>
      </c>
      <c r="BN94" t="e">
        <f>AND(DATA!Y439,"AAAAAHy//0E=")</f>
        <v>#VALUE!</v>
      </c>
      <c r="BO94">
        <f>IF(DATA!440:440,"AAAAAHy//0I=",0)</f>
        <v>0</v>
      </c>
      <c r="BP94" t="e">
        <f>AND(DATA!A440,"AAAAAHy//0M=")</f>
        <v>#VALUE!</v>
      </c>
      <c r="BQ94" t="e">
        <f>AND(DATA!B440,"AAAAAHy//0Q=")</f>
        <v>#VALUE!</v>
      </c>
      <c r="BR94" t="e">
        <f>AND(DATA!C440,"AAAAAHy//0U=")</f>
        <v>#VALUE!</v>
      </c>
      <c r="BS94" t="e">
        <f>AND(DATA!D440,"AAAAAHy//0Y=")</f>
        <v>#VALUE!</v>
      </c>
      <c r="BT94" t="e">
        <f>AND(DATA!E440,"AAAAAHy//0c=")</f>
        <v>#VALUE!</v>
      </c>
      <c r="BU94" t="e">
        <f>AND(DATA!F440,"AAAAAHy//0g=")</f>
        <v>#VALUE!</v>
      </c>
      <c r="BV94" t="e">
        <f>AND(DATA!G440,"AAAAAHy//0k=")</f>
        <v>#VALUE!</v>
      </c>
      <c r="BW94" t="e">
        <f>AND(DATA!H440,"AAAAAHy//0o=")</f>
        <v>#VALUE!</v>
      </c>
      <c r="BX94" t="e">
        <f>AND(DATA!I440,"AAAAAHy//0s=")</f>
        <v>#VALUE!</v>
      </c>
      <c r="BY94" t="e">
        <f>AND(DATA!J440,"AAAAAHy//0w=")</f>
        <v>#VALUE!</v>
      </c>
      <c r="BZ94" t="e">
        <f>AND(DATA!K440,"AAAAAHy//00=")</f>
        <v>#VALUE!</v>
      </c>
      <c r="CA94" t="b">
        <f>AND(DATA!L441,"AAAAAHy//04=")</f>
        <v>1</v>
      </c>
      <c r="CB94" t="b">
        <f>AND(DATA!M441,"AAAAAHy//08=")</f>
        <v>1</v>
      </c>
      <c r="CC94" t="b">
        <f>AND(DATA!N441,"AAAAAHy//1A=")</f>
        <v>1</v>
      </c>
      <c r="CD94" t="b">
        <f>AND(DATA!O441,"AAAAAHy//1E=")</f>
        <v>1</v>
      </c>
      <c r="CE94" t="b">
        <f>AND(DATA!P441,"AAAAAHy//1I=")</f>
        <v>1</v>
      </c>
      <c r="CF94" t="b">
        <f>AND(DATA!Q441,"AAAAAHy//1M=")</f>
        <v>1</v>
      </c>
      <c r="CG94" t="b">
        <f>AND(DATA!R441,"AAAAAHy//1Q=")</f>
        <v>1</v>
      </c>
      <c r="CH94" t="b">
        <f>AND(DATA!S441,"AAAAAHy//1U=")</f>
        <v>1</v>
      </c>
      <c r="CI94" t="b">
        <f>AND(DATA!T441,"AAAAAHy//1Y=")</f>
        <v>1</v>
      </c>
      <c r="CJ94" t="b">
        <f>AND(DATA!U441,"AAAAAHy//1c=")</f>
        <v>1</v>
      </c>
      <c r="CK94" t="b">
        <f>AND(DATA!V441,"AAAAAHy//1g=")</f>
        <v>1</v>
      </c>
      <c r="CL94" t="e">
        <f>AND(DATA!W440,"AAAAAHy//1k=")</f>
        <v>#VALUE!</v>
      </c>
      <c r="CM94" t="e">
        <f>AND(DATA!X440,"AAAAAHy//1o=")</f>
        <v>#VALUE!</v>
      </c>
      <c r="CN94" t="e">
        <f>AND(DATA!Y440,"AAAAAHy//1s=")</f>
        <v>#VALUE!</v>
      </c>
      <c r="CO94">
        <f>IF(DATA!441:441,"AAAAAHy//1w=",0)</f>
        <v>0</v>
      </c>
      <c r="CP94" t="e">
        <f>AND(DATA!A441,"AAAAAHy//10=")</f>
        <v>#VALUE!</v>
      </c>
      <c r="CQ94" t="e">
        <f>AND(DATA!B441,"AAAAAHy//14=")</f>
        <v>#VALUE!</v>
      </c>
      <c r="CR94" t="e">
        <f>AND(DATA!C441,"AAAAAHy//18=")</f>
        <v>#VALUE!</v>
      </c>
      <c r="CS94" t="e">
        <f>AND(DATA!D441,"AAAAAHy//2A=")</f>
        <v>#VALUE!</v>
      </c>
      <c r="CT94" t="e">
        <f>AND(DATA!E441,"AAAAAHy//2E=")</f>
        <v>#VALUE!</v>
      </c>
      <c r="CU94" t="e">
        <f>AND(DATA!F441,"AAAAAHy//2I=")</f>
        <v>#VALUE!</v>
      </c>
      <c r="CV94" t="e">
        <f>AND(DATA!G441,"AAAAAHy//2M=")</f>
        <v>#VALUE!</v>
      </c>
      <c r="CW94" t="e">
        <f>AND(DATA!H441,"AAAAAHy//2Q=")</f>
        <v>#VALUE!</v>
      </c>
      <c r="CX94" t="e">
        <f>AND(DATA!I441,"AAAAAHy//2U=")</f>
        <v>#VALUE!</v>
      </c>
      <c r="CY94" t="e">
        <f>AND(DATA!J441,"AAAAAHy//2Y=")</f>
        <v>#VALUE!</v>
      </c>
      <c r="CZ94" t="e">
        <f>AND(DATA!K441,"AAAAAHy//2c=")</f>
        <v>#VALUE!</v>
      </c>
      <c r="DA94" t="b">
        <f>AND(DATA!L442,"AAAAAHy//2g=")</f>
        <v>1</v>
      </c>
      <c r="DB94" t="b">
        <f>AND(DATA!M442,"AAAAAHy//2k=")</f>
        <v>1</v>
      </c>
      <c r="DC94" t="b">
        <f>AND(DATA!N442,"AAAAAHy//2o=")</f>
        <v>1</v>
      </c>
      <c r="DD94" t="b">
        <f>AND(DATA!O442,"AAAAAHy//2s=")</f>
        <v>1</v>
      </c>
      <c r="DE94" t="b">
        <f>AND(DATA!P442,"AAAAAHy//2w=")</f>
        <v>1</v>
      </c>
      <c r="DF94" t="b">
        <f>AND(DATA!Q442,"AAAAAHy//20=")</f>
        <v>1</v>
      </c>
      <c r="DG94" t="b">
        <f>AND(DATA!R442,"AAAAAHy//24=")</f>
        <v>1</v>
      </c>
      <c r="DH94" t="b">
        <f>AND(DATA!S442,"AAAAAHy//28=")</f>
        <v>1</v>
      </c>
      <c r="DI94" t="b">
        <f>AND(DATA!T442,"AAAAAHy//3A=")</f>
        <v>1</v>
      </c>
      <c r="DJ94" t="b">
        <f>AND(DATA!U442,"AAAAAHy//3E=")</f>
        <v>1</v>
      </c>
      <c r="DK94" t="b">
        <f>AND(DATA!V442,"AAAAAHy//3I=")</f>
        <v>1</v>
      </c>
      <c r="DL94" t="e">
        <f>AND(DATA!W441,"AAAAAHy//3M=")</f>
        <v>#VALUE!</v>
      </c>
      <c r="DM94" t="e">
        <f>AND(DATA!X441,"AAAAAHy//3Q=")</f>
        <v>#VALUE!</v>
      </c>
      <c r="DN94" t="e">
        <f>AND(DATA!Y441,"AAAAAHy//3U=")</f>
        <v>#VALUE!</v>
      </c>
      <c r="DO94">
        <f>IF(DATA!442:442,"AAAAAHy//3Y=",0)</f>
        <v>0</v>
      </c>
      <c r="DP94" t="e">
        <f>AND(DATA!A442,"AAAAAHy//3c=")</f>
        <v>#VALUE!</v>
      </c>
      <c r="DQ94" t="e">
        <f>AND(DATA!B442,"AAAAAHy//3g=")</f>
        <v>#VALUE!</v>
      </c>
      <c r="DR94" t="e">
        <f>AND(DATA!C442,"AAAAAHy//3k=")</f>
        <v>#VALUE!</v>
      </c>
      <c r="DS94" t="e">
        <f>AND(DATA!D442,"AAAAAHy//3o=")</f>
        <v>#VALUE!</v>
      </c>
      <c r="DT94" t="e">
        <f>AND(DATA!E442,"AAAAAHy//3s=")</f>
        <v>#VALUE!</v>
      </c>
      <c r="DU94" t="e">
        <f>AND(DATA!F442,"AAAAAHy//3w=")</f>
        <v>#VALUE!</v>
      </c>
      <c r="DV94" t="e">
        <f>AND(DATA!G442,"AAAAAHy//30=")</f>
        <v>#VALUE!</v>
      </c>
      <c r="DW94" t="e">
        <f>AND(DATA!H442,"AAAAAHy//34=")</f>
        <v>#VALUE!</v>
      </c>
      <c r="DX94" t="e">
        <f>AND(DATA!I442,"AAAAAHy//38=")</f>
        <v>#VALUE!</v>
      </c>
      <c r="DY94" t="e">
        <f>AND(DATA!J442,"AAAAAHy//4A=")</f>
        <v>#VALUE!</v>
      </c>
      <c r="DZ94" t="e">
        <f>AND(DATA!K442,"AAAAAHy//4E=")</f>
        <v>#VALUE!</v>
      </c>
      <c r="EA94" t="b">
        <f>AND(DATA!L443,"AAAAAHy//4I=")</f>
        <v>1</v>
      </c>
      <c r="EB94" t="b">
        <f>AND(DATA!M443,"AAAAAHy//4M=")</f>
        <v>1</v>
      </c>
      <c r="EC94" t="b">
        <f>AND(DATA!N443,"AAAAAHy//4Q=")</f>
        <v>1</v>
      </c>
      <c r="ED94" t="b">
        <f>AND(DATA!O443,"AAAAAHy//4U=")</f>
        <v>1</v>
      </c>
      <c r="EE94" t="b">
        <f>AND(DATA!P443,"AAAAAHy//4Y=")</f>
        <v>1</v>
      </c>
      <c r="EF94" t="b">
        <f>AND(DATA!Q443,"AAAAAHy//4c=")</f>
        <v>1</v>
      </c>
      <c r="EG94" t="b">
        <f>AND(DATA!R443,"AAAAAHy//4g=")</f>
        <v>1</v>
      </c>
      <c r="EH94" t="b">
        <f>AND(DATA!S443,"AAAAAHy//4k=")</f>
        <v>1</v>
      </c>
      <c r="EI94" t="b">
        <f>AND(DATA!T443,"AAAAAHy//4o=")</f>
        <v>1</v>
      </c>
      <c r="EJ94" t="b">
        <f>AND(DATA!U443,"AAAAAHy//4s=")</f>
        <v>1</v>
      </c>
      <c r="EK94" t="b">
        <f>AND(DATA!V443,"AAAAAHy//4w=")</f>
        <v>1</v>
      </c>
      <c r="EL94" t="e">
        <f>AND(DATA!W442,"AAAAAHy//40=")</f>
        <v>#VALUE!</v>
      </c>
      <c r="EM94" t="e">
        <f>AND(DATA!X442,"AAAAAHy//44=")</f>
        <v>#VALUE!</v>
      </c>
      <c r="EN94" t="e">
        <f>AND(DATA!Y442,"AAAAAHy//48=")</f>
        <v>#VALUE!</v>
      </c>
      <c r="EO94">
        <f>IF(DATA!443:443,"AAAAAHy//5A=",0)</f>
        <v>0</v>
      </c>
      <c r="EP94" t="e">
        <f>AND(DATA!A443,"AAAAAHy//5E=")</f>
        <v>#VALUE!</v>
      </c>
      <c r="EQ94" t="e">
        <f>AND(DATA!B443,"AAAAAHy//5I=")</f>
        <v>#VALUE!</v>
      </c>
      <c r="ER94" t="e">
        <f>AND(DATA!C443,"AAAAAHy//5M=")</f>
        <v>#VALUE!</v>
      </c>
      <c r="ES94" t="e">
        <f>AND(DATA!D443,"AAAAAHy//5Q=")</f>
        <v>#VALUE!</v>
      </c>
      <c r="ET94" t="e">
        <f>AND(DATA!E443,"AAAAAHy//5U=")</f>
        <v>#VALUE!</v>
      </c>
      <c r="EU94" t="e">
        <f>AND(DATA!F443,"AAAAAHy//5Y=")</f>
        <v>#VALUE!</v>
      </c>
      <c r="EV94" t="e">
        <f>AND(DATA!G443,"AAAAAHy//5c=")</f>
        <v>#VALUE!</v>
      </c>
      <c r="EW94" t="e">
        <f>AND(DATA!H443,"AAAAAHy//5g=")</f>
        <v>#VALUE!</v>
      </c>
      <c r="EX94" t="e">
        <f>AND(DATA!I443,"AAAAAHy//5k=")</f>
        <v>#VALUE!</v>
      </c>
      <c r="EY94" t="e">
        <f>AND(DATA!J443,"AAAAAHy//5o=")</f>
        <v>#VALUE!</v>
      </c>
      <c r="EZ94" t="e">
        <f>AND(DATA!K443,"AAAAAHy//5s=")</f>
        <v>#VALUE!</v>
      </c>
      <c r="FA94" t="b">
        <f>AND(DATA!L444,"AAAAAHy//5w=")</f>
        <v>1</v>
      </c>
      <c r="FB94" t="b">
        <f>AND(DATA!M444,"AAAAAHy//50=")</f>
        <v>1</v>
      </c>
      <c r="FC94" t="b">
        <f>AND(DATA!N444,"AAAAAHy//54=")</f>
        <v>1</v>
      </c>
      <c r="FD94" t="b">
        <f>AND(DATA!O444,"AAAAAHy//58=")</f>
        <v>1</v>
      </c>
      <c r="FE94" t="b">
        <f>AND(DATA!P444,"AAAAAHy//6A=")</f>
        <v>1</v>
      </c>
      <c r="FF94" t="b">
        <f>AND(DATA!Q444,"AAAAAHy//6E=")</f>
        <v>1</v>
      </c>
      <c r="FG94" t="b">
        <f>AND(DATA!R444,"AAAAAHy//6I=")</f>
        <v>1</v>
      </c>
      <c r="FH94" t="b">
        <f>AND(DATA!S444,"AAAAAHy//6M=")</f>
        <v>1</v>
      </c>
      <c r="FI94" t="b">
        <f>AND(DATA!T444,"AAAAAHy//6Q=")</f>
        <v>1</v>
      </c>
      <c r="FJ94" t="b">
        <f>AND(DATA!U444,"AAAAAHy//6U=")</f>
        <v>1</v>
      </c>
      <c r="FK94" t="b">
        <f>AND(DATA!V444,"AAAAAHy//6Y=")</f>
        <v>1</v>
      </c>
      <c r="FL94" t="e">
        <f>AND(DATA!W443,"AAAAAHy//6c=")</f>
        <v>#VALUE!</v>
      </c>
      <c r="FM94" t="e">
        <f>AND(DATA!X443,"AAAAAHy//6g=")</f>
        <v>#VALUE!</v>
      </c>
      <c r="FN94" t="e">
        <f>AND(DATA!Y443,"AAAAAHy//6k=")</f>
        <v>#VALUE!</v>
      </c>
      <c r="FO94">
        <f>IF(DATA!444:444,"AAAAAHy//6o=",0)</f>
        <v>0</v>
      </c>
      <c r="FP94" t="e">
        <f>AND(DATA!A444,"AAAAAHy//6s=")</f>
        <v>#VALUE!</v>
      </c>
      <c r="FQ94" t="e">
        <f>AND(DATA!B444,"AAAAAHy//6w=")</f>
        <v>#VALUE!</v>
      </c>
      <c r="FR94" t="e">
        <f>AND(DATA!C444,"AAAAAHy//60=")</f>
        <v>#VALUE!</v>
      </c>
      <c r="FS94" t="e">
        <f>AND(DATA!D444,"AAAAAHy//64=")</f>
        <v>#VALUE!</v>
      </c>
      <c r="FT94" t="e">
        <f>AND(DATA!E444,"AAAAAHy//68=")</f>
        <v>#VALUE!</v>
      </c>
      <c r="FU94" t="e">
        <f>AND(DATA!F444,"AAAAAHy//7A=")</f>
        <v>#VALUE!</v>
      </c>
      <c r="FV94" t="e">
        <f>AND(DATA!G444,"AAAAAHy//7E=")</f>
        <v>#VALUE!</v>
      </c>
      <c r="FW94" t="e">
        <f>AND(DATA!H444,"AAAAAHy//7I=")</f>
        <v>#VALUE!</v>
      </c>
      <c r="FX94" t="e">
        <f>AND(DATA!I444,"AAAAAHy//7M=")</f>
        <v>#VALUE!</v>
      </c>
      <c r="FY94" t="e">
        <f>AND(DATA!J444,"AAAAAHy//7Q=")</f>
        <v>#VALUE!</v>
      </c>
      <c r="FZ94" t="e">
        <f>AND(DATA!K444,"AAAAAHy//7U=")</f>
        <v>#VALUE!</v>
      </c>
      <c r="GA94" t="b">
        <f>AND(DATA!L445,"AAAAAHy//7Y=")</f>
        <v>1</v>
      </c>
      <c r="GB94" t="b">
        <f>AND(DATA!M445,"AAAAAHy//7c=")</f>
        <v>1</v>
      </c>
      <c r="GC94" t="b">
        <f>AND(DATA!N445,"AAAAAHy//7g=")</f>
        <v>1</v>
      </c>
      <c r="GD94" t="b">
        <f>AND(DATA!O445,"AAAAAHy//7k=")</f>
        <v>1</v>
      </c>
      <c r="GE94" t="b">
        <f>AND(DATA!P445,"AAAAAHy//7o=")</f>
        <v>1</v>
      </c>
      <c r="GF94" t="b">
        <f>AND(DATA!Q445,"AAAAAHy//7s=")</f>
        <v>1</v>
      </c>
      <c r="GG94" t="b">
        <f>AND(DATA!R445,"AAAAAHy//7w=")</f>
        <v>1</v>
      </c>
      <c r="GH94" t="b">
        <f>AND(DATA!S445,"AAAAAHy//70=")</f>
        <v>1</v>
      </c>
      <c r="GI94" t="b">
        <f>AND(DATA!T445,"AAAAAHy//74=")</f>
        <v>1</v>
      </c>
      <c r="GJ94" t="b">
        <f>AND(DATA!U445,"AAAAAHy//78=")</f>
        <v>1</v>
      </c>
      <c r="GK94" t="b">
        <f>AND(DATA!V445,"AAAAAHy//8A=")</f>
        <v>1</v>
      </c>
      <c r="GL94" t="e">
        <f>AND(DATA!W444,"AAAAAHy//8E=")</f>
        <v>#VALUE!</v>
      </c>
      <c r="GM94" t="e">
        <f>AND(DATA!X444,"AAAAAHy//8I=")</f>
        <v>#VALUE!</v>
      </c>
      <c r="GN94" t="e">
        <f>AND(DATA!Y444,"AAAAAHy//8M=")</f>
        <v>#VALUE!</v>
      </c>
      <c r="GO94">
        <f>IF(DATA!445:445,"AAAAAHy//8Q=",0)</f>
        <v>0</v>
      </c>
      <c r="GP94" t="e">
        <f>AND(DATA!A445,"AAAAAHy//8U=")</f>
        <v>#VALUE!</v>
      </c>
      <c r="GQ94" t="e">
        <f>AND(DATA!B445,"AAAAAHy//8Y=")</f>
        <v>#VALUE!</v>
      </c>
      <c r="GR94" t="e">
        <f>AND(DATA!C445,"AAAAAHy//8c=")</f>
        <v>#VALUE!</v>
      </c>
      <c r="GS94" t="e">
        <f>AND(DATA!D445,"AAAAAHy//8g=")</f>
        <v>#VALUE!</v>
      </c>
      <c r="GT94" t="e">
        <f>AND(DATA!E445,"AAAAAHy//8k=")</f>
        <v>#VALUE!</v>
      </c>
      <c r="GU94" t="e">
        <f>AND(DATA!F445,"AAAAAHy//8o=")</f>
        <v>#VALUE!</v>
      </c>
      <c r="GV94" t="e">
        <f>AND(DATA!G445,"AAAAAHy//8s=")</f>
        <v>#VALUE!</v>
      </c>
      <c r="GW94" t="e">
        <f>AND(DATA!H445,"AAAAAHy//8w=")</f>
        <v>#VALUE!</v>
      </c>
      <c r="GX94" t="e">
        <f>AND(DATA!I445,"AAAAAHy//80=")</f>
        <v>#VALUE!</v>
      </c>
      <c r="GY94" t="e">
        <f>AND(DATA!J445,"AAAAAHy//84=")</f>
        <v>#VALUE!</v>
      </c>
      <c r="GZ94" t="e">
        <f>AND(DATA!K445,"AAAAAHy//88=")</f>
        <v>#VALUE!</v>
      </c>
      <c r="HA94" t="b">
        <f>AND(DATA!L446,"AAAAAHy//9A=")</f>
        <v>1</v>
      </c>
      <c r="HB94" t="b">
        <f>AND(DATA!M446,"AAAAAHy//9E=")</f>
        <v>1</v>
      </c>
      <c r="HC94" t="b">
        <f>AND(DATA!N446,"AAAAAHy//9I=")</f>
        <v>1</v>
      </c>
      <c r="HD94" t="b">
        <f>AND(DATA!O446,"AAAAAHy//9M=")</f>
        <v>1</v>
      </c>
      <c r="HE94" t="b">
        <f>AND(DATA!P446,"AAAAAHy//9Q=")</f>
        <v>1</v>
      </c>
      <c r="HF94" t="b">
        <f>AND(DATA!Q446,"AAAAAHy//9U=")</f>
        <v>1</v>
      </c>
      <c r="HG94" t="b">
        <f>AND(DATA!R446,"AAAAAHy//9Y=")</f>
        <v>1</v>
      </c>
      <c r="HH94" t="b">
        <f>AND(DATA!S446,"AAAAAHy//9c=")</f>
        <v>1</v>
      </c>
      <c r="HI94" t="b">
        <f>AND(DATA!T446,"AAAAAHy//9g=")</f>
        <v>1</v>
      </c>
      <c r="HJ94" t="b">
        <f>AND(DATA!U446,"AAAAAHy//9k=")</f>
        <v>1</v>
      </c>
      <c r="HK94" t="b">
        <f>AND(DATA!V446,"AAAAAHy//9o=")</f>
        <v>1</v>
      </c>
      <c r="HL94" t="e">
        <f>AND(DATA!W445,"AAAAAHy//9s=")</f>
        <v>#VALUE!</v>
      </c>
      <c r="HM94" t="e">
        <f>AND(DATA!X445,"AAAAAHy//9w=")</f>
        <v>#VALUE!</v>
      </c>
      <c r="HN94" t="e">
        <f>AND(DATA!Y445,"AAAAAHy//90=")</f>
        <v>#VALUE!</v>
      </c>
      <c r="HO94">
        <f>IF(DATA!446:446,"AAAAAHy//94=",0)</f>
        <v>0</v>
      </c>
      <c r="HP94" t="e">
        <f>AND(DATA!A446,"AAAAAHy//98=")</f>
        <v>#VALUE!</v>
      </c>
      <c r="HQ94" t="e">
        <f>AND(DATA!B446,"AAAAAHy//+A=")</f>
        <v>#VALUE!</v>
      </c>
      <c r="HR94" t="e">
        <f>AND(DATA!C446,"AAAAAHy//+E=")</f>
        <v>#VALUE!</v>
      </c>
      <c r="HS94" t="e">
        <f>AND(DATA!D446,"AAAAAHy//+I=")</f>
        <v>#VALUE!</v>
      </c>
      <c r="HT94" t="e">
        <f>AND(DATA!E446,"AAAAAHy//+M=")</f>
        <v>#VALUE!</v>
      </c>
      <c r="HU94" t="e">
        <f>AND(DATA!F446,"AAAAAHy//+Q=")</f>
        <v>#VALUE!</v>
      </c>
      <c r="HV94" t="e">
        <f>AND(DATA!G446,"AAAAAHy//+U=")</f>
        <v>#VALUE!</v>
      </c>
      <c r="HW94" t="e">
        <f>AND(DATA!H446,"AAAAAHy//+Y=")</f>
        <v>#VALUE!</v>
      </c>
      <c r="HX94" t="e">
        <f>AND(DATA!I446,"AAAAAHy//+c=")</f>
        <v>#VALUE!</v>
      </c>
      <c r="HY94" t="e">
        <f>AND(DATA!J446,"AAAAAHy//+g=")</f>
        <v>#VALUE!</v>
      </c>
      <c r="HZ94" t="e">
        <f>AND(DATA!K446,"AAAAAHy//+k=")</f>
        <v>#VALUE!</v>
      </c>
      <c r="IA94" t="b">
        <f>AND(DATA!L447,"AAAAAHy//+o=")</f>
        <v>1</v>
      </c>
      <c r="IB94" t="b">
        <f>AND(DATA!M447,"AAAAAHy//+s=")</f>
        <v>1</v>
      </c>
      <c r="IC94" t="b">
        <f>AND(DATA!N447,"AAAAAHy//+w=")</f>
        <v>1</v>
      </c>
      <c r="ID94" t="b">
        <f>AND(DATA!O447,"AAAAAHy//+0=")</f>
        <v>1</v>
      </c>
      <c r="IE94" t="b">
        <f>AND(DATA!P447,"AAAAAHy//+4=")</f>
        <v>1</v>
      </c>
      <c r="IF94" t="b">
        <f>AND(DATA!Q447,"AAAAAHy//+8=")</f>
        <v>1</v>
      </c>
      <c r="IG94" t="b">
        <f>AND(DATA!R447,"AAAAAHy///A=")</f>
        <v>1</v>
      </c>
      <c r="IH94" t="b">
        <f>AND(DATA!S447,"AAAAAHy///E=")</f>
        <v>1</v>
      </c>
      <c r="II94" t="b">
        <f>AND(DATA!T447,"AAAAAHy///I=")</f>
        <v>1</v>
      </c>
      <c r="IJ94" t="b">
        <f>AND(DATA!U447,"AAAAAHy///M=")</f>
        <v>1</v>
      </c>
      <c r="IK94" t="b">
        <f>AND(DATA!V447,"AAAAAHy///Q=")</f>
        <v>1</v>
      </c>
      <c r="IL94" t="e">
        <f>AND(DATA!W446,"AAAAAHy///U=")</f>
        <v>#VALUE!</v>
      </c>
      <c r="IM94" t="e">
        <f>AND(DATA!X446,"AAAAAHy///Y=")</f>
        <v>#VALUE!</v>
      </c>
      <c r="IN94" t="e">
        <f>AND(DATA!Y446,"AAAAAHy///c=")</f>
        <v>#VALUE!</v>
      </c>
      <c r="IO94">
        <f>IF(DATA!447:447,"AAAAAHy///g=",0)</f>
        <v>0</v>
      </c>
      <c r="IP94" t="e">
        <f>AND(DATA!A447,"AAAAAHy///k=")</f>
        <v>#VALUE!</v>
      </c>
      <c r="IQ94" t="e">
        <f>AND(DATA!B447,"AAAAAHy///o=")</f>
        <v>#VALUE!</v>
      </c>
      <c r="IR94" t="e">
        <f>AND(DATA!C447,"AAAAAHy///s=")</f>
        <v>#VALUE!</v>
      </c>
      <c r="IS94" t="e">
        <f>AND(DATA!D447,"AAAAAHy///w=")</f>
        <v>#VALUE!</v>
      </c>
      <c r="IT94" t="e">
        <f>AND(DATA!E447,"AAAAAHy///0=")</f>
        <v>#VALUE!</v>
      </c>
      <c r="IU94" t="e">
        <f>AND(DATA!F447,"AAAAAHy///4=")</f>
        <v>#VALUE!</v>
      </c>
      <c r="IV94" t="e">
        <f>AND(DATA!G447,"AAAAAHy///8=")</f>
        <v>#VALUE!</v>
      </c>
    </row>
    <row r="95" spans="1:256" x14ac:dyDescent="0.25">
      <c r="A95" t="e">
        <f>AND(DATA!H447,"AAAAADJi+QA=")</f>
        <v>#VALUE!</v>
      </c>
      <c r="B95" t="e">
        <f>AND(DATA!I447,"AAAAADJi+QE=")</f>
        <v>#VALUE!</v>
      </c>
      <c r="C95" t="e">
        <f>AND(DATA!J447,"AAAAADJi+QI=")</f>
        <v>#VALUE!</v>
      </c>
      <c r="D95" t="e">
        <f>AND(DATA!K447,"AAAAADJi+QM=")</f>
        <v>#VALUE!</v>
      </c>
      <c r="E95" t="b">
        <f>AND(DATA!L448,"AAAAADJi+QQ=")</f>
        <v>1</v>
      </c>
      <c r="F95" t="b">
        <f>AND(DATA!M448,"AAAAADJi+QU=")</f>
        <v>1</v>
      </c>
      <c r="G95" t="b">
        <f>AND(DATA!N448,"AAAAADJi+QY=")</f>
        <v>1</v>
      </c>
      <c r="H95" t="b">
        <f>AND(DATA!O448,"AAAAADJi+Qc=")</f>
        <v>1</v>
      </c>
      <c r="I95" t="b">
        <f>AND(DATA!P448,"AAAAADJi+Qg=")</f>
        <v>1</v>
      </c>
      <c r="J95" t="b">
        <f>AND(DATA!Q448,"AAAAADJi+Qk=")</f>
        <v>1</v>
      </c>
      <c r="K95" t="b">
        <f>AND(DATA!R448,"AAAAADJi+Qo=")</f>
        <v>1</v>
      </c>
      <c r="L95" t="b">
        <f>AND(DATA!S448,"AAAAADJi+Qs=")</f>
        <v>1</v>
      </c>
      <c r="M95" t="b">
        <f>AND(DATA!T448,"AAAAADJi+Qw=")</f>
        <v>1</v>
      </c>
      <c r="N95" t="b">
        <f>AND(DATA!U448,"AAAAADJi+Q0=")</f>
        <v>1</v>
      </c>
      <c r="O95" t="b">
        <f>AND(DATA!V448,"AAAAADJi+Q4=")</f>
        <v>1</v>
      </c>
      <c r="P95" t="e">
        <f>AND(DATA!W447,"AAAAADJi+Q8=")</f>
        <v>#VALUE!</v>
      </c>
      <c r="Q95" t="e">
        <f>AND(DATA!X447,"AAAAADJi+RA=")</f>
        <v>#VALUE!</v>
      </c>
      <c r="R95" t="e">
        <f>AND(DATA!Y447,"AAAAADJi+RE=")</f>
        <v>#VALUE!</v>
      </c>
      <c r="S95" t="str">
        <f>IF(DATA!448:448,"AAAAADJi+RI=",0)</f>
        <v>AAAAADJi+RI=</v>
      </c>
      <c r="T95" t="e">
        <f>AND(DATA!A448,"AAAAADJi+RM=")</f>
        <v>#VALUE!</v>
      </c>
      <c r="U95" t="e">
        <f>AND(DATA!B448,"AAAAADJi+RQ=")</f>
        <v>#VALUE!</v>
      </c>
      <c r="V95" t="e">
        <f>AND(DATA!C448,"AAAAADJi+RU=")</f>
        <v>#VALUE!</v>
      </c>
      <c r="W95" t="e">
        <f>AND(DATA!D448,"AAAAADJi+RY=")</f>
        <v>#VALUE!</v>
      </c>
      <c r="X95" t="e">
        <f>AND(DATA!E448,"AAAAADJi+Rc=")</f>
        <v>#VALUE!</v>
      </c>
      <c r="Y95" t="e">
        <f>AND(DATA!F448,"AAAAADJi+Rg=")</f>
        <v>#VALUE!</v>
      </c>
      <c r="Z95" t="e">
        <f>AND(DATA!G448,"AAAAADJi+Rk=")</f>
        <v>#VALUE!</v>
      </c>
      <c r="AA95" t="e">
        <f>AND(DATA!H448,"AAAAADJi+Ro=")</f>
        <v>#VALUE!</v>
      </c>
      <c r="AB95" t="e">
        <f>AND(DATA!I448,"AAAAADJi+Rs=")</f>
        <v>#VALUE!</v>
      </c>
      <c r="AC95" t="e">
        <f>AND(DATA!J448,"AAAAADJi+Rw=")</f>
        <v>#VALUE!</v>
      </c>
      <c r="AD95" t="e">
        <f>AND(DATA!K448,"AAAAADJi+R0=")</f>
        <v>#VALUE!</v>
      </c>
      <c r="AE95" t="b">
        <f>AND(DATA!L449,"AAAAADJi+R4=")</f>
        <v>1</v>
      </c>
      <c r="AF95" t="b">
        <f>AND(DATA!M449,"AAAAADJi+R8=")</f>
        <v>1</v>
      </c>
      <c r="AG95" t="b">
        <f>AND(DATA!N449,"AAAAADJi+SA=")</f>
        <v>1</v>
      </c>
      <c r="AH95" t="b">
        <f>AND(DATA!O449,"AAAAADJi+SE=")</f>
        <v>1</v>
      </c>
      <c r="AI95" t="b">
        <f>AND(DATA!P449,"AAAAADJi+SI=")</f>
        <v>1</v>
      </c>
      <c r="AJ95" t="b">
        <f>AND(DATA!Q449,"AAAAADJi+SM=")</f>
        <v>1</v>
      </c>
      <c r="AK95" t="b">
        <f>AND(DATA!R449,"AAAAADJi+SQ=")</f>
        <v>1</v>
      </c>
      <c r="AL95" t="b">
        <f>AND(DATA!S449,"AAAAADJi+SU=")</f>
        <v>1</v>
      </c>
      <c r="AM95" t="b">
        <f>AND(DATA!T449,"AAAAADJi+SY=")</f>
        <v>1</v>
      </c>
      <c r="AN95" t="b">
        <f>AND(DATA!U449,"AAAAADJi+Sc=")</f>
        <v>1</v>
      </c>
      <c r="AO95" t="b">
        <f>AND(DATA!V449,"AAAAADJi+Sg=")</f>
        <v>1</v>
      </c>
      <c r="AP95" t="e">
        <f>AND(DATA!W448,"AAAAADJi+Sk=")</f>
        <v>#VALUE!</v>
      </c>
      <c r="AQ95" t="e">
        <f>AND(DATA!X448,"AAAAADJi+So=")</f>
        <v>#VALUE!</v>
      </c>
      <c r="AR95" t="e">
        <f>AND(DATA!Y448,"AAAAADJi+Ss=")</f>
        <v>#VALUE!</v>
      </c>
      <c r="AS95">
        <f>IF(DATA!449:449,"AAAAADJi+Sw=",0)</f>
        <v>0</v>
      </c>
      <c r="AT95" t="e">
        <f>AND(DATA!A449,"AAAAADJi+S0=")</f>
        <v>#VALUE!</v>
      </c>
      <c r="AU95" t="e">
        <f>AND(DATA!B449,"AAAAADJi+S4=")</f>
        <v>#VALUE!</v>
      </c>
      <c r="AV95" t="e">
        <f>AND(DATA!C449,"AAAAADJi+S8=")</f>
        <v>#VALUE!</v>
      </c>
      <c r="AW95" t="e">
        <f>AND(DATA!D449,"AAAAADJi+TA=")</f>
        <v>#VALUE!</v>
      </c>
      <c r="AX95" t="e">
        <f>AND(DATA!E449,"AAAAADJi+TE=")</f>
        <v>#VALUE!</v>
      </c>
      <c r="AY95" t="e">
        <f>AND(DATA!F449,"AAAAADJi+TI=")</f>
        <v>#VALUE!</v>
      </c>
      <c r="AZ95" t="e">
        <f>AND(DATA!G449,"AAAAADJi+TM=")</f>
        <v>#VALUE!</v>
      </c>
      <c r="BA95" t="e">
        <f>AND(DATA!H449,"AAAAADJi+TQ=")</f>
        <v>#VALUE!</v>
      </c>
      <c r="BB95" t="e">
        <f>AND(DATA!I449,"AAAAADJi+TU=")</f>
        <v>#VALUE!</v>
      </c>
      <c r="BC95" t="e">
        <f>AND(DATA!J449,"AAAAADJi+TY=")</f>
        <v>#VALUE!</v>
      </c>
      <c r="BD95" t="e">
        <f>AND(DATA!K449,"AAAAADJi+Tc=")</f>
        <v>#VALUE!</v>
      </c>
      <c r="BE95" t="b">
        <f>AND(DATA!L450,"AAAAADJi+Tg=")</f>
        <v>1</v>
      </c>
      <c r="BF95" t="b">
        <f>AND(DATA!M450,"AAAAADJi+Tk=")</f>
        <v>1</v>
      </c>
      <c r="BG95" t="b">
        <f>AND(DATA!N450,"AAAAADJi+To=")</f>
        <v>1</v>
      </c>
      <c r="BH95" t="b">
        <f>AND(DATA!O450,"AAAAADJi+Ts=")</f>
        <v>1</v>
      </c>
      <c r="BI95" t="b">
        <f>AND(DATA!P450,"AAAAADJi+Tw=")</f>
        <v>1</v>
      </c>
      <c r="BJ95" t="b">
        <f>AND(DATA!Q450,"AAAAADJi+T0=")</f>
        <v>1</v>
      </c>
      <c r="BK95" t="b">
        <f>AND(DATA!R450,"AAAAADJi+T4=")</f>
        <v>1</v>
      </c>
      <c r="BL95" t="b">
        <f>AND(DATA!S450,"AAAAADJi+T8=")</f>
        <v>1</v>
      </c>
      <c r="BM95" t="b">
        <f>AND(DATA!T450,"AAAAADJi+UA=")</f>
        <v>1</v>
      </c>
      <c r="BN95" t="b">
        <f>AND(DATA!U450,"AAAAADJi+UE=")</f>
        <v>1</v>
      </c>
      <c r="BO95" t="b">
        <f>AND(DATA!V450,"AAAAADJi+UI=")</f>
        <v>1</v>
      </c>
      <c r="BP95" t="e">
        <f>AND(DATA!W449,"AAAAADJi+UM=")</f>
        <v>#VALUE!</v>
      </c>
      <c r="BQ95" t="e">
        <f>AND(DATA!X449,"AAAAADJi+UQ=")</f>
        <v>#VALUE!</v>
      </c>
      <c r="BR95" t="e">
        <f>AND(DATA!Y449,"AAAAADJi+UU=")</f>
        <v>#VALUE!</v>
      </c>
      <c r="BS95">
        <f>IF(DATA!450:450,"AAAAADJi+UY=",0)</f>
        <v>0</v>
      </c>
      <c r="BT95" t="e">
        <f>AND(DATA!A450,"AAAAADJi+Uc=")</f>
        <v>#VALUE!</v>
      </c>
      <c r="BU95" t="e">
        <f>AND(DATA!B450,"AAAAADJi+Ug=")</f>
        <v>#VALUE!</v>
      </c>
      <c r="BV95" t="e">
        <f>AND(DATA!C450,"AAAAADJi+Uk=")</f>
        <v>#VALUE!</v>
      </c>
      <c r="BW95" t="e">
        <f>AND(DATA!D450,"AAAAADJi+Uo=")</f>
        <v>#VALUE!</v>
      </c>
      <c r="BX95" t="e">
        <f>AND(DATA!E450,"AAAAADJi+Us=")</f>
        <v>#VALUE!</v>
      </c>
      <c r="BY95" t="e">
        <f>AND(DATA!F450,"AAAAADJi+Uw=")</f>
        <v>#VALUE!</v>
      </c>
      <c r="BZ95" t="e">
        <f>AND(DATA!G450,"AAAAADJi+U0=")</f>
        <v>#VALUE!</v>
      </c>
      <c r="CA95" t="e">
        <f>AND(DATA!H450,"AAAAADJi+U4=")</f>
        <v>#VALUE!</v>
      </c>
      <c r="CB95" t="e">
        <f>AND(DATA!I450,"AAAAADJi+U8=")</f>
        <v>#VALUE!</v>
      </c>
      <c r="CC95" t="e">
        <f>AND(DATA!J450,"AAAAADJi+VA=")</f>
        <v>#VALUE!</v>
      </c>
      <c r="CD95" t="e">
        <f>AND(DATA!K450,"AAAAADJi+VE=")</f>
        <v>#VALUE!</v>
      </c>
      <c r="CE95" t="b">
        <f>AND(DATA!L451,"AAAAADJi+VI=")</f>
        <v>1</v>
      </c>
      <c r="CF95" t="b">
        <f>AND(DATA!M451,"AAAAADJi+VM=")</f>
        <v>1</v>
      </c>
      <c r="CG95" t="b">
        <f>AND(DATA!N451,"AAAAADJi+VQ=")</f>
        <v>1</v>
      </c>
      <c r="CH95" t="b">
        <f>AND(DATA!O451,"AAAAADJi+VU=")</f>
        <v>1</v>
      </c>
      <c r="CI95" t="b">
        <f>AND(DATA!P451,"AAAAADJi+VY=")</f>
        <v>1</v>
      </c>
      <c r="CJ95" t="b">
        <f>AND(DATA!Q451,"AAAAADJi+Vc=")</f>
        <v>1</v>
      </c>
      <c r="CK95" t="b">
        <f>AND(DATA!R451,"AAAAADJi+Vg=")</f>
        <v>1</v>
      </c>
      <c r="CL95" t="b">
        <f>AND(DATA!S451,"AAAAADJi+Vk=")</f>
        <v>1</v>
      </c>
      <c r="CM95" t="b">
        <f>AND(DATA!T451,"AAAAADJi+Vo=")</f>
        <v>1</v>
      </c>
      <c r="CN95" t="b">
        <f>AND(DATA!U451,"AAAAADJi+Vs=")</f>
        <v>1</v>
      </c>
      <c r="CO95" t="b">
        <f>AND(DATA!V451,"AAAAADJi+Vw=")</f>
        <v>1</v>
      </c>
      <c r="CP95" t="e">
        <f>AND(DATA!W450,"AAAAADJi+V0=")</f>
        <v>#VALUE!</v>
      </c>
      <c r="CQ95" t="e">
        <f>AND(DATA!X450,"AAAAADJi+V4=")</f>
        <v>#VALUE!</v>
      </c>
      <c r="CR95" t="e">
        <f>AND(DATA!Y450,"AAAAADJi+V8=")</f>
        <v>#VALUE!</v>
      </c>
      <c r="CS95">
        <f>IF(DATA!451:451,"AAAAADJi+WA=",0)</f>
        <v>0</v>
      </c>
      <c r="CT95" t="e">
        <f>AND(DATA!A451,"AAAAADJi+WE=")</f>
        <v>#VALUE!</v>
      </c>
      <c r="CU95" t="e">
        <f>AND(DATA!B451,"AAAAADJi+WI=")</f>
        <v>#VALUE!</v>
      </c>
      <c r="CV95" t="e">
        <f>AND(DATA!C451,"AAAAADJi+WM=")</f>
        <v>#VALUE!</v>
      </c>
      <c r="CW95" t="e">
        <f>AND(DATA!D451,"AAAAADJi+WQ=")</f>
        <v>#VALUE!</v>
      </c>
      <c r="CX95" t="e">
        <f>AND(DATA!E451,"AAAAADJi+WU=")</f>
        <v>#VALUE!</v>
      </c>
      <c r="CY95" t="e">
        <f>AND(DATA!F451,"AAAAADJi+WY=")</f>
        <v>#VALUE!</v>
      </c>
      <c r="CZ95" t="e">
        <f>AND(DATA!G451,"AAAAADJi+Wc=")</f>
        <v>#VALUE!</v>
      </c>
      <c r="DA95" t="e">
        <f>AND(DATA!H451,"AAAAADJi+Wg=")</f>
        <v>#VALUE!</v>
      </c>
      <c r="DB95" t="e">
        <f>AND(DATA!I451,"AAAAADJi+Wk=")</f>
        <v>#VALUE!</v>
      </c>
      <c r="DC95" t="e">
        <f>AND(DATA!J451,"AAAAADJi+Wo=")</f>
        <v>#VALUE!</v>
      </c>
      <c r="DD95" t="e">
        <f>AND(DATA!K451,"AAAAADJi+Ws=")</f>
        <v>#VALUE!</v>
      </c>
      <c r="DE95" t="b">
        <f>AND(DATA!L452,"AAAAADJi+Ww=")</f>
        <v>1</v>
      </c>
      <c r="DF95" t="b">
        <f>AND(DATA!M452,"AAAAADJi+W0=")</f>
        <v>1</v>
      </c>
      <c r="DG95" t="b">
        <f>AND(DATA!N452,"AAAAADJi+W4=")</f>
        <v>1</v>
      </c>
      <c r="DH95" t="b">
        <f>AND(DATA!O452,"AAAAADJi+W8=")</f>
        <v>1</v>
      </c>
      <c r="DI95" t="b">
        <f>AND(DATA!P452,"AAAAADJi+XA=")</f>
        <v>1</v>
      </c>
      <c r="DJ95" t="b">
        <f>AND(DATA!Q452,"AAAAADJi+XE=")</f>
        <v>1</v>
      </c>
      <c r="DK95" t="b">
        <f>AND(DATA!R452,"AAAAADJi+XI=")</f>
        <v>1</v>
      </c>
      <c r="DL95" t="b">
        <f>AND(DATA!S452,"AAAAADJi+XM=")</f>
        <v>1</v>
      </c>
      <c r="DM95" t="b">
        <f>AND(DATA!T452,"AAAAADJi+XQ=")</f>
        <v>1</v>
      </c>
      <c r="DN95" t="b">
        <f>AND(DATA!U452,"AAAAADJi+XU=")</f>
        <v>1</v>
      </c>
      <c r="DO95" t="b">
        <f>AND(DATA!V452,"AAAAADJi+XY=")</f>
        <v>1</v>
      </c>
      <c r="DP95" t="e">
        <f>AND(DATA!W451,"AAAAADJi+Xc=")</f>
        <v>#VALUE!</v>
      </c>
      <c r="DQ95" t="e">
        <f>AND(DATA!X451,"AAAAADJi+Xg=")</f>
        <v>#VALUE!</v>
      </c>
      <c r="DR95" t="e">
        <f>AND(DATA!Y451,"AAAAADJi+Xk=")</f>
        <v>#VALUE!</v>
      </c>
      <c r="DS95">
        <f>IF(DATA!452:452,"AAAAADJi+Xo=",0)</f>
        <v>0</v>
      </c>
      <c r="DT95" t="e">
        <f>AND(DATA!A452,"AAAAADJi+Xs=")</f>
        <v>#VALUE!</v>
      </c>
      <c r="DU95" t="e">
        <f>AND(DATA!B452,"AAAAADJi+Xw=")</f>
        <v>#VALUE!</v>
      </c>
      <c r="DV95" t="e">
        <f>AND(DATA!C452,"AAAAADJi+X0=")</f>
        <v>#VALUE!</v>
      </c>
      <c r="DW95" t="e">
        <f>AND(DATA!D452,"AAAAADJi+X4=")</f>
        <v>#VALUE!</v>
      </c>
      <c r="DX95" t="e">
        <f>AND(DATA!E452,"AAAAADJi+X8=")</f>
        <v>#VALUE!</v>
      </c>
      <c r="DY95" t="e">
        <f>AND(DATA!F452,"AAAAADJi+YA=")</f>
        <v>#VALUE!</v>
      </c>
      <c r="DZ95" t="e">
        <f>AND(DATA!G452,"AAAAADJi+YE=")</f>
        <v>#VALUE!</v>
      </c>
      <c r="EA95" t="e">
        <f>AND(DATA!H452,"AAAAADJi+YI=")</f>
        <v>#VALUE!</v>
      </c>
      <c r="EB95" t="e">
        <f>AND(DATA!I452,"AAAAADJi+YM=")</f>
        <v>#VALUE!</v>
      </c>
      <c r="EC95" t="e">
        <f>AND(DATA!J452,"AAAAADJi+YQ=")</f>
        <v>#VALUE!</v>
      </c>
      <c r="ED95" t="e">
        <f>AND(DATA!K452,"AAAAADJi+YU=")</f>
        <v>#VALUE!</v>
      </c>
      <c r="EE95" t="b">
        <f>AND(DATA!L453,"AAAAADJi+YY=")</f>
        <v>1</v>
      </c>
      <c r="EF95" t="b">
        <f>AND(DATA!M453,"AAAAADJi+Yc=")</f>
        <v>1</v>
      </c>
      <c r="EG95" t="b">
        <f>AND(DATA!N453,"AAAAADJi+Yg=")</f>
        <v>1</v>
      </c>
      <c r="EH95" t="b">
        <f>AND(DATA!O453,"AAAAADJi+Yk=")</f>
        <v>1</v>
      </c>
      <c r="EI95" t="b">
        <f>AND(DATA!P453,"AAAAADJi+Yo=")</f>
        <v>1</v>
      </c>
      <c r="EJ95" t="b">
        <f>AND(DATA!Q453,"AAAAADJi+Ys=")</f>
        <v>1</v>
      </c>
      <c r="EK95" t="b">
        <f>AND(DATA!R453,"AAAAADJi+Yw=")</f>
        <v>1</v>
      </c>
      <c r="EL95" t="b">
        <f>AND(DATA!S453,"AAAAADJi+Y0=")</f>
        <v>1</v>
      </c>
      <c r="EM95" t="b">
        <f>AND(DATA!T453,"AAAAADJi+Y4=")</f>
        <v>1</v>
      </c>
      <c r="EN95" t="b">
        <f>AND(DATA!U453,"AAAAADJi+Y8=")</f>
        <v>1</v>
      </c>
      <c r="EO95" t="b">
        <f>AND(DATA!V453,"AAAAADJi+ZA=")</f>
        <v>1</v>
      </c>
      <c r="EP95" t="e">
        <f>AND(DATA!W452,"AAAAADJi+ZE=")</f>
        <v>#VALUE!</v>
      </c>
      <c r="EQ95" t="e">
        <f>AND(DATA!X452,"AAAAADJi+ZI=")</f>
        <v>#VALUE!</v>
      </c>
      <c r="ER95" t="e">
        <f>AND(DATA!Y452,"AAAAADJi+ZM=")</f>
        <v>#VALUE!</v>
      </c>
      <c r="ES95">
        <f>IF(DATA!453:453,"AAAAADJi+ZQ=",0)</f>
        <v>0</v>
      </c>
      <c r="ET95" t="e">
        <f>AND(DATA!A453,"AAAAADJi+ZU=")</f>
        <v>#VALUE!</v>
      </c>
      <c r="EU95" t="e">
        <f>AND(DATA!B453,"AAAAADJi+ZY=")</f>
        <v>#VALUE!</v>
      </c>
      <c r="EV95" t="e">
        <f>AND(DATA!C453,"AAAAADJi+Zc=")</f>
        <v>#VALUE!</v>
      </c>
      <c r="EW95" t="e">
        <f>AND(DATA!D453,"AAAAADJi+Zg=")</f>
        <v>#VALUE!</v>
      </c>
      <c r="EX95" t="e">
        <f>AND(DATA!E453,"AAAAADJi+Zk=")</f>
        <v>#VALUE!</v>
      </c>
      <c r="EY95" t="e">
        <f>AND(DATA!F453,"AAAAADJi+Zo=")</f>
        <v>#VALUE!</v>
      </c>
      <c r="EZ95" t="e">
        <f>AND(DATA!G453,"AAAAADJi+Zs=")</f>
        <v>#VALUE!</v>
      </c>
      <c r="FA95" t="e">
        <f>AND(DATA!H453,"AAAAADJi+Zw=")</f>
        <v>#VALUE!</v>
      </c>
      <c r="FB95" t="e">
        <f>AND(DATA!I453,"AAAAADJi+Z0=")</f>
        <v>#VALUE!</v>
      </c>
      <c r="FC95" t="e">
        <f>AND(DATA!J453,"AAAAADJi+Z4=")</f>
        <v>#VALUE!</v>
      </c>
      <c r="FD95" t="e">
        <f>AND(DATA!K453,"AAAAADJi+Z8=")</f>
        <v>#VALUE!</v>
      </c>
      <c r="FE95" t="b">
        <f>AND(DATA!L454,"AAAAADJi+aA=")</f>
        <v>1</v>
      </c>
      <c r="FF95" t="b">
        <f>AND(DATA!M454,"AAAAADJi+aE=")</f>
        <v>1</v>
      </c>
      <c r="FG95" t="b">
        <f>AND(DATA!N454,"AAAAADJi+aI=")</f>
        <v>1</v>
      </c>
      <c r="FH95" t="b">
        <f>AND(DATA!O454,"AAAAADJi+aM=")</f>
        <v>1</v>
      </c>
      <c r="FI95" t="b">
        <f>AND(DATA!P454,"AAAAADJi+aQ=")</f>
        <v>1</v>
      </c>
      <c r="FJ95" t="b">
        <f>AND(DATA!Q454,"AAAAADJi+aU=")</f>
        <v>1</v>
      </c>
      <c r="FK95" t="b">
        <f>AND(DATA!R454,"AAAAADJi+aY=")</f>
        <v>1</v>
      </c>
      <c r="FL95" t="b">
        <f>AND(DATA!S454,"AAAAADJi+ac=")</f>
        <v>1</v>
      </c>
      <c r="FM95" t="b">
        <f>AND(DATA!T454,"AAAAADJi+ag=")</f>
        <v>1</v>
      </c>
      <c r="FN95" t="b">
        <f>AND(DATA!U454,"AAAAADJi+ak=")</f>
        <v>1</v>
      </c>
      <c r="FO95" t="b">
        <f>AND(DATA!V454,"AAAAADJi+ao=")</f>
        <v>1</v>
      </c>
      <c r="FP95" t="e">
        <f>AND(DATA!W453,"AAAAADJi+as=")</f>
        <v>#VALUE!</v>
      </c>
      <c r="FQ95" t="e">
        <f>AND(DATA!X453,"AAAAADJi+aw=")</f>
        <v>#VALUE!</v>
      </c>
      <c r="FR95" t="e">
        <f>AND(DATA!Y453,"AAAAADJi+a0=")</f>
        <v>#VALUE!</v>
      </c>
      <c r="FS95">
        <f>IF(DATA!454:454,"AAAAADJi+a4=",0)</f>
        <v>0</v>
      </c>
      <c r="FT95" t="e">
        <f>AND(DATA!A454,"AAAAADJi+a8=")</f>
        <v>#VALUE!</v>
      </c>
      <c r="FU95" t="e">
        <f>AND(DATA!B454,"AAAAADJi+bA=")</f>
        <v>#VALUE!</v>
      </c>
      <c r="FV95" t="e">
        <f>AND(DATA!C454,"AAAAADJi+bE=")</f>
        <v>#VALUE!</v>
      </c>
      <c r="FW95" t="e">
        <f>AND(DATA!D454,"AAAAADJi+bI=")</f>
        <v>#VALUE!</v>
      </c>
      <c r="FX95" t="e">
        <f>AND(DATA!E454,"AAAAADJi+bM=")</f>
        <v>#VALUE!</v>
      </c>
      <c r="FY95" t="e">
        <f>AND(DATA!F454,"AAAAADJi+bQ=")</f>
        <v>#VALUE!</v>
      </c>
      <c r="FZ95" t="e">
        <f>AND(DATA!G454,"AAAAADJi+bU=")</f>
        <v>#VALUE!</v>
      </c>
      <c r="GA95" t="e">
        <f>AND(DATA!H454,"AAAAADJi+bY=")</f>
        <v>#VALUE!</v>
      </c>
      <c r="GB95" t="e">
        <f>AND(DATA!I454,"AAAAADJi+bc=")</f>
        <v>#VALUE!</v>
      </c>
      <c r="GC95" t="e">
        <f>AND(DATA!J454,"AAAAADJi+bg=")</f>
        <v>#VALUE!</v>
      </c>
      <c r="GD95" t="e">
        <f>AND(DATA!K454,"AAAAADJi+bk=")</f>
        <v>#VALUE!</v>
      </c>
      <c r="GE95" t="b">
        <f>AND(DATA!L455,"AAAAADJi+bo=")</f>
        <v>1</v>
      </c>
      <c r="GF95" t="b">
        <f>AND(DATA!M455,"AAAAADJi+bs=")</f>
        <v>1</v>
      </c>
      <c r="GG95" t="b">
        <f>AND(DATA!N455,"AAAAADJi+bw=")</f>
        <v>1</v>
      </c>
      <c r="GH95" t="b">
        <f>AND(DATA!O455,"AAAAADJi+b0=")</f>
        <v>1</v>
      </c>
      <c r="GI95" t="b">
        <f>AND(DATA!P455,"AAAAADJi+b4=")</f>
        <v>1</v>
      </c>
      <c r="GJ95" t="b">
        <f>AND(DATA!Q455,"AAAAADJi+b8=")</f>
        <v>1</v>
      </c>
      <c r="GK95" t="b">
        <f>AND(DATA!R455,"AAAAADJi+cA=")</f>
        <v>1</v>
      </c>
      <c r="GL95" t="b">
        <f>AND(DATA!S455,"AAAAADJi+cE=")</f>
        <v>1</v>
      </c>
      <c r="GM95" t="b">
        <f>AND(DATA!T455,"AAAAADJi+cI=")</f>
        <v>1</v>
      </c>
      <c r="GN95" t="b">
        <f>AND(DATA!U455,"AAAAADJi+cM=")</f>
        <v>1</v>
      </c>
      <c r="GO95" t="b">
        <f>AND(DATA!V455,"AAAAADJi+cQ=")</f>
        <v>1</v>
      </c>
      <c r="GP95" t="e">
        <f>AND(DATA!W454,"AAAAADJi+cU=")</f>
        <v>#VALUE!</v>
      </c>
      <c r="GQ95" t="e">
        <f>AND(DATA!X454,"AAAAADJi+cY=")</f>
        <v>#VALUE!</v>
      </c>
      <c r="GR95" t="e">
        <f>AND(DATA!Y454,"AAAAADJi+cc=")</f>
        <v>#VALUE!</v>
      </c>
      <c r="GS95">
        <f>IF(DATA!455:455,"AAAAADJi+cg=",0)</f>
        <v>0</v>
      </c>
      <c r="GT95" t="e">
        <f>AND(DATA!A455,"AAAAADJi+ck=")</f>
        <v>#VALUE!</v>
      </c>
      <c r="GU95" t="e">
        <f>AND(DATA!B455,"AAAAADJi+co=")</f>
        <v>#VALUE!</v>
      </c>
      <c r="GV95" t="e">
        <f>AND(DATA!C455,"AAAAADJi+cs=")</f>
        <v>#VALUE!</v>
      </c>
      <c r="GW95" t="e">
        <f>AND(DATA!D455,"AAAAADJi+cw=")</f>
        <v>#VALUE!</v>
      </c>
      <c r="GX95" t="e">
        <f>AND(DATA!E455,"AAAAADJi+c0=")</f>
        <v>#VALUE!</v>
      </c>
      <c r="GY95" t="e">
        <f>AND(DATA!F455,"AAAAADJi+c4=")</f>
        <v>#VALUE!</v>
      </c>
      <c r="GZ95" t="e">
        <f>AND(DATA!G455,"AAAAADJi+c8=")</f>
        <v>#VALUE!</v>
      </c>
      <c r="HA95" t="e">
        <f>AND(DATA!H455,"AAAAADJi+dA=")</f>
        <v>#VALUE!</v>
      </c>
      <c r="HB95" t="e">
        <f>AND(DATA!I455,"AAAAADJi+dE=")</f>
        <v>#VALUE!</v>
      </c>
      <c r="HC95" t="e">
        <f>AND(DATA!J455,"AAAAADJi+dI=")</f>
        <v>#VALUE!</v>
      </c>
      <c r="HD95" t="e">
        <f>AND(DATA!K455,"AAAAADJi+dM=")</f>
        <v>#VALUE!</v>
      </c>
      <c r="HE95" t="b">
        <f>AND(DATA!L456,"AAAAADJi+dQ=")</f>
        <v>1</v>
      </c>
      <c r="HF95" t="b">
        <f>AND(DATA!M456,"AAAAADJi+dU=")</f>
        <v>1</v>
      </c>
      <c r="HG95" t="b">
        <f>AND(DATA!N456,"AAAAADJi+dY=")</f>
        <v>1</v>
      </c>
      <c r="HH95" t="b">
        <f>AND(DATA!O456,"AAAAADJi+dc=")</f>
        <v>1</v>
      </c>
      <c r="HI95" t="b">
        <f>AND(DATA!P456,"AAAAADJi+dg=")</f>
        <v>1</v>
      </c>
      <c r="HJ95" t="b">
        <f>AND(DATA!Q456,"AAAAADJi+dk=")</f>
        <v>1</v>
      </c>
      <c r="HK95" t="b">
        <f>AND(DATA!R456,"AAAAADJi+do=")</f>
        <v>1</v>
      </c>
      <c r="HL95" t="b">
        <f>AND(DATA!S456,"AAAAADJi+ds=")</f>
        <v>1</v>
      </c>
      <c r="HM95" t="b">
        <f>AND(DATA!T456,"AAAAADJi+dw=")</f>
        <v>1</v>
      </c>
      <c r="HN95" t="b">
        <f>AND(DATA!U456,"AAAAADJi+d0=")</f>
        <v>1</v>
      </c>
      <c r="HO95" t="b">
        <f>AND(DATA!V456,"AAAAADJi+d4=")</f>
        <v>1</v>
      </c>
      <c r="HP95" t="e">
        <f>AND(DATA!W455,"AAAAADJi+d8=")</f>
        <v>#VALUE!</v>
      </c>
      <c r="HQ95" t="e">
        <f>AND(DATA!X455,"AAAAADJi+eA=")</f>
        <v>#VALUE!</v>
      </c>
      <c r="HR95" t="e">
        <f>AND(DATA!Y455,"AAAAADJi+eE=")</f>
        <v>#VALUE!</v>
      </c>
      <c r="HS95">
        <f>IF(DATA!456:456,"AAAAADJi+eI=",0)</f>
        <v>0</v>
      </c>
      <c r="HT95" t="e">
        <f>AND(DATA!A456,"AAAAADJi+eM=")</f>
        <v>#VALUE!</v>
      </c>
      <c r="HU95" t="e">
        <f>AND(DATA!B456,"AAAAADJi+eQ=")</f>
        <v>#VALUE!</v>
      </c>
      <c r="HV95" t="e">
        <f>AND(DATA!C456,"AAAAADJi+eU=")</f>
        <v>#VALUE!</v>
      </c>
      <c r="HW95" t="e">
        <f>AND(DATA!D456,"AAAAADJi+eY=")</f>
        <v>#VALUE!</v>
      </c>
      <c r="HX95" t="e">
        <f>AND(DATA!E456,"AAAAADJi+ec=")</f>
        <v>#VALUE!</v>
      </c>
      <c r="HY95" t="e">
        <f>AND(DATA!F456,"AAAAADJi+eg=")</f>
        <v>#VALUE!</v>
      </c>
      <c r="HZ95" t="e">
        <f>AND(DATA!G456,"AAAAADJi+ek=")</f>
        <v>#VALUE!</v>
      </c>
      <c r="IA95" t="e">
        <f>AND(DATA!H456,"AAAAADJi+eo=")</f>
        <v>#VALUE!</v>
      </c>
      <c r="IB95" t="e">
        <f>AND(DATA!I456,"AAAAADJi+es=")</f>
        <v>#VALUE!</v>
      </c>
      <c r="IC95" t="e">
        <f>AND(DATA!J456,"AAAAADJi+ew=")</f>
        <v>#VALUE!</v>
      </c>
      <c r="ID95" t="e">
        <f>AND(DATA!K456,"AAAAADJi+e0=")</f>
        <v>#VALUE!</v>
      </c>
      <c r="IE95" t="b">
        <f>AND(DATA!L457,"AAAAADJi+e4=")</f>
        <v>1</v>
      </c>
      <c r="IF95" t="b">
        <f>AND(DATA!M457,"AAAAADJi+e8=")</f>
        <v>1</v>
      </c>
      <c r="IG95" t="b">
        <f>AND(DATA!N457,"AAAAADJi+fA=")</f>
        <v>1</v>
      </c>
      <c r="IH95" t="b">
        <f>AND(DATA!O457,"AAAAADJi+fE=")</f>
        <v>1</v>
      </c>
      <c r="II95" t="b">
        <f>AND(DATA!P457,"AAAAADJi+fI=")</f>
        <v>1</v>
      </c>
      <c r="IJ95" t="b">
        <f>AND(DATA!Q457,"AAAAADJi+fM=")</f>
        <v>1</v>
      </c>
      <c r="IK95" t="b">
        <f>AND(DATA!R457,"AAAAADJi+fQ=")</f>
        <v>1</v>
      </c>
      <c r="IL95" t="b">
        <f>AND(DATA!S457,"AAAAADJi+fU=")</f>
        <v>1</v>
      </c>
      <c r="IM95" t="b">
        <f>AND(DATA!T457,"AAAAADJi+fY=")</f>
        <v>1</v>
      </c>
      <c r="IN95" t="b">
        <f>AND(DATA!U457,"AAAAADJi+fc=")</f>
        <v>1</v>
      </c>
      <c r="IO95" t="b">
        <f>AND(DATA!V457,"AAAAADJi+fg=")</f>
        <v>1</v>
      </c>
      <c r="IP95" t="e">
        <f>AND(DATA!W456,"AAAAADJi+fk=")</f>
        <v>#VALUE!</v>
      </c>
      <c r="IQ95" t="e">
        <f>AND(DATA!X456,"AAAAADJi+fo=")</f>
        <v>#VALUE!</v>
      </c>
      <c r="IR95" t="e">
        <f>AND(DATA!Y456,"AAAAADJi+fs=")</f>
        <v>#VALUE!</v>
      </c>
      <c r="IS95">
        <f>IF(DATA!457:457,"AAAAADJi+fw=",0)</f>
        <v>0</v>
      </c>
      <c r="IT95" t="e">
        <f>AND(DATA!A457,"AAAAADJi+f0=")</f>
        <v>#VALUE!</v>
      </c>
      <c r="IU95" t="e">
        <f>AND(DATA!B457,"AAAAADJi+f4=")</f>
        <v>#VALUE!</v>
      </c>
      <c r="IV95" t="e">
        <f>AND(DATA!C457,"AAAAADJi+f8=")</f>
        <v>#VALUE!</v>
      </c>
    </row>
    <row r="96" spans="1:256" x14ac:dyDescent="0.25">
      <c r="A96" t="e">
        <f>AND(DATA!D457,"AAAAAD/r/wA=")</f>
        <v>#VALUE!</v>
      </c>
      <c r="B96" t="e">
        <f>AND(DATA!E457,"AAAAAD/r/wE=")</f>
        <v>#VALUE!</v>
      </c>
      <c r="C96" t="e">
        <f>AND(DATA!F457,"AAAAAD/r/wI=")</f>
        <v>#VALUE!</v>
      </c>
      <c r="D96" t="e">
        <f>AND(DATA!G457,"AAAAAD/r/wM=")</f>
        <v>#VALUE!</v>
      </c>
      <c r="E96" t="e">
        <f>AND(DATA!H457,"AAAAAD/r/wQ=")</f>
        <v>#VALUE!</v>
      </c>
      <c r="F96" t="e">
        <f>AND(DATA!I457,"AAAAAD/r/wU=")</f>
        <v>#VALUE!</v>
      </c>
      <c r="G96" t="e">
        <f>AND(DATA!J457,"AAAAAD/r/wY=")</f>
        <v>#VALUE!</v>
      </c>
      <c r="H96" t="e">
        <f>AND(DATA!K457,"AAAAAD/r/wc=")</f>
        <v>#VALUE!</v>
      </c>
      <c r="I96" t="b">
        <f>AND(DATA!L458,"AAAAAD/r/wg=")</f>
        <v>1</v>
      </c>
      <c r="J96" t="b">
        <f>AND(DATA!M458,"AAAAAD/r/wk=")</f>
        <v>1</v>
      </c>
      <c r="K96" t="b">
        <f>AND(DATA!N458,"AAAAAD/r/wo=")</f>
        <v>1</v>
      </c>
      <c r="L96" t="b">
        <f>AND(DATA!O458,"AAAAAD/r/ws=")</f>
        <v>1</v>
      </c>
      <c r="M96" t="b">
        <f>AND(DATA!P458,"AAAAAD/r/ww=")</f>
        <v>1</v>
      </c>
      <c r="N96" t="b">
        <f>AND(DATA!Q458,"AAAAAD/r/w0=")</f>
        <v>1</v>
      </c>
      <c r="O96" t="b">
        <f>AND(DATA!R458,"AAAAAD/r/w4=")</f>
        <v>1</v>
      </c>
      <c r="P96" t="b">
        <f>AND(DATA!S458,"AAAAAD/r/w8=")</f>
        <v>1</v>
      </c>
      <c r="Q96" t="b">
        <f>AND(DATA!T458,"AAAAAD/r/xA=")</f>
        <v>1</v>
      </c>
      <c r="R96" t="b">
        <f>AND(DATA!U458,"AAAAAD/r/xE=")</f>
        <v>1</v>
      </c>
      <c r="S96" t="b">
        <f>AND(DATA!V458,"AAAAAD/r/xI=")</f>
        <v>1</v>
      </c>
      <c r="T96" t="e">
        <f>AND(DATA!W457,"AAAAAD/r/xM=")</f>
        <v>#VALUE!</v>
      </c>
      <c r="U96" t="e">
        <f>AND(DATA!X457,"AAAAAD/r/xQ=")</f>
        <v>#VALUE!</v>
      </c>
      <c r="V96" t="e">
        <f>AND(DATA!Y457,"AAAAAD/r/xU=")</f>
        <v>#VALUE!</v>
      </c>
      <c r="W96">
        <f>IF(DATA!458:458,"AAAAAD/r/xY=",0)</f>
        <v>0</v>
      </c>
      <c r="X96" t="e">
        <f>AND(DATA!A458,"AAAAAD/r/xc=")</f>
        <v>#VALUE!</v>
      </c>
      <c r="Y96" t="e">
        <f>AND(DATA!B458,"AAAAAD/r/xg=")</f>
        <v>#VALUE!</v>
      </c>
      <c r="Z96" t="e">
        <f>AND(DATA!C458,"AAAAAD/r/xk=")</f>
        <v>#VALUE!</v>
      </c>
      <c r="AA96" t="e">
        <f>AND(DATA!D458,"AAAAAD/r/xo=")</f>
        <v>#VALUE!</v>
      </c>
      <c r="AB96" t="e">
        <f>AND(DATA!E458,"AAAAAD/r/xs=")</f>
        <v>#VALUE!</v>
      </c>
      <c r="AC96" t="e">
        <f>AND(DATA!F458,"AAAAAD/r/xw=")</f>
        <v>#VALUE!</v>
      </c>
      <c r="AD96" t="e">
        <f>AND(DATA!G458,"AAAAAD/r/x0=")</f>
        <v>#VALUE!</v>
      </c>
      <c r="AE96" t="e">
        <f>AND(DATA!H458,"AAAAAD/r/x4=")</f>
        <v>#VALUE!</v>
      </c>
      <c r="AF96" t="e">
        <f>AND(DATA!I458,"AAAAAD/r/x8=")</f>
        <v>#VALUE!</v>
      </c>
      <c r="AG96" t="e">
        <f>AND(DATA!J458,"AAAAAD/r/yA=")</f>
        <v>#VALUE!</v>
      </c>
      <c r="AH96" t="e">
        <f>AND(DATA!K458,"AAAAAD/r/yE=")</f>
        <v>#VALUE!</v>
      </c>
      <c r="AI96" t="b">
        <f>AND(DATA!L459,"AAAAAD/r/yI=")</f>
        <v>1</v>
      </c>
      <c r="AJ96" t="b">
        <f>AND(DATA!M459,"AAAAAD/r/yM=")</f>
        <v>1</v>
      </c>
      <c r="AK96" t="b">
        <f>AND(DATA!N459,"AAAAAD/r/yQ=")</f>
        <v>1</v>
      </c>
      <c r="AL96" t="b">
        <f>AND(DATA!O459,"AAAAAD/r/yU=")</f>
        <v>1</v>
      </c>
      <c r="AM96" t="b">
        <f>AND(DATA!P459,"AAAAAD/r/yY=")</f>
        <v>1</v>
      </c>
      <c r="AN96" t="b">
        <f>AND(DATA!Q459,"AAAAAD/r/yc=")</f>
        <v>1</v>
      </c>
      <c r="AO96" t="b">
        <f>AND(DATA!R459,"AAAAAD/r/yg=")</f>
        <v>1</v>
      </c>
      <c r="AP96" t="b">
        <f>AND(DATA!S459,"AAAAAD/r/yk=")</f>
        <v>1</v>
      </c>
      <c r="AQ96" t="b">
        <f>AND(DATA!T459,"AAAAAD/r/yo=")</f>
        <v>1</v>
      </c>
      <c r="AR96" t="b">
        <f>AND(DATA!U459,"AAAAAD/r/ys=")</f>
        <v>1</v>
      </c>
      <c r="AS96" t="b">
        <f>AND(DATA!V459,"AAAAAD/r/yw=")</f>
        <v>1</v>
      </c>
      <c r="AT96" t="e">
        <f>AND(DATA!W458,"AAAAAD/r/y0=")</f>
        <v>#VALUE!</v>
      </c>
      <c r="AU96" t="e">
        <f>AND(DATA!X458,"AAAAAD/r/y4=")</f>
        <v>#VALUE!</v>
      </c>
      <c r="AV96" t="e">
        <f>AND(DATA!Y458,"AAAAAD/r/y8=")</f>
        <v>#VALUE!</v>
      </c>
      <c r="AW96">
        <f>IF(DATA!459:459,"AAAAAD/r/zA=",0)</f>
        <v>0</v>
      </c>
      <c r="AX96" t="e">
        <f>AND(DATA!A459,"AAAAAD/r/zE=")</f>
        <v>#VALUE!</v>
      </c>
      <c r="AY96" t="e">
        <f>AND(DATA!B459,"AAAAAD/r/zI=")</f>
        <v>#VALUE!</v>
      </c>
      <c r="AZ96" t="e">
        <f>AND(DATA!C459,"AAAAAD/r/zM=")</f>
        <v>#VALUE!</v>
      </c>
      <c r="BA96" t="e">
        <f>AND(DATA!D459,"AAAAAD/r/zQ=")</f>
        <v>#VALUE!</v>
      </c>
      <c r="BB96" t="e">
        <f>AND(DATA!E459,"AAAAAD/r/zU=")</f>
        <v>#VALUE!</v>
      </c>
      <c r="BC96" t="e">
        <f>AND(DATA!F459,"AAAAAD/r/zY=")</f>
        <v>#VALUE!</v>
      </c>
      <c r="BD96" t="e">
        <f>AND(DATA!G459,"AAAAAD/r/zc=")</f>
        <v>#VALUE!</v>
      </c>
      <c r="BE96" t="e">
        <f>AND(DATA!H459,"AAAAAD/r/zg=")</f>
        <v>#VALUE!</v>
      </c>
      <c r="BF96" t="e">
        <f>AND(DATA!I459,"AAAAAD/r/zk=")</f>
        <v>#VALUE!</v>
      </c>
      <c r="BG96" t="e">
        <f>AND(DATA!J459,"AAAAAD/r/zo=")</f>
        <v>#VALUE!</v>
      </c>
      <c r="BH96" t="e">
        <f>AND(DATA!K459,"AAAAAD/r/zs=")</f>
        <v>#VALUE!</v>
      </c>
      <c r="BI96" t="b">
        <f>AND(DATA!L460,"AAAAAD/r/zw=")</f>
        <v>1</v>
      </c>
      <c r="BJ96" t="b">
        <f>AND(DATA!M460,"AAAAAD/r/z0=")</f>
        <v>1</v>
      </c>
      <c r="BK96" t="b">
        <f>AND(DATA!N460,"AAAAAD/r/z4=")</f>
        <v>1</v>
      </c>
      <c r="BL96" t="b">
        <f>AND(DATA!O460,"AAAAAD/r/z8=")</f>
        <v>1</v>
      </c>
      <c r="BM96" t="b">
        <f>AND(DATA!P460,"AAAAAD/r/0A=")</f>
        <v>1</v>
      </c>
      <c r="BN96" t="b">
        <f>AND(DATA!Q460,"AAAAAD/r/0E=")</f>
        <v>1</v>
      </c>
      <c r="BO96" t="b">
        <f>AND(DATA!R460,"AAAAAD/r/0I=")</f>
        <v>1</v>
      </c>
      <c r="BP96" t="b">
        <f>AND(DATA!S460,"AAAAAD/r/0M=")</f>
        <v>1</v>
      </c>
      <c r="BQ96" t="b">
        <f>AND(DATA!T460,"AAAAAD/r/0Q=")</f>
        <v>1</v>
      </c>
      <c r="BR96" t="b">
        <f>AND(DATA!U460,"AAAAAD/r/0U=")</f>
        <v>1</v>
      </c>
      <c r="BS96" t="b">
        <f>AND(DATA!V460,"AAAAAD/r/0Y=")</f>
        <v>1</v>
      </c>
      <c r="BT96" t="e">
        <f>AND(DATA!W459,"AAAAAD/r/0c=")</f>
        <v>#VALUE!</v>
      </c>
      <c r="BU96" t="e">
        <f>AND(DATA!X459,"AAAAAD/r/0g=")</f>
        <v>#VALUE!</v>
      </c>
      <c r="BV96" t="e">
        <f>AND(DATA!Y459,"AAAAAD/r/0k=")</f>
        <v>#VALUE!</v>
      </c>
      <c r="BW96">
        <f>IF(DATA!460:460,"AAAAAD/r/0o=",0)</f>
        <v>0</v>
      </c>
      <c r="BX96" t="e">
        <f>AND(DATA!A460,"AAAAAD/r/0s=")</f>
        <v>#VALUE!</v>
      </c>
      <c r="BY96" t="e">
        <f>AND(DATA!B460,"AAAAAD/r/0w=")</f>
        <v>#VALUE!</v>
      </c>
      <c r="BZ96" t="e">
        <f>AND(DATA!C460,"AAAAAD/r/00=")</f>
        <v>#VALUE!</v>
      </c>
      <c r="CA96" t="e">
        <f>AND(DATA!D460,"AAAAAD/r/04=")</f>
        <v>#VALUE!</v>
      </c>
      <c r="CB96" t="e">
        <f>AND(DATA!E460,"AAAAAD/r/08=")</f>
        <v>#VALUE!</v>
      </c>
      <c r="CC96" t="e">
        <f>AND(DATA!F460,"AAAAAD/r/1A=")</f>
        <v>#VALUE!</v>
      </c>
      <c r="CD96" t="e">
        <f>AND(DATA!G460,"AAAAAD/r/1E=")</f>
        <v>#VALUE!</v>
      </c>
      <c r="CE96" t="e">
        <f>AND(DATA!H460,"AAAAAD/r/1I=")</f>
        <v>#VALUE!</v>
      </c>
      <c r="CF96" t="e">
        <f>AND(DATA!I460,"AAAAAD/r/1M=")</f>
        <v>#VALUE!</v>
      </c>
      <c r="CG96" t="e">
        <f>AND(DATA!J460,"AAAAAD/r/1Q=")</f>
        <v>#VALUE!</v>
      </c>
      <c r="CH96" t="e">
        <f>AND(DATA!K460,"AAAAAD/r/1U=")</f>
        <v>#VALUE!</v>
      </c>
      <c r="CI96" t="b">
        <f>AND(DATA!L461,"AAAAAD/r/1Y=")</f>
        <v>1</v>
      </c>
      <c r="CJ96" t="b">
        <f>AND(DATA!M461,"AAAAAD/r/1c=")</f>
        <v>1</v>
      </c>
      <c r="CK96" t="b">
        <f>AND(DATA!N461,"AAAAAD/r/1g=")</f>
        <v>1</v>
      </c>
      <c r="CL96" t="b">
        <f>AND(DATA!O461,"AAAAAD/r/1k=")</f>
        <v>1</v>
      </c>
      <c r="CM96" t="b">
        <f>AND(DATA!P461,"AAAAAD/r/1o=")</f>
        <v>1</v>
      </c>
      <c r="CN96" t="b">
        <f>AND(DATA!Q461,"AAAAAD/r/1s=")</f>
        <v>1</v>
      </c>
      <c r="CO96" t="b">
        <f>AND(DATA!R461,"AAAAAD/r/1w=")</f>
        <v>1</v>
      </c>
      <c r="CP96" t="b">
        <f>AND(DATA!S461,"AAAAAD/r/10=")</f>
        <v>1</v>
      </c>
      <c r="CQ96" t="b">
        <f>AND(DATA!T461,"AAAAAD/r/14=")</f>
        <v>1</v>
      </c>
      <c r="CR96" t="b">
        <f>AND(DATA!U461,"AAAAAD/r/18=")</f>
        <v>1</v>
      </c>
      <c r="CS96" t="b">
        <f>AND(DATA!V461,"AAAAAD/r/2A=")</f>
        <v>1</v>
      </c>
      <c r="CT96" t="e">
        <f>AND(DATA!W460,"AAAAAD/r/2E=")</f>
        <v>#VALUE!</v>
      </c>
      <c r="CU96" t="e">
        <f>AND(DATA!X460,"AAAAAD/r/2I=")</f>
        <v>#VALUE!</v>
      </c>
      <c r="CV96" t="e">
        <f>AND(DATA!Y460,"AAAAAD/r/2M=")</f>
        <v>#VALUE!</v>
      </c>
      <c r="CW96">
        <f>IF(DATA!461:461,"AAAAAD/r/2Q=",0)</f>
        <v>0</v>
      </c>
      <c r="CX96" t="e">
        <f>AND(DATA!A461,"AAAAAD/r/2U=")</f>
        <v>#VALUE!</v>
      </c>
      <c r="CY96" t="e">
        <f>AND(DATA!B461,"AAAAAD/r/2Y=")</f>
        <v>#VALUE!</v>
      </c>
      <c r="CZ96" t="e">
        <f>AND(DATA!C461,"AAAAAD/r/2c=")</f>
        <v>#VALUE!</v>
      </c>
      <c r="DA96" t="e">
        <f>AND(DATA!D461,"AAAAAD/r/2g=")</f>
        <v>#VALUE!</v>
      </c>
      <c r="DB96" t="e">
        <f>AND(DATA!E461,"AAAAAD/r/2k=")</f>
        <v>#VALUE!</v>
      </c>
      <c r="DC96" t="e">
        <f>AND(DATA!F461,"AAAAAD/r/2o=")</f>
        <v>#VALUE!</v>
      </c>
      <c r="DD96" t="e">
        <f>AND(DATA!G461,"AAAAAD/r/2s=")</f>
        <v>#VALUE!</v>
      </c>
      <c r="DE96" t="e">
        <f>AND(DATA!H461,"AAAAAD/r/2w=")</f>
        <v>#VALUE!</v>
      </c>
      <c r="DF96" t="e">
        <f>AND(DATA!I461,"AAAAAD/r/20=")</f>
        <v>#VALUE!</v>
      </c>
      <c r="DG96" t="e">
        <f>AND(DATA!J461,"AAAAAD/r/24=")</f>
        <v>#VALUE!</v>
      </c>
      <c r="DH96" t="e">
        <f>AND(DATA!K461,"AAAAAD/r/28=")</f>
        <v>#VALUE!</v>
      </c>
      <c r="DI96" t="b">
        <f>AND(DATA!L462,"AAAAAD/r/3A=")</f>
        <v>1</v>
      </c>
      <c r="DJ96" t="b">
        <f>AND(DATA!M462,"AAAAAD/r/3E=")</f>
        <v>1</v>
      </c>
      <c r="DK96" t="b">
        <f>AND(DATA!N462,"AAAAAD/r/3I=")</f>
        <v>1</v>
      </c>
      <c r="DL96" t="b">
        <f>AND(DATA!O462,"AAAAAD/r/3M=")</f>
        <v>1</v>
      </c>
      <c r="DM96" t="b">
        <f>AND(DATA!P462,"AAAAAD/r/3Q=")</f>
        <v>1</v>
      </c>
      <c r="DN96" t="b">
        <f>AND(DATA!Q462,"AAAAAD/r/3U=")</f>
        <v>1</v>
      </c>
      <c r="DO96" t="b">
        <f>AND(DATA!R462,"AAAAAD/r/3Y=")</f>
        <v>1</v>
      </c>
      <c r="DP96" t="b">
        <f>AND(DATA!S462,"AAAAAD/r/3c=")</f>
        <v>1</v>
      </c>
      <c r="DQ96" t="b">
        <f>AND(DATA!T462,"AAAAAD/r/3g=")</f>
        <v>1</v>
      </c>
      <c r="DR96" t="b">
        <f>AND(DATA!U462,"AAAAAD/r/3k=")</f>
        <v>1</v>
      </c>
      <c r="DS96" t="b">
        <f>AND(DATA!V462,"AAAAAD/r/3o=")</f>
        <v>1</v>
      </c>
      <c r="DT96" t="e">
        <f>AND(DATA!W461,"AAAAAD/r/3s=")</f>
        <v>#VALUE!</v>
      </c>
      <c r="DU96" t="e">
        <f>AND(DATA!X461,"AAAAAD/r/3w=")</f>
        <v>#VALUE!</v>
      </c>
      <c r="DV96" t="e">
        <f>AND(DATA!Y461,"AAAAAD/r/30=")</f>
        <v>#VALUE!</v>
      </c>
      <c r="DW96">
        <f>IF(DATA!462:462,"AAAAAD/r/34=",0)</f>
        <v>0</v>
      </c>
      <c r="DX96" t="e">
        <f>AND(DATA!A462,"AAAAAD/r/38=")</f>
        <v>#VALUE!</v>
      </c>
      <c r="DY96" t="e">
        <f>AND(DATA!B462,"AAAAAD/r/4A=")</f>
        <v>#VALUE!</v>
      </c>
      <c r="DZ96" t="e">
        <f>AND(DATA!C462,"AAAAAD/r/4E=")</f>
        <v>#VALUE!</v>
      </c>
      <c r="EA96" t="e">
        <f>AND(DATA!D462,"AAAAAD/r/4I=")</f>
        <v>#VALUE!</v>
      </c>
      <c r="EB96" t="e">
        <f>AND(DATA!E462,"AAAAAD/r/4M=")</f>
        <v>#VALUE!</v>
      </c>
      <c r="EC96" t="e">
        <f>AND(DATA!F462,"AAAAAD/r/4Q=")</f>
        <v>#VALUE!</v>
      </c>
      <c r="ED96" t="e">
        <f>AND(DATA!G462,"AAAAAD/r/4U=")</f>
        <v>#VALUE!</v>
      </c>
      <c r="EE96" t="e">
        <f>AND(DATA!H462,"AAAAAD/r/4Y=")</f>
        <v>#VALUE!</v>
      </c>
      <c r="EF96" t="e">
        <f>AND(DATA!I462,"AAAAAD/r/4c=")</f>
        <v>#VALUE!</v>
      </c>
      <c r="EG96" t="e">
        <f>AND(DATA!J462,"AAAAAD/r/4g=")</f>
        <v>#VALUE!</v>
      </c>
      <c r="EH96" t="e">
        <f>AND(DATA!K462,"AAAAAD/r/4k=")</f>
        <v>#VALUE!</v>
      </c>
      <c r="EI96" t="b">
        <f>AND(DATA!L463,"AAAAAD/r/4o=")</f>
        <v>1</v>
      </c>
      <c r="EJ96" t="b">
        <f>AND(DATA!M463,"AAAAAD/r/4s=")</f>
        <v>1</v>
      </c>
      <c r="EK96" t="b">
        <f>AND(DATA!N463,"AAAAAD/r/4w=")</f>
        <v>1</v>
      </c>
      <c r="EL96" t="b">
        <f>AND(DATA!O463,"AAAAAD/r/40=")</f>
        <v>1</v>
      </c>
      <c r="EM96" t="b">
        <f>AND(DATA!P463,"AAAAAD/r/44=")</f>
        <v>1</v>
      </c>
      <c r="EN96" t="b">
        <f>AND(DATA!Q463,"AAAAAD/r/48=")</f>
        <v>1</v>
      </c>
      <c r="EO96" t="b">
        <f>AND(DATA!R463,"AAAAAD/r/5A=")</f>
        <v>1</v>
      </c>
      <c r="EP96" t="b">
        <f>AND(DATA!S463,"AAAAAD/r/5E=")</f>
        <v>1</v>
      </c>
      <c r="EQ96" t="b">
        <f>AND(DATA!T463,"AAAAAD/r/5I=")</f>
        <v>1</v>
      </c>
      <c r="ER96" t="b">
        <f>AND(DATA!U463,"AAAAAD/r/5M=")</f>
        <v>1</v>
      </c>
      <c r="ES96" t="b">
        <f>AND(DATA!V463,"AAAAAD/r/5Q=")</f>
        <v>1</v>
      </c>
      <c r="ET96" t="e">
        <f>AND(DATA!W462,"AAAAAD/r/5U=")</f>
        <v>#VALUE!</v>
      </c>
      <c r="EU96" t="e">
        <f>AND(DATA!X462,"AAAAAD/r/5Y=")</f>
        <v>#VALUE!</v>
      </c>
      <c r="EV96" t="e">
        <f>AND(DATA!Y462,"AAAAAD/r/5c=")</f>
        <v>#VALUE!</v>
      </c>
      <c r="EW96">
        <f>IF(DATA!463:463,"AAAAAD/r/5g=",0)</f>
        <v>0</v>
      </c>
      <c r="EX96" t="e">
        <f>AND(DATA!A463,"AAAAAD/r/5k=")</f>
        <v>#VALUE!</v>
      </c>
      <c r="EY96" t="e">
        <f>AND(DATA!B463,"AAAAAD/r/5o=")</f>
        <v>#VALUE!</v>
      </c>
      <c r="EZ96" t="e">
        <f>AND(DATA!C463,"AAAAAD/r/5s=")</f>
        <v>#VALUE!</v>
      </c>
      <c r="FA96" t="e">
        <f>AND(DATA!D463,"AAAAAD/r/5w=")</f>
        <v>#VALUE!</v>
      </c>
      <c r="FB96" t="e">
        <f>AND(DATA!E463,"AAAAAD/r/50=")</f>
        <v>#VALUE!</v>
      </c>
      <c r="FC96" t="e">
        <f>AND(DATA!F463,"AAAAAD/r/54=")</f>
        <v>#VALUE!</v>
      </c>
      <c r="FD96" t="e">
        <f>AND(DATA!G463,"AAAAAD/r/58=")</f>
        <v>#VALUE!</v>
      </c>
      <c r="FE96" t="e">
        <f>AND(DATA!H463,"AAAAAD/r/6A=")</f>
        <v>#VALUE!</v>
      </c>
      <c r="FF96" t="e">
        <f>AND(DATA!I463,"AAAAAD/r/6E=")</f>
        <v>#VALUE!</v>
      </c>
      <c r="FG96" t="e">
        <f>AND(DATA!J463,"AAAAAD/r/6I=")</f>
        <v>#VALUE!</v>
      </c>
      <c r="FH96" t="e">
        <f>AND(DATA!K463,"AAAAAD/r/6M=")</f>
        <v>#VALUE!</v>
      </c>
      <c r="FI96" t="b">
        <f>AND(DATA!L464,"AAAAAD/r/6Q=")</f>
        <v>1</v>
      </c>
      <c r="FJ96" t="b">
        <f>AND(DATA!M464,"AAAAAD/r/6U=")</f>
        <v>1</v>
      </c>
      <c r="FK96" t="b">
        <f>AND(DATA!N464,"AAAAAD/r/6Y=")</f>
        <v>1</v>
      </c>
      <c r="FL96" t="b">
        <f>AND(DATA!O464,"AAAAAD/r/6c=")</f>
        <v>1</v>
      </c>
      <c r="FM96" t="b">
        <f>AND(DATA!P464,"AAAAAD/r/6g=")</f>
        <v>1</v>
      </c>
      <c r="FN96" t="b">
        <f>AND(DATA!Q464,"AAAAAD/r/6k=")</f>
        <v>1</v>
      </c>
      <c r="FO96" t="b">
        <f>AND(DATA!R464,"AAAAAD/r/6o=")</f>
        <v>1</v>
      </c>
      <c r="FP96" t="b">
        <f>AND(DATA!S464,"AAAAAD/r/6s=")</f>
        <v>1</v>
      </c>
      <c r="FQ96" t="b">
        <f>AND(DATA!T464,"AAAAAD/r/6w=")</f>
        <v>1</v>
      </c>
      <c r="FR96" t="b">
        <f>AND(DATA!U464,"AAAAAD/r/60=")</f>
        <v>1</v>
      </c>
      <c r="FS96" t="b">
        <f>AND(DATA!V464,"AAAAAD/r/64=")</f>
        <v>1</v>
      </c>
      <c r="FT96" t="e">
        <f>AND(DATA!W463,"AAAAAD/r/68=")</f>
        <v>#VALUE!</v>
      </c>
      <c r="FU96" t="e">
        <f>AND(DATA!X463,"AAAAAD/r/7A=")</f>
        <v>#VALUE!</v>
      </c>
      <c r="FV96" t="e">
        <f>AND(DATA!Y463,"AAAAAD/r/7E=")</f>
        <v>#VALUE!</v>
      </c>
      <c r="FW96">
        <f>IF(DATA!464:464,"AAAAAD/r/7I=",0)</f>
        <v>0</v>
      </c>
      <c r="FX96" t="e">
        <f>AND(DATA!A464,"AAAAAD/r/7M=")</f>
        <v>#VALUE!</v>
      </c>
      <c r="FY96" t="e">
        <f>AND(DATA!B464,"AAAAAD/r/7Q=")</f>
        <v>#VALUE!</v>
      </c>
      <c r="FZ96" t="e">
        <f>AND(DATA!C464,"AAAAAD/r/7U=")</f>
        <v>#VALUE!</v>
      </c>
      <c r="GA96" t="e">
        <f>AND(DATA!D464,"AAAAAD/r/7Y=")</f>
        <v>#VALUE!</v>
      </c>
      <c r="GB96" t="e">
        <f>AND(DATA!E464,"AAAAAD/r/7c=")</f>
        <v>#VALUE!</v>
      </c>
      <c r="GC96" t="e">
        <f>AND(DATA!F464,"AAAAAD/r/7g=")</f>
        <v>#VALUE!</v>
      </c>
      <c r="GD96" t="e">
        <f>AND(DATA!G464,"AAAAAD/r/7k=")</f>
        <v>#VALUE!</v>
      </c>
      <c r="GE96" t="e">
        <f>AND(DATA!H464,"AAAAAD/r/7o=")</f>
        <v>#VALUE!</v>
      </c>
      <c r="GF96" t="e">
        <f>AND(DATA!I464,"AAAAAD/r/7s=")</f>
        <v>#VALUE!</v>
      </c>
      <c r="GG96" t="e">
        <f>AND(DATA!J464,"AAAAAD/r/7w=")</f>
        <v>#VALUE!</v>
      </c>
      <c r="GH96" t="e">
        <f>AND(DATA!K464,"AAAAAD/r/70=")</f>
        <v>#VALUE!</v>
      </c>
      <c r="GI96" t="b">
        <f>AND(DATA!L465,"AAAAAD/r/74=")</f>
        <v>1</v>
      </c>
      <c r="GJ96" t="b">
        <f>AND(DATA!M465,"AAAAAD/r/78=")</f>
        <v>1</v>
      </c>
      <c r="GK96" t="b">
        <f>AND(DATA!N465,"AAAAAD/r/8A=")</f>
        <v>1</v>
      </c>
      <c r="GL96" t="b">
        <f>AND(DATA!O465,"AAAAAD/r/8E=")</f>
        <v>1</v>
      </c>
      <c r="GM96" t="b">
        <f>AND(DATA!P465,"AAAAAD/r/8I=")</f>
        <v>1</v>
      </c>
      <c r="GN96" t="b">
        <f>AND(DATA!Q465,"AAAAAD/r/8M=")</f>
        <v>1</v>
      </c>
      <c r="GO96" t="b">
        <f>AND(DATA!R465,"AAAAAD/r/8Q=")</f>
        <v>1</v>
      </c>
      <c r="GP96" t="b">
        <f>AND(DATA!S465,"AAAAAD/r/8U=")</f>
        <v>1</v>
      </c>
      <c r="GQ96" t="b">
        <f>AND(DATA!T465,"AAAAAD/r/8Y=")</f>
        <v>1</v>
      </c>
      <c r="GR96" t="b">
        <f>AND(DATA!U465,"AAAAAD/r/8c=")</f>
        <v>1</v>
      </c>
      <c r="GS96" t="b">
        <f>AND(DATA!V465,"AAAAAD/r/8g=")</f>
        <v>1</v>
      </c>
      <c r="GT96" t="e">
        <f>AND(DATA!W464,"AAAAAD/r/8k=")</f>
        <v>#VALUE!</v>
      </c>
      <c r="GU96" t="e">
        <f>AND(DATA!X464,"AAAAAD/r/8o=")</f>
        <v>#VALUE!</v>
      </c>
      <c r="GV96" t="e">
        <f>AND(DATA!Y464,"AAAAAD/r/8s=")</f>
        <v>#VALUE!</v>
      </c>
      <c r="GW96">
        <f>IF(DATA!465:465,"AAAAAD/r/8w=",0)</f>
        <v>0</v>
      </c>
      <c r="GX96" t="e">
        <f>AND(DATA!A465,"AAAAAD/r/80=")</f>
        <v>#VALUE!</v>
      </c>
      <c r="GY96" t="e">
        <f>AND(DATA!B465,"AAAAAD/r/84=")</f>
        <v>#VALUE!</v>
      </c>
      <c r="GZ96" t="e">
        <f>AND(DATA!C465,"AAAAAD/r/88=")</f>
        <v>#VALUE!</v>
      </c>
      <c r="HA96" t="e">
        <f>AND(DATA!D465,"AAAAAD/r/9A=")</f>
        <v>#VALUE!</v>
      </c>
      <c r="HB96" t="e">
        <f>AND(DATA!E465,"AAAAAD/r/9E=")</f>
        <v>#VALUE!</v>
      </c>
      <c r="HC96" t="e">
        <f>AND(DATA!F465,"AAAAAD/r/9I=")</f>
        <v>#VALUE!</v>
      </c>
      <c r="HD96" t="e">
        <f>AND(DATA!G465,"AAAAAD/r/9M=")</f>
        <v>#VALUE!</v>
      </c>
      <c r="HE96" t="e">
        <f>AND(DATA!H465,"AAAAAD/r/9Q=")</f>
        <v>#VALUE!</v>
      </c>
      <c r="HF96" t="e">
        <f>AND(DATA!I465,"AAAAAD/r/9U=")</f>
        <v>#VALUE!</v>
      </c>
      <c r="HG96" t="e">
        <f>AND(DATA!J465,"AAAAAD/r/9Y=")</f>
        <v>#VALUE!</v>
      </c>
      <c r="HH96" t="e">
        <f>AND(DATA!K465,"AAAAAD/r/9c=")</f>
        <v>#VALUE!</v>
      </c>
      <c r="HI96" t="b">
        <f>AND(DATA!L466,"AAAAAD/r/9g=")</f>
        <v>1</v>
      </c>
      <c r="HJ96" t="b">
        <f>AND(DATA!M466,"AAAAAD/r/9k=")</f>
        <v>1</v>
      </c>
      <c r="HK96" t="b">
        <f>AND(DATA!N466,"AAAAAD/r/9o=")</f>
        <v>1</v>
      </c>
      <c r="HL96" t="b">
        <f>AND(DATA!O466,"AAAAAD/r/9s=")</f>
        <v>1</v>
      </c>
      <c r="HM96" t="b">
        <f>AND(DATA!P466,"AAAAAD/r/9w=")</f>
        <v>1</v>
      </c>
      <c r="HN96" t="b">
        <f>AND(DATA!Q466,"AAAAAD/r/90=")</f>
        <v>1</v>
      </c>
      <c r="HO96" t="b">
        <f>AND(DATA!R466,"AAAAAD/r/94=")</f>
        <v>1</v>
      </c>
      <c r="HP96" t="b">
        <f>AND(DATA!S466,"AAAAAD/r/98=")</f>
        <v>1</v>
      </c>
      <c r="HQ96" t="b">
        <f>AND(DATA!T466,"AAAAAD/r/+A=")</f>
        <v>1</v>
      </c>
      <c r="HR96" t="b">
        <f>AND(DATA!U466,"AAAAAD/r/+E=")</f>
        <v>1</v>
      </c>
      <c r="HS96" t="b">
        <f>AND(DATA!V466,"AAAAAD/r/+I=")</f>
        <v>1</v>
      </c>
      <c r="HT96" t="e">
        <f>AND(DATA!W465,"AAAAAD/r/+M=")</f>
        <v>#VALUE!</v>
      </c>
      <c r="HU96" t="e">
        <f>AND(DATA!X465,"AAAAAD/r/+Q=")</f>
        <v>#VALUE!</v>
      </c>
      <c r="HV96" t="e">
        <f>AND(DATA!Y465,"AAAAAD/r/+U=")</f>
        <v>#VALUE!</v>
      </c>
      <c r="HW96">
        <f>IF(DATA!466:466,"AAAAAD/r/+Y=",0)</f>
        <v>0</v>
      </c>
      <c r="HX96" t="e">
        <f>AND(DATA!A466,"AAAAAD/r/+c=")</f>
        <v>#VALUE!</v>
      </c>
      <c r="HY96" t="e">
        <f>AND(DATA!B466,"AAAAAD/r/+g=")</f>
        <v>#VALUE!</v>
      </c>
      <c r="HZ96" t="e">
        <f>AND(DATA!C466,"AAAAAD/r/+k=")</f>
        <v>#VALUE!</v>
      </c>
      <c r="IA96" t="e">
        <f>AND(DATA!D466,"AAAAAD/r/+o=")</f>
        <v>#VALUE!</v>
      </c>
      <c r="IB96" t="e">
        <f>AND(DATA!E466,"AAAAAD/r/+s=")</f>
        <v>#VALUE!</v>
      </c>
      <c r="IC96" t="e">
        <f>AND(DATA!F466,"AAAAAD/r/+w=")</f>
        <v>#VALUE!</v>
      </c>
      <c r="ID96" t="e">
        <f>AND(DATA!G466,"AAAAAD/r/+0=")</f>
        <v>#VALUE!</v>
      </c>
      <c r="IE96" t="e">
        <f>AND(DATA!H466,"AAAAAD/r/+4=")</f>
        <v>#VALUE!</v>
      </c>
      <c r="IF96" t="e">
        <f>AND(DATA!I466,"AAAAAD/r/+8=")</f>
        <v>#VALUE!</v>
      </c>
      <c r="IG96" t="e">
        <f>AND(DATA!J466,"AAAAAD/r//A=")</f>
        <v>#VALUE!</v>
      </c>
      <c r="IH96" t="e">
        <f>AND(DATA!K466,"AAAAAD/r//E=")</f>
        <v>#VALUE!</v>
      </c>
      <c r="II96" t="b">
        <f>AND(DATA!L467,"AAAAAD/r//I=")</f>
        <v>1</v>
      </c>
      <c r="IJ96" t="b">
        <f>AND(DATA!M467,"AAAAAD/r//M=")</f>
        <v>1</v>
      </c>
      <c r="IK96" t="b">
        <f>AND(DATA!N467,"AAAAAD/r//Q=")</f>
        <v>1</v>
      </c>
      <c r="IL96" t="b">
        <f>AND(DATA!O467,"AAAAAD/r//U=")</f>
        <v>1</v>
      </c>
      <c r="IM96" t="b">
        <f>AND(DATA!P467,"AAAAAD/r//Y=")</f>
        <v>1</v>
      </c>
      <c r="IN96" t="b">
        <f>AND(DATA!Q467,"AAAAAD/r//c=")</f>
        <v>1</v>
      </c>
      <c r="IO96" t="b">
        <f>AND(DATA!R467,"AAAAAD/r//g=")</f>
        <v>1</v>
      </c>
      <c r="IP96" t="b">
        <f>AND(DATA!S467,"AAAAAD/r//k=")</f>
        <v>1</v>
      </c>
      <c r="IQ96" t="b">
        <f>AND(DATA!T467,"AAAAAD/r//o=")</f>
        <v>1</v>
      </c>
      <c r="IR96" t="b">
        <f>AND(DATA!U467,"AAAAAD/r//s=")</f>
        <v>1</v>
      </c>
      <c r="IS96" t="b">
        <f>AND(DATA!V467,"AAAAAD/r//w=")</f>
        <v>1</v>
      </c>
      <c r="IT96" t="e">
        <f>AND(DATA!W466,"AAAAAD/r//0=")</f>
        <v>#VALUE!</v>
      </c>
      <c r="IU96" t="e">
        <f>AND(DATA!X466,"AAAAAD/r//4=")</f>
        <v>#VALUE!</v>
      </c>
      <c r="IV96" t="e">
        <f>AND(DATA!Y466,"AAAAAD/r//8=")</f>
        <v>#VALUE!</v>
      </c>
    </row>
    <row r="97" spans="1:256" x14ac:dyDescent="0.25">
      <c r="A97">
        <f>IF(DATA!467:467,"AAAAAG1v3AA=",0)</f>
        <v>0</v>
      </c>
      <c r="B97" t="e">
        <f>AND(DATA!A467,"AAAAAG1v3AE=")</f>
        <v>#VALUE!</v>
      </c>
      <c r="C97" t="e">
        <f>AND(DATA!B467,"AAAAAG1v3AI=")</f>
        <v>#VALUE!</v>
      </c>
      <c r="D97" t="e">
        <f>AND(DATA!C467,"AAAAAG1v3AM=")</f>
        <v>#VALUE!</v>
      </c>
      <c r="E97" t="e">
        <f>AND(DATA!D467,"AAAAAG1v3AQ=")</f>
        <v>#VALUE!</v>
      </c>
      <c r="F97" t="e">
        <f>AND(DATA!E467,"AAAAAG1v3AU=")</f>
        <v>#VALUE!</v>
      </c>
      <c r="G97" t="e">
        <f>AND(DATA!F467,"AAAAAG1v3AY=")</f>
        <v>#VALUE!</v>
      </c>
      <c r="H97" t="e">
        <f>AND(DATA!G467,"AAAAAG1v3Ac=")</f>
        <v>#VALUE!</v>
      </c>
      <c r="I97" t="e">
        <f>AND(DATA!H467,"AAAAAG1v3Ag=")</f>
        <v>#VALUE!</v>
      </c>
      <c r="J97" t="e">
        <f>AND(DATA!I467,"AAAAAG1v3Ak=")</f>
        <v>#VALUE!</v>
      </c>
      <c r="K97" t="e">
        <f>AND(DATA!J467,"AAAAAG1v3Ao=")</f>
        <v>#VALUE!</v>
      </c>
      <c r="L97" t="e">
        <f>AND(DATA!K467,"AAAAAG1v3As=")</f>
        <v>#VALUE!</v>
      </c>
      <c r="M97" t="b">
        <f>AND(DATA!L468,"AAAAAG1v3Aw=")</f>
        <v>1</v>
      </c>
      <c r="N97" t="b">
        <f>AND(DATA!M468,"AAAAAG1v3A0=")</f>
        <v>1</v>
      </c>
      <c r="O97" t="b">
        <f>AND(DATA!N468,"AAAAAG1v3A4=")</f>
        <v>1</v>
      </c>
      <c r="P97" t="b">
        <f>AND(DATA!O468,"AAAAAG1v3A8=")</f>
        <v>1</v>
      </c>
      <c r="Q97" t="b">
        <f>AND(DATA!P468,"AAAAAG1v3BA=")</f>
        <v>1</v>
      </c>
      <c r="R97" t="b">
        <f>AND(DATA!Q468,"AAAAAG1v3BE=")</f>
        <v>1</v>
      </c>
      <c r="S97" t="b">
        <f>AND(DATA!R468,"AAAAAG1v3BI=")</f>
        <v>1</v>
      </c>
      <c r="T97" t="b">
        <f>AND(DATA!S468,"AAAAAG1v3BM=")</f>
        <v>1</v>
      </c>
      <c r="U97" t="b">
        <f>AND(DATA!T468,"AAAAAG1v3BQ=")</f>
        <v>1</v>
      </c>
      <c r="V97" t="b">
        <f>AND(DATA!U468,"AAAAAG1v3BU=")</f>
        <v>1</v>
      </c>
      <c r="W97" t="b">
        <f>AND(DATA!V468,"AAAAAG1v3BY=")</f>
        <v>1</v>
      </c>
      <c r="X97" t="e">
        <f>AND(DATA!W467,"AAAAAG1v3Bc=")</f>
        <v>#VALUE!</v>
      </c>
      <c r="Y97" t="e">
        <f>AND(DATA!X467,"AAAAAG1v3Bg=")</f>
        <v>#VALUE!</v>
      </c>
      <c r="Z97" t="e">
        <f>AND(DATA!Y467,"AAAAAG1v3Bk=")</f>
        <v>#VALUE!</v>
      </c>
      <c r="AA97">
        <f>IF(DATA!468:468,"AAAAAG1v3Bo=",0)</f>
        <v>0</v>
      </c>
      <c r="AB97" t="e">
        <f>AND(DATA!A468,"AAAAAG1v3Bs=")</f>
        <v>#VALUE!</v>
      </c>
      <c r="AC97" t="e">
        <f>AND(DATA!B468,"AAAAAG1v3Bw=")</f>
        <v>#VALUE!</v>
      </c>
      <c r="AD97" t="e">
        <f>AND(DATA!C468,"AAAAAG1v3B0=")</f>
        <v>#VALUE!</v>
      </c>
      <c r="AE97" t="e">
        <f>AND(DATA!D468,"AAAAAG1v3B4=")</f>
        <v>#VALUE!</v>
      </c>
      <c r="AF97" t="e">
        <f>AND(DATA!E468,"AAAAAG1v3B8=")</f>
        <v>#VALUE!</v>
      </c>
      <c r="AG97" t="e">
        <f>AND(DATA!F468,"AAAAAG1v3CA=")</f>
        <v>#VALUE!</v>
      </c>
      <c r="AH97" t="e">
        <f>AND(DATA!G468,"AAAAAG1v3CE=")</f>
        <v>#VALUE!</v>
      </c>
      <c r="AI97" t="e">
        <f>AND(DATA!H468,"AAAAAG1v3CI=")</f>
        <v>#VALUE!</v>
      </c>
      <c r="AJ97" t="e">
        <f>AND(DATA!I468,"AAAAAG1v3CM=")</f>
        <v>#VALUE!</v>
      </c>
      <c r="AK97" t="e">
        <f>AND(DATA!J468,"AAAAAG1v3CQ=")</f>
        <v>#VALUE!</v>
      </c>
      <c r="AL97" t="e">
        <f>AND(DATA!K468,"AAAAAG1v3CU=")</f>
        <v>#VALUE!</v>
      </c>
      <c r="AM97" t="b">
        <f>AND(DATA!L469,"AAAAAG1v3CY=")</f>
        <v>1</v>
      </c>
      <c r="AN97" t="b">
        <f>AND(DATA!M469,"AAAAAG1v3Cc=")</f>
        <v>1</v>
      </c>
      <c r="AO97" t="b">
        <f>AND(DATA!N469,"AAAAAG1v3Cg=")</f>
        <v>1</v>
      </c>
      <c r="AP97" t="b">
        <f>AND(DATA!O469,"AAAAAG1v3Ck=")</f>
        <v>1</v>
      </c>
      <c r="AQ97" t="b">
        <f>AND(DATA!P469,"AAAAAG1v3Co=")</f>
        <v>1</v>
      </c>
      <c r="AR97" t="b">
        <f>AND(DATA!Q469,"AAAAAG1v3Cs=")</f>
        <v>1</v>
      </c>
      <c r="AS97" t="b">
        <f>AND(DATA!R469,"AAAAAG1v3Cw=")</f>
        <v>1</v>
      </c>
      <c r="AT97" t="b">
        <f>AND(DATA!S469,"AAAAAG1v3C0=")</f>
        <v>1</v>
      </c>
      <c r="AU97" t="b">
        <f>AND(DATA!T469,"AAAAAG1v3C4=")</f>
        <v>1</v>
      </c>
      <c r="AV97" t="b">
        <f>AND(DATA!U469,"AAAAAG1v3C8=")</f>
        <v>1</v>
      </c>
      <c r="AW97" t="b">
        <f>AND(DATA!V469,"AAAAAG1v3DA=")</f>
        <v>1</v>
      </c>
      <c r="AX97" t="e">
        <f>AND(DATA!W468,"AAAAAG1v3DE=")</f>
        <v>#VALUE!</v>
      </c>
      <c r="AY97" t="e">
        <f>AND(DATA!X468,"AAAAAG1v3DI=")</f>
        <v>#VALUE!</v>
      </c>
      <c r="AZ97" t="e">
        <f>AND(DATA!Y468,"AAAAAG1v3DM=")</f>
        <v>#VALUE!</v>
      </c>
      <c r="BA97">
        <f>IF(DATA!469:469,"AAAAAG1v3DQ=",0)</f>
        <v>0</v>
      </c>
      <c r="BB97" t="e">
        <f>AND(DATA!A469,"AAAAAG1v3DU=")</f>
        <v>#VALUE!</v>
      </c>
      <c r="BC97" t="e">
        <f>AND(DATA!B469,"AAAAAG1v3DY=")</f>
        <v>#VALUE!</v>
      </c>
      <c r="BD97" t="e">
        <f>AND(DATA!C469,"AAAAAG1v3Dc=")</f>
        <v>#VALUE!</v>
      </c>
      <c r="BE97" t="e">
        <f>AND(DATA!D469,"AAAAAG1v3Dg=")</f>
        <v>#VALUE!</v>
      </c>
      <c r="BF97" t="e">
        <f>AND(DATA!E469,"AAAAAG1v3Dk=")</f>
        <v>#VALUE!</v>
      </c>
      <c r="BG97" t="e">
        <f>AND(DATA!F469,"AAAAAG1v3Do=")</f>
        <v>#VALUE!</v>
      </c>
      <c r="BH97" t="e">
        <f>AND(DATA!G469,"AAAAAG1v3Ds=")</f>
        <v>#VALUE!</v>
      </c>
      <c r="BI97" t="e">
        <f>AND(DATA!H469,"AAAAAG1v3Dw=")</f>
        <v>#VALUE!</v>
      </c>
      <c r="BJ97" t="e">
        <f>AND(DATA!I469,"AAAAAG1v3D0=")</f>
        <v>#VALUE!</v>
      </c>
      <c r="BK97" t="e">
        <f>AND(DATA!J469,"AAAAAG1v3D4=")</f>
        <v>#VALUE!</v>
      </c>
      <c r="BL97" t="e">
        <f>AND(DATA!K469,"AAAAAG1v3D8=")</f>
        <v>#VALUE!</v>
      </c>
      <c r="BM97" t="b">
        <f>AND(DATA!L470,"AAAAAG1v3EA=")</f>
        <v>1</v>
      </c>
      <c r="BN97" t="b">
        <f>AND(DATA!M470,"AAAAAG1v3EE=")</f>
        <v>1</v>
      </c>
      <c r="BO97" t="b">
        <f>AND(DATA!N470,"AAAAAG1v3EI=")</f>
        <v>1</v>
      </c>
      <c r="BP97" t="b">
        <f>AND(DATA!O470,"AAAAAG1v3EM=")</f>
        <v>1</v>
      </c>
      <c r="BQ97" t="b">
        <f>AND(DATA!P470,"AAAAAG1v3EQ=")</f>
        <v>1</v>
      </c>
      <c r="BR97" t="b">
        <f>AND(DATA!Q470,"AAAAAG1v3EU=")</f>
        <v>1</v>
      </c>
      <c r="BS97" t="b">
        <f>AND(DATA!R470,"AAAAAG1v3EY=")</f>
        <v>1</v>
      </c>
      <c r="BT97" t="b">
        <f>AND(DATA!S470,"AAAAAG1v3Ec=")</f>
        <v>1</v>
      </c>
      <c r="BU97" t="b">
        <f>AND(DATA!T470,"AAAAAG1v3Eg=")</f>
        <v>1</v>
      </c>
      <c r="BV97" t="b">
        <f>AND(DATA!U470,"AAAAAG1v3Ek=")</f>
        <v>1</v>
      </c>
      <c r="BW97" t="b">
        <f>AND(DATA!V470,"AAAAAG1v3Eo=")</f>
        <v>1</v>
      </c>
      <c r="BX97" t="e">
        <f>AND(DATA!W469,"AAAAAG1v3Es=")</f>
        <v>#VALUE!</v>
      </c>
      <c r="BY97" t="e">
        <f>AND(DATA!X469,"AAAAAG1v3Ew=")</f>
        <v>#VALUE!</v>
      </c>
      <c r="BZ97" t="e">
        <f>AND(DATA!Y469,"AAAAAG1v3E0=")</f>
        <v>#VALUE!</v>
      </c>
      <c r="CA97">
        <f>IF(DATA!470:470,"AAAAAG1v3E4=",0)</f>
        <v>0</v>
      </c>
      <c r="CB97" t="e">
        <f>AND(DATA!A470,"AAAAAG1v3E8=")</f>
        <v>#VALUE!</v>
      </c>
      <c r="CC97" t="e">
        <f>AND(DATA!B470,"AAAAAG1v3FA=")</f>
        <v>#VALUE!</v>
      </c>
      <c r="CD97" t="e">
        <f>AND(DATA!C470,"AAAAAG1v3FE=")</f>
        <v>#VALUE!</v>
      </c>
      <c r="CE97" t="e">
        <f>AND(DATA!D470,"AAAAAG1v3FI=")</f>
        <v>#VALUE!</v>
      </c>
      <c r="CF97" t="e">
        <f>AND(DATA!E470,"AAAAAG1v3FM=")</f>
        <v>#VALUE!</v>
      </c>
      <c r="CG97" t="e">
        <f>AND(DATA!F470,"AAAAAG1v3FQ=")</f>
        <v>#VALUE!</v>
      </c>
      <c r="CH97" t="e">
        <f>AND(DATA!G470,"AAAAAG1v3FU=")</f>
        <v>#VALUE!</v>
      </c>
      <c r="CI97" t="e">
        <f>AND(DATA!H470,"AAAAAG1v3FY=")</f>
        <v>#VALUE!</v>
      </c>
      <c r="CJ97" t="e">
        <f>AND(DATA!I470,"AAAAAG1v3Fc=")</f>
        <v>#VALUE!</v>
      </c>
      <c r="CK97" t="e">
        <f>AND(DATA!J470,"AAAAAG1v3Fg=")</f>
        <v>#VALUE!</v>
      </c>
      <c r="CL97" t="e">
        <f>AND(DATA!K470,"AAAAAG1v3Fk=")</f>
        <v>#VALUE!</v>
      </c>
      <c r="CM97" t="b">
        <f>AND(DATA!L471,"AAAAAG1v3Fo=")</f>
        <v>1</v>
      </c>
      <c r="CN97" t="b">
        <f>AND(DATA!M471,"AAAAAG1v3Fs=")</f>
        <v>1</v>
      </c>
      <c r="CO97" t="b">
        <f>AND(DATA!N471,"AAAAAG1v3Fw=")</f>
        <v>1</v>
      </c>
      <c r="CP97" t="b">
        <f>AND(DATA!O471,"AAAAAG1v3F0=")</f>
        <v>1</v>
      </c>
      <c r="CQ97" t="b">
        <f>AND(DATA!P471,"AAAAAG1v3F4=")</f>
        <v>1</v>
      </c>
      <c r="CR97" t="b">
        <f>AND(DATA!Q471,"AAAAAG1v3F8=")</f>
        <v>1</v>
      </c>
      <c r="CS97" t="b">
        <f>AND(DATA!R471,"AAAAAG1v3GA=")</f>
        <v>1</v>
      </c>
      <c r="CT97" t="b">
        <f>AND(DATA!S471,"AAAAAG1v3GE=")</f>
        <v>1</v>
      </c>
      <c r="CU97" t="b">
        <f>AND(DATA!T471,"AAAAAG1v3GI=")</f>
        <v>1</v>
      </c>
      <c r="CV97" t="b">
        <f>AND(DATA!U471,"AAAAAG1v3GM=")</f>
        <v>1</v>
      </c>
      <c r="CW97" t="b">
        <f>AND(DATA!V471,"AAAAAG1v3GQ=")</f>
        <v>1</v>
      </c>
      <c r="CX97" t="e">
        <f>AND(DATA!W470,"AAAAAG1v3GU=")</f>
        <v>#VALUE!</v>
      </c>
      <c r="CY97" t="e">
        <f>AND(DATA!X470,"AAAAAG1v3GY=")</f>
        <v>#VALUE!</v>
      </c>
      <c r="CZ97" t="e">
        <f>AND(DATA!Y470,"AAAAAG1v3Gc=")</f>
        <v>#VALUE!</v>
      </c>
      <c r="DA97">
        <f>IF(DATA!471:471,"AAAAAG1v3Gg=",0)</f>
        <v>0</v>
      </c>
      <c r="DB97" t="e">
        <f>AND(DATA!A471,"AAAAAG1v3Gk=")</f>
        <v>#VALUE!</v>
      </c>
      <c r="DC97" t="e">
        <f>AND(DATA!B471,"AAAAAG1v3Go=")</f>
        <v>#VALUE!</v>
      </c>
      <c r="DD97" t="e">
        <f>AND(DATA!C471,"AAAAAG1v3Gs=")</f>
        <v>#VALUE!</v>
      </c>
      <c r="DE97" t="e">
        <f>AND(DATA!D471,"AAAAAG1v3Gw=")</f>
        <v>#VALUE!</v>
      </c>
      <c r="DF97" t="e">
        <f>AND(DATA!E471,"AAAAAG1v3G0=")</f>
        <v>#VALUE!</v>
      </c>
      <c r="DG97" t="e">
        <f>AND(DATA!F471,"AAAAAG1v3G4=")</f>
        <v>#VALUE!</v>
      </c>
      <c r="DH97" t="e">
        <f>AND(DATA!G471,"AAAAAG1v3G8=")</f>
        <v>#VALUE!</v>
      </c>
      <c r="DI97" t="e">
        <f>AND(DATA!H471,"AAAAAG1v3HA=")</f>
        <v>#VALUE!</v>
      </c>
      <c r="DJ97" t="e">
        <f>AND(DATA!I471,"AAAAAG1v3HE=")</f>
        <v>#VALUE!</v>
      </c>
      <c r="DK97" t="e">
        <f>AND(DATA!J471,"AAAAAG1v3HI=")</f>
        <v>#VALUE!</v>
      </c>
      <c r="DL97" t="e">
        <f>AND(DATA!K471,"AAAAAG1v3HM=")</f>
        <v>#VALUE!</v>
      </c>
      <c r="DM97" t="b">
        <f>AND(DATA!L472,"AAAAAG1v3HQ=")</f>
        <v>1</v>
      </c>
      <c r="DN97" t="b">
        <f>AND(DATA!M472,"AAAAAG1v3HU=")</f>
        <v>1</v>
      </c>
      <c r="DO97" t="b">
        <f>AND(DATA!N472,"AAAAAG1v3HY=")</f>
        <v>1</v>
      </c>
      <c r="DP97" t="b">
        <f>AND(DATA!O472,"AAAAAG1v3Hc=")</f>
        <v>1</v>
      </c>
      <c r="DQ97" t="b">
        <f>AND(DATA!P472,"AAAAAG1v3Hg=")</f>
        <v>1</v>
      </c>
      <c r="DR97" t="b">
        <f>AND(DATA!Q472,"AAAAAG1v3Hk=")</f>
        <v>1</v>
      </c>
      <c r="DS97" t="b">
        <f>AND(DATA!R472,"AAAAAG1v3Ho=")</f>
        <v>1</v>
      </c>
      <c r="DT97" t="b">
        <f>AND(DATA!S472,"AAAAAG1v3Hs=")</f>
        <v>1</v>
      </c>
      <c r="DU97" t="b">
        <f>AND(DATA!T472,"AAAAAG1v3Hw=")</f>
        <v>1</v>
      </c>
      <c r="DV97" t="b">
        <f>AND(DATA!U472,"AAAAAG1v3H0=")</f>
        <v>1</v>
      </c>
      <c r="DW97" t="b">
        <f>AND(DATA!V472,"AAAAAG1v3H4=")</f>
        <v>1</v>
      </c>
      <c r="DX97" t="e">
        <f>AND(DATA!W471,"AAAAAG1v3H8=")</f>
        <v>#VALUE!</v>
      </c>
      <c r="DY97" t="e">
        <f>AND(DATA!X471,"AAAAAG1v3IA=")</f>
        <v>#VALUE!</v>
      </c>
      <c r="DZ97" t="e">
        <f>AND(DATA!Y471,"AAAAAG1v3IE=")</f>
        <v>#VALUE!</v>
      </c>
      <c r="EA97">
        <f>IF(DATA!472:472,"AAAAAG1v3II=",0)</f>
        <v>0</v>
      </c>
      <c r="EB97" t="e">
        <f>AND(DATA!A472,"AAAAAG1v3IM=")</f>
        <v>#VALUE!</v>
      </c>
      <c r="EC97" t="e">
        <f>AND(DATA!B472,"AAAAAG1v3IQ=")</f>
        <v>#VALUE!</v>
      </c>
      <c r="ED97" t="e">
        <f>AND(DATA!C472,"AAAAAG1v3IU=")</f>
        <v>#VALUE!</v>
      </c>
      <c r="EE97" t="e">
        <f>AND(DATA!D472,"AAAAAG1v3IY=")</f>
        <v>#VALUE!</v>
      </c>
      <c r="EF97" t="e">
        <f>AND(DATA!E472,"AAAAAG1v3Ic=")</f>
        <v>#VALUE!</v>
      </c>
      <c r="EG97" t="e">
        <f>AND(DATA!F472,"AAAAAG1v3Ig=")</f>
        <v>#VALUE!</v>
      </c>
      <c r="EH97" t="e">
        <f>AND(DATA!G472,"AAAAAG1v3Ik=")</f>
        <v>#VALUE!</v>
      </c>
      <c r="EI97" t="e">
        <f>AND(DATA!H472,"AAAAAG1v3Io=")</f>
        <v>#VALUE!</v>
      </c>
      <c r="EJ97" t="e">
        <f>AND(DATA!I472,"AAAAAG1v3Is=")</f>
        <v>#VALUE!</v>
      </c>
      <c r="EK97" t="e">
        <f>AND(DATA!J472,"AAAAAG1v3Iw=")</f>
        <v>#VALUE!</v>
      </c>
      <c r="EL97" t="e">
        <f>AND(DATA!K472,"AAAAAG1v3I0=")</f>
        <v>#VALUE!</v>
      </c>
      <c r="EM97" t="b">
        <f>AND(DATA!L473,"AAAAAG1v3I4=")</f>
        <v>1</v>
      </c>
      <c r="EN97" t="b">
        <f>AND(DATA!M473,"AAAAAG1v3I8=")</f>
        <v>1</v>
      </c>
      <c r="EO97" t="b">
        <f>AND(DATA!N473,"AAAAAG1v3JA=")</f>
        <v>1</v>
      </c>
      <c r="EP97" t="b">
        <f>AND(DATA!O473,"AAAAAG1v3JE=")</f>
        <v>1</v>
      </c>
      <c r="EQ97" t="b">
        <f>AND(DATA!P473,"AAAAAG1v3JI=")</f>
        <v>1</v>
      </c>
      <c r="ER97" t="b">
        <f>AND(DATA!Q473,"AAAAAG1v3JM=")</f>
        <v>1</v>
      </c>
      <c r="ES97" t="b">
        <f>AND(DATA!R473,"AAAAAG1v3JQ=")</f>
        <v>1</v>
      </c>
      <c r="ET97" t="b">
        <f>AND(DATA!S473,"AAAAAG1v3JU=")</f>
        <v>1</v>
      </c>
      <c r="EU97" t="b">
        <f>AND(DATA!T473,"AAAAAG1v3JY=")</f>
        <v>1</v>
      </c>
      <c r="EV97" t="b">
        <f>AND(DATA!U473,"AAAAAG1v3Jc=")</f>
        <v>1</v>
      </c>
      <c r="EW97" t="b">
        <f>AND(DATA!V473,"AAAAAG1v3Jg=")</f>
        <v>1</v>
      </c>
      <c r="EX97" t="e">
        <f>AND(DATA!W472,"AAAAAG1v3Jk=")</f>
        <v>#VALUE!</v>
      </c>
      <c r="EY97" t="e">
        <f>AND(DATA!X472,"AAAAAG1v3Jo=")</f>
        <v>#VALUE!</v>
      </c>
      <c r="EZ97" t="e">
        <f>AND(DATA!Y472,"AAAAAG1v3Js=")</f>
        <v>#VALUE!</v>
      </c>
      <c r="FA97">
        <f>IF(DATA!473:473,"AAAAAG1v3Jw=",0)</f>
        <v>0</v>
      </c>
      <c r="FB97" t="e">
        <f>AND(DATA!A473,"AAAAAG1v3J0=")</f>
        <v>#VALUE!</v>
      </c>
      <c r="FC97" t="e">
        <f>AND(DATA!B473,"AAAAAG1v3J4=")</f>
        <v>#VALUE!</v>
      </c>
      <c r="FD97" t="e">
        <f>AND(DATA!C473,"AAAAAG1v3J8=")</f>
        <v>#VALUE!</v>
      </c>
      <c r="FE97" t="e">
        <f>AND(DATA!D473,"AAAAAG1v3KA=")</f>
        <v>#VALUE!</v>
      </c>
      <c r="FF97" t="e">
        <f>AND(DATA!E473,"AAAAAG1v3KE=")</f>
        <v>#VALUE!</v>
      </c>
      <c r="FG97" t="e">
        <f>AND(DATA!F473,"AAAAAG1v3KI=")</f>
        <v>#VALUE!</v>
      </c>
      <c r="FH97" t="e">
        <f>AND(DATA!G473,"AAAAAG1v3KM=")</f>
        <v>#VALUE!</v>
      </c>
      <c r="FI97" t="e">
        <f>AND(DATA!H473,"AAAAAG1v3KQ=")</f>
        <v>#VALUE!</v>
      </c>
      <c r="FJ97" t="e">
        <f>AND(DATA!I473,"AAAAAG1v3KU=")</f>
        <v>#VALUE!</v>
      </c>
      <c r="FK97" t="e">
        <f>AND(DATA!J473,"AAAAAG1v3KY=")</f>
        <v>#VALUE!</v>
      </c>
      <c r="FL97" t="e">
        <f>AND(DATA!K473,"AAAAAG1v3Kc=")</f>
        <v>#VALUE!</v>
      </c>
      <c r="FM97" t="b">
        <f>AND(DATA!L474,"AAAAAG1v3Kg=")</f>
        <v>1</v>
      </c>
      <c r="FN97" t="b">
        <f>AND(DATA!M474,"AAAAAG1v3Kk=")</f>
        <v>1</v>
      </c>
      <c r="FO97" t="b">
        <f>AND(DATA!N474,"AAAAAG1v3Ko=")</f>
        <v>1</v>
      </c>
      <c r="FP97" t="b">
        <f>AND(DATA!O474,"AAAAAG1v3Ks=")</f>
        <v>1</v>
      </c>
      <c r="FQ97" t="b">
        <f>AND(DATA!P474,"AAAAAG1v3Kw=")</f>
        <v>1</v>
      </c>
      <c r="FR97" t="b">
        <f>AND(DATA!Q474,"AAAAAG1v3K0=")</f>
        <v>1</v>
      </c>
      <c r="FS97" t="b">
        <f>AND(DATA!R474,"AAAAAG1v3K4=")</f>
        <v>1</v>
      </c>
      <c r="FT97" t="b">
        <f>AND(DATA!S474,"AAAAAG1v3K8=")</f>
        <v>1</v>
      </c>
      <c r="FU97" t="b">
        <f>AND(DATA!T474,"AAAAAG1v3LA=")</f>
        <v>1</v>
      </c>
      <c r="FV97" t="b">
        <f>AND(DATA!U474,"AAAAAG1v3LE=")</f>
        <v>1</v>
      </c>
      <c r="FW97" t="b">
        <f>AND(DATA!V474,"AAAAAG1v3LI=")</f>
        <v>1</v>
      </c>
      <c r="FX97" t="e">
        <f>AND(DATA!W473,"AAAAAG1v3LM=")</f>
        <v>#VALUE!</v>
      </c>
      <c r="FY97" t="e">
        <f>AND(DATA!X473,"AAAAAG1v3LQ=")</f>
        <v>#VALUE!</v>
      </c>
      <c r="FZ97" t="e">
        <f>AND(DATA!Y473,"AAAAAG1v3LU=")</f>
        <v>#VALUE!</v>
      </c>
      <c r="GA97">
        <f>IF(DATA!474:474,"AAAAAG1v3LY=",0)</f>
        <v>0</v>
      </c>
      <c r="GB97" t="e">
        <f>AND(DATA!A474,"AAAAAG1v3Lc=")</f>
        <v>#VALUE!</v>
      </c>
      <c r="GC97" t="e">
        <f>AND(DATA!B474,"AAAAAG1v3Lg=")</f>
        <v>#VALUE!</v>
      </c>
      <c r="GD97" t="e">
        <f>AND(DATA!C474,"AAAAAG1v3Lk=")</f>
        <v>#VALUE!</v>
      </c>
      <c r="GE97" t="e">
        <f>AND(DATA!D474,"AAAAAG1v3Lo=")</f>
        <v>#VALUE!</v>
      </c>
      <c r="GF97" t="e">
        <f>AND(DATA!E474,"AAAAAG1v3Ls=")</f>
        <v>#VALUE!</v>
      </c>
      <c r="GG97" t="e">
        <f>AND(DATA!F474,"AAAAAG1v3Lw=")</f>
        <v>#VALUE!</v>
      </c>
      <c r="GH97" t="e">
        <f>AND(DATA!G474,"AAAAAG1v3L0=")</f>
        <v>#VALUE!</v>
      </c>
      <c r="GI97" t="e">
        <f>AND(DATA!H474,"AAAAAG1v3L4=")</f>
        <v>#VALUE!</v>
      </c>
      <c r="GJ97" t="e">
        <f>AND(DATA!I474,"AAAAAG1v3L8=")</f>
        <v>#VALUE!</v>
      </c>
      <c r="GK97" t="e">
        <f>AND(DATA!J474,"AAAAAG1v3MA=")</f>
        <v>#VALUE!</v>
      </c>
      <c r="GL97" t="e">
        <f>AND(DATA!K474,"AAAAAG1v3ME=")</f>
        <v>#VALUE!</v>
      </c>
      <c r="GM97" t="b">
        <f>AND(DATA!L475,"AAAAAG1v3MI=")</f>
        <v>1</v>
      </c>
      <c r="GN97" t="b">
        <f>AND(DATA!M475,"AAAAAG1v3MM=")</f>
        <v>1</v>
      </c>
      <c r="GO97" t="b">
        <f>AND(DATA!N475,"AAAAAG1v3MQ=")</f>
        <v>1</v>
      </c>
      <c r="GP97" t="b">
        <f>AND(DATA!O475,"AAAAAG1v3MU=")</f>
        <v>1</v>
      </c>
      <c r="GQ97" t="b">
        <f>AND(DATA!P475,"AAAAAG1v3MY=")</f>
        <v>1</v>
      </c>
      <c r="GR97" t="b">
        <f>AND(DATA!Q475,"AAAAAG1v3Mc=")</f>
        <v>1</v>
      </c>
      <c r="GS97" t="b">
        <f>AND(DATA!R475,"AAAAAG1v3Mg=")</f>
        <v>1</v>
      </c>
      <c r="GT97" t="b">
        <f>AND(DATA!S475,"AAAAAG1v3Mk=")</f>
        <v>1</v>
      </c>
      <c r="GU97" t="b">
        <f>AND(DATA!T475,"AAAAAG1v3Mo=")</f>
        <v>1</v>
      </c>
      <c r="GV97" t="b">
        <f>AND(DATA!U475,"AAAAAG1v3Ms=")</f>
        <v>1</v>
      </c>
      <c r="GW97" t="b">
        <f>AND(DATA!V475,"AAAAAG1v3Mw=")</f>
        <v>1</v>
      </c>
      <c r="GX97" t="e">
        <f>AND(DATA!W474,"AAAAAG1v3M0=")</f>
        <v>#VALUE!</v>
      </c>
      <c r="GY97" t="e">
        <f>AND(DATA!X474,"AAAAAG1v3M4=")</f>
        <v>#VALUE!</v>
      </c>
      <c r="GZ97" t="e">
        <f>AND(DATA!Y474,"AAAAAG1v3M8=")</f>
        <v>#VALUE!</v>
      </c>
      <c r="HA97">
        <f>IF(DATA!475:475,"AAAAAG1v3NA=",0)</f>
        <v>0</v>
      </c>
      <c r="HB97" t="e">
        <f>AND(DATA!A475,"AAAAAG1v3NE=")</f>
        <v>#VALUE!</v>
      </c>
      <c r="HC97" t="e">
        <f>AND(DATA!B475,"AAAAAG1v3NI=")</f>
        <v>#VALUE!</v>
      </c>
      <c r="HD97" t="e">
        <f>AND(DATA!C475,"AAAAAG1v3NM=")</f>
        <v>#VALUE!</v>
      </c>
      <c r="HE97" t="e">
        <f>AND(DATA!D475,"AAAAAG1v3NQ=")</f>
        <v>#VALUE!</v>
      </c>
      <c r="HF97" t="e">
        <f>AND(DATA!E475,"AAAAAG1v3NU=")</f>
        <v>#VALUE!</v>
      </c>
      <c r="HG97" t="e">
        <f>AND(DATA!F475,"AAAAAG1v3NY=")</f>
        <v>#VALUE!</v>
      </c>
      <c r="HH97" t="e">
        <f>AND(DATA!G475,"AAAAAG1v3Nc=")</f>
        <v>#VALUE!</v>
      </c>
      <c r="HI97" t="e">
        <f>AND(DATA!H475,"AAAAAG1v3Ng=")</f>
        <v>#VALUE!</v>
      </c>
      <c r="HJ97" t="e">
        <f>AND(DATA!I475,"AAAAAG1v3Nk=")</f>
        <v>#VALUE!</v>
      </c>
      <c r="HK97" t="e">
        <f>AND(DATA!J475,"AAAAAG1v3No=")</f>
        <v>#VALUE!</v>
      </c>
      <c r="HL97" t="e">
        <f>AND(DATA!K475,"AAAAAG1v3Ns=")</f>
        <v>#VALUE!</v>
      </c>
      <c r="HM97" t="b">
        <f>AND(DATA!L476,"AAAAAG1v3Nw=")</f>
        <v>1</v>
      </c>
      <c r="HN97" t="b">
        <f>AND(DATA!M476,"AAAAAG1v3N0=")</f>
        <v>1</v>
      </c>
      <c r="HO97" t="b">
        <f>AND(DATA!N476,"AAAAAG1v3N4=")</f>
        <v>1</v>
      </c>
      <c r="HP97" t="b">
        <f>AND(DATA!O476,"AAAAAG1v3N8=")</f>
        <v>1</v>
      </c>
      <c r="HQ97" t="b">
        <f>AND(DATA!P476,"AAAAAG1v3OA=")</f>
        <v>1</v>
      </c>
      <c r="HR97" t="b">
        <f>AND(DATA!Q476,"AAAAAG1v3OE=")</f>
        <v>1</v>
      </c>
      <c r="HS97" t="b">
        <f>AND(DATA!R476,"AAAAAG1v3OI=")</f>
        <v>1</v>
      </c>
      <c r="HT97" t="b">
        <f>AND(DATA!S476,"AAAAAG1v3OM=")</f>
        <v>1</v>
      </c>
      <c r="HU97" t="b">
        <f>AND(DATA!T476,"AAAAAG1v3OQ=")</f>
        <v>1</v>
      </c>
      <c r="HV97" t="b">
        <f>AND(DATA!U476,"AAAAAG1v3OU=")</f>
        <v>1</v>
      </c>
      <c r="HW97" t="b">
        <f>AND(DATA!V476,"AAAAAG1v3OY=")</f>
        <v>1</v>
      </c>
      <c r="HX97" t="e">
        <f>AND(DATA!W475,"AAAAAG1v3Oc=")</f>
        <v>#VALUE!</v>
      </c>
      <c r="HY97" t="e">
        <f>AND(DATA!X475,"AAAAAG1v3Og=")</f>
        <v>#VALUE!</v>
      </c>
      <c r="HZ97" t="e">
        <f>AND(DATA!Y475,"AAAAAG1v3Ok=")</f>
        <v>#VALUE!</v>
      </c>
      <c r="IA97">
        <f>IF(DATA!476:476,"AAAAAG1v3Oo=",0)</f>
        <v>0</v>
      </c>
      <c r="IB97" t="e">
        <f>AND(DATA!A476,"AAAAAG1v3Os=")</f>
        <v>#VALUE!</v>
      </c>
      <c r="IC97" t="e">
        <f>AND(DATA!B476,"AAAAAG1v3Ow=")</f>
        <v>#VALUE!</v>
      </c>
      <c r="ID97" t="e">
        <f>AND(DATA!C476,"AAAAAG1v3O0=")</f>
        <v>#VALUE!</v>
      </c>
      <c r="IE97" t="e">
        <f>AND(DATA!D476,"AAAAAG1v3O4=")</f>
        <v>#VALUE!</v>
      </c>
      <c r="IF97" t="e">
        <f>AND(DATA!E476,"AAAAAG1v3O8=")</f>
        <v>#VALUE!</v>
      </c>
      <c r="IG97" t="e">
        <f>AND(DATA!F476,"AAAAAG1v3PA=")</f>
        <v>#VALUE!</v>
      </c>
      <c r="IH97" t="e">
        <f>AND(DATA!G476,"AAAAAG1v3PE=")</f>
        <v>#VALUE!</v>
      </c>
      <c r="II97" t="e">
        <f>AND(DATA!H476,"AAAAAG1v3PI=")</f>
        <v>#VALUE!</v>
      </c>
      <c r="IJ97" t="e">
        <f>AND(DATA!I476,"AAAAAG1v3PM=")</f>
        <v>#VALUE!</v>
      </c>
      <c r="IK97" t="e">
        <f>AND(DATA!J476,"AAAAAG1v3PQ=")</f>
        <v>#VALUE!</v>
      </c>
      <c r="IL97" t="e">
        <f>AND(DATA!K476,"AAAAAG1v3PU=")</f>
        <v>#VALUE!</v>
      </c>
      <c r="IM97" t="b">
        <f>AND(DATA!L477,"AAAAAG1v3PY=")</f>
        <v>1</v>
      </c>
      <c r="IN97" t="b">
        <f>AND(DATA!M477,"AAAAAG1v3Pc=")</f>
        <v>1</v>
      </c>
      <c r="IO97" t="b">
        <f>AND(DATA!N477,"AAAAAG1v3Pg=")</f>
        <v>1</v>
      </c>
      <c r="IP97" t="b">
        <f>AND(DATA!O477,"AAAAAG1v3Pk=")</f>
        <v>1</v>
      </c>
      <c r="IQ97" t="b">
        <f>AND(DATA!P477,"AAAAAG1v3Po=")</f>
        <v>1</v>
      </c>
      <c r="IR97" t="b">
        <f>AND(DATA!Q477,"AAAAAG1v3Ps=")</f>
        <v>1</v>
      </c>
      <c r="IS97" t="b">
        <f>AND(DATA!R477,"AAAAAG1v3Pw=")</f>
        <v>1</v>
      </c>
      <c r="IT97" t="b">
        <f>AND(DATA!S477,"AAAAAG1v3P0=")</f>
        <v>1</v>
      </c>
      <c r="IU97" t="b">
        <f>AND(DATA!T477,"AAAAAG1v3P4=")</f>
        <v>1</v>
      </c>
      <c r="IV97" t="b">
        <f>AND(DATA!U477,"AAAAAG1v3P8=")</f>
        <v>1</v>
      </c>
    </row>
    <row r="98" spans="1:256" x14ac:dyDescent="0.25">
      <c r="A98" t="b">
        <f>AND(DATA!V477,"AAAAAH37nwA=")</f>
        <v>1</v>
      </c>
      <c r="B98" t="e">
        <f>AND(DATA!W476,"AAAAAH37nwE=")</f>
        <v>#VALUE!</v>
      </c>
      <c r="C98" t="e">
        <f>AND(DATA!X476,"AAAAAH37nwI=")</f>
        <v>#VALUE!</v>
      </c>
      <c r="D98" t="e">
        <f>AND(DATA!Y476,"AAAAAH37nwM=")</f>
        <v>#VALUE!</v>
      </c>
      <c r="E98">
        <f>IF(DATA!477:477,"AAAAAH37nwQ=",0)</f>
        <v>0</v>
      </c>
      <c r="F98" t="e">
        <f>AND(DATA!A477,"AAAAAH37nwU=")</f>
        <v>#VALUE!</v>
      </c>
      <c r="G98" t="e">
        <f>AND(DATA!B477,"AAAAAH37nwY=")</f>
        <v>#VALUE!</v>
      </c>
      <c r="H98" t="e">
        <f>AND(DATA!C477,"AAAAAH37nwc=")</f>
        <v>#VALUE!</v>
      </c>
      <c r="I98" t="e">
        <f>AND(DATA!D477,"AAAAAH37nwg=")</f>
        <v>#VALUE!</v>
      </c>
      <c r="J98" t="e">
        <f>AND(DATA!E477,"AAAAAH37nwk=")</f>
        <v>#VALUE!</v>
      </c>
      <c r="K98" t="e">
        <f>AND(DATA!F477,"AAAAAH37nwo=")</f>
        <v>#VALUE!</v>
      </c>
      <c r="L98" t="e">
        <f>AND(DATA!G477,"AAAAAH37nws=")</f>
        <v>#VALUE!</v>
      </c>
      <c r="M98" t="e">
        <f>AND(DATA!H477,"AAAAAH37nww=")</f>
        <v>#VALUE!</v>
      </c>
      <c r="N98" t="e">
        <f>AND(DATA!I477,"AAAAAH37nw0=")</f>
        <v>#VALUE!</v>
      </c>
      <c r="O98" t="e">
        <f>AND(DATA!J477,"AAAAAH37nw4=")</f>
        <v>#VALUE!</v>
      </c>
      <c r="P98" t="e">
        <f>AND(DATA!K477,"AAAAAH37nw8=")</f>
        <v>#VALUE!</v>
      </c>
      <c r="Q98" t="b">
        <f>AND(DATA!L478,"AAAAAH37nxA=")</f>
        <v>1</v>
      </c>
      <c r="R98" t="b">
        <f>AND(DATA!M478,"AAAAAH37nxE=")</f>
        <v>1</v>
      </c>
      <c r="S98" t="b">
        <f>AND(DATA!N478,"AAAAAH37nxI=")</f>
        <v>1</v>
      </c>
      <c r="T98" t="b">
        <f>AND(DATA!O478,"AAAAAH37nxM=")</f>
        <v>1</v>
      </c>
      <c r="U98" t="b">
        <f>AND(DATA!P478,"AAAAAH37nxQ=")</f>
        <v>1</v>
      </c>
      <c r="V98" t="b">
        <f>AND(DATA!Q478,"AAAAAH37nxU=")</f>
        <v>1</v>
      </c>
      <c r="W98" t="b">
        <f>AND(DATA!R478,"AAAAAH37nxY=")</f>
        <v>1</v>
      </c>
      <c r="X98" t="b">
        <f>AND(DATA!S478,"AAAAAH37nxc=")</f>
        <v>1</v>
      </c>
      <c r="Y98" t="b">
        <f>AND(DATA!T478,"AAAAAH37nxg=")</f>
        <v>1</v>
      </c>
      <c r="Z98" t="b">
        <f>AND(DATA!U478,"AAAAAH37nxk=")</f>
        <v>1</v>
      </c>
      <c r="AA98" t="b">
        <f>AND(DATA!V478,"AAAAAH37nxo=")</f>
        <v>1</v>
      </c>
      <c r="AB98" t="e">
        <f>AND(DATA!W477,"AAAAAH37nxs=")</f>
        <v>#VALUE!</v>
      </c>
      <c r="AC98" t="e">
        <f>AND(DATA!X477,"AAAAAH37nxw=")</f>
        <v>#VALUE!</v>
      </c>
      <c r="AD98" t="e">
        <f>AND(DATA!Y477,"AAAAAH37nx0=")</f>
        <v>#VALUE!</v>
      </c>
      <c r="AE98">
        <f>IF(DATA!478:478,"AAAAAH37nx4=",0)</f>
        <v>0</v>
      </c>
      <c r="AF98" t="e">
        <f>AND(DATA!A478,"AAAAAH37nx8=")</f>
        <v>#VALUE!</v>
      </c>
      <c r="AG98" t="e">
        <f>AND(DATA!B478,"AAAAAH37nyA=")</f>
        <v>#VALUE!</v>
      </c>
      <c r="AH98" t="e">
        <f>AND(DATA!C478,"AAAAAH37nyE=")</f>
        <v>#VALUE!</v>
      </c>
      <c r="AI98" t="e">
        <f>AND(DATA!D478,"AAAAAH37nyI=")</f>
        <v>#VALUE!</v>
      </c>
      <c r="AJ98" t="e">
        <f>AND(DATA!E478,"AAAAAH37nyM=")</f>
        <v>#VALUE!</v>
      </c>
      <c r="AK98" t="e">
        <f>AND(DATA!F478,"AAAAAH37nyQ=")</f>
        <v>#VALUE!</v>
      </c>
      <c r="AL98" t="e">
        <f>AND(DATA!G478,"AAAAAH37nyU=")</f>
        <v>#VALUE!</v>
      </c>
      <c r="AM98" t="e">
        <f>AND(DATA!H478,"AAAAAH37nyY=")</f>
        <v>#VALUE!</v>
      </c>
      <c r="AN98" t="e">
        <f>AND(DATA!I478,"AAAAAH37nyc=")</f>
        <v>#VALUE!</v>
      </c>
      <c r="AO98" t="e">
        <f>AND(DATA!J478,"AAAAAH37nyg=")</f>
        <v>#VALUE!</v>
      </c>
      <c r="AP98" t="e">
        <f>AND(DATA!K478,"AAAAAH37nyk=")</f>
        <v>#VALUE!</v>
      </c>
      <c r="AQ98" t="b">
        <f>AND(DATA!L479,"AAAAAH37nyo=")</f>
        <v>1</v>
      </c>
      <c r="AR98" t="b">
        <f>AND(DATA!M479,"AAAAAH37nys=")</f>
        <v>1</v>
      </c>
      <c r="AS98" t="b">
        <f>AND(DATA!N479,"AAAAAH37nyw=")</f>
        <v>1</v>
      </c>
      <c r="AT98" t="b">
        <f>AND(DATA!O479,"AAAAAH37ny0=")</f>
        <v>1</v>
      </c>
      <c r="AU98" t="b">
        <f>AND(DATA!P479,"AAAAAH37ny4=")</f>
        <v>1</v>
      </c>
      <c r="AV98" t="b">
        <f>AND(DATA!Q479,"AAAAAH37ny8=")</f>
        <v>1</v>
      </c>
      <c r="AW98" t="b">
        <f>AND(DATA!R479,"AAAAAH37nzA=")</f>
        <v>1</v>
      </c>
      <c r="AX98" t="b">
        <f>AND(DATA!S479,"AAAAAH37nzE=")</f>
        <v>1</v>
      </c>
      <c r="AY98" t="b">
        <f>AND(DATA!T479,"AAAAAH37nzI=")</f>
        <v>1</v>
      </c>
      <c r="AZ98" t="b">
        <f>AND(DATA!U479,"AAAAAH37nzM=")</f>
        <v>1</v>
      </c>
      <c r="BA98" t="b">
        <f>AND(DATA!V479,"AAAAAH37nzQ=")</f>
        <v>1</v>
      </c>
      <c r="BB98" t="e">
        <f>AND(DATA!W478,"AAAAAH37nzU=")</f>
        <v>#VALUE!</v>
      </c>
      <c r="BC98" t="e">
        <f>AND(DATA!X478,"AAAAAH37nzY=")</f>
        <v>#VALUE!</v>
      </c>
      <c r="BD98" t="e">
        <f>AND(DATA!Y478,"AAAAAH37nzc=")</f>
        <v>#VALUE!</v>
      </c>
      <c r="BE98">
        <f>IF(DATA!479:479,"AAAAAH37nzg=",0)</f>
        <v>0</v>
      </c>
      <c r="BF98" t="e">
        <f>AND(DATA!A479,"AAAAAH37nzk=")</f>
        <v>#VALUE!</v>
      </c>
      <c r="BG98" t="e">
        <f>AND(DATA!B479,"AAAAAH37nzo=")</f>
        <v>#VALUE!</v>
      </c>
      <c r="BH98" t="e">
        <f>AND(DATA!C479,"AAAAAH37nzs=")</f>
        <v>#VALUE!</v>
      </c>
      <c r="BI98" t="e">
        <f>AND(DATA!D479,"AAAAAH37nzw=")</f>
        <v>#VALUE!</v>
      </c>
      <c r="BJ98" t="e">
        <f>AND(DATA!E479,"AAAAAH37nz0=")</f>
        <v>#VALUE!</v>
      </c>
      <c r="BK98" t="e">
        <f>AND(DATA!F479,"AAAAAH37nz4=")</f>
        <v>#VALUE!</v>
      </c>
      <c r="BL98" t="e">
        <f>AND(DATA!G479,"AAAAAH37nz8=")</f>
        <v>#VALUE!</v>
      </c>
      <c r="BM98" t="e">
        <f>AND(DATA!H479,"AAAAAH37n0A=")</f>
        <v>#VALUE!</v>
      </c>
      <c r="BN98" t="e">
        <f>AND(DATA!I479,"AAAAAH37n0E=")</f>
        <v>#VALUE!</v>
      </c>
      <c r="BO98" t="e">
        <f>AND(DATA!J479,"AAAAAH37n0I=")</f>
        <v>#VALUE!</v>
      </c>
      <c r="BP98" t="e">
        <f>AND(DATA!K479,"AAAAAH37n0M=")</f>
        <v>#VALUE!</v>
      </c>
      <c r="BQ98" t="b">
        <f>AND(DATA!L480,"AAAAAH37n0Q=")</f>
        <v>1</v>
      </c>
      <c r="BR98" t="b">
        <f>AND(DATA!M480,"AAAAAH37n0U=")</f>
        <v>1</v>
      </c>
      <c r="BS98" t="b">
        <f>AND(DATA!N480,"AAAAAH37n0Y=")</f>
        <v>1</v>
      </c>
      <c r="BT98" t="b">
        <f>AND(DATA!O480,"AAAAAH37n0c=")</f>
        <v>1</v>
      </c>
      <c r="BU98" t="b">
        <f>AND(DATA!P480,"AAAAAH37n0g=")</f>
        <v>1</v>
      </c>
      <c r="BV98" t="b">
        <f>AND(DATA!Q480,"AAAAAH37n0k=")</f>
        <v>1</v>
      </c>
      <c r="BW98" t="b">
        <f>AND(DATA!R480,"AAAAAH37n0o=")</f>
        <v>1</v>
      </c>
      <c r="BX98" t="b">
        <f>AND(DATA!S480,"AAAAAH37n0s=")</f>
        <v>1</v>
      </c>
      <c r="BY98" t="b">
        <f>AND(DATA!T480,"AAAAAH37n0w=")</f>
        <v>1</v>
      </c>
      <c r="BZ98" t="b">
        <f>AND(DATA!U480,"AAAAAH37n00=")</f>
        <v>1</v>
      </c>
      <c r="CA98" t="b">
        <f>AND(DATA!V480,"AAAAAH37n04=")</f>
        <v>1</v>
      </c>
      <c r="CB98" t="e">
        <f>AND(DATA!W479,"AAAAAH37n08=")</f>
        <v>#VALUE!</v>
      </c>
      <c r="CC98" t="e">
        <f>AND(DATA!X479,"AAAAAH37n1A=")</f>
        <v>#VALUE!</v>
      </c>
      <c r="CD98" t="e">
        <f>AND(DATA!Y479,"AAAAAH37n1E=")</f>
        <v>#VALUE!</v>
      </c>
      <c r="CE98">
        <f>IF(DATA!480:480,"AAAAAH37n1I=",0)</f>
        <v>0</v>
      </c>
      <c r="CF98" t="e">
        <f>AND(DATA!A480,"AAAAAH37n1M=")</f>
        <v>#VALUE!</v>
      </c>
      <c r="CG98" t="e">
        <f>AND(DATA!B480,"AAAAAH37n1Q=")</f>
        <v>#VALUE!</v>
      </c>
      <c r="CH98" t="e">
        <f>AND(DATA!C480,"AAAAAH37n1U=")</f>
        <v>#VALUE!</v>
      </c>
      <c r="CI98" t="e">
        <f>AND(DATA!D480,"AAAAAH37n1Y=")</f>
        <v>#VALUE!</v>
      </c>
      <c r="CJ98" t="e">
        <f>AND(DATA!E480,"AAAAAH37n1c=")</f>
        <v>#VALUE!</v>
      </c>
      <c r="CK98" t="e">
        <f>AND(DATA!F480,"AAAAAH37n1g=")</f>
        <v>#VALUE!</v>
      </c>
      <c r="CL98" t="e">
        <f>AND(DATA!G480,"AAAAAH37n1k=")</f>
        <v>#VALUE!</v>
      </c>
      <c r="CM98" t="e">
        <f>AND(DATA!H480,"AAAAAH37n1o=")</f>
        <v>#VALUE!</v>
      </c>
      <c r="CN98" t="e">
        <f>AND(DATA!I480,"AAAAAH37n1s=")</f>
        <v>#VALUE!</v>
      </c>
      <c r="CO98" t="e">
        <f>AND(DATA!J480,"AAAAAH37n1w=")</f>
        <v>#VALUE!</v>
      </c>
      <c r="CP98" t="e">
        <f>AND(DATA!K480,"AAAAAH37n10=")</f>
        <v>#VALUE!</v>
      </c>
      <c r="CQ98" t="b">
        <f>AND(DATA!L481,"AAAAAH37n14=")</f>
        <v>1</v>
      </c>
      <c r="CR98" t="b">
        <f>AND(DATA!M481,"AAAAAH37n18=")</f>
        <v>1</v>
      </c>
      <c r="CS98" t="b">
        <f>AND(DATA!N481,"AAAAAH37n2A=")</f>
        <v>1</v>
      </c>
      <c r="CT98" t="b">
        <f>AND(DATA!O481,"AAAAAH37n2E=")</f>
        <v>1</v>
      </c>
      <c r="CU98" t="b">
        <f>AND(DATA!P481,"AAAAAH37n2I=")</f>
        <v>1</v>
      </c>
      <c r="CV98" t="b">
        <f>AND(DATA!Q481,"AAAAAH37n2M=")</f>
        <v>1</v>
      </c>
      <c r="CW98" t="b">
        <f>AND(DATA!R481,"AAAAAH37n2Q=")</f>
        <v>1</v>
      </c>
      <c r="CX98" t="b">
        <f>AND(DATA!S481,"AAAAAH37n2U=")</f>
        <v>1</v>
      </c>
      <c r="CY98" t="b">
        <f>AND(DATA!T481,"AAAAAH37n2Y=")</f>
        <v>1</v>
      </c>
      <c r="CZ98" t="b">
        <f>AND(DATA!U481,"AAAAAH37n2c=")</f>
        <v>1</v>
      </c>
      <c r="DA98" t="b">
        <f>AND(DATA!V481,"AAAAAH37n2g=")</f>
        <v>1</v>
      </c>
      <c r="DB98" t="e">
        <f>AND(DATA!W480,"AAAAAH37n2k=")</f>
        <v>#VALUE!</v>
      </c>
      <c r="DC98" t="e">
        <f>AND(DATA!X480,"AAAAAH37n2o=")</f>
        <v>#VALUE!</v>
      </c>
      <c r="DD98" t="e">
        <f>AND(DATA!Y480,"AAAAAH37n2s=")</f>
        <v>#VALUE!</v>
      </c>
      <c r="DE98">
        <f>IF(DATA!481:481,"AAAAAH37n2w=",0)</f>
        <v>0</v>
      </c>
      <c r="DF98" t="e">
        <f>AND(DATA!A481,"AAAAAH37n20=")</f>
        <v>#VALUE!</v>
      </c>
      <c r="DG98" t="e">
        <f>AND(DATA!B481,"AAAAAH37n24=")</f>
        <v>#VALUE!</v>
      </c>
      <c r="DH98" t="e">
        <f>AND(DATA!C481,"AAAAAH37n28=")</f>
        <v>#VALUE!</v>
      </c>
      <c r="DI98" t="e">
        <f>AND(DATA!D481,"AAAAAH37n3A=")</f>
        <v>#VALUE!</v>
      </c>
      <c r="DJ98" t="e">
        <f>AND(DATA!E481,"AAAAAH37n3E=")</f>
        <v>#VALUE!</v>
      </c>
      <c r="DK98" t="e">
        <f>AND(DATA!F481,"AAAAAH37n3I=")</f>
        <v>#VALUE!</v>
      </c>
      <c r="DL98" t="e">
        <f>AND(DATA!G481,"AAAAAH37n3M=")</f>
        <v>#VALUE!</v>
      </c>
      <c r="DM98" t="e">
        <f>AND(DATA!H481,"AAAAAH37n3Q=")</f>
        <v>#VALUE!</v>
      </c>
      <c r="DN98" t="e">
        <f>AND(DATA!I481,"AAAAAH37n3U=")</f>
        <v>#VALUE!</v>
      </c>
      <c r="DO98" t="e">
        <f>AND(DATA!J481,"AAAAAH37n3Y=")</f>
        <v>#VALUE!</v>
      </c>
      <c r="DP98" t="e">
        <f>AND(DATA!K481,"AAAAAH37n3c=")</f>
        <v>#VALUE!</v>
      </c>
      <c r="DQ98" t="b">
        <f>AND(DATA!L482,"AAAAAH37n3g=")</f>
        <v>1</v>
      </c>
      <c r="DR98" t="b">
        <f>AND(DATA!M482,"AAAAAH37n3k=")</f>
        <v>1</v>
      </c>
      <c r="DS98" t="b">
        <f>AND(DATA!N482,"AAAAAH37n3o=")</f>
        <v>1</v>
      </c>
      <c r="DT98" t="b">
        <f>AND(DATA!O482,"AAAAAH37n3s=")</f>
        <v>1</v>
      </c>
      <c r="DU98" t="b">
        <f>AND(DATA!P482,"AAAAAH37n3w=")</f>
        <v>1</v>
      </c>
      <c r="DV98" t="b">
        <f>AND(DATA!Q482,"AAAAAH37n30=")</f>
        <v>1</v>
      </c>
      <c r="DW98" t="b">
        <f>AND(DATA!R482,"AAAAAH37n34=")</f>
        <v>1</v>
      </c>
      <c r="DX98" t="b">
        <f>AND(DATA!S482,"AAAAAH37n38=")</f>
        <v>1</v>
      </c>
      <c r="DY98" t="b">
        <f>AND(DATA!T482,"AAAAAH37n4A=")</f>
        <v>1</v>
      </c>
      <c r="DZ98" t="b">
        <f>AND(DATA!U482,"AAAAAH37n4E=")</f>
        <v>1</v>
      </c>
      <c r="EA98" t="b">
        <f>AND(DATA!V482,"AAAAAH37n4I=")</f>
        <v>1</v>
      </c>
      <c r="EB98" t="e">
        <f>AND(DATA!W481,"AAAAAH37n4M=")</f>
        <v>#VALUE!</v>
      </c>
      <c r="EC98" t="e">
        <f>AND(DATA!X481,"AAAAAH37n4Q=")</f>
        <v>#VALUE!</v>
      </c>
      <c r="ED98" t="e">
        <f>AND(DATA!Y481,"AAAAAH37n4U=")</f>
        <v>#VALUE!</v>
      </c>
      <c r="EE98">
        <f>IF(DATA!482:482,"AAAAAH37n4Y=",0)</f>
        <v>0</v>
      </c>
      <c r="EF98" t="e">
        <f>AND(DATA!A482,"AAAAAH37n4c=")</f>
        <v>#VALUE!</v>
      </c>
      <c r="EG98" t="e">
        <f>AND(DATA!B482,"AAAAAH37n4g=")</f>
        <v>#VALUE!</v>
      </c>
      <c r="EH98" t="e">
        <f>AND(DATA!C482,"AAAAAH37n4k=")</f>
        <v>#VALUE!</v>
      </c>
      <c r="EI98" t="e">
        <f>AND(DATA!D482,"AAAAAH37n4o=")</f>
        <v>#VALUE!</v>
      </c>
      <c r="EJ98" t="e">
        <f>AND(DATA!E482,"AAAAAH37n4s=")</f>
        <v>#VALUE!</v>
      </c>
      <c r="EK98" t="e">
        <f>AND(DATA!F482,"AAAAAH37n4w=")</f>
        <v>#VALUE!</v>
      </c>
      <c r="EL98" t="e">
        <f>AND(DATA!G482,"AAAAAH37n40=")</f>
        <v>#VALUE!</v>
      </c>
      <c r="EM98" t="e">
        <f>AND(DATA!H482,"AAAAAH37n44=")</f>
        <v>#VALUE!</v>
      </c>
      <c r="EN98" t="e">
        <f>AND(DATA!I482,"AAAAAH37n48=")</f>
        <v>#VALUE!</v>
      </c>
      <c r="EO98" t="e">
        <f>AND(DATA!J482,"AAAAAH37n5A=")</f>
        <v>#VALUE!</v>
      </c>
      <c r="EP98" t="e">
        <f>AND(DATA!K482,"AAAAAH37n5E=")</f>
        <v>#VALUE!</v>
      </c>
      <c r="EQ98" t="b">
        <f>AND(DATA!L483,"AAAAAH37n5I=")</f>
        <v>1</v>
      </c>
      <c r="ER98" t="b">
        <f>AND(DATA!M483,"AAAAAH37n5M=")</f>
        <v>1</v>
      </c>
      <c r="ES98" t="b">
        <f>AND(DATA!N483,"AAAAAH37n5Q=")</f>
        <v>1</v>
      </c>
      <c r="ET98" t="b">
        <f>AND(DATA!O483,"AAAAAH37n5U=")</f>
        <v>1</v>
      </c>
      <c r="EU98" t="b">
        <f>AND(DATA!P483,"AAAAAH37n5Y=")</f>
        <v>1</v>
      </c>
      <c r="EV98" t="b">
        <f>AND(DATA!Q483,"AAAAAH37n5c=")</f>
        <v>1</v>
      </c>
      <c r="EW98" t="b">
        <f>AND(DATA!R483,"AAAAAH37n5g=")</f>
        <v>1</v>
      </c>
      <c r="EX98" t="b">
        <f>AND(DATA!S483,"AAAAAH37n5k=")</f>
        <v>1</v>
      </c>
      <c r="EY98" t="b">
        <f>AND(DATA!T483,"AAAAAH37n5o=")</f>
        <v>1</v>
      </c>
      <c r="EZ98" t="b">
        <f>AND(DATA!U483,"AAAAAH37n5s=")</f>
        <v>1</v>
      </c>
      <c r="FA98" t="b">
        <f>AND(DATA!V483,"AAAAAH37n5w=")</f>
        <v>1</v>
      </c>
      <c r="FB98" t="e">
        <f>AND(DATA!W482,"AAAAAH37n50=")</f>
        <v>#VALUE!</v>
      </c>
      <c r="FC98" t="e">
        <f>AND(DATA!X482,"AAAAAH37n54=")</f>
        <v>#VALUE!</v>
      </c>
      <c r="FD98" t="e">
        <f>AND(DATA!Y482,"AAAAAH37n58=")</f>
        <v>#VALUE!</v>
      </c>
      <c r="FE98">
        <f>IF(DATA!483:483,"AAAAAH37n6A=",0)</f>
        <v>0</v>
      </c>
      <c r="FF98" t="e">
        <f>AND(DATA!A483,"AAAAAH37n6E=")</f>
        <v>#VALUE!</v>
      </c>
      <c r="FG98" t="e">
        <f>AND(DATA!B483,"AAAAAH37n6I=")</f>
        <v>#VALUE!</v>
      </c>
      <c r="FH98" t="e">
        <f>AND(DATA!C483,"AAAAAH37n6M=")</f>
        <v>#VALUE!</v>
      </c>
      <c r="FI98" t="e">
        <f>AND(DATA!D483,"AAAAAH37n6Q=")</f>
        <v>#VALUE!</v>
      </c>
      <c r="FJ98" t="e">
        <f>AND(DATA!E483,"AAAAAH37n6U=")</f>
        <v>#VALUE!</v>
      </c>
      <c r="FK98" t="e">
        <f>AND(DATA!F483,"AAAAAH37n6Y=")</f>
        <v>#VALUE!</v>
      </c>
      <c r="FL98" t="e">
        <f>AND(DATA!G483,"AAAAAH37n6c=")</f>
        <v>#VALUE!</v>
      </c>
      <c r="FM98" t="e">
        <f>AND(DATA!H483,"AAAAAH37n6g=")</f>
        <v>#VALUE!</v>
      </c>
      <c r="FN98" t="e">
        <f>AND(DATA!I483,"AAAAAH37n6k=")</f>
        <v>#VALUE!</v>
      </c>
      <c r="FO98" t="e">
        <f>AND(DATA!J483,"AAAAAH37n6o=")</f>
        <v>#VALUE!</v>
      </c>
      <c r="FP98" t="e">
        <f>AND(DATA!K483,"AAAAAH37n6s=")</f>
        <v>#VALUE!</v>
      </c>
      <c r="FQ98" t="b">
        <f>AND(DATA!L484,"AAAAAH37n6w=")</f>
        <v>1</v>
      </c>
      <c r="FR98" t="b">
        <f>AND(DATA!M484,"AAAAAH37n60=")</f>
        <v>1</v>
      </c>
      <c r="FS98" t="b">
        <f>AND(DATA!N484,"AAAAAH37n64=")</f>
        <v>1</v>
      </c>
      <c r="FT98" t="b">
        <f>AND(DATA!O484,"AAAAAH37n68=")</f>
        <v>1</v>
      </c>
      <c r="FU98" t="b">
        <f>AND(DATA!P484,"AAAAAH37n7A=")</f>
        <v>1</v>
      </c>
      <c r="FV98" t="b">
        <f>AND(DATA!Q484,"AAAAAH37n7E=")</f>
        <v>1</v>
      </c>
      <c r="FW98" t="b">
        <f>AND(DATA!R484,"AAAAAH37n7I=")</f>
        <v>1</v>
      </c>
      <c r="FX98" t="b">
        <f>AND(DATA!S484,"AAAAAH37n7M=")</f>
        <v>1</v>
      </c>
      <c r="FY98" t="b">
        <f>AND(DATA!T484,"AAAAAH37n7Q=")</f>
        <v>1</v>
      </c>
      <c r="FZ98" t="b">
        <f>AND(DATA!U484,"AAAAAH37n7U=")</f>
        <v>1</v>
      </c>
      <c r="GA98" t="b">
        <f>AND(DATA!V484,"AAAAAH37n7Y=")</f>
        <v>1</v>
      </c>
      <c r="GB98" t="e">
        <f>AND(DATA!W483,"AAAAAH37n7c=")</f>
        <v>#VALUE!</v>
      </c>
      <c r="GC98" t="e">
        <f>AND(DATA!X483,"AAAAAH37n7g=")</f>
        <v>#VALUE!</v>
      </c>
      <c r="GD98" t="e">
        <f>AND(DATA!Y483,"AAAAAH37n7k=")</f>
        <v>#VALUE!</v>
      </c>
      <c r="GE98">
        <f>IF(DATA!484:484,"AAAAAH37n7o=",0)</f>
        <v>0</v>
      </c>
      <c r="GF98" t="e">
        <f>AND(DATA!A484,"AAAAAH37n7s=")</f>
        <v>#VALUE!</v>
      </c>
      <c r="GG98" t="e">
        <f>AND(DATA!B484,"AAAAAH37n7w=")</f>
        <v>#VALUE!</v>
      </c>
      <c r="GH98" t="e">
        <f>AND(DATA!C484,"AAAAAH37n70=")</f>
        <v>#VALUE!</v>
      </c>
      <c r="GI98" t="e">
        <f>AND(DATA!D484,"AAAAAH37n74=")</f>
        <v>#VALUE!</v>
      </c>
      <c r="GJ98" t="e">
        <f>AND(DATA!E484,"AAAAAH37n78=")</f>
        <v>#VALUE!</v>
      </c>
      <c r="GK98" t="e">
        <f>AND(DATA!F484,"AAAAAH37n8A=")</f>
        <v>#VALUE!</v>
      </c>
      <c r="GL98" t="e">
        <f>AND(DATA!G484,"AAAAAH37n8E=")</f>
        <v>#VALUE!</v>
      </c>
      <c r="GM98" t="e">
        <f>AND(DATA!H484,"AAAAAH37n8I=")</f>
        <v>#VALUE!</v>
      </c>
      <c r="GN98" t="e">
        <f>AND(DATA!I484,"AAAAAH37n8M=")</f>
        <v>#VALUE!</v>
      </c>
      <c r="GO98" t="e">
        <f>AND(DATA!J484,"AAAAAH37n8Q=")</f>
        <v>#VALUE!</v>
      </c>
      <c r="GP98" t="e">
        <f>AND(DATA!K484,"AAAAAH37n8U=")</f>
        <v>#VALUE!</v>
      </c>
      <c r="GQ98" t="b">
        <f>AND(DATA!L485,"AAAAAH37n8Y=")</f>
        <v>1</v>
      </c>
      <c r="GR98" t="b">
        <f>AND(DATA!M485,"AAAAAH37n8c=")</f>
        <v>1</v>
      </c>
      <c r="GS98" t="b">
        <f>AND(DATA!N485,"AAAAAH37n8g=")</f>
        <v>1</v>
      </c>
      <c r="GT98" t="b">
        <f>AND(DATA!O485,"AAAAAH37n8k=")</f>
        <v>1</v>
      </c>
      <c r="GU98" t="b">
        <f>AND(DATA!P485,"AAAAAH37n8o=")</f>
        <v>1</v>
      </c>
      <c r="GV98" t="b">
        <f>AND(DATA!Q485,"AAAAAH37n8s=")</f>
        <v>1</v>
      </c>
      <c r="GW98" t="b">
        <f>AND(DATA!R485,"AAAAAH37n8w=")</f>
        <v>1</v>
      </c>
      <c r="GX98" t="b">
        <f>AND(DATA!S485,"AAAAAH37n80=")</f>
        <v>1</v>
      </c>
      <c r="GY98" t="b">
        <f>AND(DATA!T485,"AAAAAH37n84=")</f>
        <v>1</v>
      </c>
      <c r="GZ98" t="b">
        <f>AND(DATA!U485,"AAAAAH37n88=")</f>
        <v>1</v>
      </c>
      <c r="HA98" t="b">
        <f>AND(DATA!V485,"AAAAAH37n9A=")</f>
        <v>1</v>
      </c>
      <c r="HB98" t="e">
        <f>AND(DATA!W484,"AAAAAH37n9E=")</f>
        <v>#VALUE!</v>
      </c>
      <c r="HC98" t="e">
        <f>AND(DATA!X484,"AAAAAH37n9I=")</f>
        <v>#VALUE!</v>
      </c>
      <c r="HD98" t="e">
        <f>AND(DATA!Y484,"AAAAAH37n9M=")</f>
        <v>#VALUE!</v>
      </c>
      <c r="HE98">
        <f>IF(DATA!485:485,"AAAAAH37n9Q=",0)</f>
        <v>0</v>
      </c>
      <c r="HF98" t="e">
        <f>AND(DATA!A485,"AAAAAH37n9U=")</f>
        <v>#VALUE!</v>
      </c>
      <c r="HG98" t="e">
        <f>AND(DATA!B485,"AAAAAH37n9Y=")</f>
        <v>#VALUE!</v>
      </c>
      <c r="HH98" t="e">
        <f>AND(DATA!C485,"AAAAAH37n9c=")</f>
        <v>#VALUE!</v>
      </c>
      <c r="HI98" t="e">
        <f>AND(DATA!D485,"AAAAAH37n9g=")</f>
        <v>#VALUE!</v>
      </c>
      <c r="HJ98" t="e">
        <f>AND(DATA!E485,"AAAAAH37n9k=")</f>
        <v>#VALUE!</v>
      </c>
      <c r="HK98" t="e">
        <f>AND(DATA!F485,"AAAAAH37n9o=")</f>
        <v>#VALUE!</v>
      </c>
      <c r="HL98" t="e">
        <f>AND(DATA!G485,"AAAAAH37n9s=")</f>
        <v>#VALUE!</v>
      </c>
      <c r="HM98" t="e">
        <f>AND(DATA!H485,"AAAAAH37n9w=")</f>
        <v>#VALUE!</v>
      </c>
      <c r="HN98" t="e">
        <f>AND(DATA!I485,"AAAAAH37n90=")</f>
        <v>#VALUE!</v>
      </c>
      <c r="HO98" t="e">
        <f>AND(DATA!J485,"AAAAAH37n94=")</f>
        <v>#VALUE!</v>
      </c>
      <c r="HP98" t="e">
        <f>AND(DATA!K485,"AAAAAH37n98=")</f>
        <v>#VALUE!</v>
      </c>
      <c r="HQ98" t="b">
        <f>AND(DATA!L486,"AAAAAH37n+A=")</f>
        <v>1</v>
      </c>
      <c r="HR98" t="b">
        <f>AND(DATA!M486,"AAAAAH37n+E=")</f>
        <v>1</v>
      </c>
      <c r="HS98" t="b">
        <f>AND(DATA!N486,"AAAAAH37n+I=")</f>
        <v>1</v>
      </c>
      <c r="HT98" t="b">
        <f>AND(DATA!O486,"AAAAAH37n+M=")</f>
        <v>1</v>
      </c>
      <c r="HU98" t="b">
        <f>AND(DATA!P486,"AAAAAH37n+Q=")</f>
        <v>1</v>
      </c>
      <c r="HV98" t="b">
        <f>AND(DATA!Q486,"AAAAAH37n+U=")</f>
        <v>1</v>
      </c>
      <c r="HW98" t="b">
        <f>AND(DATA!R486,"AAAAAH37n+Y=")</f>
        <v>1</v>
      </c>
      <c r="HX98" t="b">
        <f>AND(DATA!S486,"AAAAAH37n+c=")</f>
        <v>1</v>
      </c>
      <c r="HY98" t="b">
        <f>AND(DATA!T486,"AAAAAH37n+g=")</f>
        <v>1</v>
      </c>
      <c r="HZ98" t="b">
        <f>AND(DATA!U486,"AAAAAH37n+k=")</f>
        <v>1</v>
      </c>
      <c r="IA98" t="b">
        <f>AND(DATA!V486,"AAAAAH37n+o=")</f>
        <v>1</v>
      </c>
      <c r="IB98" t="e">
        <f>AND(DATA!W485,"AAAAAH37n+s=")</f>
        <v>#VALUE!</v>
      </c>
      <c r="IC98" t="e">
        <f>AND(DATA!X485,"AAAAAH37n+w=")</f>
        <v>#VALUE!</v>
      </c>
      <c r="ID98" t="e">
        <f>AND(DATA!Y485,"AAAAAH37n+0=")</f>
        <v>#VALUE!</v>
      </c>
      <c r="IE98">
        <f>IF(DATA!486:486,"AAAAAH37n+4=",0)</f>
        <v>0</v>
      </c>
      <c r="IF98" t="e">
        <f>AND(DATA!A486,"AAAAAH37n+8=")</f>
        <v>#VALUE!</v>
      </c>
      <c r="IG98" t="e">
        <f>AND(DATA!B486,"AAAAAH37n/A=")</f>
        <v>#VALUE!</v>
      </c>
      <c r="IH98" t="e">
        <f>AND(DATA!C486,"AAAAAH37n/E=")</f>
        <v>#VALUE!</v>
      </c>
      <c r="II98" t="e">
        <f>AND(DATA!D486,"AAAAAH37n/I=")</f>
        <v>#VALUE!</v>
      </c>
      <c r="IJ98" t="e">
        <f>AND(DATA!E486,"AAAAAH37n/M=")</f>
        <v>#VALUE!</v>
      </c>
      <c r="IK98" t="e">
        <f>AND(DATA!F486,"AAAAAH37n/Q=")</f>
        <v>#VALUE!</v>
      </c>
      <c r="IL98" t="e">
        <f>AND(DATA!G486,"AAAAAH37n/U=")</f>
        <v>#VALUE!</v>
      </c>
      <c r="IM98" t="e">
        <f>AND(DATA!H486,"AAAAAH37n/Y=")</f>
        <v>#VALUE!</v>
      </c>
      <c r="IN98" t="e">
        <f>AND(DATA!I486,"AAAAAH37n/c=")</f>
        <v>#VALUE!</v>
      </c>
      <c r="IO98" t="e">
        <f>AND(DATA!J486,"AAAAAH37n/g=")</f>
        <v>#VALUE!</v>
      </c>
      <c r="IP98" t="e">
        <f>AND(DATA!K486,"AAAAAH37n/k=")</f>
        <v>#VALUE!</v>
      </c>
      <c r="IQ98" t="b">
        <f>AND(DATA!L487,"AAAAAH37n/o=")</f>
        <v>1</v>
      </c>
      <c r="IR98" t="b">
        <f>AND(DATA!M487,"AAAAAH37n/s=")</f>
        <v>1</v>
      </c>
      <c r="IS98" t="b">
        <f>AND(DATA!N487,"AAAAAH37n/w=")</f>
        <v>1</v>
      </c>
      <c r="IT98" t="b">
        <f>AND(DATA!O487,"AAAAAH37n/0=")</f>
        <v>1</v>
      </c>
      <c r="IU98" t="b">
        <f>AND(DATA!P487,"AAAAAH37n/4=")</f>
        <v>1</v>
      </c>
      <c r="IV98" t="b">
        <f>AND(DATA!Q487,"AAAAAH37n/8=")</f>
        <v>1</v>
      </c>
    </row>
    <row r="99" spans="1:256" x14ac:dyDescent="0.25">
      <c r="A99" t="b">
        <f>AND(DATA!R487,"AAAAAC5X/wA=")</f>
        <v>1</v>
      </c>
      <c r="B99" t="b">
        <f>AND(DATA!S487,"AAAAAC5X/wE=")</f>
        <v>1</v>
      </c>
      <c r="C99" t="b">
        <f>AND(DATA!T487,"AAAAAC5X/wI=")</f>
        <v>1</v>
      </c>
      <c r="D99" t="b">
        <f>AND(DATA!U487,"AAAAAC5X/wM=")</f>
        <v>1</v>
      </c>
      <c r="E99" t="b">
        <f>AND(DATA!V487,"AAAAAC5X/wQ=")</f>
        <v>1</v>
      </c>
      <c r="F99" t="e">
        <f>AND(DATA!W486,"AAAAAC5X/wU=")</f>
        <v>#VALUE!</v>
      </c>
      <c r="G99" t="e">
        <f>AND(DATA!X486,"AAAAAC5X/wY=")</f>
        <v>#VALUE!</v>
      </c>
      <c r="H99" t="e">
        <f>AND(DATA!Y486,"AAAAAC5X/wc=")</f>
        <v>#VALUE!</v>
      </c>
      <c r="I99">
        <f>IF(DATA!487:487,"AAAAAC5X/wg=",0)</f>
        <v>0</v>
      </c>
      <c r="J99" t="e">
        <f>AND(DATA!A487,"AAAAAC5X/wk=")</f>
        <v>#VALUE!</v>
      </c>
      <c r="K99" t="e">
        <f>AND(DATA!B487,"AAAAAC5X/wo=")</f>
        <v>#VALUE!</v>
      </c>
      <c r="L99" t="e">
        <f>AND(DATA!C487,"AAAAAC5X/ws=")</f>
        <v>#VALUE!</v>
      </c>
      <c r="M99" t="e">
        <f>AND(DATA!D487,"AAAAAC5X/ww=")</f>
        <v>#VALUE!</v>
      </c>
      <c r="N99" t="e">
        <f>AND(DATA!E487,"AAAAAC5X/w0=")</f>
        <v>#VALUE!</v>
      </c>
      <c r="O99" t="e">
        <f>AND(DATA!F487,"AAAAAC5X/w4=")</f>
        <v>#VALUE!</v>
      </c>
      <c r="P99" t="e">
        <f>AND(DATA!G487,"AAAAAC5X/w8=")</f>
        <v>#VALUE!</v>
      </c>
      <c r="Q99" t="e">
        <f>AND(DATA!H487,"AAAAAC5X/xA=")</f>
        <v>#VALUE!</v>
      </c>
      <c r="R99" t="e">
        <f>AND(DATA!I487,"AAAAAC5X/xE=")</f>
        <v>#VALUE!</v>
      </c>
      <c r="S99" t="e">
        <f>AND(DATA!J487,"AAAAAC5X/xI=")</f>
        <v>#VALUE!</v>
      </c>
      <c r="T99" t="e">
        <f>AND(DATA!K487,"AAAAAC5X/xM=")</f>
        <v>#VALUE!</v>
      </c>
      <c r="U99" t="b">
        <f>AND(DATA!L488,"AAAAAC5X/xQ=")</f>
        <v>1</v>
      </c>
      <c r="V99" t="b">
        <f>AND(DATA!M488,"AAAAAC5X/xU=")</f>
        <v>1</v>
      </c>
      <c r="W99" t="b">
        <f>AND(DATA!N488,"AAAAAC5X/xY=")</f>
        <v>1</v>
      </c>
      <c r="X99" t="b">
        <f>AND(DATA!O488,"AAAAAC5X/xc=")</f>
        <v>1</v>
      </c>
      <c r="Y99" t="b">
        <f>AND(DATA!P488,"AAAAAC5X/xg=")</f>
        <v>1</v>
      </c>
      <c r="Z99" t="b">
        <f>AND(DATA!Q488,"AAAAAC5X/xk=")</f>
        <v>1</v>
      </c>
      <c r="AA99" t="b">
        <f>AND(DATA!R488,"AAAAAC5X/xo=")</f>
        <v>1</v>
      </c>
      <c r="AB99" t="b">
        <f>AND(DATA!S488,"AAAAAC5X/xs=")</f>
        <v>1</v>
      </c>
      <c r="AC99" t="b">
        <f>AND(DATA!T488,"AAAAAC5X/xw=")</f>
        <v>1</v>
      </c>
      <c r="AD99" t="b">
        <f>AND(DATA!U488,"AAAAAC5X/x0=")</f>
        <v>1</v>
      </c>
      <c r="AE99" t="b">
        <f>AND(DATA!V488,"AAAAAC5X/x4=")</f>
        <v>1</v>
      </c>
      <c r="AF99" t="e">
        <f>AND(DATA!W487,"AAAAAC5X/x8=")</f>
        <v>#VALUE!</v>
      </c>
      <c r="AG99" t="e">
        <f>AND(DATA!X487,"AAAAAC5X/yA=")</f>
        <v>#VALUE!</v>
      </c>
      <c r="AH99" t="e">
        <f>AND(DATA!Y487,"AAAAAC5X/yE=")</f>
        <v>#VALUE!</v>
      </c>
      <c r="AI99">
        <f>IF(DATA!488:488,"AAAAAC5X/yI=",0)</f>
        <v>0</v>
      </c>
      <c r="AJ99" t="e">
        <f>AND(DATA!A488,"AAAAAC5X/yM=")</f>
        <v>#VALUE!</v>
      </c>
      <c r="AK99" t="e">
        <f>AND(DATA!B488,"AAAAAC5X/yQ=")</f>
        <v>#VALUE!</v>
      </c>
      <c r="AL99" t="e">
        <f>AND(DATA!C488,"AAAAAC5X/yU=")</f>
        <v>#VALUE!</v>
      </c>
      <c r="AM99" t="e">
        <f>AND(DATA!D488,"AAAAAC5X/yY=")</f>
        <v>#VALUE!</v>
      </c>
      <c r="AN99" t="e">
        <f>AND(DATA!E488,"AAAAAC5X/yc=")</f>
        <v>#VALUE!</v>
      </c>
      <c r="AO99" t="e">
        <f>AND(DATA!F488,"AAAAAC5X/yg=")</f>
        <v>#VALUE!</v>
      </c>
      <c r="AP99" t="e">
        <f>AND(DATA!G488,"AAAAAC5X/yk=")</f>
        <v>#VALUE!</v>
      </c>
      <c r="AQ99" t="e">
        <f>AND(DATA!H488,"AAAAAC5X/yo=")</f>
        <v>#VALUE!</v>
      </c>
      <c r="AR99" t="e">
        <f>AND(DATA!I488,"AAAAAC5X/ys=")</f>
        <v>#VALUE!</v>
      </c>
      <c r="AS99" t="e">
        <f>AND(DATA!J488,"AAAAAC5X/yw=")</f>
        <v>#VALUE!</v>
      </c>
      <c r="AT99" t="e">
        <f>AND(DATA!K488,"AAAAAC5X/y0=")</f>
        <v>#VALUE!</v>
      </c>
      <c r="AU99" t="b">
        <f>AND(DATA!L489,"AAAAAC5X/y4=")</f>
        <v>1</v>
      </c>
      <c r="AV99" t="b">
        <f>AND(DATA!M489,"AAAAAC5X/y8=")</f>
        <v>1</v>
      </c>
      <c r="AW99" t="b">
        <f>AND(DATA!N489,"AAAAAC5X/zA=")</f>
        <v>1</v>
      </c>
      <c r="AX99" t="b">
        <f>AND(DATA!O489,"AAAAAC5X/zE=")</f>
        <v>1</v>
      </c>
      <c r="AY99" t="b">
        <f>AND(DATA!P489,"AAAAAC5X/zI=")</f>
        <v>1</v>
      </c>
      <c r="AZ99" t="b">
        <f>AND(DATA!Q489,"AAAAAC5X/zM=")</f>
        <v>1</v>
      </c>
      <c r="BA99" t="b">
        <f>AND(DATA!R489,"AAAAAC5X/zQ=")</f>
        <v>1</v>
      </c>
      <c r="BB99" t="b">
        <f>AND(DATA!S489,"AAAAAC5X/zU=")</f>
        <v>1</v>
      </c>
      <c r="BC99" t="b">
        <f>AND(DATA!T489,"AAAAAC5X/zY=")</f>
        <v>1</v>
      </c>
      <c r="BD99" t="b">
        <f>AND(DATA!U489,"AAAAAC5X/zc=")</f>
        <v>1</v>
      </c>
      <c r="BE99" t="b">
        <f>AND(DATA!V489,"AAAAAC5X/zg=")</f>
        <v>1</v>
      </c>
      <c r="BF99" t="e">
        <f>AND(DATA!W488,"AAAAAC5X/zk=")</f>
        <v>#VALUE!</v>
      </c>
      <c r="BG99" t="e">
        <f>AND(DATA!X488,"AAAAAC5X/zo=")</f>
        <v>#VALUE!</v>
      </c>
      <c r="BH99" t="e">
        <f>AND(DATA!Y488,"AAAAAC5X/zs=")</f>
        <v>#VALUE!</v>
      </c>
      <c r="BI99">
        <f>IF(DATA!489:489,"AAAAAC5X/zw=",0)</f>
        <v>0</v>
      </c>
      <c r="BJ99" t="e">
        <f>AND(DATA!A489,"AAAAAC5X/z0=")</f>
        <v>#VALUE!</v>
      </c>
      <c r="BK99" t="e">
        <f>AND(DATA!B489,"AAAAAC5X/z4=")</f>
        <v>#VALUE!</v>
      </c>
      <c r="BL99" t="e">
        <f>AND(DATA!C489,"AAAAAC5X/z8=")</f>
        <v>#VALUE!</v>
      </c>
      <c r="BM99" t="e">
        <f>AND(DATA!D489,"AAAAAC5X/0A=")</f>
        <v>#VALUE!</v>
      </c>
      <c r="BN99" t="e">
        <f>AND(DATA!E489,"AAAAAC5X/0E=")</f>
        <v>#VALUE!</v>
      </c>
      <c r="BO99" t="e">
        <f>AND(DATA!F489,"AAAAAC5X/0I=")</f>
        <v>#VALUE!</v>
      </c>
      <c r="BP99" t="e">
        <f>AND(DATA!G489,"AAAAAC5X/0M=")</f>
        <v>#VALUE!</v>
      </c>
      <c r="BQ99" t="e">
        <f>AND(DATA!H489,"AAAAAC5X/0Q=")</f>
        <v>#VALUE!</v>
      </c>
      <c r="BR99" t="e">
        <f>AND(DATA!I489,"AAAAAC5X/0U=")</f>
        <v>#VALUE!</v>
      </c>
      <c r="BS99" t="e">
        <f>AND(DATA!J489,"AAAAAC5X/0Y=")</f>
        <v>#VALUE!</v>
      </c>
      <c r="BT99" t="e">
        <f>AND(DATA!K489,"AAAAAC5X/0c=")</f>
        <v>#VALUE!</v>
      </c>
      <c r="BU99" t="b">
        <f>AND(DATA!L490,"AAAAAC5X/0g=")</f>
        <v>1</v>
      </c>
      <c r="BV99" t="b">
        <f>AND(DATA!M490,"AAAAAC5X/0k=")</f>
        <v>1</v>
      </c>
      <c r="BW99" t="b">
        <f>AND(DATA!N490,"AAAAAC5X/0o=")</f>
        <v>1</v>
      </c>
      <c r="BX99" t="b">
        <f>AND(DATA!O490,"AAAAAC5X/0s=")</f>
        <v>1</v>
      </c>
      <c r="BY99" t="b">
        <f>AND(DATA!P490,"AAAAAC5X/0w=")</f>
        <v>1</v>
      </c>
      <c r="BZ99" t="b">
        <f>AND(DATA!Q490,"AAAAAC5X/00=")</f>
        <v>1</v>
      </c>
      <c r="CA99" t="b">
        <f>AND(DATA!R490,"AAAAAC5X/04=")</f>
        <v>1</v>
      </c>
      <c r="CB99" t="b">
        <f>AND(DATA!S490,"AAAAAC5X/08=")</f>
        <v>1</v>
      </c>
      <c r="CC99" t="b">
        <f>AND(DATA!T490,"AAAAAC5X/1A=")</f>
        <v>1</v>
      </c>
      <c r="CD99" t="b">
        <f>AND(DATA!U490,"AAAAAC5X/1E=")</f>
        <v>1</v>
      </c>
      <c r="CE99" t="b">
        <f>AND(DATA!V490,"AAAAAC5X/1I=")</f>
        <v>1</v>
      </c>
      <c r="CF99" t="e">
        <f>AND(DATA!W489,"AAAAAC5X/1M=")</f>
        <v>#VALUE!</v>
      </c>
      <c r="CG99" t="e">
        <f>AND(DATA!X489,"AAAAAC5X/1Q=")</f>
        <v>#VALUE!</v>
      </c>
      <c r="CH99" t="e">
        <f>AND(DATA!Y489,"AAAAAC5X/1U=")</f>
        <v>#VALUE!</v>
      </c>
      <c r="CI99">
        <f>IF(DATA!490:490,"AAAAAC5X/1Y=",0)</f>
        <v>0</v>
      </c>
      <c r="CJ99" t="e">
        <f>AND(DATA!A490,"AAAAAC5X/1c=")</f>
        <v>#VALUE!</v>
      </c>
      <c r="CK99" t="e">
        <f>AND(DATA!B490,"AAAAAC5X/1g=")</f>
        <v>#VALUE!</v>
      </c>
      <c r="CL99" t="e">
        <f>AND(DATA!C490,"AAAAAC5X/1k=")</f>
        <v>#VALUE!</v>
      </c>
      <c r="CM99" t="e">
        <f>AND(DATA!D490,"AAAAAC5X/1o=")</f>
        <v>#VALUE!</v>
      </c>
      <c r="CN99" t="e">
        <f>AND(DATA!E490,"AAAAAC5X/1s=")</f>
        <v>#VALUE!</v>
      </c>
      <c r="CO99" t="e">
        <f>AND(DATA!F490,"AAAAAC5X/1w=")</f>
        <v>#VALUE!</v>
      </c>
      <c r="CP99" t="e">
        <f>AND(DATA!G490,"AAAAAC5X/10=")</f>
        <v>#VALUE!</v>
      </c>
      <c r="CQ99" t="e">
        <f>AND(DATA!H490,"AAAAAC5X/14=")</f>
        <v>#VALUE!</v>
      </c>
      <c r="CR99" t="e">
        <f>AND(DATA!I490,"AAAAAC5X/18=")</f>
        <v>#VALUE!</v>
      </c>
      <c r="CS99" t="e">
        <f>AND(DATA!J490,"AAAAAC5X/2A=")</f>
        <v>#VALUE!</v>
      </c>
      <c r="CT99" t="e">
        <f>AND(DATA!K490,"AAAAAC5X/2E=")</f>
        <v>#VALUE!</v>
      </c>
      <c r="CU99" t="b">
        <f>AND(DATA!L491,"AAAAAC5X/2I=")</f>
        <v>1</v>
      </c>
      <c r="CV99" t="b">
        <f>AND(DATA!M491,"AAAAAC5X/2M=")</f>
        <v>1</v>
      </c>
      <c r="CW99" t="b">
        <f>AND(DATA!N491,"AAAAAC5X/2Q=")</f>
        <v>1</v>
      </c>
      <c r="CX99" t="b">
        <f>AND(DATA!O491,"AAAAAC5X/2U=")</f>
        <v>1</v>
      </c>
      <c r="CY99" t="b">
        <f>AND(DATA!P491,"AAAAAC5X/2Y=")</f>
        <v>1</v>
      </c>
      <c r="CZ99" t="b">
        <f>AND(DATA!Q491,"AAAAAC5X/2c=")</f>
        <v>1</v>
      </c>
      <c r="DA99" t="b">
        <f>AND(DATA!R491,"AAAAAC5X/2g=")</f>
        <v>1</v>
      </c>
      <c r="DB99" t="b">
        <f>AND(DATA!S491,"AAAAAC5X/2k=")</f>
        <v>1</v>
      </c>
      <c r="DC99" t="b">
        <f>AND(DATA!T491,"AAAAAC5X/2o=")</f>
        <v>1</v>
      </c>
      <c r="DD99" t="b">
        <f>AND(DATA!U491,"AAAAAC5X/2s=")</f>
        <v>1</v>
      </c>
      <c r="DE99" t="b">
        <f>AND(DATA!V491,"AAAAAC5X/2w=")</f>
        <v>1</v>
      </c>
      <c r="DF99" t="e">
        <f>AND(DATA!W490,"AAAAAC5X/20=")</f>
        <v>#VALUE!</v>
      </c>
      <c r="DG99" t="e">
        <f>AND(DATA!X490,"AAAAAC5X/24=")</f>
        <v>#VALUE!</v>
      </c>
      <c r="DH99" t="e">
        <f>AND(DATA!Y490,"AAAAAC5X/28=")</f>
        <v>#VALUE!</v>
      </c>
      <c r="DI99">
        <f>IF(DATA!491:491,"AAAAAC5X/3A=",0)</f>
        <v>0</v>
      </c>
      <c r="DJ99" t="e">
        <f>AND(DATA!A491,"AAAAAC5X/3E=")</f>
        <v>#VALUE!</v>
      </c>
      <c r="DK99" t="e">
        <f>AND(DATA!B491,"AAAAAC5X/3I=")</f>
        <v>#VALUE!</v>
      </c>
      <c r="DL99" t="e">
        <f>AND(DATA!C491,"AAAAAC5X/3M=")</f>
        <v>#VALUE!</v>
      </c>
      <c r="DM99" t="e">
        <f>AND(DATA!D491,"AAAAAC5X/3Q=")</f>
        <v>#VALUE!</v>
      </c>
      <c r="DN99" t="e">
        <f>AND(DATA!E491,"AAAAAC5X/3U=")</f>
        <v>#VALUE!</v>
      </c>
      <c r="DO99" t="e">
        <f>AND(DATA!F491,"AAAAAC5X/3Y=")</f>
        <v>#VALUE!</v>
      </c>
      <c r="DP99" t="e">
        <f>AND(DATA!G491,"AAAAAC5X/3c=")</f>
        <v>#VALUE!</v>
      </c>
      <c r="DQ99" t="e">
        <f>AND(DATA!H491,"AAAAAC5X/3g=")</f>
        <v>#VALUE!</v>
      </c>
      <c r="DR99" t="e">
        <f>AND(DATA!I491,"AAAAAC5X/3k=")</f>
        <v>#VALUE!</v>
      </c>
      <c r="DS99" t="e">
        <f>AND(DATA!J491,"AAAAAC5X/3o=")</f>
        <v>#VALUE!</v>
      </c>
      <c r="DT99" t="e">
        <f>AND(DATA!K491,"AAAAAC5X/3s=")</f>
        <v>#VALUE!</v>
      </c>
      <c r="DU99" t="b">
        <f>AND(DATA!L492,"AAAAAC5X/3w=")</f>
        <v>1</v>
      </c>
      <c r="DV99" t="b">
        <f>AND(DATA!M492,"AAAAAC5X/30=")</f>
        <v>1</v>
      </c>
      <c r="DW99" t="b">
        <f>AND(DATA!N492,"AAAAAC5X/34=")</f>
        <v>1</v>
      </c>
      <c r="DX99" t="b">
        <f>AND(DATA!O492,"AAAAAC5X/38=")</f>
        <v>1</v>
      </c>
      <c r="DY99" t="b">
        <f>AND(DATA!P492,"AAAAAC5X/4A=")</f>
        <v>1</v>
      </c>
      <c r="DZ99" t="b">
        <f>AND(DATA!Q492,"AAAAAC5X/4E=")</f>
        <v>1</v>
      </c>
      <c r="EA99" t="b">
        <f>AND(DATA!R492,"AAAAAC5X/4I=")</f>
        <v>1</v>
      </c>
      <c r="EB99" t="b">
        <f>AND(DATA!S492,"AAAAAC5X/4M=")</f>
        <v>1</v>
      </c>
      <c r="EC99" t="b">
        <f>AND(DATA!T492,"AAAAAC5X/4Q=")</f>
        <v>1</v>
      </c>
      <c r="ED99" t="b">
        <f>AND(DATA!U492,"AAAAAC5X/4U=")</f>
        <v>1</v>
      </c>
      <c r="EE99" t="b">
        <f>AND(DATA!V492,"AAAAAC5X/4Y=")</f>
        <v>1</v>
      </c>
      <c r="EF99" t="e">
        <f>AND(DATA!W491,"AAAAAC5X/4c=")</f>
        <v>#VALUE!</v>
      </c>
      <c r="EG99" t="e">
        <f>AND(DATA!X491,"AAAAAC5X/4g=")</f>
        <v>#VALUE!</v>
      </c>
      <c r="EH99" t="e">
        <f>AND(DATA!Y491,"AAAAAC5X/4k=")</f>
        <v>#VALUE!</v>
      </c>
      <c r="EI99">
        <f>IF(DATA!492:492,"AAAAAC5X/4o=",0)</f>
        <v>0</v>
      </c>
      <c r="EJ99" t="e">
        <f>AND(DATA!A492,"AAAAAC5X/4s=")</f>
        <v>#VALUE!</v>
      </c>
      <c r="EK99" t="e">
        <f>AND(DATA!B492,"AAAAAC5X/4w=")</f>
        <v>#VALUE!</v>
      </c>
      <c r="EL99" t="e">
        <f>AND(DATA!C492,"AAAAAC5X/40=")</f>
        <v>#VALUE!</v>
      </c>
      <c r="EM99" t="e">
        <f>AND(DATA!D492,"AAAAAC5X/44=")</f>
        <v>#VALUE!</v>
      </c>
      <c r="EN99" t="e">
        <f>AND(DATA!E492,"AAAAAC5X/48=")</f>
        <v>#VALUE!</v>
      </c>
      <c r="EO99" t="e">
        <f>AND(DATA!F492,"AAAAAC5X/5A=")</f>
        <v>#VALUE!</v>
      </c>
      <c r="EP99" t="e">
        <f>AND(DATA!G492,"AAAAAC5X/5E=")</f>
        <v>#VALUE!</v>
      </c>
      <c r="EQ99" t="e">
        <f>AND(DATA!H492,"AAAAAC5X/5I=")</f>
        <v>#VALUE!</v>
      </c>
      <c r="ER99" t="e">
        <f>AND(DATA!I492,"AAAAAC5X/5M=")</f>
        <v>#VALUE!</v>
      </c>
      <c r="ES99" t="e">
        <f>AND(DATA!J492,"AAAAAC5X/5Q=")</f>
        <v>#VALUE!</v>
      </c>
      <c r="ET99" t="e">
        <f>AND(DATA!K492,"AAAAAC5X/5U=")</f>
        <v>#VALUE!</v>
      </c>
      <c r="EU99" t="b">
        <f>AND(DATA!L493,"AAAAAC5X/5Y=")</f>
        <v>1</v>
      </c>
      <c r="EV99" t="b">
        <f>AND(DATA!M493,"AAAAAC5X/5c=")</f>
        <v>1</v>
      </c>
      <c r="EW99" t="b">
        <f>AND(DATA!N493,"AAAAAC5X/5g=")</f>
        <v>1</v>
      </c>
      <c r="EX99" t="b">
        <f>AND(DATA!O493,"AAAAAC5X/5k=")</f>
        <v>1</v>
      </c>
      <c r="EY99" t="b">
        <f>AND(DATA!P493,"AAAAAC5X/5o=")</f>
        <v>1</v>
      </c>
      <c r="EZ99" t="b">
        <f>AND(DATA!Q493,"AAAAAC5X/5s=")</f>
        <v>1</v>
      </c>
      <c r="FA99" t="b">
        <f>AND(DATA!R493,"AAAAAC5X/5w=")</f>
        <v>1</v>
      </c>
      <c r="FB99" t="b">
        <f>AND(DATA!S493,"AAAAAC5X/50=")</f>
        <v>1</v>
      </c>
      <c r="FC99" t="b">
        <f>AND(DATA!T493,"AAAAAC5X/54=")</f>
        <v>1</v>
      </c>
      <c r="FD99" t="b">
        <f>AND(DATA!U493,"AAAAAC5X/58=")</f>
        <v>1</v>
      </c>
      <c r="FE99" t="b">
        <f>AND(DATA!V493,"AAAAAC5X/6A=")</f>
        <v>1</v>
      </c>
      <c r="FF99" t="e">
        <f>AND(DATA!W492,"AAAAAC5X/6E=")</f>
        <v>#VALUE!</v>
      </c>
      <c r="FG99" t="e">
        <f>AND(DATA!X492,"AAAAAC5X/6I=")</f>
        <v>#VALUE!</v>
      </c>
      <c r="FH99" t="e">
        <f>AND(DATA!Y492,"AAAAAC5X/6M=")</f>
        <v>#VALUE!</v>
      </c>
      <c r="FI99">
        <f>IF(DATA!493:493,"AAAAAC5X/6Q=",0)</f>
        <v>0</v>
      </c>
      <c r="FJ99" t="e">
        <f>AND(DATA!A493,"AAAAAC5X/6U=")</f>
        <v>#VALUE!</v>
      </c>
      <c r="FK99" t="e">
        <f>AND(DATA!B493,"AAAAAC5X/6Y=")</f>
        <v>#VALUE!</v>
      </c>
      <c r="FL99" t="e">
        <f>AND(DATA!C493,"AAAAAC5X/6c=")</f>
        <v>#VALUE!</v>
      </c>
      <c r="FM99" t="e">
        <f>AND(DATA!D493,"AAAAAC5X/6g=")</f>
        <v>#VALUE!</v>
      </c>
      <c r="FN99" t="e">
        <f>AND(DATA!E493,"AAAAAC5X/6k=")</f>
        <v>#VALUE!</v>
      </c>
      <c r="FO99" t="e">
        <f>AND(DATA!F493,"AAAAAC5X/6o=")</f>
        <v>#VALUE!</v>
      </c>
      <c r="FP99" t="e">
        <f>AND(DATA!G493,"AAAAAC5X/6s=")</f>
        <v>#VALUE!</v>
      </c>
      <c r="FQ99" t="e">
        <f>AND(DATA!H493,"AAAAAC5X/6w=")</f>
        <v>#VALUE!</v>
      </c>
      <c r="FR99" t="e">
        <f>AND(DATA!I493,"AAAAAC5X/60=")</f>
        <v>#VALUE!</v>
      </c>
      <c r="FS99" t="e">
        <f>AND(DATA!J493,"AAAAAC5X/64=")</f>
        <v>#VALUE!</v>
      </c>
      <c r="FT99" t="e">
        <f>AND(DATA!K493,"AAAAAC5X/68=")</f>
        <v>#VALUE!</v>
      </c>
      <c r="FU99" t="b">
        <f>AND(DATA!L494,"AAAAAC5X/7A=")</f>
        <v>1</v>
      </c>
      <c r="FV99" t="b">
        <f>AND(DATA!M494,"AAAAAC5X/7E=")</f>
        <v>1</v>
      </c>
      <c r="FW99" t="b">
        <f>AND(DATA!N494,"AAAAAC5X/7I=")</f>
        <v>1</v>
      </c>
      <c r="FX99" t="b">
        <f>AND(DATA!O494,"AAAAAC5X/7M=")</f>
        <v>1</v>
      </c>
      <c r="FY99" t="b">
        <f>AND(DATA!P494,"AAAAAC5X/7Q=")</f>
        <v>1</v>
      </c>
      <c r="FZ99" t="b">
        <f>AND(DATA!Q494,"AAAAAC5X/7U=")</f>
        <v>1</v>
      </c>
      <c r="GA99" t="b">
        <f>AND(DATA!R494,"AAAAAC5X/7Y=")</f>
        <v>1</v>
      </c>
      <c r="GB99" t="b">
        <f>AND(DATA!S494,"AAAAAC5X/7c=")</f>
        <v>1</v>
      </c>
      <c r="GC99" t="b">
        <f>AND(DATA!T494,"AAAAAC5X/7g=")</f>
        <v>1</v>
      </c>
      <c r="GD99" t="b">
        <f>AND(DATA!U494,"AAAAAC5X/7k=")</f>
        <v>1</v>
      </c>
      <c r="GE99" t="b">
        <f>AND(DATA!V494,"AAAAAC5X/7o=")</f>
        <v>1</v>
      </c>
      <c r="GF99" t="e">
        <f>AND(DATA!W493,"AAAAAC5X/7s=")</f>
        <v>#VALUE!</v>
      </c>
      <c r="GG99" t="e">
        <f>AND(DATA!X493,"AAAAAC5X/7w=")</f>
        <v>#VALUE!</v>
      </c>
      <c r="GH99" t="e">
        <f>AND(DATA!Y493,"AAAAAC5X/70=")</f>
        <v>#VALUE!</v>
      </c>
      <c r="GI99">
        <f>IF(DATA!494:494,"AAAAAC5X/74=",0)</f>
        <v>0</v>
      </c>
      <c r="GJ99" t="e">
        <f>AND(DATA!A494,"AAAAAC5X/78=")</f>
        <v>#VALUE!</v>
      </c>
      <c r="GK99" t="e">
        <f>AND(DATA!B494,"AAAAAC5X/8A=")</f>
        <v>#VALUE!</v>
      </c>
      <c r="GL99" t="e">
        <f>AND(DATA!C494,"AAAAAC5X/8E=")</f>
        <v>#VALUE!</v>
      </c>
      <c r="GM99" t="e">
        <f>AND(DATA!D494,"AAAAAC5X/8I=")</f>
        <v>#VALUE!</v>
      </c>
      <c r="GN99" t="e">
        <f>AND(DATA!E494,"AAAAAC5X/8M=")</f>
        <v>#VALUE!</v>
      </c>
      <c r="GO99" t="e">
        <f>AND(DATA!F494,"AAAAAC5X/8Q=")</f>
        <v>#VALUE!</v>
      </c>
      <c r="GP99" t="e">
        <f>AND(DATA!G494,"AAAAAC5X/8U=")</f>
        <v>#VALUE!</v>
      </c>
      <c r="GQ99" t="e">
        <f>AND(DATA!H494,"AAAAAC5X/8Y=")</f>
        <v>#VALUE!</v>
      </c>
      <c r="GR99" t="e">
        <f>AND(DATA!I494,"AAAAAC5X/8c=")</f>
        <v>#VALUE!</v>
      </c>
      <c r="GS99" t="e">
        <f>AND(DATA!J494,"AAAAAC5X/8g=")</f>
        <v>#VALUE!</v>
      </c>
      <c r="GT99" t="e">
        <f>AND(DATA!K494,"AAAAAC5X/8k=")</f>
        <v>#VALUE!</v>
      </c>
      <c r="GU99" t="b">
        <f>AND(DATA!L495,"AAAAAC5X/8o=")</f>
        <v>1</v>
      </c>
      <c r="GV99" t="b">
        <f>AND(DATA!M495,"AAAAAC5X/8s=")</f>
        <v>1</v>
      </c>
      <c r="GW99" t="b">
        <f>AND(DATA!N495,"AAAAAC5X/8w=")</f>
        <v>1</v>
      </c>
      <c r="GX99" t="b">
        <f>AND(DATA!O495,"AAAAAC5X/80=")</f>
        <v>1</v>
      </c>
      <c r="GY99" t="b">
        <f>AND(DATA!P495,"AAAAAC5X/84=")</f>
        <v>1</v>
      </c>
      <c r="GZ99" t="b">
        <f>AND(DATA!Q495,"AAAAAC5X/88=")</f>
        <v>1</v>
      </c>
      <c r="HA99" t="b">
        <f>AND(DATA!R495,"AAAAAC5X/9A=")</f>
        <v>1</v>
      </c>
      <c r="HB99" t="b">
        <f>AND(DATA!S495,"AAAAAC5X/9E=")</f>
        <v>1</v>
      </c>
      <c r="HC99" t="b">
        <f>AND(DATA!T495,"AAAAAC5X/9I=")</f>
        <v>1</v>
      </c>
      <c r="HD99" t="b">
        <f>AND(DATA!U495,"AAAAAC5X/9M=")</f>
        <v>1</v>
      </c>
      <c r="HE99" t="b">
        <f>AND(DATA!V495,"AAAAAC5X/9Q=")</f>
        <v>1</v>
      </c>
      <c r="HF99" t="e">
        <f>AND(DATA!W494,"AAAAAC5X/9U=")</f>
        <v>#VALUE!</v>
      </c>
      <c r="HG99" t="e">
        <f>AND(DATA!X494,"AAAAAC5X/9Y=")</f>
        <v>#VALUE!</v>
      </c>
      <c r="HH99" t="e">
        <f>AND(DATA!Y494,"AAAAAC5X/9c=")</f>
        <v>#VALUE!</v>
      </c>
      <c r="HI99">
        <f>IF(DATA!495:495,"AAAAAC5X/9g=",0)</f>
        <v>0</v>
      </c>
      <c r="HJ99" t="e">
        <f>AND(DATA!A495,"AAAAAC5X/9k=")</f>
        <v>#VALUE!</v>
      </c>
      <c r="HK99" t="e">
        <f>AND(DATA!B495,"AAAAAC5X/9o=")</f>
        <v>#VALUE!</v>
      </c>
      <c r="HL99" t="e">
        <f>AND(DATA!C495,"AAAAAC5X/9s=")</f>
        <v>#VALUE!</v>
      </c>
      <c r="HM99" t="e">
        <f>AND(DATA!D495,"AAAAAC5X/9w=")</f>
        <v>#VALUE!</v>
      </c>
      <c r="HN99" t="e">
        <f>AND(DATA!E495,"AAAAAC5X/90=")</f>
        <v>#VALUE!</v>
      </c>
      <c r="HO99" t="e">
        <f>AND(DATA!F495,"AAAAAC5X/94=")</f>
        <v>#VALUE!</v>
      </c>
      <c r="HP99" t="e">
        <f>AND(DATA!G495,"AAAAAC5X/98=")</f>
        <v>#VALUE!</v>
      </c>
      <c r="HQ99" t="e">
        <f>AND(DATA!H495,"AAAAAC5X/+A=")</f>
        <v>#VALUE!</v>
      </c>
      <c r="HR99" t="e">
        <f>AND(DATA!I495,"AAAAAC5X/+E=")</f>
        <v>#VALUE!</v>
      </c>
      <c r="HS99" t="e">
        <f>AND(DATA!J495,"AAAAAC5X/+I=")</f>
        <v>#VALUE!</v>
      </c>
      <c r="HT99" t="e">
        <f>AND(DATA!K495,"AAAAAC5X/+M=")</f>
        <v>#VALUE!</v>
      </c>
      <c r="HU99" t="b">
        <f>AND(DATA!L496,"AAAAAC5X/+Q=")</f>
        <v>1</v>
      </c>
      <c r="HV99" t="b">
        <f>AND(DATA!M496,"AAAAAC5X/+U=")</f>
        <v>1</v>
      </c>
      <c r="HW99" t="b">
        <f>AND(DATA!N496,"AAAAAC5X/+Y=")</f>
        <v>1</v>
      </c>
      <c r="HX99" t="b">
        <f>AND(DATA!O496,"AAAAAC5X/+c=")</f>
        <v>1</v>
      </c>
      <c r="HY99" t="b">
        <f>AND(DATA!P496,"AAAAAC5X/+g=")</f>
        <v>1</v>
      </c>
      <c r="HZ99" t="b">
        <f>AND(DATA!Q496,"AAAAAC5X/+k=")</f>
        <v>1</v>
      </c>
      <c r="IA99" t="b">
        <f>AND(DATA!R496,"AAAAAC5X/+o=")</f>
        <v>1</v>
      </c>
      <c r="IB99" t="b">
        <f>AND(DATA!S496,"AAAAAC5X/+s=")</f>
        <v>1</v>
      </c>
      <c r="IC99" t="b">
        <f>AND(DATA!T496,"AAAAAC5X/+w=")</f>
        <v>1</v>
      </c>
      <c r="ID99" t="b">
        <f>AND(DATA!U496,"AAAAAC5X/+0=")</f>
        <v>1</v>
      </c>
      <c r="IE99" t="b">
        <f>AND(DATA!V496,"AAAAAC5X/+4=")</f>
        <v>1</v>
      </c>
      <c r="IF99" t="e">
        <f>AND(DATA!W495,"AAAAAC5X/+8=")</f>
        <v>#VALUE!</v>
      </c>
      <c r="IG99" t="e">
        <f>AND(DATA!X495,"AAAAAC5X//A=")</f>
        <v>#VALUE!</v>
      </c>
      <c r="IH99" t="e">
        <f>AND(DATA!Y495,"AAAAAC5X//E=")</f>
        <v>#VALUE!</v>
      </c>
      <c r="II99">
        <f>IF(DATA!496:496,"AAAAAC5X//I=",0)</f>
        <v>0</v>
      </c>
      <c r="IJ99" t="e">
        <f>AND(DATA!A496,"AAAAAC5X//M=")</f>
        <v>#VALUE!</v>
      </c>
      <c r="IK99" t="e">
        <f>AND(DATA!B496,"AAAAAC5X//Q=")</f>
        <v>#VALUE!</v>
      </c>
      <c r="IL99" t="e">
        <f>AND(DATA!C496,"AAAAAC5X//U=")</f>
        <v>#VALUE!</v>
      </c>
      <c r="IM99" t="e">
        <f>AND(DATA!D496,"AAAAAC5X//Y=")</f>
        <v>#VALUE!</v>
      </c>
      <c r="IN99" t="e">
        <f>AND(DATA!E496,"AAAAAC5X//c=")</f>
        <v>#VALUE!</v>
      </c>
      <c r="IO99" t="e">
        <f>AND(DATA!F496,"AAAAAC5X//g=")</f>
        <v>#VALUE!</v>
      </c>
      <c r="IP99" t="e">
        <f>AND(DATA!G496,"AAAAAC5X//k=")</f>
        <v>#VALUE!</v>
      </c>
      <c r="IQ99" t="e">
        <f>AND(DATA!H496,"AAAAAC5X//o=")</f>
        <v>#VALUE!</v>
      </c>
      <c r="IR99" t="e">
        <f>AND(DATA!I496,"AAAAAC5X//s=")</f>
        <v>#VALUE!</v>
      </c>
      <c r="IS99" t="e">
        <f>AND(DATA!J496,"AAAAAC5X//w=")</f>
        <v>#VALUE!</v>
      </c>
      <c r="IT99" t="e">
        <f>AND(DATA!K496,"AAAAAC5X//0=")</f>
        <v>#VALUE!</v>
      </c>
      <c r="IU99" t="b">
        <f>AND(DATA!L497,"AAAAAC5X//4=")</f>
        <v>1</v>
      </c>
      <c r="IV99" t="b">
        <f>AND(DATA!M497,"AAAAAC5X//8=")</f>
        <v>1</v>
      </c>
    </row>
    <row r="100" spans="1:256" x14ac:dyDescent="0.25">
      <c r="A100" t="b">
        <f>AND(DATA!N497,"AAAAAHt27AA=")</f>
        <v>1</v>
      </c>
      <c r="B100" t="b">
        <f>AND(DATA!O497,"AAAAAHt27AE=")</f>
        <v>1</v>
      </c>
      <c r="C100" t="b">
        <f>AND(DATA!P497,"AAAAAHt27AI=")</f>
        <v>1</v>
      </c>
      <c r="D100" t="b">
        <f>AND(DATA!Q497,"AAAAAHt27AM=")</f>
        <v>1</v>
      </c>
      <c r="E100" t="b">
        <f>AND(DATA!R497,"AAAAAHt27AQ=")</f>
        <v>1</v>
      </c>
      <c r="F100" t="b">
        <f>AND(DATA!S497,"AAAAAHt27AU=")</f>
        <v>1</v>
      </c>
      <c r="G100" t="b">
        <f>AND(DATA!T497,"AAAAAHt27AY=")</f>
        <v>1</v>
      </c>
      <c r="H100" t="b">
        <f>AND(DATA!U497,"AAAAAHt27Ac=")</f>
        <v>1</v>
      </c>
      <c r="I100" t="b">
        <f>AND(DATA!V497,"AAAAAHt27Ag=")</f>
        <v>1</v>
      </c>
      <c r="J100" t="e">
        <f>AND(DATA!W496,"AAAAAHt27Ak=")</f>
        <v>#VALUE!</v>
      </c>
      <c r="K100" t="e">
        <f>AND(DATA!X496,"AAAAAHt27Ao=")</f>
        <v>#VALUE!</v>
      </c>
      <c r="L100" t="e">
        <f>AND(DATA!Y496,"AAAAAHt27As=")</f>
        <v>#VALUE!</v>
      </c>
      <c r="M100" t="str">
        <f>IF(DATA!497:497,"AAAAAHt27Aw=",0)</f>
        <v>AAAAAHt27Aw=</v>
      </c>
      <c r="N100" t="e">
        <f>AND(DATA!A497,"AAAAAHt27A0=")</f>
        <v>#VALUE!</v>
      </c>
      <c r="O100" t="e">
        <f>AND(DATA!B497,"AAAAAHt27A4=")</f>
        <v>#VALUE!</v>
      </c>
      <c r="P100" t="e">
        <f>AND(DATA!C497,"AAAAAHt27A8=")</f>
        <v>#VALUE!</v>
      </c>
      <c r="Q100" t="e">
        <f>AND(DATA!D497,"AAAAAHt27BA=")</f>
        <v>#VALUE!</v>
      </c>
      <c r="R100" t="e">
        <f>AND(DATA!E497,"AAAAAHt27BE=")</f>
        <v>#VALUE!</v>
      </c>
      <c r="S100" t="e">
        <f>AND(DATA!F497,"AAAAAHt27BI=")</f>
        <v>#VALUE!</v>
      </c>
      <c r="T100" t="e">
        <f>AND(DATA!G497,"AAAAAHt27BM=")</f>
        <v>#VALUE!</v>
      </c>
      <c r="U100" t="e">
        <f>AND(DATA!H497,"AAAAAHt27BQ=")</f>
        <v>#VALUE!</v>
      </c>
      <c r="V100" t="e">
        <f>AND(DATA!I497,"AAAAAHt27BU=")</f>
        <v>#VALUE!</v>
      </c>
      <c r="W100" t="e">
        <f>AND(DATA!J497,"AAAAAHt27BY=")</f>
        <v>#VALUE!</v>
      </c>
      <c r="X100" t="e">
        <f>AND(DATA!K497,"AAAAAHt27Bc=")</f>
        <v>#VALUE!</v>
      </c>
      <c r="Y100" t="b">
        <f>AND(DATA!L498,"AAAAAHt27Bg=")</f>
        <v>1</v>
      </c>
      <c r="Z100" t="b">
        <f>AND(DATA!M498,"AAAAAHt27Bk=")</f>
        <v>1</v>
      </c>
      <c r="AA100" t="b">
        <f>AND(DATA!N498,"AAAAAHt27Bo=")</f>
        <v>1</v>
      </c>
      <c r="AB100" t="b">
        <f>AND(DATA!O498,"AAAAAHt27Bs=")</f>
        <v>1</v>
      </c>
      <c r="AC100" t="b">
        <f>AND(DATA!P498,"AAAAAHt27Bw=")</f>
        <v>1</v>
      </c>
      <c r="AD100" t="b">
        <f>AND(DATA!Q498,"AAAAAHt27B0=")</f>
        <v>1</v>
      </c>
      <c r="AE100" t="b">
        <f>AND(DATA!R498,"AAAAAHt27B4=")</f>
        <v>1</v>
      </c>
      <c r="AF100" t="b">
        <f>AND(DATA!S498,"AAAAAHt27B8=")</f>
        <v>1</v>
      </c>
      <c r="AG100" t="b">
        <f>AND(DATA!T498,"AAAAAHt27CA=")</f>
        <v>1</v>
      </c>
      <c r="AH100" t="b">
        <f>AND(DATA!U498,"AAAAAHt27CE=")</f>
        <v>1</v>
      </c>
      <c r="AI100" t="b">
        <f>AND(DATA!V498,"AAAAAHt27CI=")</f>
        <v>1</v>
      </c>
      <c r="AJ100" t="e">
        <f>AND(DATA!W497,"AAAAAHt27CM=")</f>
        <v>#VALUE!</v>
      </c>
      <c r="AK100" t="e">
        <f>AND(DATA!X497,"AAAAAHt27CQ=")</f>
        <v>#VALUE!</v>
      </c>
      <c r="AL100" t="e">
        <f>AND(DATA!Y497,"AAAAAHt27CU=")</f>
        <v>#VALUE!</v>
      </c>
      <c r="AM100">
        <f>IF(DATA!498:498,"AAAAAHt27CY=",0)</f>
        <v>0</v>
      </c>
      <c r="AN100" t="e">
        <f>AND(DATA!A498,"AAAAAHt27Cc=")</f>
        <v>#VALUE!</v>
      </c>
      <c r="AO100" t="e">
        <f>AND(DATA!B498,"AAAAAHt27Cg=")</f>
        <v>#VALUE!</v>
      </c>
      <c r="AP100" t="e">
        <f>AND(DATA!C498,"AAAAAHt27Ck=")</f>
        <v>#VALUE!</v>
      </c>
      <c r="AQ100" t="e">
        <f>AND(DATA!D498,"AAAAAHt27Co=")</f>
        <v>#VALUE!</v>
      </c>
      <c r="AR100" t="e">
        <f>AND(DATA!E498,"AAAAAHt27Cs=")</f>
        <v>#VALUE!</v>
      </c>
      <c r="AS100" t="e">
        <f>AND(DATA!F498,"AAAAAHt27Cw=")</f>
        <v>#VALUE!</v>
      </c>
      <c r="AT100" t="e">
        <f>AND(DATA!G498,"AAAAAHt27C0=")</f>
        <v>#VALUE!</v>
      </c>
      <c r="AU100" t="e">
        <f>AND(DATA!H498,"AAAAAHt27C4=")</f>
        <v>#VALUE!</v>
      </c>
      <c r="AV100" t="e">
        <f>AND(DATA!I498,"AAAAAHt27C8=")</f>
        <v>#VALUE!</v>
      </c>
      <c r="AW100" t="e">
        <f>AND(DATA!J498,"AAAAAHt27DA=")</f>
        <v>#VALUE!</v>
      </c>
      <c r="AX100" t="e">
        <f>AND(DATA!K498,"AAAAAHt27DE=")</f>
        <v>#VALUE!</v>
      </c>
      <c r="AY100" t="b">
        <f>AND(DATA!L499,"AAAAAHt27DI=")</f>
        <v>1</v>
      </c>
      <c r="AZ100" t="b">
        <f>AND(DATA!M499,"AAAAAHt27DM=")</f>
        <v>1</v>
      </c>
      <c r="BA100" t="b">
        <f>AND(DATA!N499,"AAAAAHt27DQ=")</f>
        <v>1</v>
      </c>
      <c r="BB100" t="b">
        <f>AND(DATA!O499,"AAAAAHt27DU=")</f>
        <v>1</v>
      </c>
      <c r="BC100" t="b">
        <f>AND(DATA!P499,"AAAAAHt27DY=")</f>
        <v>1</v>
      </c>
      <c r="BD100" t="b">
        <f>AND(DATA!Q499,"AAAAAHt27Dc=")</f>
        <v>1</v>
      </c>
      <c r="BE100" t="b">
        <f>AND(DATA!R499,"AAAAAHt27Dg=")</f>
        <v>1</v>
      </c>
      <c r="BF100" t="b">
        <f>AND(DATA!S499,"AAAAAHt27Dk=")</f>
        <v>1</v>
      </c>
      <c r="BG100" t="b">
        <f>AND(DATA!T499,"AAAAAHt27Do=")</f>
        <v>1</v>
      </c>
      <c r="BH100" t="b">
        <f>AND(DATA!U499,"AAAAAHt27Ds=")</f>
        <v>1</v>
      </c>
      <c r="BI100" t="b">
        <f>AND(DATA!V499,"AAAAAHt27Dw=")</f>
        <v>1</v>
      </c>
      <c r="BJ100" t="e">
        <f>AND(DATA!W498,"AAAAAHt27D0=")</f>
        <v>#VALUE!</v>
      </c>
      <c r="BK100" t="e">
        <f>AND(DATA!X498,"AAAAAHt27D4=")</f>
        <v>#VALUE!</v>
      </c>
      <c r="BL100" t="e">
        <f>AND(DATA!Y498,"AAAAAHt27D8=")</f>
        <v>#VALUE!</v>
      </c>
      <c r="BM100">
        <f>IF(DATA!499:499,"AAAAAHt27EA=",0)</f>
        <v>0</v>
      </c>
      <c r="BN100" t="e">
        <f>AND(DATA!A499,"AAAAAHt27EE=")</f>
        <v>#VALUE!</v>
      </c>
      <c r="BO100" t="e">
        <f>AND(DATA!B499,"AAAAAHt27EI=")</f>
        <v>#VALUE!</v>
      </c>
      <c r="BP100" t="e">
        <f>AND(DATA!C499,"AAAAAHt27EM=")</f>
        <v>#VALUE!</v>
      </c>
      <c r="BQ100" t="e">
        <f>AND(DATA!D499,"AAAAAHt27EQ=")</f>
        <v>#VALUE!</v>
      </c>
      <c r="BR100" t="e">
        <f>AND(DATA!E499,"AAAAAHt27EU=")</f>
        <v>#VALUE!</v>
      </c>
      <c r="BS100" t="e">
        <f>AND(DATA!F499,"AAAAAHt27EY=")</f>
        <v>#VALUE!</v>
      </c>
      <c r="BT100" t="e">
        <f>AND(DATA!G499,"AAAAAHt27Ec=")</f>
        <v>#VALUE!</v>
      </c>
      <c r="BU100" t="e">
        <f>AND(DATA!H499,"AAAAAHt27Eg=")</f>
        <v>#VALUE!</v>
      </c>
      <c r="BV100" t="e">
        <f>AND(DATA!I499,"AAAAAHt27Ek=")</f>
        <v>#VALUE!</v>
      </c>
      <c r="BW100" t="e">
        <f>AND(DATA!J499,"AAAAAHt27Eo=")</f>
        <v>#VALUE!</v>
      </c>
      <c r="BX100" t="e">
        <f>AND(DATA!K499,"AAAAAHt27Es=")</f>
        <v>#VALUE!</v>
      </c>
      <c r="BY100" t="b">
        <f>AND(DATA!L500,"AAAAAHt27Ew=")</f>
        <v>1</v>
      </c>
      <c r="BZ100" t="b">
        <f>AND(DATA!M500,"AAAAAHt27E0=")</f>
        <v>1</v>
      </c>
      <c r="CA100" t="b">
        <f>AND(DATA!N500,"AAAAAHt27E4=")</f>
        <v>1</v>
      </c>
      <c r="CB100" t="b">
        <f>AND(DATA!O500,"AAAAAHt27E8=")</f>
        <v>1</v>
      </c>
      <c r="CC100" t="b">
        <f>AND(DATA!P500,"AAAAAHt27FA=")</f>
        <v>1</v>
      </c>
      <c r="CD100" t="b">
        <f>AND(DATA!Q500,"AAAAAHt27FE=")</f>
        <v>1</v>
      </c>
      <c r="CE100" t="b">
        <f>AND(DATA!R500,"AAAAAHt27FI=")</f>
        <v>1</v>
      </c>
      <c r="CF100" t="b">
        <f>AND(DATA!S500,"AAAAAHt27FM=")</f>
        <v>1</v>
      </c>
      <c r="CG100" t="b">
        <f>AND(DATA!T500,"AAAAAHt27FQ=")</f>
        <v>1</v>
      </c>
      <c r="CH100" t="b">
        <f>AND(DATA!U500,"AAAAAHt27FU=")</f>
        <v>1</v>
      </c>
      <c r="CI100" t="b">
        <f>AND(DATA!V500,"AAAAAHt27FY=")</f>
        <v>1</v>
      </c>
      <c r="CJ100" t="e">
        <f>AND(DATA!W499,"AAAAAHt27Fc=")</f>
        <v>#VALUE!</v>
      </c>
      <c r="CK100" t="e">
        <f>AND(DATA!X499,"AAAAAHt27Fg=")</f>
        <v>#VALUE!</v>
      </c>
      <c r="CL100" t="e">
        <f>AND(DATA!Y499,"AAAAAHt27Fk=")</f>
        <v>#VALUE!</v>
      </c>
      <c r="CM100">
        <f>IF(DATA!500:500,"AAAAAHt27Fo=",0)</f>
        <v>0</v>
      </c>
      <c r="CN100" t="e">
        <f>AND(DATA!A500,"AAAAAHt27Fs=")</f>
        <v>#VALUE!</v>
      </c>
      <c r="CO100" t="e">
        <f>AND(DATA!B500,"AAAAAHt27Fw=")</f>
        <v>#VALUE!</v>
      </c>
      <c r="CP100" t="e">
        <f>AND(DATA!C500,"AAAAAHt27F0=")</f>
        <v>#VALUE!</v>
      </c>
      <c r="CQ100" t="e">
        <f>AND(DATA!D500,"AAAAAHt27F4=")</f>
        <v>#VALUE!</v>
      </c>
      <c r="CR100" t="e">
        <f>AND(DATA!E500,"AAAAAHt27F8=")</f>
        <v>#VALUE!</v>
      </c>
      <c r="CS100" t="e">
        <f>AND(DATA!F500,"AAAAAHt27GA=")</f>
        <v>#VALUE!</v>
      </c>
      <c r="CT100" t="e">
        <f>AND(DATA!G500,"AAAAAHt27GE=")</f>
        <v>#VALUE!</v>
      </c>
      <c r="CU100" t="e">
        <f>AND(DATA!H500,"AAAAAHt27GI=")</f>
        <v>#VALUE!</v>
      </c>
      <c r="CV100" t="e">
        <f>AND(DATA!I500,"AAAAAHt27GM=")</f>
        <v>#VALUE!</v>
      </c>
      <c r="CW100" t="e">
        <f>AND(DATA!J500,"AAAAAHt27GQ=")</f>
        <v>#VALUE!</v>
      </c>
      <c r="CX100" t="e">
        <f>AND(DATA!K500,"AAAAAHt27GU=")</f>
        <v>#VALUE!</v>
      </c>
      <c r="CY100" t="b">
        <f>AND(DATA!L501,"AAAAAHt27GY=")</f>
        <v>1</v>
      </c>
      <c r="CZ100" t="b">
        <f>AND(DATA!M501,"AAAAAHt27Gc=")</f>
        <v>1</v>
      </c>
      <c r="DA100" t="b">
        <f>AND(DATA!N501,"AAAAAHt27Gg=")</f>
        <v>1</v>
      </c>
      <c r="DB100" t="b">
        <f>AND(DATA!O501,"AAAAAHt27Gk=")</f>
        <v>1</v>
      </c>
      <c r="DC100" t="b">
        <f>AND(DATA!P501,"AAAAAHt27Go=")</f>
        <v>1</v>
      </c>
      <c r="DD100" t="b">
        <f>AND(DATA!Q501,"AAAAAHt27Gs=")</f>
        <v>1</v>
      </c>
      <c r="DE100" t="b">
        <f>AND(DATA!R501,"AAAAAHt27Gw=")</f>
        <v>1</v>
      </c>
      <c r="DF100" t="b">
        <f>AND(DATA!S501,"AAAAAHt27G0=")</f>
        <v>1</v>
      </c>
      <c r="DG100" t="b">
        <f>AND(DATA!T501,"AAAAAHt27G4=")</f>
        <v>1</v>
      </c>
      <c r="DH100" t="b">
        <f>AND(DATA!U501,"AAAAAHt27G8=")</f>
        <v>1</v>
      </c>
      <c r="DI100" t="b">
        <f>AND(DATA!V501,"AAAAAHt27HA=")</f>
        <v>1</v>
      </c>
      <c r="DJ100" t="e">
        <f>AND(DATA!W500,"AAAAAHt27HE=")</f>
        <v>#VALUE!</v>
      </c>
      <c r="DK100" t="e">
        <f>AND(DATA!X500,"AAAAAHt27HI=")</f>
        <v>#VALUE!</v>
      </c>
      <c r="DL100" t="e">
        <f>AND(DATA!Y500,"AAAAAHt27HM=")</f>
        <v>#VALUE!</v>
      </c>
      <c r="DM100">
        <f>IF(DATA!501:501,"AAAAAHt27HQ=",0)</f>
        <v>0</v>
      </c>
      <c r="DN100" t="e">
        <f>AND(DATA!A501,"AAAAAHt27HU=")</f>
        <v>#VALUE!</v>
      </c>
      <c r="DO100" t="e">
        <f>AND(DATA!B501,"AAAAAHt27HY=")</f>
        <v>#VALUE!</v>
      </c>
      <c r="DP100" t="e">
        <f>AND(DATA!C501,"AAAAAHt27Hc=")</f>
        <v>#VALUE!</v>
      </c>
      <c r="DQ100" t="e">
        <f>AND(DATA!D501,"AAAAAHt27Hg=")</f>
        <v>#VALUE!</v>
      </c>
      <c r="DR100" t="e">
        <f>AND(DATA!E501,"AAAAAHt27Hk=")</f>
        <v>#VALUE!</v>
      </c>
      <c r="DS100" t="e">
        <f>AND(DATA!F501,"AAAAAHt27Ho=")</f>
        <v>#VALUE!</v>
      </c>
      <c r="DT100" t="e">
        <f>AND(DATA!G501,"AAAAAHt27Hs=")</f>
        <v>#VALUE!</v>
      </c>
      <c r="DU100" t="e">
        <f>AND(DATA!H501,"AAAAAHt27Hw=")</f>
        <v>#VALUE!</v>
      </c>
      <c r="DV100" t="e">
        <f>AND(DATA!I501,"AAAAAHt27H0=")</f>
        <v>#VALUE!</v>
      </c>
      <c r="DW100" t="e">
        <f>AND(DATA!J501,"AAAAAHt27H4=")</f>
        <v>#VALUE!</v>
      </c>
      <c r="DX100" t="e">
        <f>AND(DATA!K501,"AAAAAHt27H8=")</f>
        <v>#VALUE!</v>
      </c>
      <c r="DY100" t="b">
        <f>AND(DATA!L502,"AAAAAHt27IA=")</f>
        <v>1</v>
      </c>
      <c r="DZ100" t="b">
        <f>AND(DATA!M502,"AAAAAHt27IE=")</f>
        <v>1</v>
      </c>
      <c r="EA100" t="b">
        <f>AND(DATA!N502,"AAAAAHt27II=")</f>
        <v>1</v>
      </c>
      <c r="EB100" t="b">
        <f>AND(DATA!O502,"AAAAAHt27IM=")</f>
        <v>1</v>
      </c>
      <c r="EC100" t="b">
        <f>AND(DATA!P502,"AAAAAHt27IQ=")</f>
        <v>1</v>
      </c>
      <c r="ED100" t="b">
        <f>AND(DATA!Q502,"AAAAAHt27IU=")</f>
        <v>1</v>
      </c>
      <c r="EE100" t="b">
        <f>AND(DATA!R502,"AAAAAHt27IY=")</f>
        <v>1</v>
      </c>
      <c r="EF100" t="b">
        <f>AND(DATA!S502,"AAAAAHt27Ic=")</f>
        <v>1</v>
      </c>
      <c r="EG100" t="b">
        <f>AND(DATA!T502,"AAAAAHt27Ig=")</f>
        <v>1</v>
      </c>
      <c r="EH100" t="b">
        <f>AND(DATA!U502,"AAAAAHt27Ik=")</f>
        <v>1</v>
      </c>
      <c r="EI100" t="b">
        <f>AND(DATA!V502,"AAAAAHt27Io=")</f>
        <v>1</v>
      </c>
      <c r="EJ100" t="e">
        <f>AND(DATA!W501,"AAAAAHt27Is=")</f>
        <v>#VALUE!</v>
      </c>
      <c r="EK100" t="e">
        <f>AND(DATA!X501,"AAAAAHt27Iw=")</f>
        <v>#VALUE!</v>
      </c>
      <c r="EL100" t="e">
        <f>AND(DATA!Y501,"AAAAAHt27I0=")</f>
        <v>#VALUE!</v>
      </c>
      <c r="EM100">
        <f>IF(DATA!502:502,"AAAAAHt27I4=",0)</f>
        <v>0</v>
      </c>
      <c r="EN100" t="e">
        <f>AND(DATA!A502,"AAAAAHt27I8=")</f>
        <v>#VALUE!</v>
      </c>
      <c r="EO100" t="e">
        <f>AND(DATA!B502,"AAAAAHt27JA=")</f>
        <v>#VALUE!</v>
      </c>
      <c r="EP100" t="e">
        <f>AND(DATA!C502,"AAAAAHt27JE=")</f>
        <v>#VALUE!</v>
      </c>
      <c r="EQ100" t="e">
        <f>AND(DATA!D502,"AAAAAHt27JI=")</f>
        <v>#VALUE!</v>
      </c>
      <c r="ER100" t="e">
        <f>AND(DATA!E502,"AAAAAHt27JM=")</f>
        <v>#VALUE!</v>
      </c>
      <c r="ES100" t="e">
        <f>AND(DATA!F502,"AAAAAHt27JQ=")</f>
        <v>#VALUE!</v>
      </c>
      <c r="ET100" t="e">
        <f>AND(DATA!G502,"AAAAAHt27JU=")</f>
        <v>#VALUE!</v>
      </c>
      <c r="EU100" t="e">
        <f>AND(DATA!H502,"AAAAAHt27JY=")</f>
        <v>#VALUE!</v>
      </c>
      <c r="EV100" t="e">
        <f>AND(DATA!I502,"AAAAAHt27Jc=")</f>
        <v>#VALUE!</v>
      </c>
      <c r="EW100" t="e">
        <f>AND(DATA!J502,"AAAAAHt27Jg=")</f>
        <v>#VALUE!</v>
      </c>
      <c r="EX100" t="e">
        <f>AND(DATA!K502,"AAAAAHt27Jk=")</f>
        <v>#VALUE!</v>
      </c>
      <c r="EY100" t="b">
        <f>AND(DATA!L503,"AAAAAHt27Jo=")</f>
        <v>1</v>
      </c>
      <c r="EZ100" t="b">
        <f>AND(DATA!M503,"AAAAAHt27Js=")</f>
        <v>1</v>
      </c>
      <c r="FA100" t="b">
        <f>AND(DATA!N503,"AAAAAHt27Jw=")</f>
        <v>1</v>
      </c>
      <c r="FB100" t="b">
        <f>AND(DATA!O503,"AAAAAHt27J0=")</f>
        <v>1</v>
      </c>
      <c r="FC100" t="b">
        <f>AND(DATA!P503,"AAAAAHt27J4=")</f>
        <v>1</v>
      </c>
      <c r="FD100" t="b">
        <f>AND(DATA!Q503,"AAAAAHt27J8=")</f>
        <v>1</v>
      </c>
      <c r="FE100" t="b">
        <f>AND(DATA!R503,"AAAAAHt27KA=")</f>
        <v>1</v>
      </c>
      <c r="FF100" t="b">
        <f>AND(DATA!S503,"AAAAAHt27KE=")</f>
        <v>1</v>
      </c>
      <c r="FG100" t="b">
        <f>AND(DATA!T503,"AAAAAHt27KI=")</f>
        <v>1</v>
      </c>
      <c r="FH100" t="b">
        <f>AND(DATA!U503,"AAAAAHt27KM=")</f>
        <v>1</v>
      </c>
      <c r="FI100" t="b">
        <f>AND(DATA!V503,"AAAAAHt27KQ=")</f>
        <v>1</v>
      </c>
      <c r="FJ100" t="e">
        <f>AND(DATA!W502,"AAAAAHt27KU=")</f>
        <v>#VALUE!</v>
      </c>
      <c r="FK100" t="e">
        <f>AND(DATA!X502,"AAAAAHt27KY=")</f>
        <v>#VALUE!</v>
      </c>
      <c r="FL100" t="e">
        <f>AND(DATA!Y502,"AAAAAHt27Kc=")</f>
        <v>#VALUE!</v>
      </c>
      <c r="FM100">
        <f>IF(DATA!503:503,"AAAAAHt27Kg=",0)</f>
        <v>0</v>
      </c>
      <c r="FN100" t="e">
        <f>AND(DATA!A503,"AAAAAHt27Kk=")</f>
        <v>#VALUE!</v>
      </c>
      <c r="FO100" t="e">
        <f>AND(DATA!B503,"AAAAAHt27Ko=")</f>
        <v>#VALUE!</v>
      </c>
      <c r="FP100" t="e">
        <f>AND(DATA!C503,"AAAAAHt27Ks=")</f>
        <v>#VALUE!</v>
      </c>
      <c r="FQ100" t="e">
        <f>AND(DATA!D503,"AAAAAHt27Kw=")</f>
        <v>#VALUE!</v>
      </c>
      <c r="FR100" t="e">
        <f>AND(DATA!E503,"AAAAAHt27K0=")</f>
        <v>#VALUE!</v>
      </c>
      <c r="FS100" t="e">
        <f>AND(DATA!F503,"AAAAAHt27K4=")</f>
        <v>#VALUE!</v>
      </c>
      <c r="FT100" t="e">
        <f>AND(DATA!G503,"AAAAAHt27K8=")</f>
        <v>#VALUE!</v>
      </c>
      <c r="FU100" t="e">
        <f>AND(DATA!H503,"AAAAAHt27LA=")</f>
        <v>#VALUE!</v>
      </c>
      <c r="FV100" t="e">
        <f>AND(DATA!I503,"AAAAAHt27LE=")</f>
        <v>#VALUE!</v>
      </c>
      <c r="FW100" t="e">
        <f>AND(DATA!J503,"AAAAAHt27LI=")</f>
        <v>#VALUE!</v>
      </c>
      <c r="FX100" t="e">
        <f>AND(DATA!K503,"AAAAAHt27LM=")</f>
        <v>#VALUE!</v>
      </c>
      <c r="FY100" t="b">
        <f>AND(DATA!L504,"AAAAAHt27LQ=")</f>
        <v>1</v>
      </c>
      <c r="FZ100" t="b">
        <f>AND(DATA!M504,"AAAAAHt27LU=")</f>
        <v>1</v>
      </c>
      <c r="GA100" t="b">
        <f>AND(DATA!N504,"AAAAAHt27LY=")</f>
        <v>1</v>
      </c>
      <c r="GB100" t="b">
        <f>AND(DATA!O504,"AAAAAHt27Lc=")</f>
        <v>1</v>
      </c>
      <c r="GC100" t="b">
        <f>AND(DATA!P504,"AAAAAHt27Lg=")</f>
        <v>1</v>
      </c>
      <c r="GD100" t="b">
        <f>AND(DATA!Q504,"AAAAAHt27Lk=")</f>
        <v>1</v>
      </c>
      <c r="GE100" t="b">
        <f>AND(DATA!R504,"AAAAAHt27Lo=")</f>
        <v>1</v>
      </c>
      <c r="GF100" t="b">
        <f>AND(DATA!S504,"AAAAAHt27Ls=")</f>
        <v>1</v>
      </c>
      <c r="GG100" t="b">
        <f>AND(DATA!T504,"AAAAAHt27Lw=")</f>
        <v>1</v>
      </c>
      <c r="GH100" t="b">
        <f>AND(DATA!U504,"AAAAAHt27L0=")</f>
        <v>1</v>
      </c>
      <c r="GI100" t="b">
        <f>AND(DATA!V504,"AAAAAHt27L4=")</f>
        <v>1</v>
      </c>
      <c r="GJ100" t="e">
        <f>AND(DATA!W503,"AAAAAHt27L8=")</f>
        <v>#VALUE!</v>
      </c>
      <c r="GK100" t="e">
        <f>AND(DATA!X503,"AAAAAHt27MA=")</f>
        <v>#VALUE!</v>
      </c>
      <c r="GL100" t="e">
        <f>AND(DATA!Y503,"AAAAAHt27ME=")</f>
        <v>#VALUE!</v>
      </c>
      <c r="GM100">
        <f>IF(DATA!504:504,"AAAAAHt27MI=",0)</f>
        <v>0</v>
      </c>
      <c r="GN100" t="e">
        <f>AND(DATA!A504,"AAAAAHt27MM=")</f>
        <v>#VALUE!</v>
      </c>
      <c r="GO100" t="e">
        <f>AND(DATA!B504,"AAAAAHt27MQ=")</f>
        <v>#VALUE!</v>
      </c>
      <c r="GP100" t="e">
        <f>AND(DATA!C504,"AAAAAHt27MU=")</f>
        <v>#VALUE!</v>
      </c>
      <c r="GQ100" t="e">
        <f>AND(DATA!D504,"AAAAAHt27MY=")</f>
        <v>#VALUE!</v>
      </c>
      <c r="GR100" t="e">
        <f>AND(DATA!E504,"AAAAAHt27Mc=")</f>
        <v>#VALUE!</v>
      </c>
      <c r="GS100" t="e">
        <f>AND(DATA!F504,"AAAAAHt27Mg=")</f>
        <v>#VALUE!</v>
      </c>
      <c r="GT100" t="e">
        <f>AND(DATA!G504,"AAAAAHt27Mk=")</f>
        <v>#VALUE!</v>
      </c>
      <c r="GU100" t="e">
        <f>AND(DATA!H504,"AAAAAHt27Mo=")</f>
        <v>#VALUE!</v>
      </c>
      <c r="GV100" t="e">
        <f>AND(DATA!I504,"AAAAAHt27Ms=")</f>
        <v>#VALUE!</v>
      </c>
      <c r="GW100" t="e">
        <f>AND(DATA!J504,"AAAAAHt27Mw=")</f>
        <v>#VALUE!</v>
      </c>
      <c r="GX100" t="e">
        <f>AND(DATA!K504,"AAAAAHt27M0=")</f>
        <v>#VALUE!</v>
      </c>
      <c r="GY100" t="b">
        <f>AND(DATA!L505,"AAAAAHt27M4=")</f>
        <v>1</v>
      </c>
      <c r="GZ100" t="b">
        <f>AND(DATA!M505,"AAAAAHt27M8=")</f>
        <v>1</v>
      </c>
      <c r="HA100" t="b">
        <f>AND(DATA!N505,"AAAAAHt27NA=")</f>
        <v>1</v>
      </c>
      <c r="HB100" t="b">
        <f>AND(DATA!O505,"AAAAAHt27NE=")</f>
        <v>1</v>
      </c>
      <c r="HC100" t="b">
        <f>AND(DATA!P505,"AAAAAHt27NI=")</f>
        <v>1</v>
      </c>
      <c r="HD100" t="b">
        <f>AND(DATA!Q505,"AAAAAHt27NM=")</f>
        <v>1</v>
      </c>
      <c r="HE100" t="b">
        <f>AND(DATA!R505,"AAAAAHt27NQ=")</f>
        <v>1</v>
      </c>
      <c r="HF100" t="b">
        <f>AND(DATA!S505,"AAAAAHt27NU=")</f>
        <v>1</v>
      </c>
      <c r="HG100" t="b">
        <f>AND(DATA!T505,"AAAAAHt27NY=")</f>
        <v>1</v>
      </c>
      <c r="HH100" t="b">
        <f>AND(DATA!U505,"AAAAAHt27Nc=")</f>
        <v>1</v>
      </c>
      <c r="HI100" t="b">
        <f>AND(DATA!V505,"AAAAAHt27Ng=")</f>
        <v>1</v>
      </c>
      <c r="HJ100" t="e">
        <f>AND(DATA!W504,"AAAAAHt27Nk=")</f>
        <v>#VALUE!</v>
      </c>
      <c r="HK100" t="e">
        <f>AND(DATA!X504,"AAAAAHt27No=")</f>
        <v>#VALUE!</v>
      </c>
      <c r="HL100" t="e">
        <f>AND(DATA!Y504,"AAAAAHt27Ns=")</f>
        <v>#VALUE!</v>
      </c>
      <c r="HM100">
        <f>IF(DATA!505:505,"AAAAAHt27Nw=",0)</f>
        <v>0</v>
      </c>
      <c r="HN100" t="e">
        <f>AND(DATA!A505,"AAAAAHt27N0=")</f>
        <v>#VALUE!</v>
      </c>
      <c r="HO100" t="e">
        <f>AND(DATA!B505,"AAAAAHt27N4=")</f>
        <v>#VALUE!</v>
      </c>
      <c r="HP100" t="e">
        <f>AND(DATA!C505,"AAAAAHt27N8=")</f>
        <v>#VALUE!</v>
      </c>
      <c r="HQ100" t="e">
        <f>AND(DATA!D505,"AAAAAHt27OA=")</f>
        <v>#VALUE!</v>
      </c>
      <c r="HR100" t="e">
        <f>AND(DATA!E505,"AAAAAHt27OE=")</f>
        <v>#VALUE!</v>
      </c>
      <c r="HS100" t="e">
        <f>AND(DATA!F505,"AAAAAHt27OI=")</f>
        <v>#VALUE!</v>
      </c>
      <c r="HT100" t="e">
        <f>AND(DATA!G505,"AAAAAHt27OM=")</f>
        <v>#VALUE!</v>
      </c>
      <c r="HU100" t="e">
        <f>AND(DATA!H505,"AAAAAHt27OQ=")</f>
        <v>#VALUE!</v>
      </c>
      <c r="HV100" t="e">
        <f>AND(DATA!I505,"AAAAAHt27OU=")</f>
        <v>#VALUE!</v>
      </c>
      <c r="HW100" t="e">
        <f>AND(DATA!J505,"AAAAAHt27OY=")</f>
        <v>#VALUE!</v>
      </c>
      <c r="HX100" t="e">
        <f>AND(DATA!K505,"AAAAAHt27Oc=")</f>
        <v>#VALUE!</v>
      </c>
      <c r="HY100" t="b">
        <f>AND(DATA!L506,"AAAAAHt27Og=")</f>
        <v>1</v>
      </c>
      <c r="HZ100" t="b">
        <f>AND(DATA!M506,"AAAAAHt27Ok=")</f>
        <v>1</v>
      </c>
      <c r="IA100" t="b">
        <f>AND(DATA!N506,"AAAAAHt27Oo=")</f>
        <v>1</v>
      </c>
      <c r="IB100" t="b">
        <f>AND(DATA!O506,"AAAAAHt27Os=")</f>
        <v>1</v>
      </c>
      <c r="IC100" t="b">
        <f>AND(DATA!P506,"AAAAAHt27Ow=")</f>
        <v>1</v>
      </c>
      <c r="ID100" t="b">
        <f>AND(DATA!Q506,"AAAAAHt27O0=")</f>
        <v>1</v>
      </c>
      <c r="IE100" t="b">
        <f>AND(DATA!R506,"AAAAAHt27O4=")</f>
        <v>1</v>
      </c>
      <c r="IF100" t="b">
        <f>AND(DATA!S506,"AAAAAHt27O8=")</f>
        <v>1</v>
      </c>
      <c r="IG100" t="b">
        <f>AND(DATA!T506,"AAAAAHt27PA=")</f>
        <v>1</v>
      </c>
      <c r="IH100" t="b">
        <f>AND(DATA!U506,"AAAAAHt27PE=")</f>
        <v>1</v>
      </c>
      <c r="II100" t="b">
        <f>AND(DATA!V506,"AAAAAHt27PI=")</f>
        <v>1</v>
      </c>
      <c r="IJ100" t="e">
        <f>AND(DATA!W505,"AAAAAHt27PM=")</f>
        <v>#VALUE!</v>
      </c>
      <c r="IK100" t="e">
        <f>AND(DATA!X505,"AAAAAHt27PQ=")</f>
        <v>#VALUE!</v>
      </c>
      <c r="IL100" t="e">
        <f>AND(DATA!Y505,"AAAAAHt27PU=")</f>
        <v>#VALUE!</v>
      </c>
      <c r="IM100">
        <f>IF(DATA!506:506,"AAAAAHt27PY=",0)</f>
        <v>0</v>
      </c>
      <c r="IN100" t="e">
        <f>AND(DATA!A506,"AAAAAHt27Pc=")</f>
        <v>#VALUE!</v>
      </c>
      <c r="IO100" t="e">
        <f>AND(DATA!B506,"AAAAAHt27Pg=")</f>
        <v>#VALUE!</v>
      </c>
      <c r="IP100" t="e">
        <f>AND(DATA!C506,"AAAAAHt27Pk=")</f>
        <v>#VALUE!</v>
      </c>
      <c r="IQ100" t="e">
        <f>AND(DATA!D506,"AAAAAHt27Po=")</f>
        <v>#VALUE!</v>
      </c>
      <c r="IR100" t="e">
        <f>AND(DATA!E506,"AAAAAHt27Ps=")</f>
        <v>#VALUE!</v>
      </c>
      <c r="IS100" t="e">
        <f>AND(DATA!F506,"AAAAAHt27Pw=")</f>
        <v>#VALUE!</v>
      </c>
      <c r="IT100" t="e">
        <f>AND(DATA!G506,"AAAAAHt27P0=")</f>
        <v>#VALUE!</v>
      </c>
      <c r="IU100" t="e">
        <f>AND(DATA!H506,"AAAAAHt27P4=")</f>
        <v>#VALUE!</v>
      </c>
      <c r="IV100" t="e">
        <f>AND(DATA!I506,"AAAAAHt27P8=")</f>
        <v>#VALUE!</v>
      </c>
    </row>
    <row r="101" spans="1:256" x14ac:dyDescent="0.25">
      <c r="A101" t="e">
        <f>AND(DATA!J506,"AAAAAHM/fwA=")</f>
        <v>#VALUE!</v>
      </c>
      <c r="B101" t="e">
        <f>AND(DATA!K506,"AAAAAHM/fwE=")</f>
        <v>#VALUE!</v>
      </c>
      <c r="C101" t="b">
        <f>AND(DATA!L507,"AAAAAHM/fwI=")</f>
        <v>1</v>
      </c>
      <c r="D101" t="b">
        <f>AND(DATA!M507,"AAAAAHM/fwM=")</f>
        <v>1</v>
      </c>
      <c r="E101" t="b">
        <f>AND(DATA!N507,"AAAAAHM/fwQ=")</f>
        <v>1</v>
      </c>
      <c r="F101" t="b">
        <f>AND(DATA!O507,"AAAAAHM/fwU=")</f>
        <v>1</v>
      </c>
      <c r="G101" t="b">
        <f>AND(DATA!P507,"AAAAAHM/fwY=")</f>
        <v>1</v>
      </c>
      <c r="H101" t="b">
        <f>AND(DATA!Q507,"AAAAAHM/fwc=")</f>
        <v>1</v>
      </c>
      <c r="I101" t="b">
        <f>AND(DATA!R507,"AAAAAHM/fwg=")</f>
        <v>1</v>
      </c>
      <c r="J101" t="b">
        <f>AND(DATA!S507,"AAAAAHM/fwk=")</f>
        <v>1</v>
      </c>
      <c r="K101" t="b">
        <f>AND(DATA!T507,"AAAAAHM/fwo=")</f>
        <v>1</v>
      </c>
      <c r="L101" t="b">
        <f>AND(DATA!U507,"AAAAAHM/fws=")</f>
        <v>1</v>
      </c>
      <c r="M101" t="b">
        <f>AND(DATA!V507,"AAAAAHM/fww=")</f>
        <v>1</v>
      </c>
      <c r="N101" t="e">
        <f>AND(DATA!W506,"AAAAAHM/fw0=")</f>
        <v>#VALUE!</v>
      </c>
      <c r="O101" t="e">
        <f>AND(DATA!X506,"AAAAAHM/fw4=")</f>
        <v>#VALUE!</v>
      </c>
      <c r="P101" t="e">
        <f>AND(DATA!Y506,"AAAAAHM/fw8=")</f>
        <v>#VALUE!</v>
      </c>
      <c r="Q101" t="str">
        <f>IF(DATA!507:507,"AAAAAHM/fxA=",0)</f>
        <v>AAAAAHM/fxA=</v>
      </c>
      <c r="R101" t="e">
        <f>AND(DATA!A507,"AAAAAHM/fxE=")</f>
        <v>#VALUE!</v>
      </c>
      <c r="S101" t="e">
        <f>AND(DATA!B507,"AAAAAHM/fxI=")</f>
        <v>#VALUE!</v>
      </c>
      <c r="T101" t="e">
        <f>AND(DATA!C507,"AAAAAHM/fxM=")</f>
        <v>#VALUE!</v>
      </c>
      <c r="U101" t="e">
        <f>AND(DATA!D507,"AAAAAHM/fxQ=")</f>
        <v>#VALUE!</v>
      </c>
      <c r="V101" t="e">
        <f>AND(DATA!E507,"AAAAAHM/fxU=")</f>
        <v>#VALUE!</v>
      </c>
      <c r="W101" t="e">
        <f>AND(DATA!F507,"AAAAAHM/fxY=")</f>
        <v>#VALUE!</v>
      </c>
      <c r="X101" t="e">
        <f>AND(DATA!G507,"AAAAAHM/fxc=")</f>
        <v>#VALUE!</v>
      </c>
      <c r="Y101" t="e">
        <f>AND(DATA!H507,"AAAAAHM/fxg=")</f>
        <v>#VALUE!</v>
      </c>
      <c r="Z101" t="e">
        <f>AND(DATA!I507,"AAAAAHM/fxk=")</f>
        <v>#VALUE!</v>
      </c>
      <c r="AA101" t="e">
        <f>AND(DATA!J507,"AAAAAHM/fxo=")</f>
        <v>#VALUE!</v>
      </c>
      <c r="AB101" t="e">
        <f>AND(DATA!K507,"AAAAAHM/fxs=")</f>
        <v>#VALUE!</v>
      </c>
      <c r="AC101" t="b">
        <f>AND(DATA!L508,"AAAAAHM/fxw=")</f>
        <v>1</v>
      </c>
      <c r="AD101" t="b">
        <f>AND(DATA!M508,"AAAAAHM/fx0=")</f>
        <v>1</v>
      </c>
      <c r="AE101" t="b">
        <f>AND(DATA!N508,"AAAAAHM/fx4=")</f>
        <v>1</v>
      </c>
      <c r="AF101" t="b">
        <f>AND(DATA!O508,"AAAAAHM/fx8=")</f>
        <v>1</v>
      </c>
      <c r="AG101" t="b">
        <f>AND(DATA!P508,"AAAAAHM/fyA=")</f>
        <v>1</v>
      </c>
      <c r="AH101" t="b">
        <f>AND(DATA!Q508,"AAAAAHM/fyE=")</f>
        <v>1</v>
      </c>
      <c r="AI101" t="b">
        <f>AND(DATA!R508,"AAAAAHM/fyI=")</f>
        <v>1</v>
      </c>
      <c r="AJ101" t="b">
        <f>AND(DATA!S508,"AAAAAHM/fyM=")</f>
        <v>1</v>
      </c>
      <c r="AK101" t="b">
        <f>AND(DATA!T508,"AAAAAHM/fyQ=")</f>
        <v>1</v>
      </c>
      <c r="AL101" t="b">
        <f>AND(DATA!U508,"AAAAAHM/fyU=")</f>
        <v>1</v>
      </c>
      <c r="AM101" t="b">
        <f>AND(DATA!V508,"AAAAAHM/fyY=")</f>
        <v>1</v>
      </c>
      <c r="AN101" t="e">
        <f>AND(DATA!W507,"AAAAAHM/fyc=")</f>
        <v>#VALUE!</v>
      </c>
      <c r="AO101" t="e">
        <f>AND(DATA!X507,"AAAAAHM/fyg=")</f>
        <v>#VALUE!</v>
      </c>
      <c r="AP101" t="e">
        <f>AND(DATA!Y507,"AAAAAHM/fyk=")</f>
        <v>#VALUE!</v>
      </c>
      <c r="AQ101">
        <f>IF(DATA!508:508,"AAAAAHM/fyo=",0)</f>
        <v>0</v>
      </c>
      <c r="AR101" t="e">
        <f>AND(DATA!A508,"AAAAAHM/fys=")</f>
        <v>#VALUE!</v>
      </c>
      <c r="AS101" t="e">
        <f>AND(DATA!B508,"AAAAAHM/fyw=")</f>
        <v>#VALUE!</v>
      </c>
      <c r="AT101" t="e">
        <f>AND(DATA!C508,"AAAAAHM/fy0=")</f>
        <v>#VALUE!</v>
      </c>
      <c r="AU101" t="e">
        <f>AND(DATA!D508,"AAAAAHM/fy4=")</f>
        <v>#VALUE!</v>
      </c>
      <c r="AV101" t="e">
        <f>AND(DATA!E508,"AAAAAHM/fy8=")</f>
        <v>#VALUE!</v>
      </c>
      <c r="AW101" t="e">
        <f>AND(DATA!F508,"AAAAAHM/fzA=")</f>
        <v>#VALUE!</v>
      </c>
      <c r="AX101" t="e">
        <f>AND(DATA!G508,"AAAAAHM/fzE=")</f>
        <v>#VALUE!</v>
      </c>
      <c r="AY101" t="e">
        <f>AND(DATA!H508,"AAAAAHM/fzI=")</f>
        <v>#VALUE!</v>
      </c>
      <c r="AZ101" t="e">
        <f>AND(DATA!I508,"AAAAAHM/fzM=")</f>
        <v>#VALUE!</v>
      </c>
      <c r="BA101" t="e">
        <f>AND(DATA!J508,"AAAAAHM/fzQ=")</f>
        <v>#VALUE!</v>
      </c>
      <c r="BB101" t="e">
        <f>AND(DATA!K508,"AAAAAHM/fzU=")</f>
        <v>#VALUE!</v>
      </c>
      <c r="BC101" t="b">
        <f>AND(DATA!L509,"AAAAAHM/fzY=")</f>
        <v>1</v>
      </c>
      <c r="BD101" t="b">
        <f>AND(DATA!M509,"AAAAAHM/fzc=")</f>
        <v>1</v>
      </c>
      <c r="BE101" t="b">
        <f>AND(DATA!N509,"AAAAAHM/fzg=")</f>
        <v>1</v>
      </c>
      <c r="BF101" t="b">
        <f>AND(DATA!O509,"AAAAAHM/fzk=")</f>
        <v>1</v>
      </c>
      <c r="BG101" t="b">
        <f>AND(DATA!P509,"AAAAAHM/fzo=")</f>
        <v>1</v>
      </c>
      <c r="BH101" t="b">
        <f>AND(DATA!Q509,"AAAAAHM/fzs=")</f>
        <v>1</v>
      </c>
      <c r="BI101" t="b">
        <f>AND(DATA!R509,"AAAAAHM/fzw=")</f>
        <v>1</v>
      </c>
      <c r="BJ101" t="b">
        <f>AND(DATA!S509,"AAAAAHM/fz0=")</f>
        <v>1</v>
      </c>
      <c r="BK101" t="b">
        <f>AND(DATA!T509,"AAAAAHM/fz4=")</f>
        <v>1</v>
      </c>
      <c r="BL101" t="b">
        <f>AND(DATA!U509,"AAAAAHM/fz8=")</f>
        <v>1</v>
      </c>
      <c r="BM101" t="b">
        <f>AND(DATA!V509,"AAAAAHM/f0A=")</f>
        <v>1</v>
      </c>
      <c r="BN101" t="e">
        <f>AND(DATA!W508,"AAAAAHM/f0E=")</f>
        <v>#VALUE!</v>
      </c>
      <c r="BO101" t="e">
        <f>AND(DATA!X508,"AAAAAHM/f0I=")</f>
        <v>#VALUE!</v>
      </c>
      <c r="BP101" t="e">
        <f>AND(DATA!Y508,"AAAAAHM/f0M=")</f>
        <v>#VALUE!</v>
      </c>
      <c r="BQ101">
        <f>IF(DATA!509:509,"AAAAAHM/f0Q=",0)</f>
        <v>0</v>
      </c>
      <c r="BR101" t="e">
        <f>AND(DATA!A509,"AAAAAHM/f0U=")</f>
        <v>#VALUE!</v>
      </c>
      <c r="BS101" t="e">
        <f>AND(DATA!B509,"AAAAAHM/f0Y=")</f>
        <v>#VALUE!</v>
      </c>
      <c r="BT101" t="e">
        <f>AND(DATA!C509,"AAAAAHM/f0c=")</f>
        <v>#VALUE!</v>
      </c>
      <c r="BU101" t="e">
        <f>AND(DATA!D509,"AAAAAHM/f0g=")</f>
        <v>#VALUE!</v>
      </c>
      <c r="BV101" t="e">
        <f>AND(DATA!E509,"AAAAAHM/f0k=")</f>
        <v>#VALUE!</v>
      </c>
      <c r="BW101" t="e">
        <f>AND(DATA!F509,"AAAAAHM/f0o=")</f>
        <v>#VALUE!</v>
      </c>
      <c r="BX101" t="e">
        <f>AND(DATA!G509,"AAAAAHM/f0s=")</f>
        <v>#VALUE!</v>
      </c>
      <c r="BY101" t="e">
        <f>AND(DATA!H509,"AAAAAHM/f0w=")</f>
        <v>#VALUE!</v>
      </c>
      <c r="BZ101" t="e">
        <f>AND(DATA!I509,"AAAAAHM/f00=")</f>
        <v>#VALUE!</v>
      </c>
      <c r="CA101" t="e">
        <f>AND(DATA!J509,"AAAAAHM/f04=")</f>
        <v>#VALUE!</v>
      </c>
      <c r="CB101" t="e">
        <f>AND(DATA!K509,"AAAAAHM/f08=")</f>
        <v>#VALUE!</v>
      </c>
      <c r="CC101" t="b">
        <f>AND(DATA!L510,"AAAAAHM/f1A=")</f>
        <v>1</v>
      </c>
      <c r="CD101" t="b">
        <f>AND(DATA!M510,"AAAAAHM/f1E=")</f>
        <v>1</v>
      </c>
      <c r="CE101" t="b">
        <f>AND(DATA!N510,"AAAAAHM/f1I=")</f>
        <v>1</v>
      </c>
      <c r="CF101" t="b">
        <f>AND(DATA!O510,"AAAAAHM/f1M=")</f>
        <v>1</v>
      </c>
      <c r="CG101" t="b">
        <f>AND(DATA!P510,"AAAAAHM/f1Q=")</f>
        <v>1</v>
      </c>
      <c r="CH101" t="b">
        <f>AND(DATA!Q510,"AAAAAHM/f1U=")</f>
        <v>1</v>
      </c>
      <c r="CI101" t="b">
        <f>AND(DATA!R510,"AAAAAHM/f1Y=")</f>
        <v>1</v>
      </c>
      <c r="CJ101" t="b">
        <f>AND(DATA!S510,"AAAAAHM/f1c=")</f>
        <v>1</v>
      </c>
      <c r="CK101" t="b">
        <f>AND(DATA!T510,"AAAAAHM/f1g=")</f>
        <v>1</v>
      </c>
      <c r="CL101" t="b">
        <f>AND(DATA!U510,"AAAAAHM/f1k=")</f>
        <v>1</v>
      </c>
      <c r="CM101" t="b">
        <f>AND(DATA!V510,"AAAAAHM/f1o=")</f>
        <v>1</v>
      </c>
      <c r="CN101" t="e">
        <f>AND(DATA!W509,"AAAAAHM/f1s=")</f>
        <v>#VALUE!</v>
      </c>
      <c r="CO101" t="e">
        <f>AND(DATA!X509,"AAAAAHM/f1w=")</f>
        <v>#VALUE!</v>
      </c>
      <c r="CP101" t="e">
        <f>AND(DATA!Y509,"AAAAAHM/f10=")</f>
        <v>#VALUE!</v>
      </c>
      <c r="CQ101">
        <f>IF(DATA!510:510,"AAAAAHM/f14=",0)</f>
        <v>0</v>
      </c>
      <c r="CR101" t="e">
        <f>AND(DATA!A510,"AAAAAHM/f18=")</f>
        <v>#VALUE!</v>
      </c>
      <c r="CS101" t="e">
        <f>AND(DATA!B510,"AAAAAHM/f2A=")</f>
        <v>#VALUE!</v>
      </c>
      <c r="CT101" t="e">
        <f>AND(DATA!C510,"AAAAAHM/f2E=")</f>
        <v>#VALUE!</v>
      </c>
      <c r="CU101" t="e">
        <f>AND(DATA!D510,"AAAAAHM/f2I=")</f>
        <v>#VALUE!</v>
      </c>
      <c r="CV101" t="e">
        <f>AND(DATA!E510,"AAAAAHM/f2M=")</f>
        <v>#VALUE!</v>
      </c>
      <c r="CW101" t="e">
        <f>AND(DATA!F510,"AAAAAHM/f2Q=")</f>
        <v>#VALUE!</v>
      </c>
      <c r="CX101" t="e">
        <f>AND(DATA!G510,"AAAAAHM/f2U=")</f>
        <v>#VALUE!</v>
      </c>
      <c r="CY101" t="e">
        <f>AND(DATA!H510,"AAAAAHM/f2Y=")</f>
        <v>#VALUE!</v>
      </c>
      <c r="CZ101" t="e">
        <f>AND(DATA!I510,"AAAAAHM/f2c=")</f>
        <v>#VALUE!</v>
      </c>
      <c r="DA101" t="e">
        <f>AND(DATA!J510,"AAAAAHM/f2g=")</f>
        <v>#VALUE!</v>
      </c>
      <c r="DB101" t="e">
        <f>AND(DATA!K510,"AAAAAHM/f2k=")</f>
        <v>#VALUE!</v>
      </c>
      <c r="DC101" t="b">
        <f>AND(DATA!L511,"AAAAAHM/f2o=")</f>
        <v>1</v>
      </c>
      <c r="DD101" t="b">
        <f>AND(DATA!M511,"AAAAAHM/f2s=")</f>
        <v>1</v>
      </c>
      <c r="DE101" t="b">
        <f>AND(DATA!N511,"AAAAAHM/f2w=")</f>
        <v>1</v>
      </c>
      <c r="DF101" t="b">
        <f>AND(DATA!O511,"AAAAAHM/f20=")</f>
        <v>1</v>
      </c>
      <c r="DG101" t="b">
        <f>AND(DATA!P511,"AAAAAHM/f24=")</f>
        <v>1</v>
      </c>
      <c r="DH101" t="b">
        <f>AND(DATA!Q511,"AAAAAHM/f28=")</f>
        <v>1</v>
      </c>
      <c r="DI101" t="b">
        <f>AND(DATA!R511,"AAAAAHM/f3A=")</f>
        <v>1</v>
      </c>
      <c r="DJ101" t="b">
        <f>AND(DATA!S511,"AAAAAHM/f3E=")</f>
        <v>1</v>
      </c>
      <c r="DK101" t="b">
        <f>AND(DATA!T511,"AAAAAHM/f3I=")</f>
        <v>1</v>
      </c>
      <c r="DL101" t="b">
        <f>AND(DATA!U511,"AAAAAHM/f3M=")</f>
        <v>1</v>
      </c>
      <c r="DM101" t="b">
        <f>AND(DATA!V511,"AAAAAHM/f3Q=")</f>
        <v>1</v>
      </c>
      <c r="DN101" t="e">
        <f>AND(DATA!W510,"AAAAAHM/f3U=")</f>
        <v>#VALUE!</v>
      </c>
      <c r="DO101" t="e">
        <f>AND(DATA!X510,"AAAAAHM/f3Y=")</f>
        <v>#VALUE!</v>
      </c>
      <c r="DP101" t="e">
        <f>AND(DATA!Y510,"AAAAAHM/f3c=")</f>
        <v>#VALUE!</v>
      </c>
      <c r="DQ101">
        <f>IF(DATA!511:511,"AAAAAHM/f3g=",0)</f>
        <v>0</v>
      </c>
      <c r="DR101" t="e">
        <f>AND(DATA!A511,"AAAAAHM/f3k=")</f>
        <v>#VALUE!</v>
      </c>
      <c r="DS101" t="e">
        <f>AND(DATA!B511,"AAAAAHM/f3o=")</f>
        <v>#VALUE!</v>
      </c>
      <c r="DT101" t="e">
        <f>AND(DATA!C511,"AAAAAHM/f3s=")</f>
        <v>#VALUE!</v>
      </c>
      <c r="DU101" t="e">
        <f>AND(DATA!D511,"AAAAAHM/f3w=")</f>
        <v>#VALUE!</v>
      </c>
      <c r="DV101" t="e">
        <f>AND(DATA!E511,"AAAAAHM/f30=")</f>
        <v>#VALUE!</v>
      </c>
      <c r="DW101" t="e">
        <f>AND(DATA!F511,"AAAAAHM/f34=")</f>
        <v>#VALUE!</v>
      </c>
      <c r="DX101" t="e">
        <f>AND(DATA!G511,"AAAAAHM/f38=")</f>
        <v>#VALUE!</v>
      </c>
      <c r="DY101" t="e">
        <f>AND(DATA!H511,"AAAAAHM/f4A=")</f>
        <v>#VALUE!</v>
      </c>
      <c r="DZ101" t="e">
        <f>AND(DATA!I511,"AAAAAHM/f4E=")</f>
        <v>#VALUE!</v>
      </c>
      <c r="EA101" t="e">
        <f>AND(DATA!J511,"AAAAAHM/f4I=")</f>
        <v>#VALUE!</v>
      </c>
      <c r="EB101" t="e">
        <f>AND(DATA!K511,"AAAAAHM/f4M=")</f>
        <v>#VALUE!</v>
      </c>
      <c r="EC101" t="b">
        <f>AND(DATA!L512,"AAAAAHM/f4Q=")</f>
        <v>1</v>
      </c>
      <c r="ED101" t="b">
        <f>AND(DATA!M512,"AAAAAHM/f4U=")</f>
        <v>1</v>
      </c>
      <c r="EE101" t="b">
        <f>AND(DATA!N512,"AAAAAHM/f4Y=")</f>
        <v>1</v>
      </c>
      <c r="EF101" t="b">
        <f>AND(DATA!O512,"AAAAAHM/f4c=")</f>
        <v>1</v>
      </c>
      <c r="EG101" t="b">
        <f>AND(DATA!P512,"AAAAAHM/f4g=")</f>
        <v>1</v>
      </c>
      <c r="EH101" t="b">
        <f>AND(DATA!Q512,"AAAAAHM/f4k=")</f>
        <v>1</v>
      </c>
      <c r="EI101" t="b">
        <f>AND(DATA!R512,"AAAAAHM/f4o=")</f>
        <v>1</v>
      </c>
      <c r="EJ101" t="b">
        <f>AND(DATA!S512,"AAAAAHM/f4s=")</f>
        <v>1</v>
      </c>
      <c r="EK101" t="b">
        <f>AND(DATA!T512,"AAAAAHM/f4w=")</f>
        <v>1</v>
      </c>
      <c r="EL101" t="b">
        <f>AND(DATA!U512,"AAAAAHM/f40=")</f>
        <v>1</v>
      </c>
      <c r="EM101" t="b">
        <f>AND(DATA!V512,"AAAAAHM/f44=")</f>
        <v>1</v>
      </c>
      <c r="EN101" t="e">
        <f>AND(DATA!W511,"AAAAAHM/f48=")</f>
        <v>#VALUE!</v>
      </c>
      <c r="EO101" t="e">
        <f>AND(DATA!X511,"AAAAAHM/f5A=")</f>
        <v>#VALUE!</v>
      </c>
      <c r="EP101" t="e">
        <f>AND(DATA!Y511,"AAAAAHM/f5E=")</f>
        <v>#VALUE!</v>
      </c>
      <c r="EQ101">
        <f>IF(DATA!512:512,"AAAAAHM/f5I=",0)</f>
        <v>0</v>
      </c>
      <c r="ER101" t="e">
        <f>AND(DATA!A512,"AAAAAHM/f5M=")</f>
        <v>#VALUE!</v>
      </c>
      <c r="ES101" t="e">
        <f>AND(DATA!B512,"AAAAAHM/f5Q=")</f>
        <v>#VALUE!</v>
      </c>
      <c r="ET101" t="e">
        <f>AND(DATA!C512,"AAAAAHM/f5U=")</f>
        <v>#VALUE!</v>
      </c>
      <c r="EU101" t="e">
        <f>AND(DATA!D512,"AAAAAHM/f5Y=")</f>
        <v>#VALUE!</v>
      </c>
      <c r="EV101" t="e">
        <f>AND(DATA!E512,"AAAAAHM/f5c=")</f>
        <v>#VALUE!</v>
      </c>
      <c r="EW101" t="e">
        <f>AND(DATA!F512,"AAAAAHM/f5g=")</f>
        <v>#VALUE!</v>
      </c>
      <c r="EX101" t="e">
        <f>AND(DATA!G512,"AAAAAHM/f5k=")</f>
        <v>#VALUE!</v>
      </c>
      <c r="EY101" t="e">
        <f>AND(DATA!H512,"AAAAAHM/f5o=")</f>
        <v>#VALUE!</v>
      </c>
      <c r="EZ101" t="e">
        <f>AND(DATA!I512,"AAAAAHM/f5s=")</f>
        <v>#VALUE!</v>
      </c>
      <c r="FA101" t="e">
        <f>AND(DATA!J512,"AAAAAHM/f5w=")</f>
        <v>#VALUE!</v>
      </c>
      <c r="FB101" t="e">
        <f>AND(DATA!K512,"AAAAAHM/f50=")</f>
        <v>#VALUE!</v>
      </c>
      <c r="FC101" t="b">
        <f>AND(DATA!L513,"AAAAAHM/f54=")</f>
        <v>1</v>
      </c>
      <c r="FD101" t="b">
        <f>AND(DATA!M513,"AAAAAHM/f58=")</f>
        <v>1</v>
      </c>
      <c r="FE101" t="b">
        <f>AND(DATA!N513,"AAAAAHM/f6A=")</f>
        <v>1</v>
      </c>
      <c r="FF101" t="b">
        <f>AND(DATA!O513,"AAAAAHM/f6E=")</f>
        <v>1</v>
      </c>
      <c r="FG101" t="b">
        <f>AND(DATA!P513,"AAAAAHM/f6I=")</f>
        <v>1</v>
      </c>
      <c r="FH101" t="b">
        <f>AND(DATA!Q513,"AAAAAHM/f6M=")</f>
        <v>1</v>
      </c>
      <c r="FI101" t="b">
        <f>AND(DATA!R513,"AAAAAHM/f6Q=")</f>
        <v>1</v>
      </c>
      <c r="FJ101" t="b">
        <f>AND(DATA!S513,"AAAAAHM/f6U=")</f>
        <v>1</v>
      </c>
      <c r="FK101" t="b">
        <f>AND(DATA!T513,"AAAAAHM/f6Y=")</f>
        <v>1</v>
      </c>
      <c r="FL101" t="b">
        <f>AND(DATA!U513,"AAAAAHM/f6c=")</f>
        <v>1</v>
      </c>
      <c r="FM101" t="b">
        <f>AND(DATA!V513,"AAAAAHM/f6g=")</f>
        <v>1</v>
      </c>
      <c r="FN101" t="e">
        <f>AND(DATA!W512,"AAAAAHM/f6k=")</f>
        <v>#VALUE!</v>
      </c>
      <c r="FO101" t="e">
        <f>AND(DATA!X512,"AAAAAHM/f6o=")</f>
        <v>#VALUE!</v>
      </c>
      <c r="FP101" t="e">
        <f>AND(DATA!Y512,"AAAAAHM/f6s=")</f>
        <v>#VALUE!</v>
      </c>
      <c r="FQ101">
        <f>IF(DATA!513:513,"AAAAAHM/f6w=",0)</f>
        <v>0</v>
      </c>
      <c r="FR101" t="e">
        <f>AND(DATA!A513,"AAAAAHM/f60=")</f>
        <v>#VALUE!</v>
      </c>
      <c r="FS101" t="e">
        <f>AND(DATA!B513,"AAAAAHM/f64=")</f>
        <v>#VALUE!</v>
      </c>
      <c r="FT101" t="e">
        <f>AND(DATA!C513,"AAAAAHM/f68=")</f>
        <v>#VALUE!</v>
      </c>
      <c r="FU101" t="e">
        <f>AND(DATA!D513,"AAAAAHM/f7A=")</f>
        <v>#VALUE!</v>
      </c>
      <c r="FV101" t="e">
        <f>AND(DATA!E513,"AAAAAHM/f7E=")</f>
        <v>#VALUE!</v>
      </c>
      <c r="FW101" t="e">
        <f>AND(DATA!F513,"AAAAAHM/f7I=")</f>
        <v>#VALUE!</v>
      </c>
      <c r="FX101" t="e">
        <f>AND(DATA!G513,"AAAAAHM/f7M=")</f>
        <v>#VALUE!</v>
      </c>
      <c r="FY101" t="e">
        <f>AND(DATA!H513,"AAAAAHM/f7Q=")</f>
        <v>#VALUE!</v>
      </c>
      <c r="FZ101" t="e">
        <f>AND(DATA!I513,"AAAAAHM/f7U=")</f>
        <v>#VALUE!</v>
      </c>
      <c r="GA101" t="e">
        <f>AND(DATA!J513,"AAAAAHM/f7Y=")</f>
        <v>#VALUE!</v>
      </c>
      <c r="GB101" t="e">
        <f>AND(DATA!K513,"AAAAAHM/f7c=")</f>
        <v>#VALUE!</v>
      </c>
      <c r="GC101" t="b">
        <f>AND(DATA!L514,"AAAAAHM/f7g=")</f>
        <v>1</v>
      </c>
      <c r="GD101" t="b">
        <f>AND(DATA!M514,"AAAAAHM/f7k=")</f>
        <v>1</v>
      </c>
      <c r="GE101" t="b">
        <f>AND(DATA!N514,"AAAAAHM/f7o=")</f>
        <v>1</v>
      </c>
      <c r="GF101" t="b">
        <f>AND(DATA!O514,"AAAAAHM/f7s=")</f>
        <v>1</v>
      </c>
      <c r="GG101" t="b">
        <f>AND(DATA!P514,"AAAAAHM/f7w=")</f>
        <v>1</v>
      </c>
      <c r="GH101" t="b">
        <f>AND(DATA!Q514,"AAAAAHM/f70=")</f>
        <v>1</v>
      </c>
      <c r="GI101" t="b">
        <f>AND(DATA!R514,"AAAAAHM/f74=")</f>
        <v>1</v>
      </c>
      <c r="GJ101" t="b">
        <f>AND(DATA!S514,"AAAAAHM/f78=")</f>
        <v>1</v>
      </c>
      <c r="GK101" t="b">
        <f>AND(DATA!T514,"AAAAAHM/f8A=")</f>
        <v>1</v>
      </c>
      <c r="GL101" t="b">
        <f>AND(DATA!U514,"AAAAAHM/f8E=")</f>
        <v>1</v>
      </c>
      <c r="GM101" t="b">
        <f>AND(DATA!V514,"AAAAAHM/f8I=")</f>
        <v>1</v>
      </c>
      <c r="GN101" t="e">
        <f>AND(DATA!W513,"AAAAAHM/f8M=")</f>
        <v>#VALUE!</v>
      </c>
      <c r="GO101" t="e">
        <f>AND(DATA!X513,"AAAAAHM/f8Q=")</f>
        <v>#VALUE!</v>
      </c>
      <c r="GP101" t="e">
        <f>AND(DATA!Y513,"AAAAAHM/f8U=")</f>
        <v>#VALUE!</v>
      </c>
      <c r="GQ101">
        <f>IF(DATA!514:514,"AAAAAHM/f8Y=",0)</f>
        <v>0</v>
      </c>
      <c r="GR101" t="e">
        <f>AND(DATA!A514,"AAAAAHM/f8c=")</f>
        <v>#VALUE!</v>
      </c>
      <c r="GS101" t="e">
        <f>AND(DATA!B514,"AAAAAHM/f8g=")</f>
        <v>#VALUE!</v>
      </c>
      <c r="GT101" t="e">
        <f>AND(DATA!C514,"AAAAAHM/f8k=")</f>
        <v>#VALUE!</v>
      </c>
      <c r="GU101" t="e">
        <f>AND(DATA!D514,"AAAAAHM/f8o=")</f>
        <v>#VALUE!</v>
      </c>
      <c r="GV101" t="e">
        <f>AND(DATA!E514,"AAAAAHM/f8s=")</f>
        <v>#VALUE!</v>
      </c>
      <c r="GW101" t="e">
        <f>AND(DATA!F514,"AAAAAHM/f8w=")</f>
        <v>#VALUE!</v>
      </c>
      <c r="GX101" t="e">
        <f>AND(DATA!G514,"AAAAAHM/f80=")</f>
        <v>#VALUE!</v>
      </c>
      <c r="GY101" t="e">
        <f>AND(DATA!H514,"AAAAAHM/f84=")</f>
        <v>#VALUE!</v>
      </c>
      <c r="GZ101" t="e">
        <f>AND(DATA!I514,"AAAAAHM/f88=")</f>
        <v>#VALUE!</v>
      </c>
      <c r="HA101" t="e">
        <f>AND(DATA!J514,"AAAAAHM/f9A=")</f>
        <v>#VALUE!</v>
      </c>
      <c r="HB101" t="e">
        <f>AND(DATA!K514,"AAAAAHM/f9E=")</f>
        <v>#VALUE!</v>
      </c>
      <c r="HC101" t="b">
        <f>AND(DATA!L515,"AAAAAHM/f9I=")</f>
        <v>1</v>
      </c>
      <c r="HD101" t="b">
        <f>AND(DATA!M515,"AAAAAHM/f9M=")</f>
        <v>1</v>
      </c>
      <c r="HE101" t="b">
        <f>AND(DATA!N515,"AAAAAHM/f9Q=")</f>
        <v>1</v>
      </c>
      <c r="HF101" t="b">
        <f>AND(DATA!O515,"AAAAAHM/f9U=")</f>
        <v>1</v>
      </c>
      <c r="HG101" t="b">
        <f>AND(DATA!P515,"AAAAAHM/f9Y=")</f>
        <v>1</v>
      </c>
      <c r="HH101" t="b">
        <f>AND(DATA!Q515,"AAAAAHM/f9c=")</f>
        <v>1</v>
      </c>
      <c r="HI101" t="b">
        <f>AND(DATA!R515,"AAAAAHM/f9g=")</f>
        <v>1</v>
      </c>
      <c r="HJ101" t="b">
        <f>AND(DATA!S515,"AAAAAHM/f9k=")</f>
        <v>1</v>
      </c>
      <c r="HK101" t="b">
        <f>AND(DATA!T515,"AAAAAHM/f9o=")</f>
        <v>1</v>
      </c>
      <c r="HL101" t="b">
        <f>AND(DATA!U515,"AAAAAHM/f9s=")</f>
        <v>1</v>
      </c>
      <c r="HM101" t="b">
        <f>AND(DATA!V515,"AAAAAHM/f9w=")</f>
        <v>1</v>
      </c>
      <c r="HN101" t="e">
        <f>AND(DATA!W514,"AAAAAHM/f90=")</f>
        <v>#VALUE!</v>
      </c>
      <c r="HO101" t="e">
        <f>AND(DATA!X514,"AAAAAHM/f94=")</f>
        <v>#VALUE!</v>
      </c>
      <c r="HP101" t="e">
        <f>AND(DATA!Y514,"AAAAAHM/f98=")</f>
        <v>#VALUE!</v>
      </c>
      <c r="HQ101">
        <f>IF(DATA!515:515,"AAAAAHM/f+A=",0)</f>
        <v>0</v>
      </c>
      <c r="HR101" t="e">
        <f>AND(DATA!A515,"AAAAAHM/f+E=")</f>
        <v>#VALUE!</v>
      </c>
      <c r="HS101" t="e">
        <f>AND(DATA!B515,"AAAAAHM/f+I=")</f>
        <v>#VALUE!</v>
      </c>
      <c r="HT101" t="e">
        <f>AND(DATA!C515,"AAAAAHM/f+M=")</f>
        <v>#VALUE!</v>
      </c>
      <c r="HU101" t="e">
        <f>AND(DATA!D515,"AAAAAHM/f+Q=")</f>
        <v>#VALUE!</v>
      </c>
      <c r="HV101" t="e">
        <f>AND(DATA!E515,"AAAAAHM/f+U=")</f>
        <v>#VALUE!</v>
      </c>
      <c r="HW101" t="e">
        <f>AND(DATA!F515,"AAAAAHM/f+Y=")</f>
        <v>#VALUE!</v>
      </c>
      <c r="HX101" t="e">
        <f>AND(DATA!G515,"AAAAAHM/f+c=")</f>
        <v>#VALUE!</v>
      </c>
      <c r="HY101" t="e">
        <f>AND(DATA!H515,"AAAAAHM/f+g=")</f>
        <v>#VALUE!</v>
      </c>
      <c r="HZ101" t="e">
        <f>AND(DATA!I515,"AAAAAHM/f+k=")</f>
        <v>#VALUE!</v>
      </c>
      <c r="IA101" t="e">
        <f>AND(DATA!J515,"AAAAAHM/f+o=")</f>
        <v>#VALUE!</v>
      </c>
      <c r="IB101" t="e">
        <f>AND(DATA!K515,"AAAAAHM/f+s=")</f>
        <v>#VALUE!</v>
      </c>
      <c r="IC101" t="b">
        <f>AND(DATA!L516,"AAAAAHM/f+w=")</f>
        <v>1</v>
      </c>
      <c r="ID101" t="b">
        <f>AND(DATA!M516,"AAAAAHM/f+0=")</f>
        <v>1</v>
      </c>
      <c r="IE101" t="b">
        <f>AND(DATA!N516,"AAAAAHM/f+4=")</f>
        <v>1</v>
      </c>
      <c r="IF101" t="b">
        <f>AND(DATA!O516,"AAAAAHM/f+8=")</f>
        <v>1</v>
      </c>
      <c r="IG101" t="b">
        <f>AND(DATA!P516,"AAAAAHM/f/A=")</f>
        <v>1</v>
      </c>
      <c r="IH101" t="b">
        <f>AND(DATA!Q516,"AAAAAHM/f/E=")</f>
        <v>1</v>
      </c>
      <c r="II101" t="b">
        <f>AND(DATA!R516,"AAAAAHM/f/I=")</f>
        <v>1</v>
      </c>
      <c r="IJ101" t="b">
        <f>AND(DATA!S516,"AAAAAHM/f/M=")</f>
        <v>1</v>
      </c>
      <c r="IK101" t="b">
        <f>AND(DATA!T516,"AAAAAHM/f/Q=")</f>
        <v>1</v>
      </c>
      <c r="IL101" t="b">
        <f>AND(DATA!U516,"AAAAAHM/f/U=")</f>
        <v>1</v>
      </c>
      <c r="IM101" t="b">
        <f>AND(DATA!V516,"AAAAAHM/f/Y=")</f>
        <v>1</v>
      </c>
      <c r="IN101" t="e">
        <f>AND(DATA!W515,"AAAAAHM/f/c=")</f>
        <v>#VALUE!</v>
      </c>
      <c r="IO101" t="e">
        <f>AND(DATA!X515,"AAAAAHM/f/g=")</f>
        <v>#VALUE!</v>
      </c>
      <c r="IP101" t="e">
        <f>AND(DATA!Y515,"AAAAAHM/f/k=")</f>
        <v>#VALUE!</v>
      </c>
      <c r="IQ101">
        <f>IF(DATA!516:516,"AAAAAHM/f/o=",0)</f>
        <v>0</v>
      </c>
      <c r="IR101" t="e">
        <f>AND(DATA!A516,"AAAAAHM/f/s=")</f>
        <v>#VALUE!</v>
      </c>
      <c r="IS101" t="e">
        <f>AND(DATA!B516,"AAAAAHM/f/w=")</f>
        <v>#VALUE!</v>
      </c>
      <c r="IT101" t="e">
        <f>AND(DATA!C516,"AAAAAHM/f/0=")</f>
        <v>#VALUE!</v>
      </c>
      <c r="IU101" t="e">
        <f>AND(DATA!D516,"AAAAAHM/f/4=")</f>
        <v>#VALUE!</v>
      </c>
      <c r="IV101" t="e">
        <f>AND(DATA!E516,"AAAAAHM/f/8=")</f>
        <v>#VALUE!</v>
      </c>
    </row>
    <row r="102" spans="1:256" x14ac:dyDescent="0.25">
      <c r="A102" t="e">
        <f>AND(DATA!F516,"AAAAAH/z/QA=")</f>
        <v>#VALUE!</v>
      </c>
      <c r="B102" t="e">
        <f>AND(DATA!G516,"AAAAAH/z/QE=")</f>
        <v>#VALUE!</v>
      </c>
      <c r="C102" t="e">
        <f>AND(DATA!H516,"AAAAAH/z/QI=")</f>
        <v>#VALUE!</v>
      </c>
      <c r="D102" t="e">
        <f>AND(DATA!I516,"AAAAAH/z/QM=")</f>
        <v>#VALUE!</v>
      </c>
      <c r="E102" t="e">
        <f>AND(DATA!J516,"AAAAAH/z/QQ=")</f>
        <v>#VALUE!</v>
      </c>
      <c r="F102" t="e">
        <f>AND(DATA!K516,"AAAAAH/z/QU=")</f>
        <v>#VALUE!</v>
      </c>
      <c r="G102" t="b">
        <f>AND(DATA!L517,"AAAAAH/z/QY=")</f>
        <v>1</v>
      </c>
      <c r="H102" t="b">
        <f>AND(DATA!M517,"AAAAAH/z/Qc=")</f>
        <v>1</v>
      </c>
      <c r="I102" t="b">
        <f>AND(DATA!N517,"AAAAAH/z/Qg=")</f>
        <v>1</v>
      </c>
      <c r="J102" t="b">
        <f>AND(DATA!O517,"AAAAAH/z/Qk=")</f>
        <v>1</v>
      </c>
      <c r="K102" t="b">
        <f>AND(DATA!P517,"AAAAAH/z/Qo=")</f>
        <v>1</v>
      </c>
      <c r="L102" t="b">
        <f>AND(DATA!Q517,"AAAAAH/z/Qs=")</f>
        <v>1</v>
      </c>
      <c r="M102" t="b">
        <f>AND(DATA!R517,"AAAAAH/z/Qw=")</f>
        <v>1</v>
      </c>
      <c r="N102" t="b">
        <f>AND(DATA!S517,"AAAAAH/z/Q0=")</f>
        <v>1</v>
      </c>
      <c r="O102" t="b">
        <f>AND(DATA!T517,"AAAAAH/z/Q4=")</f>
        <v>1</v>
      </c>
      <c r="P102" t="b">
        <f>AND(DATA!U517,"AAAAAH/z/Q8=")</f>
        <v>1</v>
      </c>
      <c r="Q102" t="b">
        <f>AND(DATA!V517,"AAAAAH/z/RA=")</f>
        <v>1</v>
      </c>
      <c r="R102" t="e">
        <f>AND(DATA!W516,"AAAAAH/z/RE=")</f>
        <v>#VALUE!</v>
      </c>
      <c r="S102" t="e">
        <f>AND(DATA!X516,"AAAAAH/z/RI=")</f>
        <v>#VALUE!</v>
      </c>
      <c r="T102" t="e">
        <f>AND(DATA!Y516,"AAAAAH/z/RM=")</f>
        <v>#VALUE!</v>
      </c>
      <c r="U102" t="str">
        <f>IF(DATA!517:517,"AAAAAH/z/RQ=",0)</f>
        <v>AAAAAH/z/RQ=</v>
      </c>
      <c r="V102" t="e">
        <f>AND(DATA!A517,"AAAAAH/z/RU=")</f>
        <v>#VALUE!</v>
      </c>
      <c r="W102" t="e">
        <f>AND(DATA!B517,"AAAAAH/z/RY=")</f>
        <v>#VALUE!</v>
      </c>
      <c r="X102" t="e">
        <f>AND(DATA!C517,"AAAAAH/z/Rc=")</f>
        <v>#VALUE!</v>
      </c>
      <c r="Y102" t="e">
        <f>AND(DATA!D517,"AAAAAH/z/Rg=")</f>
        <v>#VALUE!</v>
      </c>
      <c r="Z102" t="e">
        <f>AND(DATA!E517,"AAAAAH/z/Rk=")</f>
        <v>#VALUE!</v>
      </c>
      <c r="AA102" t="e">
        <f>AND(DATA!F517,"AAAAAH/z/Ro=")</f>
        <v>#VALUE!</v>
      </c>
      <c r="AB102" t="e">
        <f>AND(DATA!G517,"AAAAAH/z/Rs=")</f>
        <v>#VALUE!</v>
      </c>
      <c r="AC102" t="e">
        <f>AND(DATA!H517,"AAAAAH/z/Rw=")</f>
        <v>#VALUE!</v>
      </c>
      <c r="AD102" t="e">
        <f>AND(DATA!I517,"AAAAAH/z/R0=")</f>
        <v>#VALUE!</v>
      </c>
      <c r="AE102" t="e">
        <f>AND(DATA!J517,"AAAAAH/z/R4=")</f>
        <v>#VALUE!</v>
      </c>
      <c r="AF102" t="e">
        <f>AND(DATA!K517,"AAAAAH/z/R8=")</f>
        <v>#VALUE!</v>
      </c>
      <c r="AG102" t="b">
        <f>AND(DATA!L518,"AAAAAH/z/SA=")</f>
        <v>1</v>
      </c>
      <c r="AH102" t="b">
        <f>AND(DATA!M518,"AAAAAH/z/SE=")</f>
        <v>1</v>
      </c>
      <c r="AI102" t="b">
        <f>AND(DATA!N518,"AAAAAH/z/SI=")</f>
        <v>1</v>
      </c>
      <c r="AJ102" t="b">
        <f>AND(DATA!O518,"AAAAAH/z/SM=")</f>
        <v>1</v>
      </c>
      <c r="AK102" t="b">
        <f>AND(DATA!P518,"AAAAAH/z/SQ=")</f>
        <v>1</v>
      </c>
      <c r="AL102" t="b">
        <f>AND(DATA!Q518,"AAAAAH/z/SU=")</f>
        <v>1</v>
      </c>
      <c r="AM102" t="b">
        <f>AND(DATA!R518,"AAAAAH/z/SY=")</f>
        <v>1</v>
      </c>
      <c r="AN102" t="b">
        <f>AND(DATA!S518,"AAAAAH/z/Sc=")</f>
        <v>1</v>
      </c>
      <c r="AO102" t="b">
        <f>AND(DATA!T518,"AAAAAH/z/Sg=")</f>
        <v>1</v>
      </c>
      <c r="AP102" t="b">
        <f>AND(DATA!U518,"AAAAAH/z/Sk=")</f>
        <v>1</v>
      </c>
      <c r="AQ102" t="b">
        <f>AND(DATA!V518,"AAAAAH/z/So=")</f>
        <v>1</v>
      </c>
      <c r="AR102" t="e">
        <f>AND(DATA!W517,"AAAAAH/z/Ss=")</f>
        <v>#VALUE!</v>
      </c>
      <c r="AS102" t="e">
        <f>AND(DATA!X517,"AAAAAH/z/Sw=")</f>
        <v>#VALUE!</v>
      </c>
      <c r="AT102" t="e">
        <f>AND(DATA!Y517,"AAAAAH/z/S0=")</f>
        <v>#VALUE!</v>
      </c>
      <c r="AU102">
        <f>IF(DATA!518:518,"AAAAAH/z/S4=",0)</f>
        <v>0</v>
      </c>
      <c r="AV102" t="e">
        <f>AND(DATA!A518,"AAAAAH/z/S8=")</f>
        <v>#VALUE!</v>
      </c>
      <c r="AW102" t="e">
        <f>AND(DATA!B518,"AAAAAH/z/TA=")</f>
        <v>#VALUE!</v>
      </c>
      <c r="AX102" t="e">
        <f>AND(DATA!C518,"AAAAAH/z/TE=")</f>
        <v>#VALUE!</v>
      </c>
      <c r="AY102" t="e">
        <f>AND(DATA!D518,"AAAAAH/z/TI=")</f>
        <v>#VALUE!</v>
      </c>
      <c r="AZ102" t="e">
        <f>AND(DATA!E518,"AAAAAH/z/TM=")</f>
        <v>#VALUE!</v>
      </c>
      <c r="BA102" t="e">
        <f>AND(DATA!F518,"AAAAAH/z/TQ=")</f>
        <v>#VALUE!</v>
      </c>
      <c r="BB102" t="e">
        <f>AND(DATA!G518,"AAAAAH/z/TU=")</f>
        <v>#VALUE!</v>
      </c>
      <c r="BC102" t="e">
        <f>AND(DATA!H518,"AAAAAH/z/TY=")</f>
        <v>#VALUE!</v>
      </c>
      <c r="BD102" t="e">
        <f>AND(DATA!I518,"AAAAAH/z/Tc=")</f>
        <v>#VALUE!</v>
      </c>
      <c r="BE102" t="e">
        <f>AND(DATA!J518,"AAAAAH/z/Tg=")</f>
        <v>#VALUE!</v>
      </c>
      <c r="BF102" t="e">
        <f>AND(DATA!K518,"AAAAAH/z/Tk=")</f>
        <v>#VALUE!</v>
      </c>
      <c r="BG102" t="b">
        <f>AND(DATA!L519,"AAAAAH/z/To=")</f>
        <v>1</v>
      </c>
      <c r="BH102" t="b">
        <f>AND(DATA!M519,"AAAAAH/z/Ts=")</f>
        <v>1</v>
      </c>
      <c r="BI102" t="b">
        <f>AND(DATA!N519,"AAAAAH/z/Tw=")</f>
        <v>1</v>
      </c>
      <c r="BJ102" t="b">
        <f>AND(DATA!O519,"AAAAAH/z/T0=")</f>
        <v>1</v>
      </c>
      <c r="BK102" t="b">
        <f>AND(DATA!P519,"AAAAAH/z/T4=")</f>
        <v>1</v>
      </c>
      <c r="BL102" t="b">
        <f>AND(DATA!Q519,"AAAAAH/z/T8=")</f>
        <v>1</v>
      </c>
      <c r="BM102" t="b">
        <f>AND(DATA!R519,"AAAAAH/z/UA=")</f>
        <v>1</v>
      </c>
      <c r="BN102" t="b">
        <f>AND(DATA!S519,"AAAAAH/z/UE=")</f>
        <v>1</v>
      </c>
      <c r="BO102" t="b">
        <f>AND(DATA!T519,"AAAAAH/z/UI=")</f>
        <v>1</v>
      </c>
      <c r="BP102" t="b">
        <f>AND(DATA!U519,"AAAAAH/z/UM=")</f>
        <v>1</v>
      </c>
      <c r="BQ102" t="b">
        <f>AND(DATA!V519,"AAAAAH/z/UQ=")</f>
        <v>1</v>
      </c>
      <c r="BR102" t="e">
        <f>AND(DATA!W518,"AAAAAH/z/UU=")</f>
        <v>#VALUE!</v>
      </c>
      <c r="BS102" t="e">
        <f>AND(DATA!X518,"AAAAAH/z/UY=")</f>
        <v>#VALUE!</v>
      </c>
      <c r="BT102" t="e">
        <f>AND(DATA!Y518,"AAAAAH/z/Uc=")</f>
        <v>#VALUE!</v>
      </c>
      <c r="BU102">
        <f>IF(DATA!519:519,"AAAAAH/z/Ug=",0)</f>
        <v>0</v>
      </c>
      <c r="BV102" t="e">
        <f>AND(DATA!A519,"AAAAAH/z/Uk=")</f>
        <v>#VALUE!</v>
      </c>
      <c r="BW102" t="e">
        <f>AND(DATA!B519,"AAAAAH/z/Uo=")</f>
        <v>#VALUE!</v>
      </c>
      <c r="BX102" t="e">
        <f>AND(DATA!C519,"AAAAAH/z/Us=")</f>
        <v>#VALUE!</v>
      </c>
      <c r="BY102" t="e">
        <f>AND(DATA!D519,"AAAAAH/z/Uw=")</f>
        <v>#VALUE!</v>
      </c>
      <c r="BZ102" t="e">
        <f>AND(DATA!E519,"AAAAAH/z/U0=")</f>
        <v>#VALUE!</v>
      </c>
      <c r="CA102" t="e">
        <f>AND(DATA!F519,"AAAAAH/z/U4=")</f>
        <v>#VALUE!</v>
      </c>
      <c r="CB102" t="e">
        <f>AND(DATA!G519,"AAAAAH/z/U8=")</f>
        <v>#VALUE!</v>
      </c>
      <c r="CC102" t="e">
        <f>AND(DATA!H519,"AAAAAH/z/VA=")</f>
        <v>#VALUE!</v>
      </c>
      <c r="CD102" t="e">
        <f>AND(DATA!I519,"AAAAAH/z/VE=")</f>
        <v>#VALUE!</v>
      </c>
      <c r="CE102" t="e">
        <f>AND(DATA!J519,"AAAAAH/z/VI=")</f>
        <v>#VALUE!</v>
      </c>
      <c r="CF102" t="e">
        <f>AND(DATA!K519,"AAAAAH/z/VM=")</f>
        <v>#VALUE!</v>
      </c>
      <c r="CG102" t="b">
        <f>AND(DATA!L520,"AAAAAH/z/VQ=")</f>
        <v>1</v>
      </c>
      <c r="CH102" t="b">
        <f>AND(DATA!M520,"AAAAAH/z/VU=")</f>
        <v>1</v>
      </c>
      <c r="CI102" t="b">
        <f>AND(DATA!N520,"AAAAAH/z/VY=")</f>
        <v>1</v>
      </c>
      <c r="CJ102" t="b">
        <f>AND(DATA!O520,"AAAAAH/z/Vc=")</f>
        <v>1</v>
      </c>
      <c r="CK102" t="b">
        <f>AND(DATA!P520,"AAAAAH/z/Vg=")</f>
        <v>1</v>
      </c>
      <c r="CL102" t="b">
        <f>AND(DATA!Q520,"AAAAAH/z/Vk=")</f>
        <v>1</v>
      </c>
      <c r="CM102" t="b">
        <f>AND(DATA!R520,"AAAAAH/z/Vo=")</f>
        <v>1</v>
      </c>
      <c r="CN102" t="b">
        <f>AND(DATA!S520,"AAAAAH/z/Vs=")</f>
        <v>1</v>
      </c>
      <c r="CO102" t="b">
        <f>AND(DATA!T520,"AAAAAH/z/Vw=")</f>
        <v>1</v>
      </c>
      <c r="CP102" t="b">
        <f>AND(DATA!U520,"AAAAAH/z/V0=")</f>
        <v>1</v>
      </c>
      <c r="CQ102" t="b">
        <f>AND(DATA!V520,"AAAAAH/z/V4=")</f>
        <v>1</v>
      </c>
      <c r="CR102" t="e">
        <f>AND(DATA!W519,"AAAAAH/z/V8=")</f>
        <v>#VALUE!</v>
      </c>
      <c r="CS102" t="e">
        <f>AND(DATA!X519,"AAAAAH/z/WA=")</f>
        <v>#VALUE!</v>
      </c>
      <c r="CT102" t="e">
        <f>AND(DATA!Y519,"AAAAAH/z/WE=")</f>
        <v>#VALUE!</v>
      </c>
      <c r="CU102">
        <f>IF(DATA!520:520,"AAAAAH/z/WI=",0)</f>
        <v>0</v>
      </c>
      <c r="CV102" t="e">
        <f>AND(DATA!A520,"AAAAAH/z/WM=")</f>
        <v>#VALUE!</v>
      </c>
      <c r="CW102" t="e">
        <f>AND(DATA!B520,"AAAAAH/z/WQ=")</f>
        <v>#VALUE!</v>
      </c>
      <c r="CX102" t="e">
        <f>AND(DATA!C520,"AAAAAH/z/WU=")</f>
        <v>#VALUE!</v>
      </c>
      <c r="CY102" t="e">
        <f>AND(DATA!D520,"AAAAAH/z/WY=")</f>
        <v>#VALUE!</v>
      </c>
      <c r="CZ102" t="e">
        <f>AND(DATA!E520,"AAAAAH/z/Wc=")</f>
        <v>#VALUE!</v>
      </c>
      <c r="DA102" t="e">
        <f>AND(DATA!F520,"AAAAAH/z/Wg=")</f>
        <v>#VALUE!</v>
      </c>
      <c r="DB102" t="e">
        <f>AND(DATA!G520,"AAAAAH/z/Wk=")</f>
        <v>#VALUE!</v>
      </c>
      <c r="DC102" t="e">
        <f>AND(DATA!H520,"AAAAAH/z/Wo=")</f>
        <v>#VALUE!</v>
      </c>
      <c r="DD102" t="e">
        <f>AND(DATA!I520,"AAAAAH/z/Ws=")</f>
        <v>#VALUE!</v>
      </c>
      <c r="DE102" t="e">
        <f>AND(DATA!J520,"AAAAAH/z/Ww=")</f>
        <v>#VALUE!</v>
      </c>
      <c r="DF102" t="e">
        <f>AND(DATA!K520,"AAAAAH/z/W0=")</f>
        <v>#VALUE!</v>
      </c>
      <c r="DG102" t="b">
        <f>AND(DATA!L521,"AAAAAH/z/W4=")</f>
        <v>1</v>
      </c>
      <c r="DH102" t="b">
        <f>AND(DATA!M521,"AAAAAH/z/W8=")</f>
        <v>1</v>
      </c>
      <c r="DI102" t="b">
        <f>AND(DATA!N521,"AAAAAH/z/XA=")</f>
        <v>1</v>
      </c>
      <c r="DJ102" t="b">
        <f>AND(DATA!O521,"AAAAAH/z/XE=")</f>
        <v>1</v>
      </c>
      <c r="DK102" t="b">
        <f>AND(DATA!P521,"AAAAAH/z/XI=")</f>
        <v>1</v>
      </c>
      <c r="DL102" t="b">
        <f>AND(DATA!Q521,"AAAAAH/z/XM=")</f>
        <v>1</v>
      </c>
      <c r="DM102" t="b">
        <f>AND(DATA!R521,"AAAAAH/z/XQ=")</f>
        <v>1</v>
      </c>
      <c r="DN102" t="b">
        <f>AND(DATA!S521,"AAAAAH/z/XU=")</f>
        <v>1</v>
      </c>
      <c r="DO102" t="b">
        <f>AND(DATA!T521,"AAAAAH/z/XY=")</f>
        <v>1</v>
      </c>
      <c r="DP102" t="b">
        <f>AND(DATA!U521,"AAAAAH/z/Xc=")</f>
        <v>1</v>
      </c>
      <c r="DQ102" t="b">
        <f>AND(DATA!V521,"AAAAAH/z/Xg=")</f>
        <v>1</v>
      </c>
      <c r="DR102" t="e">
        <f>AND(DATA!W520,"AAAAAH/z/Xk=")</f>
        <v>#VALUE!</v>
      </c>
      <c r="DS102" t="e">
        <f>AND(DATA!X520,"AAAAAH/z/Xo=")</f>
        <v>#VALUE!</v>
      </c>
      <c r="DT102" t="e">
        <f>AND(DATA!Y520,"AAAAAH/z/Xs=")</f>
        <v>#VALUE!</v>
      </c>
      <c r="DU102">
        <f>IF(DATA!521:521,"AAAAAH/z/Xw=",0)</f>
        <v>0</v>
      </c>
      <c r="DV102" t="e">
        <f>AND(DATA!A521,"AAAAAH/z/X0=")</f>
        <v>#VALUE!</v>
      </c>
      <c r="DW102" t="e">
        <f>AND(DATA!B521,"AAAAAH/z/X4=")</f>
        <v>#VALUE!</v>
      </c>
      <c r="DX102" t="e">
        <f>AND(DATA!C521,"AAAAAH/z/X8=")</f>
        <v>#VALUE!</v>
      </c>
      <c r="DY102" t="e">
        <f>AND(DATA!D521,"AAAAAH/z/YA=")</f>
        <v>#VALUE!</v>
      </c>
      <c r="DZ102" t="e">
        <f>AND(DATA!E521,"AAAAAH/z/YE=")</f>
        <v>#VALUE!</v>
      </c>
      <c r="EA102" t="e">
        <f>AND(DATA!F521,"AAAAAH/z/YI=")</f>
        <v>#VALUE!</v>
      </c>
      <c r="EB102" t="e">
        <f>AND(DATA!G521,"AAAAAH/z/YM=")</f>
        <v>#VALUE!</v>
      </c>
      <c r="EC102" t="e">
        <f>AND(DATA!H521,"AAAAAH/z/YQ=")</f>
        <v>#VALUE!</v>
      </c>
      <c r="ED102" t="e">
        <f>AND(DATA!I521,"AAAAAH/z/YU=")</f>
        <v>#VALUE!</v>
      </c>
      <c r="EE102" t="e">
        <f>AND(DATA!J521,"AAAAAH/z/YY=")</f>
        <v>#VALUE!</v>
      </c>
      <c r="EF102" t="e">
        <f>AND(DATA!K521,"AAAAAH/z/Yc=")</f>
        <v>#VALUE!</v>
      </c>
      <c r="EG102" t="b">
        <f>AND(DATA!L522,"AAAAAH/z/Yg=")</f>
        <v>1</v>
      </c>
      <c r="EH102" t="b">
        <f>AND(DATA!M522,"AAAAAH/z/Yk=")</f>
        <v>1</v>
      </c>
      <c r="EI102" t="b">
        <f>AND(DATA!N522,"AAAAAH/z/Yo=")</f>
        <v>1</v>
      </c>
      <c r="EJ102" t="b">
        <f>AND(DATA!O522,"AAAAAH/z/Ys=")</f>
        <v>1</v>
      </c>
      <c r="EK102" t="b">
        <f>AND(DATA!P522,"AAAAAH/z/Yw=")</f>
        <v>1</v>
      </c>
      <c r="EL102" t="b">
        <f>AND(DATA!Q522,"AAAAAH/z/Y0=")</f>
        <v>1</v>
      </c>
      <c r="EM102" t="b">
        <f>AND(DATA!R522,"AAAAAH/z/Y4=")</f>
        <v>1</v>
      </c>
      <c r="EN102" t="b">
        <f>AND(DATA!S522,"AAAAAH/z/Y8=")</f>
        <v>1</v>
      </c>
      <c r="EO102" t="b">
        <f>AND(DATA!T522,"AAAAAH/z/ZA=")</f>
        <v>1</v>
      </c>
      <c r="EP102" t="b">
        <f>AND(DATA!U522,"AAAAAH/z/ZE=")</f>
        <v>1</v>
      </c>
      <c r="EQ102" t="b">
        <f>AND(DATA!V522,"AAAAAH/z/ZI=")</f>
        <v>1</v>
      </c>
      <c r="ER102" t="e">
        <f>AND(DATA!W521,"AAAAAH/z/ZM=")</f>
        <v>#VALUE!</v>
      </c>
      <c r="ES102" t="e">
        <f>AND(DATA!X521,"AAAAAH/z/ZQ=")</f>
        <v>#VALUE!</v>
      </c>
      <c r="ET102" t="e">
        <f>AND(DATA!Y521,"AAAAAH/z/ZU=")</f>
        <v>#VALUE!</v>
      </c>
      <c r="EU102">
        <f>IF(DATA!522:522,"AAAAAH/z/ZY=",0)</f>
        <v>0</v>
      </c>
      <c r="EV102" t="e">
        <f>AND(DATA!A522,"AAAAAH/z/Zc=")</f>
        <v>#VALUE!</v>
      </c>
      <c r="EW102" t="e">
        <f>AND(DATA!B522,"AAAAAH/z/Zg=")</f>
        <v>#VALUE!</v>
      </c>
      <c r="EX102" t="e">
        <f>AND(DATA!C522,"AAAAAH/z/Zk=")</f>
        <v>#VALUE!</v>
      </c>
      <c r="EY102" t="e">
        <f>AND(DATA!D522,"AAAAAH/z/Zo=")</f>
        <v>#VALUE!</v>
      </c>
      <c r="EZ102" t="e">
        <f>AND(DATA!E522,"AAAAAH/z/Zs=")</f>
        <v>#VALUE!</v>
      </c>
      <c r="FA102" t="e">
        <f>AND(DATA!F522,"AAAAAH/z/Zw=")</f>
        <v>#VALUE!</v>
      </c>
      <c r="FB102" t="e">
        <f>AND(DATA!G522,"AAAAAH/z/Z0=")</f>
        <v>#VALUE!</v>
      </c>
      <c r="FC102" t="e">
        <f>AND(DATA!H522,"AAAAAH/z/Z4=")</f>
        <v>#VALUE!</v>
      </c>
      <c r="FD102" t="e">
        <f>AND(DATA!I522,"AAAAAH/z/Z8=")</f>
        <v>#VALUE!</v>
      </c>
      <c r="FE102" t="e">
        <f>AND(DATA!J522,"AAAAAH/z/aA=")</f>
        <v>#VALUE!</v>
      </c>
      <c r="FF102" t="e">
        <f>AND(DATA!K522,"AAAAAH/z/aE=")</f>
        <v>#VALUE!</v>
      </c>
      <c r="FG102" t="b">
        <f>AND(DATA!L523,"AAAAAH/z/aI=")</f>
        <v>1</v>
      </c>
      <c r="FH102" t="b">
        <f>AND(DATA!M523,"AAAAAH/z/aM=")</f>
        <v>1</v>
      </c>
      <c r="FI102" t="b">
        <f>AND(DATA!N523,"AAAAAH/z/aQ=")</f>
        <v>1</v>
      </c>
      <c r="FJ102" t="b">
        <f>AND(DATA!O523,"AAAAAH/z/aU=")</f>
        <v>1</v>
      </c>
      <c r="FK102" t="b">
        <f>AND(DATA!P523,"AAAAAH/z/aY=")</f>
        <v>1</v>
      </c>
      <c r="FL102" t="b">
        <f>AND(DATA!Q523,"AAAAAH/z/ac=")</f>
        <v>1</v>
      </c>
      <c r="FM102" t="b">
        <f>AND(DATA!R523,"AAAAAH/z/ag=")</f>
        <v>1</v>
      </c>
      <c r="FN102" t="b">
        <f>AND(DATA!S523,"AAAAAH/z/ak=")</f>
        <v>1</v>
      </c>
      <c r="FO102" t="b">
        <f>AND(DATA!T523,"AAAAAH/z/ao=")</f>
        <v>1</v>
      </c>
      <c r="FP102" t="b">
        <f>AND(DATA!U523,"AAAAAH/z/as=")</f>
        <v>1</v>
      </c>
      <c r="FQ102" t="b">
        <f>AND(DATA!V523,"AAAAAH/z/aw=")</f>
        <v>1</v>
      </c>
      <c r="FR102" t="e">
        <f>AND(DATA!W522,"AAAAAH/z/a0=")</f>
        <v>#VALUE!</v>
      </c>
      <c r="FS102" t="e">
        <f>AND(DATA!X522,"AAAAAH/z/a4=")</f>
        <v>#VALUE!</v>
      </c>
      <c r="FT102" t="e">
        <f>AND(DATA!Y522,"AAAAAH/z/a8=")</f>
        <v>#VALUE!</v>
      </c>
      <c r="FU102">
        <f>IF(DATA!523:523,"AAAAAH/z/bA=",0)</f>
        <v>0</v>
      </c>
      <c r="FV102" t="e">
        <f>AND(DATA!A523,"AAAAAH/z/bE=")</f>
        <v>#VALUE!</v>
      </c>
      <c r="FW102" t="e">
        <f>AND(DATA!B523,"AAAAAH/z/bI=")</f>
        <v>#VALUE!</v>
      </c>
      <c r="FX102" t="e">
        <f>AND(DATA!C523,"AAAAAH/z/bM=")</f>
        <v>#VALUE!</v>
      </c>
      <c r="FY102" t="e">
        <f>AND(DATA!D523,"AAAAAH/z/bQ=")</f>
        <v>#VALUE!</v>
      </c>
      <c r="FZ102" t="e">
        <f>AND(DATA!E523,"AAAAAH/z/bU=")</f>
        <v>#VALUE!</v>
      </c>
      <c r="GA102" t="e">
        <f>AND(DATA!F523,"AAAAAH/z/bY=")</f>
        <v>#VALUE!</v>
      </c>
      <c r="GB102" t="e">
        <f>AND(DATA!G523,"AAAAAH/z/bc=")</f>
        <v>#VALUE!</v>
      </c>
      <c r="GC102" t="e">
        <f>AND(DATA!H523,"AAAAAH/z/bg=")</f>
        <v>#VALUE!</v>
      </c>
      <c r="GD102" t="e">
        <f>AND(DATA!I523,"AAAAAH/z/bk=")</f>
        <v>#VALUE!</v>
      </c>
      <c r="GE102" t="e">
        <f>AND(DATA!J523,"AAAAAH/z/bo=")</f>
        <v>#VALUE!</v>
      </c>
      <c r="GF102" t="e">
        <f>AND(DATA!K523,"AAAAAH/z/bs=")</f>
        <v>#VALUE!</v>
      </c>
      <c r="GG102" t="b">
        <f>AND(DATA!L524,"AAAAAH/z/bw=")</f>
        <v>1</v>
      </c>
      <c r="GH102" t="b">
        <f>AND(DATA!M524,"AAAAAH/z/b0=")</f>
        <v>1</v>
      </c>
      <c r="GI102" t="b">
        <f>AND(DATA!N524,"AAAAAH/z/b4=")</f>
        <v>1</v>
      </c>
      <c r="GJ102" t="b">
        <f>AND(DATA!O524,"AAAAAH/z/b8=")</f>
        <v>1</v>
      </c>
      <c r="GK102" t="b">
        <f>AND(DATA!P524,"AAAAAH/z/cA=")</f>
        <v>1</v>
      </c>
      <c r="GL102" t="b">
        <f>AND(DATA!Q524,"AAAAAH/z/cE=")</f>
        <v>1</v>
      </c>
      <c r="GM102" t="b">
        <f>AND(DATA!R524,"AAAAAH/z/cI=")</f>
        <v>1</v>
      </c>
      <c r="GN102" t="b">
        <f>AND(DATA!S524,"AAAAAH/z/cM=")</f>
        <v>1</v>
      </c>
      <c r="GO102" t="b">
        <f>AND(DATA!T524,"AAAAAH/z/cQ=")</f>
        <v>1</v>
      </c>
      <c r="GP102" t="b">
        <f>AND(DATA!U524,"AAAAAH/z/cU=")</f>
        <v>1</v>
      </c>
      <c r="GQ102" t="b">
        <f>AND(DATA!V524,"AAAAAH/z/cY=")</f>
        <v>1</v>
      </c>
      <c r="GR102" t="e">
        <f>AND(DATA!W523,"AAAAAH/z/cc=")</f>
        <v>#VALUE!</v>
      </c>
      <c r="GS102" t="e">
        <f>AND(DATA!X523,"AAAAAH/z/cg=")</f>
        <v>#VALUE!</v>
      </c>
      <c r="GT102" t="e">
        <f>AND(DATA!Y523,"AAAAAH/z/ck=")</f>
        <v>#VALUE!</v>
      </c>
      <c r="GU102">
        <f>IF(DATA!524:524,"AAAAAH/z/co=",0)</f>
        <v>0</v>
      </c>
      <c r="GV102" t="e">
        <f>AND(DATA!A524,"AAAAAH/z/cs=")</f>
        <v>#VALUE!</v>
      </c>
      <c r="GW102" t="e">
        <f>AND(DATA!B524,"AAAAAH/z/cw=")</f>
        <v>#VALUE!</v>
      </c>
      <c r="GX102" t="e">
        <f>AND(DATA!C524,"AAAAAH/z/c0=")</f>
        <v>#VALUE!</v>
      </c>
      <c r="GY102" t="e">
        <f>AND(DATA!D524,"AAAAAH/z/c4=")</f>
        <v>#VALUE!</v>
      </c>
      <c r="GZ102" t="e">
        <f>AND(DATA!E524,"AAAAAH/z/c8=")</f>
        <v>#VALUE!</v>
      </c>
      <c r="HA102" t="e">
        <f>AND(DATA!F524,"AAAAAH/z/dA=")</f>
        <v>#VALUE!</v>
      </c>
      <c r="HB102" t="e">
        <f>AND(DATA!G524,"AAAAAH/z/dE=")</f>
        <v>#VALUE!</v>
      </c>
      <c r="HC102" t="e">
        <f>AND(DATA!H524,"AAAAAH/z/dI=")</f>
        <v>#VALUE!</v>
      </c>
      <c r="HD102" t="e">
        <f>AND(DATA!I524,"AAAAAH/z/dM=")</f>
        <v>#VALUE!</v>
      </c>
      <c r="HE102" t="e">
        <f>AND(DATA!J524,"AAAAAH/z/dQ=")</f>
        <v>#VALUE!</v>
      </c>
      <c r="HF102" t="e">
        <f>AND(DATA!K524,"AAAAAH/z/dU=")</f>
        <v>#VALUE!</v>
      </c>
      <c r="HG102" t="b">
        <f>AND(DATA!L525,"AAAAAH/z/dY=")</f>
        <v>1</v>
      </c>
      <c r="HH102" t="b">
        <f>AND(DATA!M525,"AAAAAH/z/dc=")</f>
        <v>1</v>
      </c>
      <c r="HI102" t="b">
        <f>AND(DATA!N525,"AAAAAH/z/dg=")</f>
        <v>1</v>
      </c>
      <c r="HJ102" t="b">
        <f>AND(DATA!O525,"AAAAAH/z/dk=")</f>
        <v>1</v>
      </c>
      <c r="HK102" t="b">
        <f>AND(DATA!P525,"AAAAAH/z/do=")</f>
        <v>1</v>
      </c>
      <c r="HL102" t="b">
        <f>AND(DATA!Q525,"AAAAAH/z/ds=")</f>
        <v>1</v>
      </c>
      <c r="HM102" t="b">
        <f>AND(DATA!R525,"AAAAAH/z/dw=")</f>
        <v>1</v>
      </c>
      <c r="HN102" t="b">
        <f>AND(DATA!S525,"AAAAAH/z/d0=")</f>
        <v>1</v>
      </c>
      <c r="HO102" t="b">
        <f>AND(DATA!T525,"AAAAAH/z/d4=")</f>
        <v>1</v>
      </c>
      <c r="HP102" t="b">
        <f>AND(DATA!U525,"AAAAAH/z/d8=")</f>
        <v>1</v>
      </c>
      <c r="HQ102" t="b">
        <f>AND(DATA!V525,"AAAAAH/z/eA=")</f>
        <v>1</v>
      </c>
      <c r="HR102" t="e">
        <f>AND(DATA!W524,"AAAAAH/z/eE=")</f>
        <v>#VALUE!</v>
      </c>
      <c r="HS102" t="e">
        <f>AND(DATA!X524,"AAAAAH/z/eI=")</f>
        <v>#VALUE!</v>
      </c>
      <c r="HT102" t="e">
        <f>AND(DATA!Y524,"AAAAAH/z/eM=")</f>
        <v>#VALUE!</v>
      </c>
      <c r="HU102">
        <f>IF(DATA!525:525,"AAAAAH/z/eQ=",0)</f>
        <v>0</v>
      </c>
      <c r="HV102" t="e">
        <f>AND(DATA!A525,"AAAAAH/z/eU=")</f>
        <v>#VALUE!</v>
      </c>
      <c r="HW102" t="e">
        <f>AND(DATA!B525,"AAAAAH/z/eY=")</f>
        <v>#VALUE!</v>
      </c>
      <c r="HX102" t="e">
        <f>AND(DATA!C525,"AAAAAH/z/ec=")</f>
        <v>#VALUE!</v>
      </c>
      <c r="HY102" t="e">
        <f>AND(DATA!D525,"AAAAAH/z/eg=")</f>
        <v>#VALUE!</v>
      </c>
      <c r="HZ102" t="e">
        <f>AND(DATA!E525,"AAAAAH/z/ek=")</f>
        <v>#VALUE!</v>
      </c>
      <c r="IA102" t="e">
        <f>AND(DATA!F525,"AAAAAH/z/eo=")</f>
        <v>#VALUE!</v>
      </c>
      <c r="IB102" t="e">
        <f>AND(DATA!G525,"AAAAAH/z/es=")</f>
        <v>#VALUE!</v>
      </c>
      <c r="IC102" t="e">
        <f>AND(DATA!H525,"AAAAAH/z/ew=")</f>
        <v>#VALUE!</v>
      </c>
      <c r="ID102" t="e">
        <f>AND(DATA!I525,"AAAAAH/z/e0=")</f>
        <v>#VALUE!</v>
      </c>
      <c r="IE102" t="e">
        <f>AND(DATA!J525,"AAAAAH/z/e4=")</f>
        <v>#VALUE!</v>
      </c>
      <c r="IF102" t="e">
        <f>AND(DATA!K525,"AAAAAH/z/e8=")</f>
        <v>#VALUE!</v>
      </c>
      <c r="IG102" t="b">
        <f>AND(DATA!L526,"AAAAAH/z/fA=")</f>
        <v>1</v>
      </c>
      <c r="IH102" t="b">
        <f>AND(DATA!M526,"AAAAAH/z/fE=")</f>
        <v>1</v>
      </c>
      <c r="II102" t="b">
        <f>AND(DATA!N526,"AAAAAH/z/fI=")</f>
        <v>1</v>
      </c>
      <c r="IJ102" t="b">
        <f>AND(DATA!O526,"AAAAAH/z/fM=")</f>
        <v>1</v>
      </c>
      <c r="IK102" t="b">
        <f>AND(DATA!P526,"AAAAAH/z/fQ=")</f>
        <v>1</v>
      </c>
      <c r="IL102" t="b">
        <f>AND(DATA!Q526,"AAAAAH/z/fU=")</f>
        <v>1</v>
      </c>
      <c r="IM102" t="b">
        <f>AND(DATA!R526,"AAAAAH/z/fY=")</f>
        <v>1</v>
      </c>
      <c r="IN102" t="b">
        <f>AND(DATA!S526,"AAAAAH/z/fc=")</f>
        <v>1</v>
      </c>
      <c r="IO102" t="b">
        <f>AND(DATA!T526,"AAAAAH/z/fg=")</f>
        <v>1</v>
      </c>
      <c r="IP102" t="b">
        <f>AND(DATA!U526,"AAAAAH/z/fk=")</f>
        <v>1</v>
      </c>
      <c r="IQ102" t="b">
        <f>AND(DATA!V526,"AAAAAH/z/fo=")</f>
        <v>1</v>
      </c>
      <c r="IR102" t="e">
        <f>AND(DATA!W525,"AAAAAH/z/fs=")</f>
        <v>#VALUE!</v>
      </c>
      <c r="IS102" t="e">
        <f>AND(DATA!X525,"AAAAAH/z/fw=")</f>
        <v>#VALUE!</v>
      </c>
      <c r="IT102" t="e">
        <f>AND(DATA!Y525,"AAAAAH/z/f0=")</f>
        <v>#VALUE!</v>
      </c>
      <c r="IU102">
        <f>IF(DATA!526:526,"AAAAAH/z/f4=",0)</f>
        <v>0</v>
      </c>
      <c r="IV102" t="e">
        <f>AND(DATA!A526,"AAAAAH/z/f8=")</f>
        <v>#VALUE!</v>
      </c>
    </row>
    <row r="103" spans="1:256" x14ac:dyDescent="0.25">
      <c r="A103" t="e">
        <f>AND(DATA!B526,"AAAAAE/xNQA=")</f>
        <v>#VALUE!</v>
      </c>
      <c r="B103" t="e">
        <f>AND(DATA!C526,"AAAAAE/xNQE=")</f>
        <v>#VALUE!</v>
      </c>
      <c r="C103" t="e">
        <f>AND(DATA!D526,"AAAAAE/xNQI=")</f>
        <v>#VALUE!</v>
      </c>
      <c r="D103" t="e">
        <f>AND(DATA!E526,"AAAAAE/xNQM=")</f>
        <v>#VALUE!</v>
      </c>
      <c r="E103" t="e">
        <f>AND(DATA!F526,"AAAAAE/xNQQ=")</f>
        <v>#VALUE!</v>
      </c>
      <c r="F103" t="e">
        <f>AND(DATA!G526,"AAAAAE/xNQU=")</f>
        <v>#VALUE!</v>
      </c>
      <c r="G103" t="e">
        <f>AND(DATA!H526,"AAAAAE/xNQY=")</f>
        <v>#VALUE!</v>
      </c>
      <c r="H103" t="e">
        <f>AND(DATA!I526,"AAAAAE/xNQc=")</f>
        <v>#VALUE!</v>
      </c>
      <c r="I103" t="e">
        <f>AND(DATA!J526,"AAAAAE/xNQg=")</f>
        <v>#VALUE!</v>
      </c>
      <c r="J103" t="e">
        <f>AND(DATA!K526,"AAAAAE/xNQk=")</f>
        <v>#VALUE!</v>
      </c>
      <c r="K103" t="b">
        <f>AND(DATA!L527,"AAAAAE/xNQo=")</f>
        <v>1</v>
      </c>
      <c r="L103" t="b">
        <f>AND(DATA!M527,"AAAAAE/xNQs=")</f>
        <v>1</v>
      </c>
      <c r="M103" t="b">
        <f>AND(DATA!N527,"AAAAAE/xNQw=")</f>
        <v>1</v>
      </c>
      <c r="N103" t="b">
        <f>AND(DATA!O527,"AAAAAE/xNQ0=")</f>
        <v>1</v>
      </c>
      <c r="O103" t="b">
        <f>AND(DATA!P527,"AAAAAE/xNQ4=")</f>
        <v>1</v>
      </c>
      <c r="P103" t="b">
        <f>AND(DATA!Q527,"AAAAAE/xNQ8=")</f>
        <v>1</v>
      </c>
      <c r="Q103" t="b">
        <f>AND(DATA!R527,"AAAAAE/xNRA=")</f>
        <v>1</v>
      </c>
      <c r="R103" t="b">
        <f>AND(DATA!S527,"AAAAAE/xNRE=")</f>
        <v>1</v>
      </c>
      <c r="S103" t="b">
        <f>AND(DATA!T527,"AAAAAE/xNRI=")</f>
        <v>1</v>
      </c>
      <c r="T103" t="b">
        <f>AND(DATA!U527,"AAAAAE/xNRM=")</f>
        <v>1</v>
      </c>
      <c r="U103" t="b">
        <f>AND(DATA!V527,"AAAAAE/xNRQ=")</f>
        <v>1</v>
      </c>
      <c r="V103" t="e">
        <f>AND(DATA!W526,"AAAAAE/xNRU=")</f>
        <v>#VALUE!</v>
      </c>
      <c r="W103" t="e">
        <f>AND(DATA!X526,"AAAAAE/xNRY=")</f>
        <v>#VALUE!</v>
      </c>
      <c r="X103" t="e">
        <f>AND(DATA!Y526,"AAAAAE/xNRc=")</f>
        <v>#VALUE!</v>
      </c>
      <c r="Y103">
        <f>IF(DATA!527:527,"AAAAAE/xNRg=",0)</f>
        <v>0</v>
      </c>
      <c r="Z103" t="e">
        <f>AND(DATA!A527,"AAAAAE/xNRk=")</f>
        <v>#VALUE!</v>
      </c>
      <c r="AA103" t="e">
        <f>AND(DATA!B527,"AAAAAE/xNRo=")</f>
        <v>#VALUE!</v>
      </c>
      <c r="AB103" t="e">
        <f>AND(DATA!C527,"AAAAAE/xNRs=")</f>
        <v>#VALUE!</v>
      </c>
      <c r="AC103" t="e">
        <f>AND(DATA!D527,"AAAAAE/xNRw=")</f>
        <v>#VALUE!</v>
      </c>
      <c r="AD103" t="e">
        <f>AND(DATA!E527,"AAAAAE/xNR0=")</f>
        <v>#VALUE!</v>
      </c>
      <c r="AE103" t="e">
        <f>AND(DATA!F527,"AAAAAE/xNR4=")</f>
        <v>#VALUE!</v>
      </c>
      <c r="AF103" t="e">
        <f>AND(DATA!G527,"AAAAAE/xNR8=")</f>
        <v>#VALUE!</v>
      </c>
      <c r="AG103" t="e">
        <f>AND(DATA!H527,"AAAAAE/xNSA=")</f>
        <v>#VALUE!</v>
      </c>
      <c r="AH103" t="e">
        <f>AND(DATA!I527,"AAAAAE/xNSE=")</f>
        <v>#VALUE!</v>
      </c>
      <c r="AI103" t="e">
        <f>AND(DATA!J527,"AAAAAE/xNSI=")</f>
        <v>#VALUE!</v>
      </c>
      <c r="AJ103" t="e">
        <f>AND(DATA!K527,"AAAAAE/xNSM=")</f>
        <v>#VALUE!</v>
      </c>
      <c r="AK103" t="b">
        <f>AND(DATA!L528,"AAAAAE/xNSQ=")</f>
        <v>1</v>
      </c>
      <c r="AL103" t="b">
        <f>AND(DATA!M528,"AAAAAE/xNSU=")</f>
        <v>1</v>
      </c>
      <c r="AM103" t="b">
        <f>AND(DATA!N528,"AAAAAE/xNSY=")</f>
        <v>1</v>
      </c>
      <c r="AN103" t="b">
        <f>AND(DATA!O528,"AAAAAE/xNSc=")</f>
        <v>1</v>
      </c>
      <c r="AO103" t="b">
        <f>AND(DATA!P528,"AAAAAE/xNSg=")</f>
        <v>1</v>
      </c>
      <c r="AP103" t="b">
        <f>AND(DATA!Q528,"AAAAAE/xNSk=")</f>
        <v>1</v>
      </c>
      <c r="AQ103" t="b">
        <f>AND(DATA!R528,"AAAAAE/xNSo=")</f>
        <v>1</v>
      </c>
      <c r="AR103" t="b">
        <f>AND(DATA!S528,"AAAAAE/xNSs=")</f>
        <v>1</v>
      </c>
      <c r="AS103" t="b">
        <f>AND(DATA!T528,"AAAAAE/xNSw=")</f>
        <v>1</v>
      </c>
      <c r="AT103" t="b">
        <f>AND(DATA!U528,"AAAAAE/xNS0=")</f>
        <v>1</v>
      </c>
      <c r="AU103" t="b">
        <f>AND(DATA!V528,"AAAAAE/xNS4=")</f>
        <v>1</v>
      </c>
      <c r="AV103" t="e">
        <f>AND(DATA!W527,"AAAAAE/xNS8=")</f>
        <v>#VALUE!</v>
      </c>
      <c r="AW103" t="e">
        <f>AND(DATA!X527,"AAAAAE/xNTA=")</f>
        <v>#VALUE!</v>
      </c>
      <c r="AX103" t="e">
        <f>AND(DATA!Y527,"AAAAAE/xNTE=")</f>
        <v>#VALUE!</v>
      </c>
      <c r="AY103">
        <f>IF(DATA!528:528,"AAAAAE/xNTI=",0)</f>
        <v>0</v>
      </c>
      <c r="AZ103" t="e">
        <f>AND(DATA!A528,"AAAAAE/xNTM=")</f>
        <v>#VALUE!</v>
      </c>
      <c r="BA103" t="e">
        <f>AND(DATA!B528,"AAAAAE/xNTQ=")</f>
        <v>#VALUE!</v>
      </c>
      <c r="BB103" t="e">
        <f>AND(DATA!C528,"AAAAAE/xNTU=")</f>
        <v>#VALUE!</v>
      </c>
      <c r="BC103" t="e">
        <f>AND(DATA!D528,"AAAAAE/xNTY=")</f>
        <v>#VALUE!</v>
      </c>
      <c r="BD103" t="e">
        <f>AND(DATA!E528,"AAAAAE/xNTc=")</f>
        <v>#VALUE!</v>
      </c>
      <c r="BE103" t="e">
        <f>AND(DATA!F528,"AAAAAE/xNTg=")</f>
        <v>#VALUE!</v>
      </c>
      <c r="BF103" t="e">
        <f>AND(DATA!G528,"AAAAAE/xNTk=")</f>
        <v>#VALUE!</v>
      </c>
      <c r="BG103" t="e">
        <f>AND(DATA!H528,"AAAAAE/xNTo=")</f>
        <v>#VALUE!</v>
      </c>
      <c r="BH103" t="e">
        <f>AND(DATA!I528,"AAAAAE/xNTs=")</f>
        <v>#VALUE!</v>
      </c>
      <c r="BI103" t="e">
        <f>AND(DATA!J528,"AAAAAE/xNTw=")</f>
        <v>#VALUE!</v>
      </c>
      <c r="BJ103" t="e">
        <f>AND(DATA!K528,"AAAAAE/xNT0=")</f>
        <v>#VALUE!</v>
      </c>
      <c r="BK103" t="b">
        <f>AND(DATA!L529,"AAAAAE/xNT4=")</f>
        <v>1</v>
      </c>
      <c r="BL103" t="b">
        <f>AND(DATA!M529,"AAAAAE/xNT8=")</f>
        <v>1</v>
      </c>
      <c r="BM103" t="b">
        <f>AND(DATA!N529,"AAAAAE/xNUA=")</f>
        <v>1</v>
      </c>
      <c r="BN103" t="b">
        <f>AND(DATA!O529,"AAAAAE/xNUE=")</f>
        <v>1</v>
      </c>
      <c r="BO103" t="b">
        <f>AND(DATA!P529,"AAAAAE/xNUI=")</f>
        <v>1</v>
      </c>
      <c r="BP103" t="b">
        <f>AND(DATA!Q529,"AAAAAE/xNUM=")</f>
        <v>1</v>
      </c>
      <c r="BQ103" t="b">
        <f>AND(DATA!R529,"AAAAAE/xNUQ=")</f>
        <v>1</v>
      </c>
      <c r="BR103" t="b">
        <f>AND(DATA!S529,"AAAAAE/xNUU=")</f>
        <v>1</v>
      </c>
      <c r="BS103" t="b">
        <f>AND(DATA!T529,"AAAAAE/xNUY=")</f>
        <v>1</v>
      </c>
      <c r="BT103" t="b">
        <f>AND(DATA!U529,"AAAAAE/xNUc=")</f>
        <v>1</v>
      </c>
      <c r="BU103" t="b">
        <f>AND(DATA!V529,"AAAAAE/xNUg=")</f>
        <v>1</v>
      </c>
      <c r="BV103" t="e">
        <f>AND(DATA!W528,"AAAAAE/xNUk=")</f>
        <v>#VALUE!</v>
      </c>
      <c r="BW103" t="e">
        <f>AND(DATA!X528,"AAAAAE/xNUo=")</f>
        <v>#VALUE!</v>
      </c>
      <c r="BX103" t="e">
        <f>AND(DATA!Y528,"AAAAAE/xNUs=")</f>
        <v>#VALUE!</v>
      </c>
      <c r="BY103">
        <f>IF(DATA!529:529,"AAAAAE/xNUw=",0)</f>
        <v>0</v>
      </c>
      <c r="BZ103" t="e">
        <f>AND(DATA!A529,"AAAAAE/xNU0=")</f>
        <v>#VALUE!</v>
      </c>
      <c r="CA103" t="e">
        <f>AND(DATA!B529,"AAAAAE/xNU4=")</f>
        <v>#VALUE!</v>
      </c>
      <c r="CB103" t="e">
        <f>AND(DATA!C529,"AAAAAE/xNU8=")</f>
        <v>#VALUE!</v>
      </c>
      <c r="CC103" t="e">
        <f>AND(DATA!D529,"AAAAAE/xNVA=")</f>
        <v>#VALUE!</v>
      </c>
      <c r="CD103" t="e">
        <f>AND(DATA!E529,"AAAAAE/xNVE=")</f>
        <v>#VALUE!</v>
      </c>
      <c r="CE103" t="e">
        <f>AND(DATA!F529,"AAAAAE/xNVI=")</f>
        <v>#VALUE!</v>
      </c>
      <c r="CF103" t="e">
        <f>AND(DATA!G529,"AAAAAE/xNVM=")</f>
        <v>#VALUE!</v>
      </c>
      <c r="CG103" t="e">
        <f>AND(DATA!H529,"AAAAAE/xNVQ=")</f>
        <v>#VALUE!</v>
      </c>
      <c r="CH103" t="e">
        <f>AND(DATA!I529,"AAAAAE/xNVU=")</f>
        <v>#VALUE!</v>
      </c>
      <c r="CI103" t="e">
        <f>AND(DATA!J529,"AAAAAE/xNVY=")</f>
        <v>#VALUE!</v>
      </c>
      <c r="CJ103" t="e">
        <f>AND(DATA!K529,"AAAAAE/xNVc=")</f>
        <v>#VALUE!</v>
      </c>
      <c r="CK103" t="b">
        <f>AND(DATA!L530,"AAAAAE/xNVg=")</f>
        <v>1</v>
      </c>
      <c r="CL103" t="b">
        <f>AND(DATA!M530,"AAAAAE/xNVk=")</f>
        <v>1</v>
      </c>
      <c r="CM103" t="b">
        <f>AND(DATA!N530,"AAAAAE/xNVo=")</f>
        <v>1</v>
      </c>
      <c r="CN103" t="b">
        <f>AND(DATA!O530,"AAAAAE/xNVs=")</f>
        <v>1</v>
      </c>
      <c r="CO103" t="b">
        <f>AND(DATA!P530,"AAAAAE/xNVw=")</f>
        <v>1</v>
      </c>
      <c r="CP103" t="b">
        <f>AND(DATA!Q530,"AAAAAE/xNV0=")</f>
        <v>1</v>
      </c>
      <c r="CQ103" t="b">
        <f>AND(DATA!R530,"AAAAAE/xNV4=")</f>
        <v>1</v>
      </c>
      <c r="CR103" t="b">
        <f>AND(DATA!S530,"AAAAAE/xNV8=")</f>
        <v>1</v>
      </c>
      <c r="CS103" t="b">
        <f>AND(DATA!T530,"AAAAAE/xNWA=")</f>
        <v>1</v>
      </c>
      <c r="CT103" t="b">
        <f>AND(DATA!U530,"AAAAAE/xNWE=")</f>
        <v>1</v>
      </c>
      <c r="CU103" t="b">
        <f>AND(DATA!V530,"AAAAAE/xNWI=")</f>
        <v>1</v>
      </c>
      <c r="CV103" t="e">
        <f>AND(DATA!W529,"AAAAAE/xNWM=")</f>
        <v>#VALUE!</v>
      </c>
      <c r="CW103" t="e">
        <f>AND(DATA!X529,"AAAAAE/xNWQ=")</f>
        <v>#VALUE!</v>
      </c>
      <c r="CX103" t="e">
        <f>AND(DATA!Y529,"AAAAAE/xNWU=")</f>
        <v>#VALUE!</v>
      </c>
      <c r="CY103">
        <f>IF(DATA!530:530,"AAAAAE/xNWY=",0)</f>
        <v>0</v>
      </c>
      <c r="CZ103" t="e">
        <f>AND(DATA!A530,"AAAAAE/xNWc=")</f>
        <v>#VALUE!</v>
      </c>
      <c r="DA103" t="e">
        <f>AND(DATA!B530,"AAAAAE/xNWg=")</f>
        <v>#VALUE!</v>
      </c>
      <c r="DB103" t="e">
        <f>AND(DATA!C530,"AAAAAE/xNWk=")</f>
        <v>#VALUE!</v>
      </c>
      <c r="DC103" t="e">
        <f>AND(DATA!D530,"AAAAAE/xNWo=")</f>
        <v>#VALUE!</v>
      </c>
      <c r="DD103" t="e">
        <f>AND(DATA!E530,"AAAAAE/xNWs=")</f>
        <v>#VALUE!</v>
      </c>
      <c r="DE103" t="e">
        <f>AND(DATA!F530,"AAAAAE/xNWw=")</f>
        <v>#VALUE!</v>
      </c>
      <c r="DF103" t="e">
        <f>AND(DATA!G530,"AAAAAE/xNW0=")</f>
        <v>#VALUE!</v>
      </c>
      <c r="DG103" t="e">
        <f>AND(DATA!H530,"AAAAAE/xNW4=")</f>
        <v>#VALUE!</v>
      </c>
      <c r="DH103" t="e">
        <f>AND(DATA!I530,"AAAAAE/xNW8=")</f>
        <v>#VALUE!</v>
      </c>
      <c r="DI103" t="e">
        <f>AND(DATA!J530,"AAAAAE/xNXA=")</f>
        <v>#VALUE!</v>
      </c>
      <c r="DJ103" t="e">
        <f>AND(DATA!K530,"AAAAAE/xNXE=")</f>
        <v>#VALUE!</v>
      </c>
      <c r="DK103" t="b">
        <f>AND(DATA!L531,"AAAAAE/xNXI=")</f>
        <v>1</v>
      </c>
      <c r="DL103" t="b">
        <f>AND(DATA!M531,"AAAAAE/xNXM=")</f>
        <v>1</v>
      </c>
      <c r="DM103" t="b">
        <f>AND(DATA!N531,"AAAAAE/xNXQ=")</f>
        <v>1</v>
      </c>
      <c r="DN103" t="b">
        <f>AND(DATA!O531,"AAAAAE/xNXU=")</f>
        <v>1</v>
      </c>
      <c r="DO103" t="b">
        <f>AND(DATA!P531,"AAAAAE/xNXY=")</f>
        <v>1</v>
      </c>
      <c r="DP103" t="b">
        <f>AND(DATA!Q531,"AAAAAE/xNXc=")</f>
        <v>1</v>
      </c>
      <c r="DQ103" t="b">
        <f>AND(DATA!R531,"AAAAAE/xNXg=")</f>
        <v>1</v>
      </c>
      <c r="DR103" t="b">
        <f>AND(DATA!S531,"AAAAAE/xNXk=")</f>
        <v>1</v>
      </c>
      <c r="DS103" t="b">
        <f>AND(DATA!T531,"AAAAAE/xNXo=")</f>
        <v>1</v>
      </c>
      <c r="DT103" t="b">
        <f>AND(DATA!U531,"AAAAAE/xNXs=")</f>
        <v>1</v>
      </c>
      <c r="DU103" t="b">
        <f>AND(DATA!V531,"AAAAAE/xNXw=")</f>
        <v>1</v>
      </c>
      <c r="DV103" t="e">
        <f>AND(DATA!W530,"AAAAAE/xNX0=")</f>
        <v>#VALUE!</v>
      </c>
      <c r="DW103" t="e">
        <f>AND(DATA!X530,"AAAAAE/xNX4=")</f>
        <v>#VALUE!</v>
      </c>
      <c r="DX103" t="e">
        <f>AND(DATA!Y530,"AAAAAE/xNX8=")</f>
        <v>#VALUE!</v>
      </c>
      <c r="DY103">
        <f>IF(DATA!531:531,"AAAAAE/xNYA=",0)</f>
        <v>0</v>
      </c>
      <c r="DZ103" t="e">
        <f>AND(DATA!A531,"AAAAAE/xNYE=")</f>
        <v>#VALUE!</v>
      </c>
      <c r="EA103" t="e">
        <f>AND(DATA!B531,"AAAAAE/xNYI=")</f>
        <v>#VALUE!</v>
      </c>
      <c r="EB103" t="e">
        <f>AND(DATA!C531,"AAAAAE/xNYM=")</f>
        <v>#VALUE!</v>
      </c>
      <c r="EC103" t="e">
        <f>AND(DATA!D531,"AAAAAE/xNYQ=")</f>
        <v>#VALUE!</v>
      </c>
      <c r="ED103" t="e">
        <f>AND(DATA!E531,"AAAAAE/xNYU=")</f>
        <v>#VALUE!</v>
      </c>
      <c r="EE103" t="e">
        <f>AND(DATA!F531,"AAAAAE/xNYY=")</f>
        <v>#VALUE!</v>
      </c>
      <c r="EF103" t="e">
        <f>AND(DATA!G531,"AAAAAE/xNYc=")</f>
        <v>#VALUE!</v>
      </c>
      <c r="EG103" t="e">
        <f>AND(DATA!H531,"AAAAAE/xNYg=")</f>
        <v>#VALUE!</v>
      </c>
      <c r="EH103" t="e">
        <f>AND(DATA!I531,"AAAAAE/xNYk=")</f>
        <v>#VALUE!</v>
      </c>
      <c r="EI103" t="e">
        <f>AND(DATA!J531,"AAAAAE/xNYo=")</f>
        <v>#VALUE!</v>
      </c>
      <c r="EJ103" t="e">
        <f>AND(DATA!K531,"AAAAAE/xNYs=")</f>
        <v>#VALUE!</v>
      </c>
      <c r="EK103" t="b">
        <f>AND(DATA!L532,"AAAAAE/xNYw=")</f>
        <v>1</v>
      </c>
      <c r="EL103" t="b">
        <f>AND(DATA!M532,"AAAAAE/xNY0=")</f>
        <v>1</v>
      </c>
      <c r="EM103" t="b">
        <f>AND(DATA!N532,"AAAAAE/xNY4=")</f>
        <v>1</v>
      </c>
      <c r="EN103" t="b">
        <f>AND(DATA!O532,"AAAAAE/xNY8=")</f>
        <v>1</v>
      </c>
      <c r="EO103" t="b">
        <f>AND(DATA!P532,"AAAAAE/xNZA=")</f>
        <v>1</v>
      </c>
      <c r="EP103" t="b">
        <f>AND(DATA!Q532,"AAAAAE/xNZE=")</f>
        <v>1</v>
      </c>
      <c r="EQ103" t="b">
        <f>AND(DATA!R532,"AAAAAE/xNZI=")</f>
        <v>1</v>
      </c>
      <c r="ER103" t="b">
        <f>AND(DATA!S532,"AAAAAE/xNZM=")</f>
        <v>1</v>
      </c>
      <c r="ES103" t="b">
        <f>AND(DATA!T532,"AAAAAE/xNZQ=")</f>
        <v>1</v>
      </c>
      <c r="ET103" t="b">
        <f>AND(DATA!U532,"AAAAAE/xNZU=")</f>
        <v>1</v>
      </c>
      <c r="EU103" t="b">
        <f>AND(DATA!V532,"AAAAAE/xNZY=")</f>
        <v>1</v>
      </c>
      <c r="EV103" t="e">
        <f>AND(DATA!W531,"AAAAAE/xNZc=")</f>
        <v>#VALUE!</v>
      </c>
      <c r="EW103" t="e">
        <f>AND(DATA!X531,"AAAAAE/xNZg=")</f>
        <v>#VALUE!</v>
      </c>
      <c r="EX103" t="e">
        <f>AND(DATA!Y531,"AAAAAE/xNZk=")</f>
        <v>#VALUE!</v>
      </c>
      <c r="EY103">
        <f>IF(DATA!532:532,"AAAAAE/xNZo=",0)</f>
        <v>0</v>
      </c>
      <c r="EZ103" t="e">
        <f>AND(DATA!A532,"AAAAAE/xNZs=")</f>
        <v>#VALUE!</v>
      </c>
      <c r="FA103" t="e">
        <f>AND(DATA!B532,"AAAAAE/xNZw=")</f>
        <v>#VALUE!</v>
      </c>
      <c r="FB103" t="e">
        <f>AND(DATA!C532,"AAAAAE/xNZ0=")</f>
        <v>#VALUE!</v>
      </c>
      <c r="FC103" t="e">
        <f>AND(DATA!D532,"AAAAAE/xNZ4=")</f>
        <v>#VALUE!</v>
      </c>
      <c r="FD103" t="e">
        <f>AND(DATA!E532,"AAAAAE/xNZ8=")</f>
        <v>#VALUE!</v>
      </c>
      <c r="FE103" t="e">
        <f>AND(DATA!F532,"AAAAAE/xNaA=")</f>
        <v>#VALUE!</v>
      </c>
      <c r="FF103" t="e">
        <f>AND(DATA!G532,"AAAAAE/xNaE=")</f>
        <v>#VALUE!</v>
      </c>
      <c r="FG103" t="e">
        <f>AND(DATA!H532,"AAAAAE/xNaI=")</f>
        <v>#VALUE!</v>
      </c>
      <c r="FH103" t="e">
        <f>AND(DATA!I532,"AAAAAE/xNaM=")</f>
        <v>#VALUE!</v>
      </c>
      <c r="FI103" t="e">
        <f>AND(DATA!J532,"AAAAAE/xNaQ=")</f>
        <v>#VALUE!</v>
      </c>
      <c r="FJ103" t="e">
        <f>AND(DATA!K532,"AAAAAE/xNaU=")</f>
        <v>#VALUE!</v>
      </c>
      <c r="FK103" t="b">
        <f>AND(DATA!L533,"AAAAAE/xNaY=")</f>
        <v>1</v>
      </c>
      <c r="FL103" t="b">
        <f>AND(DATA!M533,"AAAAAE/xNac=")</f>
        <v>1</v>
      </c>
      <c r="FM103" t="b">
        <f>AND(DATA!N533,"AAAAAE/xNag=")</f>
        <v>1</v>
      </c>
      <c r="FN103" t="b">
        <f>AND(DATA!O533,"AAAAAE/xNak=")</f>
        <v>1</v>
      </c>
      <c r="FO103" t="b">
        <f>AND(DATA!P533,"AAAAAE/xNao=")</f>
        <v>1</v>
      </c>
      <c r="FP103" t="b">
        <f>AND(DATA!Q533,"AAAAAE/xNas=")</f>
        <v>1</v>
      </c>
      <c r="FQ103" t="b">
        <f>AND(DATA!R533,"AAAAAE/xNaw=")</f>
        <v>1</v>
      </c>
      <c r="FR103" t="b">
        <f>AND(DATA!S533,"AAAAAE/xNa0=")</f>
        <v>1</v>
      </c>
      <c r="FS103" t="b">
        <f>AND(DATA!T533,"AAAAAE/xNa4=")</f>
        <v>1</v>
      </c>
      <c r="FT103" t="b">
        <f>AND(DATA!U533,"AAAAAE/xNa8=")</f>
        <v>1</v>
      </c>
      <c r="FU103" t="b">
        <f>AND(DATA!V533,"AAAAAE/xNbA=")</f>
        <v>1</v>
      </c>
      <c r="FV103" t="e">
        <f>AND(DATA!W532,"AAAAAE/xNbE=")</f>
        <v>#VALUE!</v>
      </c>
      <c r="FW103" t="e">
        <f>AND(DATA!X532,"AAAAAE/xNbI=")</f>
        <v>#VALUE!</v>
      </c>
      <c r="FX103" t="e">
        <f>AND(DATA!Y532,"AAAAAE/xNbM=")</f>
        <v>#VALUE!</v>
      </c>
      <c r="FY103">
        <f>IF(DATA!533:533,"AAAAAE/xNbQ=",0)</f>
        <v>0</v>
      </c>
      <c r="FZ103" t="e">
        <f>AND(DATA!A533,"AAAAAE/xNbU=")</f>
        <v>#VALUE!</v>
      </c>
      <c r="GA103" t="e">
        <f>AND(DATA!B533,"AAAAAE/xNbY=")</f>
        <v>#VALUE!</v>
      </c>
      <c r="GB103" t="e">
        <f>AND(DATA!C533,"AAAAAE/xNbc=")</f>
        <v>#VALUE!</v>
      </c>
      <c r="GC103" t="e">
        <f>AND(DATA!D533,"AAAAAE/xNbg=")</f>
        <v>#VALUE!</v>
      </c>
      <c r="GD103" t="e">
        <f>AND(DATA!E533,"AAAAAE/xNbk=")</f>
        <v>#VALUE!</v>
      </c>
      <c r="GE103" t="e">
        <f>AND(DATA!F533,"AAAAAE/xNbo=")</f>
        <v>#VALUE!</v>
      </c>
      <c r="GF103" t="e">
        <f>AND(DATA!G533,"AAAAAE/xNbs=")</f>
        <v>#VALUE!</v>
      </c>
      <c r="GG103" t="e">
        <f>AND(DATA!H533,"AAAAAE/xNbw=")</f>
        <v>#VALUE!</v>
      </c>
      <c r="GH103" t="e">
        <f>AND(DATA!I533,"AAAAAE/xNb0=")</f>
        <v>#VALUE!</v>
      </c>
      <c r="GI103" t="e">
        <f>AND(DATA!J533,"AAAAAE/xNb4=")</f>
        <v>#VALUE!</v>
      </c>
      <c r="GJ103" t="e">
        <f>AND(DATA!K533,"AAAAAE/xNb8=")</f>
        <v>#VALUE!</v>
      </c>
      <c r="GK103" t="b">
        <f>AND(DATA!L534,"AAAAAE/xNcA=")</f>
        <v>1</v>
      </c>
      <c r="GL103" t="b">
        <f>AND(DATA!M534,"AAAAAE/xNcE=")</f>
        <v>1</v>
      </c>
      <c r="GM103" t="b">
        <f>AND(DATA!N534,"AAAAAE/xNcI=")</f>
        <v>1</v>
      </c>
      <c r="GN103" t="b">
        <f>AND(DATA!O534,"AAAAAE/xNcM=")</f>
        <v>1</v>
      </c>
      <c r="GO103" t="b">
        <f>AND(DATA!P534,"AAAAAE/xNcQ=")</f>
        <v>1</v>
      </c>
      <c r="GP103" t="b">
        <f>AND(DATA!Q534,"AAAAAE/xNcU=")</f>
        <v>1</v>
      </c>
      <c r="GQ103" t="b">
        <f>AND(DATA!R534,"AAAAAE/xNcY=")</f>
        <v>1</v>
      </c>
      <c r="GR103" t="b">
        <f>AND(DATA!S534,"AAAAAE/xNcc=")</f>
        <v>1</v>
      </c>
      <c r="GS103" t="b">
        <f>AND(DATA!T534,"AAAAAE/xNcg=")</f>
        <v>1</v>
      </c>
      <c r="GT103" t="b">
        <f>AND(DATA!U534,"AAAAAE/xNck=")</f>
        <v>1</v>
      </c>
      <c r="GU103" t="b">
        <f>AND(DATA!V534,"AAAAAE/xNco=")</f>
        <v>1</v>
      </c>
      <c r="GV103" t="e">
        <f>AND(DATA!W533,"AAAAAE/xNcs=")</f>
        <v>#VALUE!</v>
      </c>
      <c r="GW103" t="e">
        <f>AND(DATA!X533,"AAAAAE/xNcw=")</f>
        <v>#VALUE!</v>
      </c>
      <c r="GX103" t="e">
        <f>AND(DATA!Y533,"AAAAAE/xNc0=")</f>
        <v>#VALUE!</v>
      </c>
      <c r="GY103">
        <f>IF(DATA!534:534,"AAAAAE/xNc4=",0)</f>
        <v>0</v>
      </c>
      <c r="GZ103" t="e">
        <f>AND(DATA!A534,"AAAAAE/xNc8=")</f>
        <v>#VALUE!</v>
      </c>
      <c r="HA103" t="e">
        <f>AND(DATA!B534,"AAAAAE/xNdA=")</f>
        <v>#VALUE!</v>
      </c>
      <c r="HB103" t="e">
        <f>AND(DATA!C534,"AAAAAE/xNdE=")</f>
        <v>#VALUE!</v>
      </c>
      <c r="HC103" t="e">
        <f>AND(DATA!D534,"AAAAAE/xNdI=")</f>
        <v>#VALUE!</v>
      </c>
      <c r="HD103" t="e">
        <f>AND(DATA!E534,"AAAAAE/xNdM=")</f>
        <v>#VALUE!</v>
      </c>
      <c r="HE103" t="e">
        <f>AND(DATA!F534,"AAAAAE/xNdQ=")</f>
        <v>#VALUE!</v>
      </c>
      <c r="HF103" t="e">
        <f>AND(DATA!G534,"AAAAAE/xNdU=")</f>
        <v>#VALUE!</v>
      </c>
      <c r="HG103" t="e">
        <f>AND(DATA!H534,"AAAAAE/xNdY=")</f>
        <v>#VALUE!</v>
      </c>
      <c r="HH103" t="e">
        <f>AND(DATA!I534,"AAAAAE/xNdc=")</f>
        <v>#VALUE!</v>
      </c>
      <c r="HI103" t="e">
        <f>AND(DATA!J534,"AAAAAE/xNdg=")</f>
        <v>#VALUE!</v>
      </c>
      <c r="HJ103" t="e">
        <f>AND(DATA!K534,"AAAAAE/xNdk=")</f>
        <v>#VALUE!</v>
      </c>
      <c r="HK103" t="b">
        <f>AND(DATA!L535,"AAAAAE/xNdo=")</f>
        <v>1</v>
      </c>
      <c r="HL103" t="b">
        <f>AND(DATA!M535,"AAAAAE/xNds=")</f>
        <v>1</v>
      </c>
      <c r="HM103" t="b">
        <f>AND(DATA!N535,"AAAAAE/xNdw=")</f>
        <v>1</v>
      </c>
      <c r="HN103" t="b">
        <f>AND(DATA!O535,"AAAAAE/xNd0=")</f>
        <v>1</v>
      </c>
      <c r="HO103" t="b">
        <f>AND(DATA!P535,"AAAAAE/xNd4=")</f>
        <v>1</v>
      </c>
      <c r="HP103" t="b">
        <f>AND(DATA!Q535,"AAAAAE/xNd8=")</f>
        <v>1</v>
      </c>
      <c r="HQ103" t="b">
        <f>AND(DATA!R535,"AAAAAE/xNeA=")</f>
        <v>1</v>
      </c>
      <c r="HR103" t="b">
        <f>AND(DATA!S535,"AAAAAE/xNeE=")</f>
        <v>1</v>
      </c>
      <c r="HS103" t="b">
        <f>AND(DATA!T535,"AAAAAE/xNeI=")</f>
        <v>1</v>
      </c>
      <c r="HT103" t="b">
        <f>AND(DATA!U535,"AAAAAE/xNeM=")</f>
        <v>1</v>
      </c>
      <c r="HU103" t="b">
        <f>AND(DATA!V535,"AAAAAE/xNeQ=")</f>
        <v>1</v>
      </c>
      <c r="HV103" t="e">
        <f>AND(DATA!W534,"AAAAAE/xNeU=")</f>
        <v>#VALUE!</v>
      </c>
      <c r="HW103" t="e">
        <f>AND(DATA!X534,"AAAAAE/xNeY=")</f>
        <v>#VALUE!</v>
      </c>
      <c r="HX103" t="e">
        <f>AND(DATA!Y534,"AAAAAE/xNec=")</f>
        <v>#VALUE!</v>
      </c>
      <c r="HY103">
        <f>IF(DATA!535:535,"AAAAAE/xNeg=",0)</f>
        <v>0</v>
      </c>
      <c r="HZ103" t="e">
        <f>AND(DATA!A535,"AAAAAE/xNek=")</f>
        <v>#VALUE!</v>
      </c>
      <c r="IA103" t="e">
        <f>AND(DATA!B535,"AAAAAE/xNeo=")</f>
        <v>#VALUE!</v>
      </c>
      <c r="IB103" t="e">
        <f>AND(DATA!C535,"AAAAAE/xNes=")</f>
        <v>#VALUE!</v>
      </c>
      <c r="IC103" t="e">
        <f>AND(DATA!D535,"AAAAAE/xNew=")</f>
        <v>#VALUE!</v>
      </c>
      <c r="ID103" t="e">
        <f>AND(DATA!E535,"AAAAAE/xNe0=")</f>
        <v>#VALUE!</v>
      </c>
      <c r="IE103" t="e">
        <f>AND(DATA!F535,"AAAAAE/xNe4=")</f>
        <v>#VALUE!</v>
      </c>
      <c r="IF103" t="e">
        <f>AND(DATA!G535,"AAAAAE/xNe8=")</f>
        <v>#VALUE!</v>
      </c>
      <c r="IG103" t="e">
        <f>AND(DATA!H535,"AAAAAE/xNfA=")</f>
        <v>#VALUE!</v>
      </c>
      <c r="IH103" t="e">
        <f>AND(DATA!I535,"AAAAAE/xNfE=")</f>
        <v>#VALUE!</v>
      </c>
      <c r="II103" t="e">
        <f>AND(DATA!J535,"AAAAAE/xNfI=")</f>
        <v>#VALUE!</v>
      </c>
      <c r="IJ103" t="e">
        <f>AND(DATA!K535,"AAAAAE/xNfM=")</f>
        <v>#VALUE!</v>
      </c>
      <c r="IK103" t="b">
        <f>AND(DATA!L536,"AAAAAE/xNfQ=")</f>
        <v>1</v>
      </c>
      <c r="IL103" t="b">
        <f>AND(DATA!M536,"AAAAAE/xNfU=")</f>
        <v>1</v>
      </c>
      <c r="IM103" t="b">
        <f>AND(DATA!N536,"AAAAAE/xNfY=")</f>
        <v>1</v>
      </c>
      <c r="IN103" t="b">
        <f>AND(DATA!O536,"AAAAAE/xNfc=")</f>
        <v>1</v>
      </c>
      <c r="IO103" t="b">
        <f>AND(DATA!P536,"AAAAAE/xNfg=")</f>
        <v>1</v>
      </c>
      <c r="IP103" t="b">
        <f>AND(DATA!Q536,"AAAAAE/xNfk=")</f>
        <v>1</v>
      </c>
      <c r="IQ103" t="b">
        <f>AND(DATA!R536,"AAAAAE/xNfo=")</f>
        <v>1</v>
      </c>
      <c r="IR103" t="b">
        <f>AND(DATA!S536,"AAAAAE/xNfs=")</f>
        <v>1</v>
      </c>
      <c r="IS103" t="b">
        <f>AND(DATA!T536,"AAAAAE/xNfw=")</f>
        <v>1</v>
      </c>
      <c r="IT103" t="b">
        <f>AND(DATA!U536,"AAAAAE/xNf0=")</f>
        <v>1</v>
      </c>
      <c r="IU103" t="b">
        <f>AND(DATA!V536,"AAAAAE/xNf4=")</f>
        <v>1</v>
      </c>
      <c r="IV103" t="e">
        <f>AND(DATA!W535,"AAAAAE/xNf8=")</f>
        <v>#VALUE!</v>
      </c>
    </row>
    <row r="104" spans="1:256" x14ac:dyDescent="0.25">
      <c r="A104" t="e">
        <f>AND(DATA!X535,"AAAAAGfufQA=")</f>
        <v>#VALUE!</v>
      </c>
      <c r="B104" t="e">
        <f>AND(DATA!Y535,"AAAAAGfufQE=")</f>
        <v>#VALUE!</v>
      </c>
      <c r="C104">
        <f>IF(DATA!536:536,"AAAAAGfufQI=",0)</f>
        <v>0</v>
      </c>
      <c r="D104" t="e">
        <f>AND(DATA!A536,"AAAAAGfufQM=")</f>
        <v>#VALUE!</v>
      </c>
      <c r="E104" t="e">
        <f>AND(DATA!B536,"AAAAAGfufQQ=")</f>
        <v>#VALUE!</v>
      </c>
      <c r="F104" t="e">
        <f>AND(DATA!C536,"AAAAAGfufQU=")</f>
        <v>#VALUE!</v>
      </c>
      <c r="G104" t="e">
        <f>AND(DATA!D536,"AAAAAGfufQY=")</f>
        <v>#VALUE!</v>
      </c>
      <c r="H104" t="e">
        <f>AND(DATA!E536,"AAAAAGfufQc=")</f>
        <v>#VALUE!</v>
      </c>
      <c r="I104" t="e">
        <f>AND(DATA!F536,"AAAAAGfufQg=")</f>
        <v>#VALUE!</v>
      </c>
      <c r="J104" t="e">
        <f>AND(DATA!G536,"AAAAAGfufQk=")</f>
        <v>#VALUE!</v>
      </c>
      <c r="K104" t="e">
        <f>AND(DATA!H536,"AAAAAGfufQo=")</f>
        <v>#VALUE!</v>
      </c>
      <c r="L104" t="e">
        <f>AND(DATA!I536,"AAAAAGfufQs=")</f>
        <v>#VALUE!</v>
      </c>
      <c r="M104" t="e">
        <f>AND(DATA!J536,"AAAAAGfufQw=")</f>
        <v>#VALUE!</v>
      </c>
      <c r="N104" t="e">
        <f>AND(DATA!K536,"AAAAAGfufQ0=")</f>
        <v>#VALUE!</v>
      </c>
      <c r="O104" t="b">
        <f>AND(DATA!L537,"AAAAAGfufQ4=")</f>
        <v>1</v>
      </c>
      <c r="P104" t="b">
        <f>AND(DATA!M537,"AAAAAGfufQ8=")</f>
        <v>1</v>
      </c>
      <c r="Q104" t="b">
        <f>AND(DATA!N537,"AAAAAGfufRA=")</f>
        <v>1</v>
      </c>
      <c r="R104" t="b">
        <f>AND(DATA!O537,"AAAAAGfufRE=")</f>
        <v>1</v>
      </c>
      <c r="S104" t="b">
        <f>AND(DATA!P537,"AAAAAGfufRI=")</f>
        <v>1</v>
      </c>
      <c r="T104" t="b">
        <f>AND(DATA!Q537,"AAAAAGfufRM=")</f>
        <v>1</v>
      </c>
      <c r="U104" t="b">
        <f>AND(DATA!R537,"AAAAAGfufRQ=")</f>
        <v>1</v>
      </c>
      <c r="V104" t="b">
        <f>AND(DATA!S537,"AAAAAGfufRU=")</f>
        <v>1</v>
      </c>
      <c r="W104" t="b">
        <f>AND(DATA!T537,"AAAAAGfufRY=")</f>
        <v>1</v>
      </c>
      <c r="X104" t="b">
        <f>AND(DATA!U537,"AAAAAGfufRc=")</f>
        <v>1</v>
      </c>
      <c r="Y104" t="b">
        <f>AND(DATA!V537,"AAAAAGfufRg=")</f>
        <v>1</v>
      </c>
      <c r="Z104" t="e">
        <f>AND(DATA!W536,"AAAAAGfufRk=")</f>
        <v>#VALUE!</v>
      </c>
      <c r="AA104" t="e">
        <f>AND(DATA!X536,"AAAAAGfufRo=")</f>
        <v>#VALUE!</v>
      </c>
      <c r="AB104" t="e">
        <f>AND(DATA!Y536,"AAAAAGfufRs=")</f>
        <v>#VALUE!</v>
      </c>
      <c r="AC104">
        <f>IF(DATA!537:537,"AAAAAGfufRw=",0)</f>
        <v>0</v>
      </c>
      <c r="AD104" t="e">
        <f>AND(DATA!A537,"AAAAAGfufR0=")</f>
        <v>#VALUE!</v>
      </c>
      <c r="AE104" t="e">
        <f>AND(DATA!B537,"AAAAAGfufR4=")</f>
        <v>#VALUE!</v>
      </c>
      <c r="AF104" t="e">
        <f>AND(DATA!C537,"AAAAAGfufR8=")</f>
        <v>#VALUE!</v>
      </c>
      <c r="AG104" t="e">
        <f>AND(DATA!D537,"AAAAAGfufSA=")</f>
        <v>#VALUE!</v>
      </c>
      <c r="AH104" t="e">
        <f>AND(DATA!E537,"AAAAAGfufSE=")</f>
        <v>#VALUE!</v>
      </c>
      <c r="AI104" t="e">
        <f>AND(DATA!F537,"AAAAAGfufSI=")</f>
        <v>#VALUE!</v>
      </c>
      <c r="AJ104" t="e">
        <f>AND(DATA!G537,"AAAAAGfufSM=")</f>
        <v>#VALUE!</v>
      </c>
      <c r="AK104" t="e">
        <f>AND(DATA!H537,"AAAAAGfufSQ=")</f>
        <v>#VALUE!</v>
      </c>
      <c r="AL104" t="e">
        <f>AND(DATA!I537,"AAAAAGfufSU=")</f>
        <v>#VALUE!</v>
      </c>
      <c r="AM104" t="e">
        <f>AND(DATA!J537,"AAAAAGfufSY=")</f>
        <v>#VALUE!</v>
      </c>
      <c r="AN104" t="e">
        <f>AND(DATA!K537,"AAAAAGfufSc=")</f>
        <v>#VALUE!</v>
      </c>
      <c r="AO104" t="b">
        <f>AND(DATA!L538,"AAAAAGfufSg=")</f>
        <v>1</v>
      </c>
      <c r="AP104" t="b">
        <f>AND(DATA!M538,"AAAAAGfufSk=")</f>
        <v>1</v>
      </c>
      <c r="AQ104" t="b">
        <f>AND(DATA!N538,"AAAAAGfufSo=")</f>
        <v>1</v>
      </c>
      <c r="AR104" t="b">
        <f>AND(DATA!O538,"AAAAAGfufSs=")</f>
        <v>1</v>
      </c>
      <c r="AS104" t="b">
        <f>AND(DATA!P538,"AAAAAGfufSw=")</f>
        <v>1</v>
      </c>
      <c r="AT104" t="b">
        <f>AND(DATA!Q538,"AAAAAGfufS0=")</f>
        <v>1</v>
      </c>
      <c r="AU104" t="b">
        <f>AND(DATA!R538,"AAAAAGfufS4=")</f>
        <v>1</v>
      </c>
      <c r="AV104" t="b">
        <f>AND(DATA!S538,"AAAAAGfufS8=")</f>
        <v>1</v>
      </c>
      <c r="AW104" t="b">
        <f>AND(DATA!T538,"AAAAAGfufTA=")</f>
        <v>1</v>
      </c>
      <c r="AX104" t="b">
        <f>AND(DATA!U538,"AAAAAGfufTE=")</f>
        <v>1</v>
      </c>
      <c r="AY104" t="b">
        <f>AND(DATA!V538,"AAAAAGfufTI=")</f>
        <v>1</v>
      </c>
      <c r="AZ104" t="e">
        <f>AND(DATA!W537,"AAAAAGfufTM=")</f>
        <v>#VALUE!</v>
      </c>
      <c r="BA104" t="e">
        <f>AND(DATA!X537,"AAAAAGfufTQ=")</f>
        <v>#VALUE!</v>
      </c>
      <c r="BB104" t="e">
        <f>AND(DATA!Y537,"AAAAAGfufTU=")</f>
        <v>#VALUE!</v>
      </c>
      <c r="BC104">
        <f>IF(DATA!538:538,"AAAAAGfufTY=",0)</f>
        <v>0</v>
      </c>
      <c r="BD104" t="e">
        <f>AND(DATA!A538,"AAAAAGfufTc=")</f>
        <v>#VALUE!</v>
      </c>
      <c r="BE104" t="e">
        <f>AND(DATA!B538,"AAAAAGfufTg=")</f>
        <v>#VALUE!</v>
      </c>
      <c r="BF104" t="e">
        <f>AND(DATA!C538,"AAAAAGfufTk=")</f>
        <v>#VALUE!</v>
      </c>
      <c r="BG104" t="e">
        <f>AND(DATA!D538,"AAAAAGfufTo=")</f>
        <v>#VALUE!</v>
      </c>
      <c r="BH104" t="e">
        <f>AND(DATA!E538,"AAAAAGfufTs=")</f>
        <v>#VALUE!</v>
      </c>
      <c r="BI104" t="e">
        <f>AND(DATA!F538,"AAAAAGfufTw=")</f>
        <v>#VALUE!</v>
      </c>
      <c r="BJ104" t="e">
        <f>AND(DATA!G538,"AAAAAGfufT0=")</f>
        <v>#VALUE!</v>
      </c>
      <c r="BK104" t="e">
        <f>AND(DATA!H538,"AAAAAGfufT4=")</f>
        <v>#VALUE!</v>
      </c>
      <c r="BL104" t="e">
        <f>AND(DATA!I538,"AAAAAGfufT8=")</f>
        <v>#VALUE!</v>
      </c>
      <c r="BM104" t="e">
        <f>AND(DATA!J538,"AAAAAGfufUA=")</f>
        <v>#VALUE!</v>
      </c>
      <c r="BN104" t="e">
        <f>AND(DATA!K538,"AAAAAGfufUE=")</f>
        <v>#VALUE!</v>
      </c>
      <c r="BO104" t="b">
        <f>AND(DATA!L539,"AAAAAGfufUI=")</f>
        <v>1</v>
      </c>
      <c r="BP104" t="b">
        <f>AND(DATA!M539,"AAAAAGfufUM=")</f>
        <v>1</v>
      </c>
      <c r="BQ104" t="b">
        <f>AND(DATA!N539,"AAAAAGfufUQ=")</f>
        <v>1</v>
      </c>
      <c r="BR104" t="b">
        <f>AND(DATA!O539,"AAAAAGfufUU=")</f>
        <v>1</v>
      </c>
      <c r="BS104" t="b">
        <f>AND(DATA!P539,"AAAAAGfufUY=")</f>
        <v>1</v>
      </c>
      <c r="BT104" t="b">
        <f>AND(DATA!Q539,"AAAAAGfufUc=")</f>
        <v>1</v>
      </c>
      <c r="BU104" t="b">
        <f>AND(DATA!R539,"AAAAAGfufUg=")</f>
        <v>1</v>
      </c>
      <c r="BV104" t="b">
        <f>AND(DATA!S539,"AAAAAGfufUk=")</f>
        <v>1</v>
      </c>
      <c r="BW104" t="b">
        <f>AND(DATA!T539,"AAAAAGfufUo=")</f>
        <v>1</v>
      </c>
      <c r="BX104" t="b">
        <f>AND(DATA!U539,"AAAAAGfufUs=")</f>
        <v>1</v>
      </c>
      <c r="BY104" t="b">
        <f>AND(DATA!V539,"AAAAAGfufUw=")</f>
        <v>1</v>
      </c>
      <c r="BZ104" t="e">
        <f>AND(DATA!W538,"AAAAAGfufU0=")</f>
        <v>#VALUE!</v>
      </c>
      <c r="CA104" t="e">
        <f>AND(DATA!X538,"AAAAAGfufU4=")</f>
        <v>#VALUE!</v>
      </c>
      <c r="CB104" t="e">
        <f>AND(DATA!Y538,"AAAAAGfufU8=")</f>
        <v>#VALUE!</v>
      </c>
      <c r="CC104">
        <f>IF(DATA!539:539,"AAAAAGfufVA=",0)</f>
        <v>0</v>
      </c>
      <c r="CD104" t="e">
        <f>AND(DATA!A539,"AAAAAGfufVE=")</f>
        <v>#VALUE!</v>
      </c>
      <c r="CE104" t="e">
        <f>AND(DATA!B539,"AAAAAGfufVI=")</f>
        <v>#VALUE!</v>
      </c>
      <c r="CF104" t="e">
        <f>AND(DATA!C539,"AAAAAGfufVM=")</f>
        <v>#VALUE!</v>
      </c>
      <c r="CG104" t="e">
        <f>AND(DATA!D539,"AAAAAGfufVQ=")</f>
        <v>#VALUE!</v>
      </c>
      <c r="CH104" t="e">
        <f>AND(DATA!E539,"AAAAAGfufVU=")</f>
        <v>#VALUE!</v>
      </c>
      <c r="CI104" t="e">
        <f>AND(DATA!F539,"AAAAAGfufVY=")</f>
        <v>#VALUE!</v>
      </c>
      <c r="CJ104" t="e">
        <f>AND(DATA!G539,"AAAAAGfufVc=")</f>
        <v>#VALUE!</v>
      </c>
      <c r="CK104" t="e">
        <f>AND(DATA!H539,"AAAAAGfufVg=")</f>
        <v>#VALUE!</v>
      </c>
      <c r="CL104" t="e">
        <f>AND(DATA!I539,"AAAAAGfufVk=")</f>
        <v>#VALUE!</v>
      </c>
      <c r="CM104" t="e">
        <f>AND(DATA!J539,"AAAAAGfufVo=")</f>
        <v>#VALUE!</v>
      </c>
      <c r="CN104" t="e">
        <f>AND(DATA!K539,"AAAAAGfufVs=")</f>
        <v>#VALUE!</v>
      </c>
      <c r="CO104" t="b">
        <f>AND(DATA!L540,"AAAAAGfufVw=")</f>
        <v>1</v>
      </c>
      <c r="CP104" t="b">
        <f>AND(DATA!M540,"AAAAAGfufV0=")</f>
        <v>1</v>
      </c>
      <c r="CQ104" t="b">
        <f>AND(DATA!N540,"AAAAAGfufV4=")</f>
        <v>1</v>
      </c>
      <c r="CR104" t="b">
        <f>AND(DATA!O540,"AAAAAGfufV8=")</f>
        <v>1</v>
      </c>
      <c r="CS104" t="b">
        <f>AND(DATA!P540,"AAAAAGfufWA=")</f>
        <v>1</v>
      </c>
      <c r="CT104" t="b">
        <f>AND(DATA!Q540,"AAAAAGfufWE=")</f>
        <v>1</v>
      </c>
      <c r="CU104" t="b">
        <f>AND(DATA!R540,"AAAAAGfufWI=")</f>
        <v>1</v>
      </c>
      <c r="CV104" t="b">
        <f>AND(DATA!S540,"AAAAAGfufWM=")</f>
        <v>1</v>
      </c>
      <c r="CW104" t="b">
        <f>AND(DATA!T540,"AAAAAGfufWQ=")</f>
        <v>1</v>
      </c>
      <c r="CX104" t="b">
        <f>AND(DATA!U540,"AAAAAGfufWU=")</f>
        <v>1</v>
      </c>
      <c r="CY104" t="b">
        <f>AND(DATA!V540,"AAAAAGfufWY=")</f>
        <v>1</v>
      </c>
      <c r="CZ104" t="e">
        <f>AND(DATA!W539,"AAAAAGfufWc=")</f>
        <v>#VALUE!</v>
      </c>
      <c r="DA104" t="e">
        <f>AND(DATA!X539,"AAAAAGfufWg=")</f>
        <v>#VALUE!</v>
      </c>
      <c r="DB104" t="e">
        <f>AND(DATA!Y539,"AAAAAGfufWk=")</f>
        <v>#VALUE!</v>
      </c>
      <c r="DC104">
        <f>IF(DATA!540:540,"AAAAAGfufWo=",0)</f>
        <v>0</v>
      </c>
      <c r="DD104" t="e">
        <f>AND(DATA!A540,"AAAAAGfufWs=")</f>
        <v>#VALUE!</v>
      </c>
      <c r="DE104" t="e">
        <f>AND(DATA!B540,"AAAAAGfufWw=")</f>
        <v>#VALUE!</v>
      </c>
      <c r="DF104" t="e">
        <f>AND(DATA!C540,"AAAAAGfufW0=")</f>
        <v>#VALUE!</v>
      </c>
      <c r="DG104" t="e">
        <f>AND(DATA!D540,"AAAAAGfufW4=")</f>
        <v>#VALUE!</v>
      </c>
      <c r="DH104" t="e">
        <f>AND(DATA!E540,"AAAAAGfufW8=")</f>
        <v>#VALUE!</v>
      </c>
      <c r="DI104" t="e">
        <f>AND(DATA!F540,"AAAAAGfufXA=")</f>
        <v>#VALUE!</v>
      </c>
      <c r="DJ104" t="e">
        <f>AND(DATA!G540,"AAAAAGfufXE=")</f>
        <v>#VALUE!</v>
      </c>
      <c r="DK104" t="e">
        <f>AND(DATA!H540,"AAAAAGfufXI=")</f>
        <v>#VALUE!</v>
      </c>
      <c r="DL104" t="e">
        <f>AND(DATA!I540,"AAAAAGfufXM=")</f>
        <v>#VALUE!</v>
      </c>
      <c r="DM104" t="e">
        <f>AND(DATA!J540,"AAAAAGfufXQ=")</f>
        <v>#VALUE!</v>
      </c>
      <c r="DN104" t="e">
        <f>AND(DATA!K540,"AAAAAGfufXU=")</f>
        <v>#VALUE!</v>
      </c>
      <c r="DO104" t="b">
        <f>AND(DATA!L541,"AAAAAGfufXY=")</f>
        <v>1</v>
      </c>
      <c r="DP104" t="b">
        <f>AND(DATA!M541,"AAAAAGfufXc=")</f>
        <v>1</v>
      </c>
      <c r="DQ104" t="b">
        <f>AND(DATA!N541,"AAAAAGfufXg=")</f>
        <v>1</v>
      </c>
      <c r="DR104" t="b">
        <f>AND(DATA!O541,"AAAAAGfufXk=")</f>
        <v>1</v>
      </c>
      <c r="DS104" t="b">
        <f>AND(DATA!P541,"AAAAAGfufXo=")</f>
        <v>1</v>
      </c>
      <c r="DT104" t="b">
        <f>AND(DATA!Q541,"AAAAAGfufXs=")</f>
        <v>1</v>
      </c>
      <c r="DU104" t="b">
        <f>AND(DATA!R541,"AAAAAGfufXw=")</f>
        <v>1</v>
      </c>
      <c r="DV104" t="b">
        <f>AND(DATA!S541,"AAAAAGfufX0=")</f>
        <v>1</v>
      </c>
      <c r="DW104" t="b">
        <f>AND(DATA!T541,"AAAAAGfufX4=")</f>
        <v>1</v>
      </c>
      <c r="DX104" t="b">
        <f>AND(DATA!U541,"AAAAAGfufX8=")</f>
        <v>1</v>
      </c>
      <c r="DY104" t="b">
        <f>AND(DATA!V541,"AAAAAGfufYA=")</f>
        <v>1</v>
      </c>
      <c r="DZ104" t="e">
        <f>AND(DATA!W540,"AAAAAGfufYE=")</f>
        <v>#VALUE!</v>
      </c>
      <c r="EA104" t="e">
        <f>AND(DATA!X540,"AAAAAGfufYI=")</f>
        <v>#VALUE!</v>
      </c>
      <c r="EB104" t="e">
        <f>AND(DATA!Y540,"AAAAAGfufYM=")</f>
        <v>#VALUE!</v>
      </c>
      <c r="EC104">
        <f>IF(DATA!541:541,"AAAAAGfufYQ=",0)</f>
        <v>0</v>
      </c>
      <c r="ED104" t="e">
        <f>AND(DATA!A541,"AAAAAGfufYU=")</f>
        <v>#VALUE!</v>
      </c>
      <c r="EE104" t="e">
        <f>AND(DATA!B541,"AAAAAGfufYY=")</f>
        <v>#VALUE!</v>
      </c>
      <c r="EF104" t="e">
        <f>AND(DATA!C541,"AAAAAGfufYc=")</f>
        <v>#VALUE!</v>
      </c>
      <c r="EG104" t="e">
        <f>AND(DATA!D541,"AAAAAGfufYg=")</f>
        <v>#VALUE!</v>
      </c>
      <c r="EH104" t="e">
        <f>AND(DATA!E541,"AAAAAGfufYk=")</f>
        <v>#VALUE!</v>
      </c>
      <c r="EI104" t="e">
        <f>AND(DATA!F541,"AAAAAGfufYo=")</f>
        <v>#VALUE!</v>
      </c>
      <c r="EJ104" t="e">
        <f>AND(DATA!G541,"AAAAAGfufYs=")</f>
        <v>#VALUE!</v>
      </c>
      <c r="EK104" t="e">
        <f>AND(DATA!H541,"AAAAAGfufYw=")</f>
        <v>#VALUE!</v>
      </c>
      <c r="EL104" t="e">
        <f>AND(DATA!I541,"AAAAAGfufY0=")</f>
        <v>#VALUE!</v>
      </c>
      <c r="EM104" t="e">
        <f>AND(DATA!J541,"AAAAAGfufY4=")</f>
        <v>#VALUE!</v>
      </c>
      <c r="EN104" t="e">
        <f>AND(DATA!K541,"AAAAAGfufY8=")</f>
        <v>#VALUE!</v>
      </c>
      <c r="EO104" t="b">
        <f>AND(DATA!L542,"AAAAAGfufZA=")</f>
        <v>1</v>
      </c>
      <c r="EP104" t="b">
        <f>AND(DATA!M542,"AAAAAGfufZE=")</f>
        <v>1</v>
      </c>
      <c r="EQ104" t="b">
        <f>AND(DATA!N542,"AAAAAGfufZI=")</f>
        <v>1</v>
      </c>
      <c r="ER104" t="b">
        <f>AND(DATA!O542,"AAAAAGfufZM=")</f>
        <v>1</v>
      </c>
      <c r="ES104" t="b">
        <f>AND(DATA!P542,"AAAAAGfufZQ=")</f>
        <v>1</v>
      </c>
      <c r="ET104" t="b">
        <f>AND(DATA!Q542,"AAAAAGfufZU=")</f>
        <v>1</v>
      </c>
      <c r="EU104" t="b">
        <f>AND(DATA!R542,"AAAAAGfufZY=")</f>
        <v>1</v>
      </c>
      <c r="EV104" t="b">
        <f>AND(DATA!S542,"AAAAAGfufZc=")</f>
        <v>1</v>
      </c>
      <c r="EW104" t="b">
        <f>AND(DATA!T542,"AAAAAGfufZg=")</f>
        <v>1</v>
      </c>
      <c r="EX104" t="b">
        <f>AND(DATA!U542,"AAAAAGfufZk=")</f>
        <v>1</v>
      </c>
      <c r="EY104" t="b">
        <f>AND(DATA!V542,"AAAAAGfufZo=")</f>
        <v>1</v>
      </c>
      <c r="EZ104" t="e">
        <f>AND(DATA!W541,"AAAAAGfufZs=")</f>
        <v>#VALUE!</v>
      </c>
      <c r="FA104" t="e">
        <f>AND(DATA!X541,"AAAAAGfufZw=")</f>
        <v>#VALUE!</v>
      </c>
      <c r="FB104" t="e">
        <f>AND(DATA!Y541,"AAAAAGfufZ0=")</f>
        <v>#VALUE!</v>
      </c>
      <c r="FC104">
        <f>IF(DATA!542:542,"AAAAAGfufZ4=",0)</f>
        <v>0</v>
      </c>
      <c r="FD104" t="e">
        <f>AND(DATA!A542,"AAAAAGfufZ8=")</f>
        <v>#VALUE!</v>
      </c>
      <c r="FE104" t="e">
        <f>AND(DATA!B542,"AAAAAGfufaA=")</f>
        <v>#VALUE!</v>
      </c>
      <c r="FF104" t="e">
        <f>AND(DATA!C542,"AAAAAGfufaE=")</f>
        <v>#VALUE!</v>
      </c>
      <c r="FG104" t="e">
        <f>AND(DATA!D542,"AAAAAGfufaI=")</f>
        <v>#VALUE!</v>
      </c>
      <c r="FH104" t="e">
        <f>AND(DATA!E542,"AAAAAGfufaM=")</f>
        <v>#VALUE!</v>
      </c>
      <c r="FI104" t="e">
        <f>AND(DATA!F542,"AAAAAGfufaQ=")</f>
        <v>#VALUE!</v>
      </c>
      <c r="FJ104" t="e">
        <f>AND(DATA!G542,"AAAAAGfufaU=")</f>
        <v>#VALUE!</v>
      </c>
      <c r="FK104" t="e">
        <f>AND(DATA!H542,"AAAAAGfufaY=")</f>
        <v>#VALUE!</v>
      </c>
      <c r="FL104" t="e">
        <f>AND(DATA!I542,"AAAAAGfufac=")</f>
        <v>#VALUE!</v>
      </c>
      <c r="FM104" t="e">
        <f>AND(DATA!J542,"AAAAAGfufag=")</f>
        <v>#VALUE!</v>
      </c>
      <c r="FN104" t="e">
        <f>AND(DATA!K542,"AAAAAGfufak=")</f>
        <v>#VALUE!</v>
      </c>
      <c r="FO104" t="b">
        <f>AND(DATA!L543,"AAAAAGfufao=")</f>
        <v>1</v>
      </c>
      <c r="FP104" t="b">
        <f>AND(DATA!M543,"AAAAAGfufas=")</f>
        <v>1</v>
      </c>
      <c r="FQ104" t="b">
        <f>AND(DATA!N543,"AAAAAGfufaw=")</f>
        <v>1</v>
      </c>
      <c r="FR104" t="b">
        <f>AND(DATA!O543,"AAAAAGfufa0=")</f>
        <v>1</v>
      </c>
      <c r="FS104" t="b">
        <f>AND(DATA!P543,"AAAAAGfufa4=")</f>
        <v>1</v>
      </c>
      <c r="FT104" t="b">
        <f>AND(DATA!Q543,"AAAAAGfufa8=")</f>
        <v>1</v>
      </c>
      <c r="FU104" t="b">
        <f>AND(DATA!R543,"AAAAAGfufbA=")</f>
        <v>1</v>
      </c>
      <c r="FV104" t="b">
        <f>AND(DATA!S543,"AAAAAGfufbE=")</f>
        <v>1</v>
      </c>
      <c r="FW104" t="b">
        <f>AND(DATA!T543,"AAAAAGfufbI=")</f>
        <v>1</v>
      </c>
      <c r="FX104" t="b">
        <f>AND(DATA!U543,"AAAAAGfufbM=")</f>
        <v>1</v>
      </c>
      <c r="FY104" t="b">
        <f>AND(DATA!V543,"AAAAAGfufbQ=")</f>
        <v>1</v>
      </c>
      <c r="FZ104" t="e">
        <f>AND(DATA!W542,"AAAAAGfufbU=")</f>
        <v>#VALUE!</v>
      </c>
      <c r="GA104" t="e">
        <f>AND(DATA!X542,"AAAAAGfufbY=")</f>
        <v>#VALUE!</v>
      </c>
      <c r="GB104" t="e">
        <f>AND(DATA!Y542,"AAAAAGfufbc=")</f>
        <v>#VALUE!</v>
      </c>
      <c r="GC104">
        <f>IF(DATA!543:543,"AAAAAGfufbg=",0)</f>
        <v>0</v>
      </c>
      <c r="GD104" t="e">
        <f>AND(DATA!A543,"AAAAAGfufbk=")</f>
        <v>#VALUE!</v>
      </c>
      <c r="GE104" t="e">
        <f>AND(DATA!B543,"AAAAAGfufbo=")</f>
        <v>#VALUE!</v>
      </c>
      <c r="GF104" t="e">
        <f>AND(DATA!C543,"AAAAAGfufbs=")</f>
        <v>#VALUE!</v>
      </c>
      <c r="GG104" t="e">
        <f>AND(DATA!D543,"AAAAAGfufbw=")</f>
        <v>#VALUE!</v>
      </c>
      <c r="GH104" t="e">
        <f>AND(DATA!E543,"AAAAAGfufb0=")</f>
        <v>#VALUE!</v>
      </c>
      <c r="GI104" t="e">
        <f>AND(DATA!F543,"AAAAAGfufb4=")</f>
        <v>#VALUE!</v>
      </c>
      <c r="GJ104" t="e">
        <f>AND(DATA!G543,"AAAAAGfufb8=")</f>
        <v>#VALUE!</v>
      </c>
      <c r="GK104" t="e">
        <f>AND(DATA!H543,"AAAAAGfufcA=")</f>
        <v>#VALUE!</v>
      </c>
      <c r="GL104" t="e">
        <f>AND(DATA!I543,"AAAAAGfufcE=")</f>
        <v>#VALUE!</v>
      </c>
      <c r="GM104" t="e">
        <f>AND(DATA!J543,"AAAAAGfufcI=")</f>
        <v>#VALUE!</v>
      </c>
      <c r="GN104" t="e">
        <f>AND(DATA!K543,"AAAAAGfufcM=")</f>
        <v>#VALUE!</v>
      </c>
      <c r="GO104" t="b">
        <f>AND(DATA!L544,"AAAAAGfufcQ=")</f>
        <v>1</v>
      </c>
      <c r="GP104" t="b">
        <f>AND(DATA!M544,"AAAAAGfufcU=")</f>
        <v>1</v>
      </c>
      <c r="GQ104" t="b">
        <f>AND(DATA!N544,"AAAAAGfufcY=")</f>
        <v>1</v>
      </c>
      <c r="GR104" t="b">
        <f>AND(DATA!O544,"AAAAAGfufcc=")</f>
        <v>1</v>
      </c>
      <c r="GS104" t="b">
        <f>AND(DATA!P544,"AAAAAGfufcg=")</f>
        <v>1</v>
      </c>
      <c r="GT104" t="b">
        <f>AND(DATA!Q544,"AAAAAGfufck=")</f>
        <v>1</v>
      </c>
      <c r="GU104" t="b">
        <f>AND(DATA!R544,"AAAAAGfufco=")</f>
        <v>1</v>
      </c>
      <c r="GV104" t="b">
        <f>AND(DATA!S544,"AAAAAGfufcs=")</f>
        <v>1</v>
      </c>
      <c r="GW104" t="b">
        <f>AND(DATA!T544,"AAAAAGfufcw=")</f>
        <v>1</v>
      </c>
      <c r="GX104" t="b">
        <f>AND(DATA!U544,"AAAAAGfufc0=")</f>
        <v>1</v>
      </c>
      <c r="GY104" t="b">
        <f>AND(DATA!V544,"AAAAAGfufc4=")</f>
        <v>1</v>
      </c>
      <c r="GZ104" t="e">
        <f>AND(DATA!W543,"AAAAAGfufc8=")</f>
        <v>#VALUE!</v>
      </c>
      <c r="HA104" t="e">
        <f>AND(DATA!X543,"AAAAAGfufdA=")</f>
        <v>#VALUE!</v>
      </c>
      <c r="HB104" t="e">
        <f>AND(DATA!Y543,"AAAAAGfufdE=")</f>
        <v>#VALUE!</v>
      </c>
      <c r="HC104">
        <f>IF(DATA!544:544,"AAAAAGfufdI=",0)</f>
        <v>0</v>
      </c>
      <c r="HD104" t="e">
        <f>AND(DATA!A544,"AAAAAGfufdM=")</f>
        <v>#VALUE!</v>
      </c>
      <c r="HE104" t="e">
        <f>AND(DATA!B544,"AAAAAGfufdQ=")</f>
        <v>#VALUE!</v>
      </c>
      <c r="HF104" t="e">
        <f>AND(DATA!C544,"AAAAAGfufdU=")</f>
        <v>#VALUE!</v>
      </c>
      <c r="HG104" t="e">
        <f>AND(DATA!D544,"AAAAAGfufdY=")</f>
        <v>#VALUE!</v>
      </c>
      <c r="HH104" t="e">
        <f>AND(DATA!E544,"AAAAAGfufdc=")</f>
        <v>#VALUE!</v>
      </c>
      <c r="HI104" t="e">
        <f>AND(DATA!F544,"AAAAAGfufdg=")</f>
        <v>#VALUE!</v>
      </c>
      <c r="HJ104" t="e">
        <f>AND(DATA!G544,"AAAAAGfufdk=")</f>
        <v>#VALUE!</v>
      </c>
      <c r="HK104" t="e">
        <f>AND(DATA!H544,"AAAAAGfufdo=")</f>
        <v>#VALUE!</v>
      </c>
      <c r="HL104" t="e">
        <f>AND(DATA!I544,"AAAAAGfufds=")</f>
        <v>#VALUE!</v>
      </c>
      <c r="HM104" t="e">
        <f>AND(DATA!J544,"AAAAAGfufdw=")</f>
        <v>#VALUE!</v>
      </c>
      <c r="HN104" t="e">
        <f>AND(DATA!K544,"AAAAAGfufd0=")</f>
        <v>#VALUE!</v>
      </c>
      <c r="HO104" t="b">
        <f>AND(DATA!L545,"AAAAAGfufd4=")</f>
        <v>1</v>
      </c>
      <c r="HP104" t="b">
        <f>AND(DATA!M545,"AAAAAGfufd8=")</f>
        <v>1</v>
      </c>
      <c r="HQ104" t="b">
        <f>AND(DATA!N545,"AAAAAGfufeA=")</f>
        <v>1</v>
      </c>
      <c r="HR104" t="b">
        <f>AND(DATA!O545,"AAAAAGfufeE=")</f>
        <v>1</v>
      </c>
      <c r="HS104" t="b">
        <f>AND(DATA!P545,"AAAAAGfufeI=")</f>
        <v>1</v>
      </c>
      <c r="HT104" t="b">
        <f>AND(DATA!Q545,"AAAAAGfufeM=")</f>
        <v>1</v>
      </c>
      <c r="HU104" t="b">
        <f>AND(DATA!R545,"AAAAAGfufeQ=")</f>
        <v>1</v>
      </c>
      <c r="HV104" t="b">
        <f>AND(DATA!S545,"AAAAAGfufeU=")</f>
        <v>1</v>
      </c>
      <c r="HW104" t="b">
        <f>AND(DATA!T545,"AAAAAGfufeY=")</f>
        <v>1</v>
      </c>
      <c r="HX104" t="b">
        <f>AND(DATA!U545,"AAAAAGfufec=")</f>
        <v>1</v>
      </c>
      <c r="HY104" t="b">
        <f>AND(DATA!V545,"AAAAAGfufeg=")</f>
        <v>1</v>
      </c>
      <c r="HZ104" t="e">
        <f>AND(DATA!W544,"AAAAAGfufek=")</f>
        <v>#VALUE!</v>
      </c>
      <c r="IA104" t="e">
        <f>AND(DATA!X544,"AAAAAGfufeo=")</f>
        <v>#VALUE!</v>
      </c>
      <c r="IB104" t="e">
        <f>AND(DATA!Y544,"AAAAAGfufes=")</f>
        <v>#VALUE!</v>
      </c>
      <c r="IC104">
        <f>IF(DATA!545:545,"AAAAAGfufew=",0)</f>
        <v>0</v>
      </c>
      <c r="ID104" t="e">
        <f>AND(DATA!A545,"AAAAAGfufe0=")</f>
        <v>#VALUE!</v>
      </c>
      <c r="IE104" t="e">
        <f>AND(DATA!B545,"AAAAAGfufe4=")</f>
        <v>#VALUE!</v>
      </c>
      <c r="IF104" t="e">
        <f>AND(DATA!C545,"AAAAAGfufe8=")</f>
        <v>#VALUE!</v>
      </c>
      <c r="IG104" t="e">
        <f>AND(DATA!D545,"AAAAAGfuffA=")</f>
        <v>#VALUE!</v>
      </c>
      <c r="IH104" t="e">
        <f>AND(DATA!E545,"AAAAAGfuffE=")</f>
        <v>#VALUE!</v>
      </c>
      <c r="II104" t="e">
        <f>AND(DATA!F545,"AAAAAGfuffI=")</f>
        <v>#VALUE!</v>
      </c>
      <c r="IJ104" t="e">
        <f>AND(DATA!G545,"AAAAAGfuffM=")</f>
        <v>#VALUE!</v>
      </c>
      <c r="IK104" t="e">
        <f>AND(DATA!H545,"AAAAAGfuffQ=")</f>
        <v>#VALUE!</v>
      </c>
      <c r="IL104" t="e">
        <f>AND(DATA!I545,"AAAAAGfuffU=")</f>
        <v>#VALUE!</v>
      </c>
      <c r="IM104" t="e">
        <f>AND(DATA!J545,"AAAAAGfuffY=")</f>
        <v>#VALUE!</v>
      </c>
      <c r="IN104" t="e">
        <f>AND(DATA!K545,"AAAAAGfuffc=")</f>
        <v>#VALUE!</v>
      </c>
      <c r="IO104" t="b">
        <f>AND(DATA!L546,"AAAAAGfuffg=")</f>
        <v>1</v>
      </c>
      <c r="IP104" t="b">
        <f>AND(DATA!M546,"AAAAAGfuffk=")</f>
        <v>1</v>
      </c>
      <c r="IQ104" t="b">
        <f>AND(DATA!N546,"AAAAAGfuffo=")</f>
        <v>1</v>
      </c>
      <c r="IR104" t="b">
        <f>AND(DATA!O546,"AAAAAGfuffs=")</f>
        <v>1</v>
      </c>
      <c r="IS104" t="b">
        <f>AND(DATA!P546,"AAAAAGfuffw=")</f>
        <v>1</v>
      </c>
      <c r="IT104" t="b">
        <f>AND(DATA!Q546,"AAAAAGfuff0=")</f>
        <v>1</v>
      </c>
      <c r="IU104" t="b">
        <f>AND(DATA!R546,"AAAAAGfuff4=")</f>
        <v>1</v>
      </c>
      <c r="IV104" t="b">
        <f>AND(DATA!S546,"AAAAAGfuff8=")</f>
        <v>1</v>
      </c>
    </row>
    <row r="105" spans="1:256" x14ac:dyDescent="0.25">
      <c r="A105" t="b">
        <f>AND(DATA!T546,"AAAAAH3W7wA=")</f>
        <v>1</v>
      </c>
      <c r="B105" t="b">
        <f>AND(DATA!U546,"AAAAAH3W7wE=")</f>
        <v>1</v>
      </c>
      <c r="C105" t="b">
        <f>AND(DATA!V546,"AAAAAH3W7wI=")</f>
        <v>1</v>
      </c>
      <c r="D105" t="e">
        <f>AND(DATA!W545,"AAAAAH3W7wM=")</f>
        <v>#VALUE!</v>
      </c>
      <c r="E105" t="e">
        <f>AND(DATA!X545,"AAAAAH3W7wQ=")</f>
        <v>#VALUE!</v>
      </c>
      <c r="F105" t="e">
        <f>AND(DATA!Y545,"AAAAAH3W7wU=")</f>
        <v>#VALUE!</v>
      </c>
      <c r="G105">
        <f>IF(DATA!546:546,"AAAAAH3W7wY=",0)</f>
        <v>0</v>
      </c>
      <c r="H105" t="e">
        <f>AND(DATA!A546,"AAAAAH3W7wc=")</f>
        <v>#VALUE!</v>
      </c>
      <c r="I105" t="e">
        <f>AND(DATA!B546,"AAAAAH3W7wg=")</f>
        <v>#VALUE!</v>
      </c>
      <c r="J105" t="e">
        <f>AND(DATA!C546,"AAAAAH3W7wk=")</f>
        <v>#VALUE!</v>
      </c>
      <c r="K105" t="e">
        <f>AND(DATA!D546,"AAAAAH3W7wo=")</f>
        <v>#VALUE!</v>
      </c>
      <c r="L105" t="e">
        <f>AND(DATA!E546,"AAAAAH3W7ws=")</f>
        <v>#VALUE!</v>
      </c>
      <c r="M105" t="e">
        <f>AND(DATA!F546,"AAAAAH3W7ww=")</f>
        <v>#VALUE!</v>
      </c>
      <c r="N105" t="e">
        <f>AND(DATA!G546,"AAAAAH3W7w0=")</f>
        <v>#VALUE!</v>
      </c>
      <c r="O105" t="e">
        <f>AND(DATA!H546,"AAAAAH3W7w4=")</f>
        <v>#VALUE!</v>
      </c>
      <c r="P105" t="e">
        <f>AND(DATA!I546,"AAAAAH3W7w8=")</f>
        <v>#VALUE!</v>
      </c>
      <c r="Q105" t="e">
        <f>AND(DATA!J546,"AAAAAH3W7xA=")</f>
        <v>#VALUE!</v>
      </c>
      <c r="R105" t="e">
        <f>AND(DATA!K546,"AAAAAH3W7xE=")</f>
        <v>#VALUE!</v>
      </c>
      <c r="S105" t="b">
        <f>AND(DATA!L547,"AAAAAH3W7xI=")</f>
        <v>1</v>
      </c>
      <c r="T105" t="b">
        <f>AND(DATA!M547,"AAAAAH3W7xM=")</f>
        <v>1</v>
      </c>
      <c r="U105" t="b">
        <f>AND(DATA!N547,"AAAAAH3W7xQ=")</f>
        <v>1</v>
      </c>
      <c r="V105" t="b">
        <f>AND(DATA!O547,"AAAAAH3W7xU=")</f>
        <v>1</v>
      </c>
      <c r="W105" t="b">
        <f>AND(DATA!P547,"AAAAAH3W7xY=")</f>
        <v>1</v>
      </c>
      <c r="X105" t="b">
        <f>AND(DATA!Q547,"AAAAAH3W7xc=")</f>
        <v>1</v>
      </c>
      <c r="Y105" t="b">
        <f>AND(DATA!R547,"AAAAAH3W7xg=")</f>
        <v>1</v>
      </c>
      <c r="Z105" t="b">
        <f>AND(DATA!S547,"AAAAAH3W7xk=")</f>
        <v>1</v>
      </c>
      <c r="AA105" t="b">
        <f>AND(DATA!T547,"AAAAAH3W7xo=")</f>
        <v>1</v>
      </c>
      <c r="AB105" t="b">
        <f>AND(DATA!U547,"AAAAAH3W7xs=")</f>
        <v>1</v>
      </c>
      <c r="AC105" t="b">
        <f>AND(DATA!V547,"AAAAAH3W7xw=")</f>
        <v>1</v>
      </c>
      <c r="AD105" t="e">
        <f>AND(DATA!W546,"AAAAAH3W7x0=")</f>
        <v>#VALUE!</v>
      </c>
      <c r="AE105" t="e">
        <f>AND(DATA!X546,"AAAAAH3W7x4=")</f>
        <v>#VALUE!</v>
      </c>
      <c r="AF105" t="e">
        <f>AND(DATA!Y546,"AAAAAH3W7x8=")</f>
        <v>#VALUE!</v>
      </c>
      <c r="AG105">
        <f>IF(DATA!547:547,"AAAAAH3W7yA=",0)</f>
        <v>0</v>
      </c>
      <c r="AH105" t="e">
        <f>AND(DATA!A547,"AAAAAH3W7yE=")</f>
        <v>#VALUE!</v>
      </c>
      <c r="AI105" t="e">
        <f>AND(DATA!B547,"AAAAAH3W7yI=")</f>
        <v>#VALUE!</v>
      </c>
      <c r="AJ105" t="e">
        <f>AND(DATA!C547,"AAAAAH3W7yM=")</f>
        <v>#VALUE!</v>
      </c>
      <c r="AK105" t="e">
        <f>AND(DATA!D547,"AAAAAH3W7yQ=")</f>
        <v>#VALUE!</v>
      </c>
      <c r="AL105" t="e">
        <f>AND(DATA!E547,"AAAAAH3W7yU=")</f>
        <v>#VALUE!</v>
      </c>
      <c r="AM105" t="e">
        <f>AND(DATA!F547,"AAAAAH3W7yY=")</f>
        <v>#VALUE!</v>
      </c>
      <c r="AN105" t="e">
        <f>AND(DATA!G547,"AAAAAH3W7yc=")</f>
        <v>#VALUE!</v>
      </c>
      <c r="AO105" t="e">
        <f>AND(DATA!H547,"AAAAAH3W7yg=")</f>
        <v>#VALUE!</v>
      </c>
      <c r="AP105" t="e">
        <f>AND(DATA!I547,"AAAAAH3W7yk=")</f>
        <v>#VALUE!</v>
      </c>
      <c r="AQ105" t="e">
        <f>AND(DATA!J547,"AAAAAH3W7yo=")</f>
        <v>#VALUE!</v>
      </c>
      <c r="AR105" t="e">
        <f>AND(DATA!K547,"AAAAAH3W7ys=")</f>
        <v>#VALUE!</v>
      </c>
      <c r="AS105" t="b">
        <f>AND(DATA!L548,"AAAAAH3W7yw=")</f>
        <v>1</v>
      </c>
      <c r="AT105" t="b">
        <f>AND(DATA!M548,"AAAAAH3W7y0=")</f>
        <v>1</v>
      </c>
      <c r="AU105" t="b">
        <f>AND(DATA!N548,"AAAAAH3W7y4=")</f>
        <v>1</v>
      </c>
      <c r="AV105" t="b">
        <f>AND(DATA!O548,"AAAAAH3W7y8=")</f>
        <v>1</v>
      </c>
      <c r="AW105" t="b">
        <f>AND(DATA!P548,"AAAAAH3W7zA=")</f>
        <v>1</v>
      </c>
      <c r="AX105" t="b">
        <f>AND(DATA!Q548,"AAAAAH3W7zE=")</f>
        <v>1</v>
      </c>
      <c r="AY105" t="b">
        <f>AND(DATA!R548,"AAAAAH3W7zI=")</f>
        <v>1</v>
      </c>
      <c r="AZ105" t="b">
        <f>AND(DATA!S548,"AAAAAH3W7zM=")</f>
        <v>1</v>
      </c>
      <c r="BA105" t="b">
        <f>AND(DATA!T548,"AAAAAH3W7zQ=")</f>
        <v>1</v>
      </c>
      <c r="BB105" t="b">
        <f>AND(DATA!U548,"AAAAAH3W7zU=")</f>
        <v>1</v>
      </c>
      <c r="BC105" t="b">
        <f>AND(DATA!V548,"AAAAAH3W7zY=")</f>
        <v>1</v>
      </c>
      <c r="BD105" t="e">
        <f>AND(DATA!W547,"AAAAAH3W7zc=")</f>
        <v>#VALUE!</v>
      </c>
      <c r="BE105" t="e">
        <f>AND(DATA!X547,"AAAAAH3W7zg=")</f>
        <v>#VALUE!</v>
      </c>
      <c r="BF105" t="e">
        <f>AND(DATA!Y547,"AAAAAH3W7zk=")</f>
        <v>#VALUE!</v>
      </c>
      <c r="BG105">
        <f>IF(DATA!548:548,"AAAAAH3W7zo=",0)</f>
        <v>0</v>
      </c>
      <c r="BH105" t="e">
        <f>AND(DATA!A548,"AAAAAH3W7zs=")</f>
        <v>#VALUE!</v>
      </c>
      <c r="BI105" t="e">
        <f>AND(DATA!B548,"AAAAAH3W7zw=")</f>
        <v>#VALUE!</v>
      </c>
      <c r="BJ105" t="e">
        <f>AND(DATA!C548,"AAAAAH3W7z0=")</f>
        <v>#VALUE!</v>
      </c>
      <c r="BK105" t="e">
        <f>AND(DATA!D548,"AAAAAH3W7z4=")</f>
        <v>#VALUE!</v>
      </c>
      <c r="BL105" t="e">
        <f>AND(DATA!E548,"AAAAAH3W7z8=")</f>
        <v>#VALUE!</v>
      </c>
      <c r="BM105" t="e">
        <f>AND(DATA!F548,"AAAAAH3W70A=")</f>
        <v>#VALUE!</v>
      </c>
      <c r="BN105" t="e">
        <f>AND(DATA!G548,"AAAAAH3W70E=")</f>
        <v>#VALUE!</v>
      </c>
      <c r="BO105" t="e">
        <f>AND(DATA!H548,"AAAAAH3W70I=")</f>
        <v>#VALUE!</v>
      </c>
      <c r="BP105" t="e">
        <f>AND(DATA!I548,"AAAAAH3W70M=")</f>
        <v>#VALUE!</v>
      </c>
      <c r="BQ105" t="e">
        <f>AND(DATA!J548,"AAAAAH3W70Q=")</f>
        <v>#VALUE!</v>
      </c>
      <c r="BR105" t="e">
        <f>AND(DATA!K548,"AAAAAH3W70U=")</f>
        <v>#VALUE!</v>
      </c>
      <c r="BS105" t="b">
        <f>AND(DATA!L549,"AAAAAH3W70Y=")</f>
        <v>1</v>
      </c>
      <c r="BT105" t="b">
        <f>AND(DATA!M549,"AAAAAH3W70c=")</f>
        <v>1</v>
      </c>
      <c r="BU105" t="b">
        <f>AND(DATA!N549,"AAAAAH3W70g=")</f>
        <v>1</v>
      </c>
      <c r="BV105" t="b">
        <f>AND(DATA!O549,"AAAAAH3W70k=")</f>
        <v>1</v>
      </c>
      <c r="BW105" t="b">
        <f>AND(DATA!P549,"AAAAAH3W70o=")</f>
        <v>1</v>
      </c>
      <c r="BX105" t="b">
        <f>AND(DATA!Q549,"AAAAAH3W70s=")</f>
        <v>1</v>
      </c>
      <c r="BY105" t="b">
        <f>AND(DATA!R549,"AAAAAH3W70w=")</f>
        <v>1</v>
      </c>
      <c r="BZ105" t="b">
        <f>AND(DATA!S549,"AAAAAH3W700=")</f>
        <v>1</v>
      </c>
      <c r="CA105" t="b">
        <f>AND(DATA!T549,"AAAAAH3W704=")</f>
        <v>1</v>
      </c>
      <c r="CB105" t="b">
        <f>AND(DATA!U549,"AAAAAH3W708=")</f>
        <v>1</v>
      </c>
      <c r="CC105" t="b">
        <f>AND(DATA!V549,"AAAAAH3W71A=")</f>
        <v>1</v>
      </c>
      <c r="CD105" t="e">
        <f>AND(DATA!W548,"AAAAAH3W71E=")</f>
        <v>#VALUE!</v>
      </c>
      <c r="CE105" t="e">
        <f>AND(DATA!X548,"AAAAAH3W71I=")</f>
        <v>#VALUE!</v>
      </c>
      <c r="CF105" t="e">
        <f>AND(DATA!Y548,"AAAAAH3W71M=")</f>
        <v>#VALUE!</v>
      </c>
      <c r="CG105">
        <f>IF(DATA!549:549,"AAAAAH3W71Q=",0)</f>
        <v>0</v>
      </c>
      <c r="CH105" t="e">
        <f>AND(DATA!A549,"AAAAAH3W71U=")</f>
        <v>#VALUE!</v>
      </c>
      <c r="CI105" t="e">
        <f>AND(DATA!B549,"AAAAAH3W71Y=")</f>
        <v>#VALUE!</v>
      </c>
      <c r="CJ105" t="e">
        <f>AND(DATA!C549,"AAAAAH3W71c=")</f>
        <v>#VALUE!</v>
      </c>
      <c r="CK105" t="e">
        <f>AND(DATA!D549,"AAAAAH3W71g=")</f>
        <v>#VALUE!</v>
      </c>
      <c r="CL105" t="e">
        <f>AND(DATA!E549,"AAAAAH3W71k=")</f>
        <v>#VALUE!</v>
      </c>
      <c r="CM105" t="e">
        <f>AND(DATA!F549,"AAAAAH3W71o=")</f>
        <v>#VALUE!</v>
      </c>
      <c r="CN105" t="e">
        <f>AND(DATA!G549,"AAAAAH3W71s=")</f>
        <v>#VALUE!</v>
      </c>
      <c r="CO105" t="e">
        <f>AND(DATA!H549,"AAAAAH3W71w=")</f>
        <v>#VALUE!</v>
      </c>
      <c r="CP105" t="e">
        <f>AND(DATA!I549,"AAAAAH3W710=")</f>
        <v>#VALUE!</v>
      </c>
      <c r="CQ105" t="e">
        <f>AND(DATA!J549,"AAAAAH3W714=")</f>
        <v>#VALUE!</v>
      </c>
      <c r="CR105" t="e">
        <f>AND(DATA!K549,"AAAAAH3W718=")</f>
        <v>#VALUE!</v>
      </c>
      <c r="CS105" t="b">
        <f>AND(DATA!L550,"AAAAAH3W72A=")</f>
        <v>1</v>
      </c>
      <c r="CT105" t="b">
        <f>AND(DATA!M550,"AAAAAH3W72E=")</f>
        <v>1</v>
      </c>
      <c r="CU105" t="b">
        <f>AND(DATA!N550,"AAAAAH3W72I=")</f>
        <v>1</v>
      </c>
      <c r="CV105" t="b">
        <f>AND(DATA!O550,"AAAAAH3W72M=")</f>
        <v>1</v>
      </c>
      <c r="CW105" t="b">
        <f>AND(DATA!P550,"AAAAAH3W72Q=")</f>
        <v>1</v>
      </c>
      <c r="CX105" t="b">
        <f>AND(DATA!Q550,"AAAAAH3W72U=")</f>
        <v>1</v>
      </c>
      <c r="CY105" t="b">
        <f>AND(DATA!R550,"AAAAAH3W72Y=")</f>
        <v>1</v>
      </c>
      <c r="CZ105" t="b">
        <f>AND(DATA!S550,"AAAAAH3W72c=")</f>
        <v>1</v>
      </c>
      <c r="DA105" t="b">
        <f>AND(DATA!T550,"AAAAAH3W72g=")</f>
        <v>1</v>
      </c>
      <c r="DB105" t="b">
        <f>AND(DATA!U550,"AAAAAH3W72k=")</f>
        <v>1</v>
      </c>
      <c r="DC105" t="b">
        <f>AND(DATA!V550,"AAAAAH3W72o=")</f>
        <v>1</v>
      </c>
      <c r="DD105" t="e">
        <f>AND(DATA!W549,"AAAAAH3W72s=")</f>
        <v>#VALUE!</v>
      </c>
      <c r="DE105" t="e">
        <f>AND(DATA!X549,"AAAAAH3W72w=")</f>
        <v>#VALUE!</v>
      </c>
      <c r="DF105" t="e">
        <f>AND(DATA!Y549,"AAAAAH3W720=")</f>
        <v>#VALUE!</v>
      </c>
      <c r="DG105">
        <f>IF(DATA!550:550,"AAAAAH3W724=",0)</f>
        <v>0</v>
      </c>
      <c r="DH105" t="e">
        <f>AND(DATA!A550,"AAAAAH3W728=")</f>
        <v>#VALUE!</v>
      </c>
      <c r="DI105" t="e">
        <f>AND(DATA!B550,"AAAAAH3W73A=")</f>
        <v>#VALUE!</v>
      </c>
      <c r="DJ105" t="e">
        <f>AND(DATA!C550,"AAAAAH3W73E=")</f>
        <v>#VALUE!</v>
      </c>
      <c r="DK105" t="e">
        <f>AND(DATA!D550,"AAAAAH3W73I=")</f>
        <v>#VALUE!</v>
      </c>
      <c r="DL105" t="e">
        <f>AND(DATA!E550,"AAAAAH3W73M=")</f>
        <v>#VALUE!</v>
      </c>
      <c r="DM105" t="e">
        <f>AND(DATA!F550,"AAAAAH3W73Q=")</f>
        <v>#VALUE!</v>
      </c>
      <c r="DN105" t="e">
        <f>AND(DATA!G550,"AAAAAH3W73U=")</f>
        <v>#VALUE!</v>
      </c>
      <c r="DO105" t="e">
        <f>AND(DATA!H550,"AAAAAH3W73Y=")</f>
        <v>#VALUE!</v>
      </c>
      <c r="DP105" t="e">
        <f>AND(DATA!I550,"AAAAAH3W73c=")</f>
        <v>#VALUE!</v>
      </c>
      <c r="DQ105" t="e">
        <f>AND(DATA!J550,"AAAAAH3W73g=")</f>
        <v>#VALUE!</v>
      </c>
      <c r="DR105" t="e">
        <f>AND(DATA!K550,"AAAAAH3W73k=")</f>
        <v>#VALUE!</v>
      </c>
      <c r="DS105" t="b">
        <f>AND(DATA!L551,"AAAAAH3W73o=")</f>
        <v>1</v>
      </c>
      <c r="DT105" t="b">
        <f>AND(DATA!M551,"AAAAAH3W73s=")</f>
        <v>1</v>
      </c>
      <c r="DU105" t="b">
        <f>AND(DATA!N551,"AAAAAH3W73w=")</f>
        <v>1</v>
      </c>
      <c r="DV105" t="b">
        <f>AND(DATA!O551,"AAAAAH3W730=")</f>
        <v>1</v>
      </c>
      <c r="DW105" t="b">
        <f>AND(DATA!P551,"AAAAAH3W734=")</f>
        <v>1</v>
      </c>
      <c r="DX105" t="b">
        <f>AND(DATA!Q551,"AAAAAH3W738=")</f>
        <v>1</v>
      </c>
      <c r="DY105" t="b">
        <f>AND(DATA!R551,"AAAAAH3W74A=")</f>
        <v>1</v>
      </c>
      <c r="DZ105" t="b">
        <f>AND(DATA!S551,"AAAAAH3W74E=")</f>
        <v>1</v>
      </c>
      <c r="EA105" t="b">
        <f>AND(DATA!T551,"AAAAAH3W74I=")</f>
        <v>1</v>
      </c>
      <c r="EB105" t="b">
        <f>AND(DATA!U551,"AAAAAH3W74M=")</f>
        <v>1</v>
      </c>
      <c r="EC105" t="b">
        <f>AND(DATA!V551,"AAAAAH3W74Q=")</f>
        <v>1</v>
      </c>
      <c r="ED105" t="e">
        <f>AND(DATA!W550,"AAAAAH3W74U=")</f>
        <v>#VALUE!</v>
      </c>
      <c r="EE105" t="e">
        <f>AND(DATA!X550,"AAAAAH3W74Y=")</f>
        <v>#VALUE!</v>
      </c>
      <c r="EF105" t="e">
        <f>AND(DATA!Y550,"AAAAAH3W74c=")</f>
        <v>#VALUE!</v>
      </c>
      <c r="EG105">
        <f>IF(DATA!551:551,"AAAAAH3W74g=",0)</f>
        <v>0</v>
      </c>
      <c r="EH105" t="e">
        <f>AND(DATA!A551,"AAAAAH3W74k=")</f>
        <v>#VALUE!</v>
      </c>
      <c r="EI105" t="e">
        <f>AND(DATA!B551,"AAAAAH3W74o=")</f>
        <v>#VALUE!</v>
      </c>
      <c r="EJ105" t="e">
        <f>AND(DATA!C551,"AAAAAH3W74s=")</f>
        <v>#VALUE!</v>
      </c>
      <c r="EK105" t="e">
        <f>AND(DATA!D551,"AAAAAH3W74w=")</f>
        <v>#VALUE!</v>
      </c>
      <c r="EL105" t="e">
        <f>AND(DATA!E551,"AAAAAH3W740=")</f>
        <v>#VALUE!</v>
      </c>
      <c r="EM105" t="e">
        <f>AND(DATA!F551,"AAAAAH3W744=")</f>
        <v>#VALUE!</v>
      </c>
      <c r="EN105" t="e">
        <f>AND(DATA!G551,"AAAAAH3W748=")</f>
        <v>#VALUE!</v>
      </c>
      <c r="EO105" t="e">
        <f>AND(DATA!H551,"AAAAAH3W75A=")</f>
        <v>#VALUE!</v>
      </c>
      <c r="EP105" t="e">
        <f>AND(DATA!I551,"AAAAAH3W75E=")</f>
        <v>#VALUE!</v>
      </c>
      <c r="EQ105" t="e">
        <f>AND(DATA!J551,"AAAAAH3W75I=")</f>
        <v>#VALUE!</v>
      </c>
      <c r="ER105" t="e">
        <f>AND(DATA!K551,"AAAAAH3W75M=")</f>
        <v>#VALUE!</v>
      </c>
      <c r="ES105" t="b">
        <f>AND(DATA!L552,"AAAAAH3W75Q=")</f>
        <v>1</v>
      </c>
      <c r="ET105" t="b">
        <f>AND(DATA!M552,"AAAAAH3W75U=")</f>
        <v>1</v>
      </c>
      <c r="EU105" t="b">
        <f>AND(DATA!N552,"AAAAAH3W75Y=")</f>
        <v>1</v>
      </c>
      <c r="EV105" t="b">
        <f>AND(DATA!O552,"AAAAAH3W75c=")</f>
        <v>1</v>
      </c>
      <c r="EW105" t="b">
        <f>AND(DATA!P552,"AAAAAH3W75g=")</f>
        <v>1</v>
      </c>
      <c r="EX105" t="b">
        <f>AND(DATA!Q552,"AAAAAH3W75k=")</f>
        <v>1</v>
      </c>
      <c r="EY105" t="b">
        <f>AND(DATA!R552,"AAAAAH3W75o=")</f>
        <v>1</v>
      </c>
      <c r="EZ105" t="b">
        <f>AND(DATA!S552,"AAAAAH3W75s=")</f>
        <v>1</v>
      </c>
      <c r="FA105" t="b">
        <f>AND(DATA!T552,"AAAAAH3W75w=")</f>
        <v>1</v>
      </c>
      <c r="FB105" t="b">
        <f>AND(DATA!U552,"AAAAAH3W750=")</f>
        <v>1</v>
      </c>
      <c r="FC105" t="b">
        <f>AND(DATA!V552,"AAAAAH3W754=")</f>
        <v>1</v>
      </c>
      <c r="FD105" t="e">
        <f>AND(DATA!W551,"AAAAAH3W758=")</f>
        <v>#VALUE!</v>
      </c>
      <c r="FE105" t="e">
        <f>AND(DATA!X551,"AAAAAH3W76A=")</f>
        <v>#VALUE!</v>
      </c>
      <c r="FF105" t="e">
        <f>AND(DATA!Y551,"AAAAAH3W76E=")</f>
        <v>#VALUE!</v>
      </c>
      <c r="FG105">
        <f>IF(DATA!552:552,"AAAAAH3W76I=",0)</f>
        <v>0</v>
      </c>
      <c r="FH105" t="e">
        <f>AND(DATA!A552,"AAAAAH3W76M=")</f>
        <v>#VALUE!</v>
      </c>
      <c r="FI105" t="e">
        <f>AND(DATA!B552,"AAAAAH3W76Q=")</f>
        <v>#VALUE!</v>
      </c>
      <c r="FJ105" t="e">
        <f>AND(DATA!C552,"AAAAAH3W76U=")</f>
        <v>#VALUE!</v>
      </c>
      <c r="FK105" t="e">
        <f>AND(DATA!D552,"AAAAAH3W76Y=")</f>
        <v>#VALUE!</v>
      </c>
      <c r="FL105" t="e">
        <f>AND(DATA!E552,"AAAAAH3W76c=")</f>
        <v>#VALUE!</v>
      </c>
      <c r="FM105" t="e">
        <f>AND(DATA!F552,"AAAAAH3W76g=")</f>
        <v>#VALUE!</v>
      </c>
      <c r="FN105" t="e">
        <f>AND(DATA!G552,"AAAAAH3W76k=")</f>
        <v>#VALUE!</v>
      </c>
      <c r="FO105" t="e">
        <f>AND(DATA!H552,"AAAAAH3W76o=")</f>
        <v>#VALUE!</v>
      </c>
      <c r="FP105" t="e">
        <f>AND(DATA!I552,"AAAAAH3W76s=")</f>
        <v>#VALUE!</v>
      </c>
      <c r="FQ105" t="e">
        <f>AND(DATA!J552,"AAAAAH3W76w=")</f>
        <v>#VALUE!</v>
      </c>
      <c r="FR105" t="e">
        <f>AND(DATA!K552,"AAAAAH3W760=")</f>
        <v>#VALUE!</v>
      </c>
      <c r="FS105" t="b">
        <f>AND(DATA!L553,"AAAAAH3W764=")</f>
        <v>1</v>
      </c>
      <c r="FT105" t="b">
        <f>AND(DATA!M553,"AAAAAH3W768=")</f>
        <v>1</v>
      </c>
      <c r="FU105" t="b">
        <f>AND(DATA!N553,"AAAAAH3W77A=")</f>
        <v>1</v>
      </c>
      <c r="FV105" t="b">
        <f>AND(DATA!O553,"AAAAAH3W77E=")</f>
        <v>1</v>
      </c>
      <c r="FW105" t="b">
        <f>AND(DATA!P553,"AAAAAH3W77I=")</f>
        <v>1</v>
      </c>
      <c r="FX105" t="b">
        <f>AND(DATA!Q553,"AAAAAH3W77M=")</f>
        <v>1</v>
      </c>
      <c r="FY105" t="b">
        <f>AND(DATA!R553,"AAAAAH3W77Q=")</f>
        <v>1</v>
      </c>
      <c r="FZ105" t="b">
        <f>AND(DATA!S553,"AAAAAH3W77U=")</f>
        <v>1</v>
      </c>
      <c r="GA105" t="b">
        <f>AND(DATA!T553,"AAAAAH3W77Y=")</f>
        <v>1</v>
      </c>
      <c r="GB105" t="b">
        <f>AND(DATA!U553,"AAAAAH3W77c=")</f>
        <v>1</v>
      </c>
      <c r="GC105" t="b">
        <f>AND(DATA!V553,"AAAAAH3W77g=")</f>
        <v>1</v>
      </c>
      <c r="GD105" t="e">
        <f>AND(DATA!W552,"AAAAAH3W77k=")</f>
        <v>#VALUE!</v>
      </c>
      <c r="GE105" t="e">
        <f>AND(DATA!X552,"AAAAAH3W77o=")</f>
        <v>#VALUE!</v>
      </c>
      <c r="GF105" t="e">
        <f>AND(DATA!Y552,"AAAAAH3W77s=")</f>
        <v>#VALUE!</v>
      </c>
      <c r="GG105">
        <f>IF(DATA!553:553,"AAAAAH3W77w=",0)</f>
        <v>0</v>
      </c>
      <c r="GH105" t="e">
        <f>AND(DATA!A553,"AAAAAH3W770=")</f>
        <v>#VALUE!</v>
      </c>
      <c r="GI105" t="e">
        <f>AND(DATA!B553,"AAAAAH3W774=")</f>
        <v>#VALUE!</v>
      </c>
      <c r="GJ105" t="e">
        <f>AND(DATA!C553,"AAAAAH3W778=")</f>
        <v>#VALUE!</v>
      </c>
      <c r="GK105" t="e">
        <f>AND(DATA!D553,"AAAAAH3W78A=")</f>
        <v>#VALUE!</v>
      </c>
      <c r="GL105" t="e">
        <f>AND(DATA!E553,"AAAAAH3W78E=")</f>
        <v>#VALUE!</v>
      </c>
      <c r="GM105" t="e">
        <f>AND(DATA!F553,"AAAAAH3W78I=")</f>
        <v>#VALUE!</v>
      </c>
      <c r="GN105" t="e">
        <f>AND(DATA!G553,"AAAAAH3W78M=")</f>
        <v>#VALUE!</v>
      </c>
      <c r="GO105" t="e">
        <f>AND(DATA!H553,"AAAAAH3W78Q=")</f>
        <v>#VALUE!</v>
      </c>
      <c r="GP105" t="e">
        <f>AND(DATA!I553,"AAAAAH3W78U=")</f>
        <v>#VALUE!</v>
      </c>
      <c r="GQ105" t="e">
        <f>AND(DATA!J553,"AAAAAH3W78Y=")</f>
        <v>#VALUE!</v>
      </c>
      <c r="GR105" t="e">
        <f>AND(DATA!K553,"AAAAAH3W78c=")</f>
        <v>#VALUE!</v>
      </c>
      <c r="GS105" t="b">
        <f>AND(DATA!L554,"AAAAAH3W78g=")</f>
        <v>1</v>
      </c>
      <c r="GT105" t="b">
        <f>AND(DATA!M554,"AAAAAH3W78k=")</f>
        <v>1</v>
      </c>
      <c r="GU105" t="b">
        <f>AND(DATA!N554,"AAAAAH3W78o=")</f>
        <v>1</v>
      </c>
      <c r="GV105" t="b">
        <f>AND(DATA!O554,"AAAAAH3W78s=")</f>
        <v>1</v>
      </c>
      <c r="GW105" t="b">
        <f>AND(DATA!P554,"AAAAAH3W78w=")</f>
        <v>1</v>
      </c>
      <c r="GX105" t="b">
        <f>AND(DATA!Q554,"AAAAAH3W780=")</f>
        <v>1</v>
      </c>
      <c r="GY105" t="b">
        <f>AND(DATA!R554,"AAAAAH3W784=")</f>
        <v>1</v>
      </c>
      <c r="GZ105" t="b">
        <f>AND(DATA!S554,"AAAAAH3W788=")</f>
        <v>1</v>
      </c>
      <c r="HA105" t="b">
        <f>AND(DATA!T554,"AAAAAH3W79A=")</f>
        <v>1</v>
      </c>
      <c r="HB105" t="b">
        <f>AND(DATA!U554,"AAAAAH3W79E=")</f>
        <v>1</v>
      </c>
      <c r="HC105" t="b">
        <f>AND(DATA!V554,"AAAAAH3W79I=")</f>
        <v>1</v>
      </c>
      <c r="HD105" t="e">
        <f>AND(DATA!W553,"AAAAAH3W79M=")</f>
        <v>#VALUE!</v>
      </c>
      <c r="HE105" t="e">
        <f>AND(DATA!X553,"AAAAAH3W79Q=")</f>
        <v>#VALUE!</v>
      </c>
      <c r="HF105" t="e">
        <f>AND(DATA!Y553,"AAAAAH3W79U=")</f>
        <v>#VALUE!</v>
      </c>
      <c r="HG105">
        <f>IF(DATA!554:554,"AAAAAH3W79Y=",0)</f>
        <v>0</v>
      </c>
      <c r="HH105" t="e">
        <f>AND(DATA!A554,"AAAAAH3W79c=")</f>
        <v>#VALUE!</v>
      </c>
      <c r="HI105" t="e">
        <f>AND(DATA!B554,"AAAAAH3W79g=")</f>
        <v>#VALUE!</v>
      </c>
      <c r="HJ105" t="e">
        <f>AND(DATA!C554,"AAAAAH3W79k=")</f>
        <v>#VALUE!</v>
      </c>
      <c r="HK105" t="e">
        <f>AND(DATA!D554,"AAAAAH3W79o=")</f>
        <v>#VALUE!</v>
      </c>
      <c r="HL105" t="e">
        <f>AND(DATA!E554,"AAAAAH3W79s=")</f>
        <v>#VALUE!</v>
      </c>
      <c r="HM105" t="e">
        <f>AND(DATA!F554,"AAAAAH3W79w=")</f>
        <v>#VALUE!</v>
      </c>
      <c r="HN105" t="e">
        <f>AND(DATA!G554,"AAAAAH3W790=")</f>
        <v>#VALUE!</v>
      </c>
      <c r="HO105" t="e">
        <f>AND(DATA!H554,"AAAAAH3W794=")</f>
        <v>#VALUE!</v>
      </c>
      <c r="HP105" t="e">
        <f>AND(DATA!I554,"AAAAAH3W798=")</f>
        <v>#VALUE!</v>
      </c>
      <c r="HQ105" t="e">
        <f>AND(DATA!J554,"AAAAAH3W7+A=")</f>
        <v>#VALUE!</v>
      </c>
      <c r="HR105" t="e">
        <f>AND(DATA!K554,"AAAAAH3W7+E=")</f>
        <v>#VALUE!</v>
      </c>
      <c r="HS105" t="b">
        <f>AND(DATA!L555,"AAAAAH3W7+I=")</f>
        <v>1</v>
      </c>
      <c r="HT105" t="b">
        <f>AND(DATA!M555,"AAAAAH3W7+M=")</f>
        <v>1</v>
      </c>
      <c r="HU105" t="b">
        <f>AND(DATA!N555,"AAAAAH3W7+Q=")</f>
        <v>1</v>
      </c>
      <c r="HV105" t="b">
        <f>AND(DATA!O555,"AAAAAH3W7+U=")</f>
        <v>1</v>
      </c>
      <c r="HW105" t="b">
        <f>AND(DATA!P555,"AAAAAH3W7+Y=")</f>
        <v>1</v>
      </c>
      <c r="HX105" t="b">
        <f>AND(DATA!Q555,"AAAAAH3W7+c=")</f>
        <v>1</v>
      </c>
      <c r="HY105" t="b">
        <f>AND(DATA!R555,"AAAAAH3W7+g=")</f>
        <v>1</v>
      </c>
      <c r="HZ105" t="b">
        <f>AND(DATA!S555,"AAAAAH3W7+k=")</f>
        <v>1</v>
      </c>
      <c r="IA105" t="b">
        <f>AND(DATA!T555,"AAAAAH3W7+o=")</f>
        <v>1</v>
      </c>
      <c r="IB105" t="b">
        <f>AND(DATA!U555,"AAAAAH3W7+s=")</f>
        <v>1</v>
      </c>
      <c r="IC105" t="b">
        <f>AND(DATA!V555,"AAAAAH3W7+w=")</f>
        <v>1</v>
      </c>
      <c r="ID105" t="e">
        <f>AND(DATA!W554,"AAAAAH3W7+0=")</f>
        <v>#VALUE!</v>
      </c>
      <c r="IE105" t="e">
        <f>AND(DATA!X554,"AAAAAH3W7+4=")</f>
        <v>#VALUE!</v>
      </c>
      <c r="IF105" t="e">
        <f>AND(DATA!Y554,"AAAAAH3W7+8=")</f>
        <v>#VALUE!</v>
      </c>
      <c r="IG105">
        <f>IF(DATA!555:555,"AAAAAH3W7/A=",0)</f>
        <v>0</v>
      </c>
      <c r="IH105" t="e">
        <f>AND(DATA!A555,"AAAAAH3W7/E=")</f>
        <v>#VALUE!</v>
      </c>
      <c r="II105" t="e">
        <f>AND(DATA!B555,"AAAAAH3W7/I=")</f>
        <v>#VALUE!</v>
      </c>
      <c r="IJ105" t="e">
        <f>AND(DATA!C555,"AAAAAH3W7/M=")</f>
        <v>#VALUE!</v>
      </c>
      <c r="IK105" t="e">
        <f>AND(DATA!D555,"AAAAAH3W7/Q=")</f>
        <v>#VALUE!</v>
      </c>
      <c r="IL105" t="e">
        <f>AND(DATA!E555,"AAAAAH3W7/U=")</f>
        <v>#VALUE!</v>
      </c>
      <c r="IM105" t="e">
        <f>AND(DATA!F555,"AAAAAH3W7/Y=")</f>
        <v>#VALUE!</v>
      </c>
      <c r="IN105" t="e">
        <f>AND(DATA!G555,"AAAAAH3W7/c=")</f>
        <v>#VALUE!</v>
      </c>
      <c r="IO105" t="e">
        <f>AND(DATA!H555,"AAAAAH3W7/g=")</f>
        <v>#VALUE!</v>
      </c>
      <c r="IP105" t="e">
        <f>AND(DATA!I555,"AAAAAH3W7/k=")</f>
        <v>#VALUE!</v>
      </c>
      <c r="IQ105" t="e">
        <f>AND(DATA!J555,"AAAAAH3W7/o=")</f>
        <v>#VALUE!</v>
      </c>
      <c r="IR105" t="e">
        <f>AND(DATA!K555,"AAAAAH3W7/s=")</f>
        <v>#VALUE!</v>
      </c>
      <c r="IS105" t="b">
        <f>AND(DATA!L556,"AAAAAH3W7/w=")</f>
        <v>1</v>
      </c>
      <c r="IT105" t="b">
        <f>AND(DATA!M556,"AAAAAH3W7/0=")</f>
        <v>1</v>
      </c>
      <c r="IU105" t="b">
        <f>AND(DATA!N556,"AAAAAH3W7/4=")</f>
        <v>1</v>
      </c>
      <c r="IV105" t="b">
        <f>AND(DATA!O556,"AAAAAH3W7/8=")</f>
        <v>1</v>
      </c>
    </row>
    <row r="106" spans="1:256" x14ac:dyDescent="0.25">
      <c r="A106" t="b">
        <f>AND(DATA!P556,"AAAAAFt+PwA=")</f>
        <v>1</v>
      </c>
      <c r="B106" t="b">
        <f>AND(DATA!Q556,"AAAAAFt+PwE=")</f>
        <v>1</v>
      </c>
      <c r="C106" t="b">
        <f>AND(DATA!R556,"AAAAAFt+PwI=")</f>
        <v>1</v>
      </c>
      <c r="D106" t="b">
        <f>AND(DATA!S556,"AAAAAFt+PwM=")</f>
        <v>1</v>
      </c>
      <c r="E106" t="b">
        <f>AND(DATA!T556,"AAAAAFt+PwQ=")</f>
        <v>1</v>
      </c>
      <c r="F106" t="b">
        <f>AND(DATA!U556,"AAAAAFt+PwU=")</f>
        <v>1</v>
      </c>
      <c r="G106" t="b">
        <f>AND(DATA!V556,"AAAAAFt+PwY=")</f>
        <v>1</v>
      </c>
      <c r="H106" t="e">
        <f>AND(DATA!W555,"AAAAAFt+Pwc=")</f>
        <v>#VALUE!</v>
      </c>
      <c r="I106" t="e">
        <f>AND(DATA!X555,"AAAAAFt+Pwg=")</f>
        <v>#VALUE!</v>
      </c>
      <c r="J106" t="e">
        <f>AND(DATA!Y555,"AAAAAFt+Pwk=")</f>
        <v>#VALUE!</v>
      </c>
      <c r="K106">
        <f>IF(DATA!556:556,"AAAAAFt+Pwo=",0)</f>
        <v>0</v>
      </c>
      <c r="L106" t="e">
        <f>AND(DATA!A556,"AAAAAFt+Pws=")</f>
        <v>#VALUE!</v>
      </c>
      <c r="M106" t="e">
        <f>AND(DATA!B556,"AAAAAFt+Pww=")</f>
        <v>#VALUE!</v>
      </c>
      <c r="N106" t="e">
        <f>AND(DATA!C556,"AAAAAFt+Pw0=")</f>
        <v>#VALUE!</v>
      </c>
      <c r="O106" t="e">
        <f>AND(DATA!D556,"AAAAAFt+Pw4=")</f>
        <v>#VALUE!</v>
      </c>
      <c r="P106" t="e">
        <f>AND(DATA!E556,"AAAAAFt+Pw8=")</f>
        <v>#VALUE!</v>
      </c>
      <c r="Q106" t="e">
        <f>AND(DATA!F556,"AAAAAFt+PxA=")</f>
        <v>#VALUE!</v>
      </c>
      <c r="R106" t="e">
        <f>AND(DATA!G556,"AAAAAFt+PxE=")</f>
        <v>#VALUE!</v>
      </c>
      <c r="S106" t="e">
        <f>AND(DATA!H556,"AAAAAFt+PxI=")</f>
        <v>#VALUE!</v>
      </c>
      <c r="T106" t="e">
        <f>AND(DATA!I556,"AAAAAFt+PxM=")</f>
        <v>#VALUE!</v>
      </c>
      <c r="U106" t="e">
        <f>AND(DATA!J556,"AAAAAFt+PxQ=")</f>
        <v>#VALUE!</v>
      </c>
      <c r="V106" t="e">
        <f>AND(DATA!K556,"AAAAAFt+PxU=")</f>
        <v>#VALUE!</v>
      </c>
      <c r="W106" t="b">
        <f>AND(DATA!L557,"AAAAAFt+PxY=")</f>
        <v>1</v>
      </c>
      <c r="X106" t="b">
        <f>AND(DATA!M557,"AAAAAFt+Pxc=")</f>
        <v>1</v>
      </c>
      <c r="Y106" t="b">
        <f>AND(DATA!N557,"AAAAAFt+Pxg=")</f>
        <v>1</v>
      </c>
      <c r="Z106" t="b">
        <f>AND(DATA!O557,"AAAAAFt+Pxk=")</f>
        <v>1</v>
      </c>
      <c r="AA106" t="b">
        <f>AND(DATA!P557,"AAAAAFt+Pxo=")</f>
        <v>1</v>
      </c>
      <c r="AB106" t="b">
        <f>AND(DATA!Q557,"AAAAAFt+Pxs=")</f>
        <v>1</v>
      </c>
      <c r="AC106" t="b">
        <f>AND(DATA!R557,"AAAAAFt+Pxw=")</f>
        <v>1</v>
      </c>
      <c r="AD106" t="b">
        <f>AND(DATA!S557,"AAAAAFt+Px0=")</f>
        <v>1</v>
      </c>
      <c r="AE106" t="b">
        <f>AND(DATA!T557,"AAAAAFt+Px4=")</f>
        <v>1</v>
      </c>
      <c r="AF106" t="b">
        <f>AND(DATA!U557,"AAAAAFt+Px8=")</f>
        <v>1</v>
      </c>
      <c r="AG106" t="b">
        <f>AND(DATA!V557,"AAAAAFt+PyA=")</f>
        <v>1</v>
      </c>
      <c r="AH106" t="e">
        <f>AND(DATA!W556,"AAAAAFt+PyE=")</f>
        <v>#VALUE!</v>
      </c>
      <c r="AI106" t="e">
        <f>AND(DATA!X556,"AAAAAFt+PyI=")</f>
        <v>#VALUE!</v>
      </c>
      <c r="AJ106" t="e">
        <f>AND(DATA!Y556,"AAAAAFt+PyM=")</f>
        <v>#VALUE!</v>
      </c>
      <c r="AK106">
        <f>IF(DATA!557:557,"AAAAAFt+PyQ=",0)</f>
        <v>0</v>
      </c>
      <c r="AL106" t="e">
        <f>AND(DATA!A557,"AAAAAFt+PyU=")</f>
        <v>#VALUE!</v>
      </c>
      <c r="AM106" t="e">
        <f>AND(DATA!B557,"AAAAAFt+PyY=")</f>
        <v>#VALUE!</v>
      </c>
      <c r="AN106" t="e">
        <f>AND(DATA!C557,"AAAAAFt+Pyc=")</f>
        <v>#VALUE!</v>
      </c>
      <c r="AO106" t="e">
        <f>AND(DATA!D557,"AAAAAFt+Pyg=")</f>
        <v>#VALUE!</v>
      </c>
      <c r="AP106" t="e">
        <f>AND(DATA!E557,"AAAAAFt+Pyk=")</f>
        <v>#VALUE!</v>
      </c>
      <c r="AQ106" t="e">
        <f>AND(DATA!F557,"AAAAAFt+Pyo=")</f>
        <v>#VALUE!</v>
      </c>
      <c r="AR106" t="e">
        <f>AND(DATA!G557,"AAAAAFt+Pys=")</f>
        <v>#VALUE!</v>
      </c>
      <c r="AS106" t="e">
        <f>AND(DATA!H557,"AAAAAFt+Pyw=")</f>
        <v>#VALUE!</v>
      </c>
      <c r="AT106" t="e">
        <f>AND(DATA!I557,"AAAAAFt+Py0=")</f>
        <v>#VALUE!</v>
      </c>
      <c r="AU106" t="e">
        <f>AND(DATA!J557,"AAAAAFt+Py4=")</f>
        <v>#VALUE!</v>
      </c>
      <c r="AV106" t="e">
        <f>AND(DATA!K557,"AAAAAFt+Py8=")</f>
        <v>#VALUE!</v>
      </c>
      <c r="AW106" t="b">
        <f>AND(DATA!L558,"AAAAAFt+PzA=")</f>
        <v>1</v>
      </c>
      <c r="AX106" t="b">
        <f>AND(DATA!M558,"AAAAAFt+PzE=")</f>
        <v>1</v>
      </c>
      <c r="AY106" t="b">
        <f>AND(DATA!N558,"AAAAAFt+PzI=")</f>
        <v>1</v>
      </c>
      <c r="AZ106" t="b">
        <f>AND(DATA!O558,"AAAAAFt+PzM=")</f>
        <v>1</v>
      </c>
      <c r="BA106" t="b">
        <f>AND(DATA!P558,"AAAAAFt+PzQ=")</f>
        <v>1</v>
      </c>
      <c r="BB106" t="b">
        <f>AND(DATA!Q558,"AAAAAFt+PzU=")</f>
        <v>1</v>
      </c>
      <c r="BC106" t="b">
        <f>AND(DATA!R558,"AAAAAFt+PzY=")</f>
        <v>1</v>
      </c>
      <c r="BD106" t="b">
        <f>AND(DATA!S558,"AAAAAFt+Pzc=")</f>
        <v>1</v>
      </c>
      <c r="BE106" t="b">
        <f>AND(DATA!T558,"AAAAAFt+Pzg=")</f>
        <v>1</v>
      </c>
      <c r="BF106" t="b">
        <f>AND(DATA!U558,"AAAAAFt+Pzk=")</f>
        <v>1</v>
      </c>
      <c r="BG106" t="b">
        <f>AND(DATA!V558,"AAAAAFt+Pzo=")</f>
        <v>1</v>
      </c>
      <c r="BH106" t="e">
        <f>AND(DATA!W557,"AAAAAFt+Pzs=")</f>
        <v>#VALUE!</v>
      </c>
      <c r="BI106" t="e">
        <f>AND(DATA!X557,"AAAAAFt+Pzw=")</f>
        <v>#VALUE!</v>
      </c>
      <c r="BJ106" t="e">
        <f>AND(DATA!Y557,"AAAAAFt+Pz0=")</f>
        <v>#VALUE!</v>
      </c>
      <c r="BK106">
        <f>IF(DATA!558:558,"AAAAAFt+Pz4=",0)</f>
        <v>0</v>
      </c>
      <c r="BL106" t="e">
        <f>AND(DATA!A558,"AAAAAFt+Pz8=")</f>
        <v>#VALUE!</v>
      </c>
      <c r="BM106" t="e">
        <f>AND(DATA!B558,"AAAAAFt+P0A=")</f>
        <v>#VALUE!</v>
      </c>
      <c r="BN106" t="e">
        <f>AND(DATA!C558,"AAAAAFt+P0E=")</f>
        <v>#VALUE!</v>
      </c>
      <c r="BO106" t="e">
        <f>AND(DATA!D558,"AAAAAFt+P0I=")</f>
        <v>#VALUE!</v>
      </c>
      <c r="BP106" t="e">
        <f>AND(DATA!E558,"AAAAAFt+P0M=")</f>
        <v>#VALUE!</v>
      </c>
      <c r="BQ106" t="e">
        <f>AND(DATA!F558,"AAAAAFt+P0Q=")</f>
        <v>#VALUE!</v>
      </c>
      <c r="BR106" t="e">
        <f>AND(DATA!G558,"AAAAAFt+P0U=")</f>
        <v>#VALUE!</v>
      </c>
      <c r="BS106" t="e">
        <f>AND(DATA!H558,"AAAAAFt+P0Y=")</f>
        <v>#VALUE!</v>
      </c>
      <c r="BT106" t="e">
        <f>AND(DATA!I558,"AAAAAFt+P0c=")</f>
        <v>#VALUE!</v>
      </c>
      <c r="BU106" t="e">
        <f>AND(DATA!J558,"AAAAAFt+P0g=")</f>
        <v>#VALUE!</v>
      </c>
      <c r="BV106" t="e">
        <f>AND(DATA!K558,"AAAAAFt+P0k=")</f>
        <v>#VALUE!</v>
      </c>
      <c r="BW106" t="b">
        <f>AND(DATA!L559,"AAAAAFt+P0o=")</f>
        <v>1</v>
      </c>
      <c r="BX106" t="b">
        <f>AND(DATA!M559,"AAAAAFt+P0s=")</f>
        <v>1</v>
      </c>
      <c r="BY106" t="b">
        <f>AND(DATA!N559,"AAAAAFt+P0w=")</f>
        <v>1</v>
      </c>
      <c r="BZ106" t="b">
        <f>AND(DATA!O559,"AAAAAFt+P00=")</f>
        <v>1</v>
      </c>
      <c r="CA106" t="b">
        <f>AND(DATA!P559,"AAAAAFt+P04=")</f>
        <v>1</v>
      </c>
      <c r="CB106" t="b">
        <f>AND(DATA!Q559,"AAAAAFt+P08=")</f>
        <v>1</v>
      </c>
      <c r="CC106" t="b">
        <f>AND(DATA!R559,"AAAAAFt+P1A=")</f>
        <v>1</v>
      </c>
      <c r="CD106" t="b">
        <f>AND(DATA!S559,"AAAAAFt+P1E=")</f>
        <v>1</v>
      </c>
      <c r="CE106" t="b">
        <f>AND(DATA!T559,"AAAAAFt+P1I=")</f>
        <v>1</v>
      </c>
      <c r="CF106" t="b">
        <f>AND(DATA!U559,"AAAAAFt+P1M=")</f>
        <v>1</v>
      </c>
      <c r="CG106" t="b">
        <f>AND(DATA!V559,"AAAAAFt+P1Q=")</f>
        <v>1</v>
      </c>
      <c r="CH106" t="e">
        <f>AND(DATA!W558,"AAAAAFt+P1U=")</f>
        <v>#VALUE!</v>
      </c>
      <c r="CI106" t="e">
        <f>AND(DATA!X558,"AAAAAFt+P1Y=")</f>
        <v>#VALUE!</v>
      </c>
      <c r="CJ106" t="e">
        <f>AND(DATA!Y558,"AAAAAFt+P1c=")</f>
        <v>#VALUE!</v>
      </c>
      <c r="CK106">
        <f>IF(DATA!559:559,"AAAAAFt+P1g=",0)</f>
        <v>0</v>
      </c>
      <c r="CL106" t="e">
        <f>AND(DATA!A559,"AAAAAFt+P1k=")</f>
        <v>#VALUE!</v>
      </c>
      <c r="CM106" t="e">
        <f>AND(DATA!B559,"AAAAAFt+P1o=")</f>
        <v>#VALUE!</v>
      </c>
      <c r="CN106" t="e">
        <f>AND(DATA!C559,"AAAAAFt+P1s=")</f>
        <v>#VALUE!</v>
      </c>
      <c r="CO106" t="e">
        <f>AND(DATA!D559,"AAAAAFt+P1w=")</f>
        <v>#VALUE!</v>
      </c>
      <c r="CP106" t="e">
        <f>AND(DATA!E559,"AAAAAFt+P10=")</f>
        <v>#VALUE!</v>
      </c>
      <c r="CQ106" t="e">
        <f>AND(DATA!F559,"AAAAAFt+P14=")</f>
        <v>#VALUE!</v>
      </c>
      <c r="CR106" t="e">
        <f>AND(DATA!G559,"AAAAAFt+P18=")</f>
        <v>#VALUE!</v>
      </c>
      <c r="CS106" t="e">
        <f>AND(DATA!H559,"AAAAAFt+P2A=")</f>
        <v>#VALUE!</v>
      </c>
      <c r="CT106" t="e">
        <f>AND(DATA!I559,"AAAAAFt+P2E=")</f>
        <v>#VALUE!</v>
      </c>
      <c r="CU106" t="e">
        <f>AND(DATA!J559,"AAAAAFt+P2I=")</f>
        <v>#VALUE!</v>
      </c>
      <c r="CV106" t="e">
        <f>AND(DATA!K559,"AAAAAFt+P2M=")</f>
        <v>#VALUE!</v>
      </c>
      <c r="CW106" t="b">
        <f>AND(DATA!L560,"AAAAAFt+P2Q=")</f>
        <v>1</v>
      </c>
      <c r="CX106" t="b">
        <f>AND(DATA!M560,"AAAAAFt+P2U=")</f>
        <v>1</v>
      </c>
      <c r="CY106" t="b">
        <f>AND(DATA!N560,"AAAAAFt+P2Y=")</f>
        <v>1</v>
      </c>
      <c r="CZ106" t="b">
        <f>AND(DATA!O560,"AAAAAFt+P2c=")</f>
        <v>1</v>
      </c>
      <c r="DA106" t="b">
        <f>AND(DATA!P560,"AAAAAFt+P2g=")</f>
        <v>1</v>
      </c>
      <c r="DB106" t="b">
        <f>AND(DATA!Q560,"AAAAAFt+P2k=")</f>
        <v>1</v>
      </c>
      <c r="DC106" t="b">
        <f>AND(DATA!R560,"AAAAAFt+P2o=")</f>
        <v>1</v>
      </c>
      <c r="DD106" t="b">
        <f>AND(DATA!S560,"AAAAAFt+P2s=")</f>
        <v>1</v>
      </c>
      <c r="DE106" t="b">
        <f>AND(DATA!T560,"AAAAAFt+P2w=")</f>
        <v>1</v>
      </c>
      <c r="DF106" t="b">
        <f>AND(DATA!U560,"AAAAAFt+P20=")</f>
        <v>1</v>
      </c>
      <c r="DG106" t="b">
        <f>AND(DATA!V560,"AAAAAFt+P24=")</f>
        <v>1</v>
      </c>
      <c r="DH106" t="e">
        <f>AND(DATA!W559,"AAAAAFt+P28=")</f>
        <v>#VALUE!</v>
      </c>
      <c r="DI106" t="e">
        <f>AND(DATA!X559,"AAAAAFt+P3A=")</f>
        <v>#VALUE!</v>
      </c>
      <c r="DJ106" t="e">
        <f>AND(DATA!Y559,"AAAAAFt+P3E=")</f>
        <v>#VALUE!</v>
      </c>
      <c r="DK106">
        <f>IF(DATA!560:560,"AAAAAFt+P3I=",0)</f>
        <v>0</v>
      </c>
      <c r="DL106" t="e">
        <f>AND(DATA!A560,"AAAAAFt+P3M=")</f>
        <v>#VALUE!</v>
      </c>
      <c r="DM106" t="e">
        <f>AND(DATA!B560,"AAAAAFt+P3Q=")</f>
        <v>#VALUE!</v>
      </c>
      <c r="DN106" t="e">
        <f>AND(DATA!C560,"AAAAAFt+P3U=")</f>
        <v>#VALUE!</v>
      </c>
      <c r="DO106" t="e">
        <f>AND(DATA!D560,"AAAAAFt+P3Y=")</f>
        <v>#VALUE!</v>
      </c>
      <c r="DP106" t="e">
        <f>AND(DATA!E560,"AAAAAFt+P3c=")</f>
        <v>#VALUE!</v>
      </c>
      <c r="DQ106" t="e">
        <f>AND(DATA!F560,"AAAAAFt+P3g=")</f>
        <v>#VALUE!</v>
      </c>
      <c r="DR106" t="e">
        <f>AND(DATA!G560,"AAAAAFt+P3k=")</f>
        <v>#VALUE!</v>
      </c>
      <c r="DS106" t="e">
        <f>AND(DATA!H560,"AAAAAFt+P3o=")</f>
        <v>#VALUE!</v>
      </c>
      <c r="DT106" t="e">
        <f>AND(DATA!I560,"AAAAAFt+P3s=")</f>
        <v>#VALUE!</v>
      </c>
      <c r="DU106" t="e">
        <f>AND(DATA!J560,"AAAAAFt+P3w=")</f>
        <v>#VALUE!</v>
      </c>
      <c r="DV106" t="e">
        <f>AND(DATA!K560,"AAAAAFt+P30=")</f>
        <v>#VALUE!</v>
      </c>
      <c r="DW106" t="b">
        <f>AND(DATA!L561,"AAAAAFt+P34=")</f>
        <v>1</v>
      </c>
      <c r="DX106" t="b">
        <f>AND(DATA!M561,"AAAAAFt+P38=")</f>
        <v>1</v>
      </c>
      <c r="DY106" t="b">
        <f>AND(DATA!N561,"AAAAAFt+P4A=")</f>
        <v>1</v>
      </c>
      <c r="DZ106" t="b">
        <f>AND(DATA!O561,"AAAAAFt+P4E=")</f>
        <v>1</v>
      </c>
      <c r="EA106" t="b">
        <f>AND(DATA!P561,"AAAAAFt+P4I=")</f>
        <v>1</v>
      </c>
      <c r="EB106" t="b">
        <f>AND(DATA!Q561,"AAAAAFt+P4M=")</f>
        <v>1</v>
      </c>
      <c r="EC106" t="b">
        <f>AND(DATA!R561,"AAAAAFt+P4Q=")</f>
        <v>1</v>
      </c>
      <c r="ED106" t="b">
        <f>AND(DATA!S561,"AAAAAFt+P4U=")</f>
        <v>1</v>
      </c>
      <c r="EE106" t="b">
        <f>AND(DATA!T561,"AAAAAFt+P4Y=")</f>
        <v>1</v>
      </c>
      <c r="EF106" t="b">
        <f>AND(DATA!U561,"AAAAAFt+P4c=")</f>
        <v>1</v>
      </c>
      <c r="EG106" t="b">
        <f>AND(DATA!V561,"AAAAAFt+P4g=")</f>
        <v>1</v>
      </c>
      <c r="EH106" t="e">
        <f>AND(DATA!W560,"AAAAAFt+P4k=")</f>
        <v>#VALUE!</v>
      </c>
      <c r="EI106" t="e">
        <f>AND(DATA!X560,"AAAAAFt+P4o=")</f>
        <v>#VALUE!</v>
      </c>
      <c r="EJ106" t="e">
        <f>AND(DATA!Y560,"AAAAAFt+P4s=")</f>
        <v>#VALUE!</v>
      </c>
      <c r="EK106">
        <f>IF(DATA!561:561,"AAAAAFt+P4w=",0)</f>
        <v>0</v>
      </c>
      <c r="EL106" t="e">
        <f>AND(DATA!A561,"AAAAAFt+P40=")</f>
        <v>#VALUE!</v>
      </c>
      <c r="EM106" t="e">
        <f>AND(DATA!B561,"AAAAAFt+P44=")</f>
        <v>#VALUE!</v>
      </c>
      <c r="EN106" t="e">
        <f>AND(DATA!C561,"AAAAAFt+P48=")</f>
        <v>#VALUE!</v>
      </c>
      <c r="EO106" t="e">
        <f>AND(DATA!D561,"AAAAAFt+P5A=")</f>
        <v>#VALUE!</v>
      </c>
      <c r="EP106" t="e">
        <f>AND(DATA!E561,"AAAAAFt+P5E=")</f>
        <v>#VALUE!</v>
      </c>
      <c r="EQ106" t="e">
        <f>AND(DATA!F561,"AAAAAFt+P5I=")</f>
        <v>#VALUE!</v>
      </c>
      <c r="ER106" t="e">
        <f>AND(DATA!G561,"AAAAAFt+P5M=")</f>
        <v>#VALUE!</v>
      </c>
      <c r="ES106" t="e">
        <f>AND(DATA!H561,"AAAAAFt+P5Q=")</f>
        <v>#VALUE!</v>
      </c>
      <c r="ET106" t="e">
        <f>AND(DATA!I561,"AAAAAFt+P5U=")</f>
        <v>#VALUE!</v>
      </c>
      <c r="EU106" t="e">
        <f>AND(DATA!J561,"AAAAAFt+P5Y=")</f>
        <v>#VALUE!</v>
      </c>
      <c r="EV106" t="e">
        <f>AND(DATA!K561,"AAAAAFt+P5c=")</f>
        <v>#VALUE!</v>
      </c>
      <c r="EW106" t="b">
        <f>AND(DATA!L562,"AAAAAFt+P5g=")</f>
        <v>1</v>
      </c>
      <c r="EX106" t="b">
        <f>AND(DATA!M562,"AAAAAFt+P5k=")</f>
        <v>1</v>
      </c>
      <c r="EY106" t="b">
        <f>AND(DATA!N562,"AAAAAFt+P5o=")</f>
        <v>1</v>
      </c>
      <c r="EZ106" t="b">
        <f>AND(DATA!O562,"AAAAAFt+P5s=")</f>
        <v>1</v>
      </c>
      <c r="FA106" t="b">
        <f>AND(DATA!P562,"AAAAAFt+P5w=")</f>
        <v>1</v>
      </c>
      <c r="FB106" t="b">
        <f>AND(DATA!Q562,"AAAAAFt+P50=")</f>
        <v>1</v>
      </c>
      <c r="FC106" t="b">
        <f>AND(DATA!R562,"AAAAAFt+P54=")</f>
        <v>1</v>
      </c>
      <c r="FD106" t="b">
        <f>AND(DATA!S562,"AAAAAFt+P58=")</f>
        <v>1</v>
      </c>
      <c r="FE106" t="b">
        <f>AND(DATA!T562,"AAAAAFt+P6A=")</f>
        <v>1</v>
      </c>
      <c r="FF106" t="b">
        <f>AND(DATA!U562,"AAAAAFt+P6E=")</f>
        <v>1</v>
      </c>
      <c r="FG106" t="b">
        <f>AND(DATA!V562,"AAAAAFt+P6I=")</f>
        <v>1</v>
      </c>
      <c r="FH106" t="e">
        <f>AND(DATA!W561,"AAAAAFt+P6M=")</f>
        <v>#VALUE!</v>
      </c>
      <c r="FI106" t="e">
        <f>AND(DATA!X561,"AAAAAFt+P6Q=")</f>
        <v>#VALUE!</v>
      </c>
      <c r="FJ106" t="e">
        <f>AND(DATA!Y561,"AAAAAFt+P6U=")</f>
        <v>#VALUE!</v>
      </c>
      <c r="FK106">
        <f>IF(DATA!562:562,"AAAAAFt+P6Y=",0)</f>
        <v>0</v>
      </c>
      <c r="FL106" t="e">
        <f>AND(DATA!A562,"AAAAAFt+P6c=")</f>
        <v>#VALUE!</v>
      </c>
      <c r="FM106" t="e">
        <f>AND(DATA!B562,"AAAAAFt+P6g=")</f>
        <v>#VALUE!</v>
      </c>
      <c r="FN106" t="e">
        <f>AND(DATA!C562,"AAAAAFt+P6k=")</f>
        <v>#VALUE!</v>
      </c>
      <c r="FO106" t="e">
        <f>AND(DATA!D562,"AAAAAFt+P6o=")</f>
        <v>#VALUE!</v>
      </c>
      <c r="FP106" t="e">
        <f>AND(DATA!E562,"AAAAAFt+P6s=")</f>
        <v>#VALUE!</v>
      </c>
      <c r="FQ106" t="e">
        <f>AND(DATA!F562,"AAAAAFt+P6w=")</f>
        <v>#VALUE!</v>
      </c>
      <c r="FR106" t="e">
        <f>AND(DATA!G562,"AAAAAFt+P60=")</f>
        <v>#VALUE!</v>
      </c>
      <c r="FS106" t="e">
        <f>AND(DATA!H562,"AAAAAFt+P64=")</f>
        <v>#VALUE!</v>
      </c>
      <c r="FT106" t="e">
        <f>AND(DATA!I562,"AAAAAFt+P68=")</f>
        <v>#VALUE!</v>
      </c>
      <c r="FU106" t="e">
        <f>AND(DATA!J562,"AAAAAFt+P7A=")</f>
        <v>#VALUE!</v>
      </c>
      <c r="FV106" t="e">
        <f>AND(DATA!K562,"AAAAAFt+P7E=")</f>
        <v>#VALUE!</v>
      </c>
      <c r="FW106" t="b">
        <f>AND(DATA!L563,"AAAAAFt+P7I=")</f>
        <v>1</v>
      </c>
      <c r="FX106" t="b">
        <f>AND(DATA!M563,"AAAAAFt+P7M=")</f>
        <v>1</v>
      </c>
      <c r="FY106" t="b">
        <f>AND(DATA!N563,"AAAAAFt+P7Q=")</f>
        <v>1</v>
      </c>
      <c r="FZ106" t="b">
        <f>AND(DATA!O563,"AAAAAFt+P7U=")</f>
        <v>1</v>
      </c>
      <c r="GA106" t="b">
        <f>AND(DATA!P563,"AAAAAFt+P7Y=")</f>
        <v>1</v>
      </c>
      <c r="GB106" t="b">
        <f>AND(DATA!Q563,"AAAAAFt+P7c=")</f>
        <v>1</v>
      </c>
      <c r="GC106" t="b">
        <f>AND(DATA!R563,"AAAAAFt+P7g=")</f>
        <v>1</v>
      </c>
      <c r="GD106" t="b">
        <f>AND(DATA!S563,"AAAAAFt+P7k=")</f>
        <v>1</v>
      </c>
      <c r="GE106" t="b">
        <f>AND(DATA!T563,"AAAAAFt+P7o=")</f>
        <v>1</v>
      </c>
      <c r="GF106" t="b">
        <f>AND(DATA!U563,"AAAAAFt+P7s=")</f>
        <v>1</v>
      </c>
      <c r="GG106" t="b">
        <f>AND(DATA!V563,"AAAAAFt+P7w=")</f>
        <v>1</v>
      </c>
      <c r="GH106" t="e">
        <f>AND(DATA!W562,"AAAAAFt+P70=")</f>
        <v>#VALUE!</v>
      </c>
      <c r="GI106" t="e">
        <f>AND(DATA!X562,"AAAAAFt+P74=")</f>
        <v>#VALUE!</v>
      </c>
      <c r="GJ106" t="e">
        <f>AND(DATA!Y562,"AAAAAFt+P78=")</f>
        <v>#VALUE!</v>
      </c>
      <c r="GK106">
        <f>IF(DATA!563:563,"AAAAAFt+P8A=",0)</f>
        <v>0</v>
      </c>
      <c r="GL106" t="e">
        <f>AND(DATA!A563,"AAAAAFt+P8E=")</f>
        <v>#VALUE!</v>
      </c>
      <c r="GM106" t="e">
        <f>AND(DATA!B563,"AAAAAFt+P8I=")</f>
        <v>#VALUE!</v>
      </c>
      <c r="GN106" t="e">
        <f>AND(DATA!C563,"AAAAAFt+P8M=")</f>
        <v>#VALUE!</v>
      </c>
      <c r="GO106" t="e">
        <f>AND(DATA!D563,"AAAAAFt+P8Q=")</f>
        <v>#VALUE!</v>
      </c>
      <c r="GP106" t="e">
        <f>AND(DATA!E563,"AAAAAFt+P8U=")</f>
        <v>#VALUE!</v>
      </c>
      <c r="GQ106" t="e">
        <f>AND(DATA!F563,"AAAAAFt+P8Y=")</f>
        <v>#VALUE!</v>
      </c>
      <c r="GR106" t="e">
        <f>AND(DATA!G563,"AAAAAFt+P8c=")</f>
        <v>#VALUE!</v>
      </c>
      <c r="GS106" t="e">
        <f>AND(DATA!H563,"AAAAAFt+P8g=")</f>
        <v>#VALUE!</v>
      </c>
      <c r="GT106" t="e">
        <f>AND(DATA!I563,"AAAAAFt+P8k=")</f>
        <v>#VALUE!</v>
      </c>
      <c r="GU106" t="e">
        <f>AND(DATA!J563,"AAAAAFt+P8o=")</f>
        <v>#VALUE!</v>
      </c>
      <c r="GV106" t="e">
        <f>AND(DATA!K563,"AAAAAFt+P8s=")</f>
        <v>#VALUE!</v>
      </c>
      <c r="GW106" t="b">
        <f>AND(DATA!L564,"AAAAAFt+P8w=")</f>
        <v>1</v>
      </c>
      <c r="GX106" t="b">
        <f>AND(DATA!M564,"AAAAAFt+P80=")</f>
        <v>1</v>
      </c>
      <c r="GY106" t="b">
        <f>AND(DATA!N564,"AAAAAFt+P84=")</f>
        <v>1</v>
      </c>
      <c r="GZ106" t="b">
        <f>AND(DATA!O564,"AAAAAFt+P88=")</f>
        <v>1</v>
      </c>
      <c r="HA106" t="b">
        <f>AND(DATA!P564,"AAAAAFt+P9A=")</f>
        <v>1</v>
      </c>
      <c r="HB106" t="b">
        <f>AND(DATA!Q564,"AAAAAFt+P9E=")</f>
        <v>1</v>
      </c>
      <c r="HC106" t="b">
        <f>AND(DATA!R564,"AAAAAFt+P9I=")</f>
        <v>1</v>
      </c>
      <c r="HD106" t="b">
        <f>AND(DATA!S564,"AAAAAFt+P9M=")</f>
        <v>1</v>
      </c>
      <c r="HE106" t="b">
        <f>AND(DATA!T564,"AAAAAFt+P9Q=")</f>
        <v>1</v>
      </c>
      <c r="HF106" t="b">
        <f>AND(DATA!U564,"AAAAAFt+P9U=")</f>
        <v>1</v>
      </c>
      <c r="HG106" t="b">
        <f>AND(DATA!V564,"AAAAAFt+P9Y=")</f>
        <v>1</v>
      </c>
      <c r="HH106" t="e">
        <f>AND(DATA!W563,"AAAAAFt+P9c=")</f>
        <v>#VALUE!</v>
      </c>
      <c r="HI106" t="e">
        <f>AND(DATA!X563,"AAAAAFt+P9g=")</f>
        <v>#VALUE!</v>
      </c>
      <c r="HJ106" t="e">
        <f>AND(DATA!Y563,"AAAAAFt+P9k=")</f>
        <v>#VALUE!</v>
      </c>
      <c r="HK106">
        <f>IF(DATA!564:564,"AAAAAFt+P9o=",0)</f>
        <v>0</v>
      </c>
      <c r="HL106" t="e">
        <f>AND(DATA!A564,"AAAAAFt+P9s=")</f>
        <v>#VALUE!</v>
      </c>
      <c r="HM106" t="e">
        <f>AND(DATA!B564,"AAAAAFt+P9w=")</f>
        <v>#VALUE!</v>
      </c>
      <c r="HN106" t="e">
        <f>AND(DATA!C564,"AAAAAFt+P90=")</f>
        <v>#VALUE!</v>
      </c>
      <c r="HO106" t="e">
        <f>AND(DATA!D564,"AAAAAFt+P94=")</f>
        <v>#VALUE!</v>
      </c>
      <c r="HP106" t="e">
        <f>AND(DATA!E564,"AAAAAFt+P98=")</f>
        <v>#VALUE!</v>
      </c>
      <c r="HQ106" t="e">
        <f>AND(DATA!F564,"AAAAAFt+P+A=")</f>
        <v>#VALUE!</v>
      </c>
      <c r="HR106" t="e">
        <f>AND(DATA!G564,"AAAAAFt+P+E=")</f>
        <v>#VALUE!</v>
      </c>
      <c r="HS106" t="e">
        <f>AND(DATA!H564,"AAAAAFt+P+I=")</f>
        <v>#VALUE!</v>
      </c>
      <c r="HT106" t="e">
        <f>AND(DATA!I564,"AAAAAFt+P+M=")</f>
        <v>#VALUE!</v>
      </c>
      <c r="HU106" t="e">
        <f>AND(DATA!J564,"AAAAAFt+P+Q=")</f>
        <v>#VALUE!</v>
      </c>
      <c r="HV106" t="e">
        <f>AND(DATA!K564,"AAAAAFt+P+U=")</f>
        <v>#VALUE!</v>
      </c>
      <c r="HW106" t="b">
        <f>AND(DATA!L565,"AAAAAFt+P+Y=")</f>
        <v>1</v>
      </c>
      <c r="HX106" t="b">
        <f>AND(DATA!M565,"AAAAAFt+P+c=")</f>
        <v>1</v>
      </c>
      <c r="HY106" t="b">
        <f>AND(DATA!N565,"AAAAAFt+P+g=")</f>
        <v>1</v>
      </c>
      <c r="HZ106" t="b">
        <f>AND(DATA!O565,"AAAAAFt+P+k=")</f>
        <v>1</v>
      </c>
      <c r="IA106" t="b">
        <f>AND(DATA!P565,"AAAAAFt+P+o=")</f>
        <v>1</v>
      </c>
      <c r="IB106" t="b">
        <f>AND(DATA!Q565,"AAAAAFt+P+s=")</f>
        <v>1</v>
      </c>
      <c r="IC106" t="b">
        <f>AND(DATA!R565,"AAAAAFt+P+w=")</f>
        <v>1</v>
      </c>
      <c r="ID106" t="b">
        <f>AND(DATA!S565,"AAAAAFt+P+0=")</f>
        <v>1</v>
      </c>
      <c r="IE106" t="b">
        <f>AND(DATA!T565,"AAAAAFt+P+4=")</f>
        <v>1</v>
      </c>
      <c r="IF106" t="b">
        <f>AND(DATA!U565,"AAAAAFt+P+8=")</f>
        <v>1</v>
      </c>
      <c r="IG106" t="b">
        <f>AND(DATA!V565,"AAAAAFt+P/A=")</f>
        <v>1</v>
      </c>
      <c r="IH106" t="e">
        <f>AND(DATA!W564,"AAAAAFt+P/E=")</f>
        <v>#VALUE!</v>
      </c>
      <c r="II106" t="e">
        <f>AND(DATA!X564,"AAAAAFt+P/I=")</f>
        <v>#VALUE!</v>
      </c>
      <c r="IJ106" t="e">
        <f>AND(DATA!Y564,"AAAAAFt+P/M=")</f>
        <v>#VALUE!</v>
      </c>
      <c r="IK106">
        <f>IF(DATA!565:565,"AAAAAFt+P/Q=",0)</f>
        <v>0</v>
      </c>
      <c r="IL106" t="e">
        <f>AND(DATA!A565,"AAAAAFt+P/U=")</f>
        <v>#VALUE!</v>
      </c>
      <c r="IM106" t="e">
        <f>AND(DATA!B565,"AAAAAFt+P/Y=")</f>
        <v>#VALUE!</v>
      </c>
      <c r="IN106" t="e">
        <f>AND(DATA!C565,"AAAAAFt+P/c=")</f>
        <v>#VALUE!</v>
      </c>
      <c r="IO106" t="e">
        <f>AND(DATA!D565,"AAAAAFt+P/g=")</f>
        <v>#VALUE!</v>
      </c>
      <c r="IP106" t="e">
        <f>AND(DATA!E565,"AAAAAFt+P/k=")</f>
        <v>#VALUE!</v>
      </c>
      <c r="IQ106" t="e">
        <f>AND(DATA!F565,"AAAAAFt+P/o=")</f>
        <v>#VALUE!</v>
      </c>
      <c r="IR106" t="e">
        <f>AND(DATA!G565,"AAAAAFt+P/s=")</f>
        <v>#VALUE!</v>
      </c>
      <c r="IS106" t="e">
        <f>AND(DATA!H565,"AAAAAFt+P/w=")</f>
        <v>#VALUE!</v>
      </c>
      <c r="IT106" t="e">
        <f>AND(DATA!I565,"AAAAAFt+P/0=")</f>
        <v>#VALUE!</v>
      </c>
      <c r="IU106" t="e">
        <f>AND(DATA!J565,"AAAAAFt+P/4=")</f>
        <v>#VALUE!</v>
      </c>
      <c r="IV106" t="e">
        <f>AND(DATA!K565,"AAAAAFt+P/8=")</f>
        <v>#VALUE!</v>
      </c>
    </row>
    <row r="107" spans="1:256" x14ac:dyDescent="0.25">
      <c r="A107" t="b">
        <f>AND(DATA!L566,"AAAAAG/3nwA=")</f>
        <v>1</v>
      </c>
      <c r="B107" t="b">
        <f>AND(DATA!M566,"AAAAAG/3nwE=")</f>
        <v>1</v>
      </c>
      <c r="C107" t="b">
        <f>AND(DATA!N566,"AAAAAG/3nwI=")</f>
        <v>1</v>
      </c>
      <c r="D107" t="b">
        <f>AND(DATA!O566,"AAAAAG/3nwM=")</f>
        <v>1</v>
      </c>
      <c r="E107" t="b">
        <f>AND(DATA!P566,"AAAAAG/3nwQ=")</f>
        <v>1</v>
      </c>
      <c r="F107" t="b">
        <f>AND(DATA!Q566,"AAAAAG/3nwU=")</f>
        <v>1</v>
      </c>
      <c r="G107" t="b">
        <f>AND(DATA!R566,"AAAAAG/3nwY=")</f>
        <v>1</v>
      </c>
      <c r="H107" t="b">
        <f>AND(DATA!S566,"AAAAAG/3nwc=")</f>
        <v>1</v>
      </c>
      <c r="I107" t="b">
        <f>AND(DATA!T566,"AAAAAG/3nwg=")</f>
        <v>1</v>
      </c>
      <c r="J107" t="b">
        <f>AND(DATA!U566,"AAAAAG/3nwk=")</f>
        <v>1</v>
      </c>
      <c r="K107" t="b">
        <f>AND(DATA!V566,"AAAAAG/3nwo=")</f>
        <v>1</v>
      </c>
      <c r="L107" t="e">
        <f>AND(DATA!W565,"AAAAAG/3nws=")</f>
        <v>#VALUE!</v>
      </c>
      <c r="M107" t="e">
        <f>AND(DATA!X565,"AAAAAG/3nww=")</f>
        <v>#VALUE!</v>
      </c>
      <c r="N107" t="e">
        <f>AND(DATA!Y565,"AAAAAG/3nw0=")</f>
        <v>#VALUE!</v>
      </c>
      <c r="O107" t="str">
        <f>IF(DATA!566:566,"AAAAAG/3nw4=",0)</f>
        <v>AAAAAG/3nw4=</v>
      </c>
      <c r="P107" t="e">
        <f>AND(DATA!A566,"AAAAAG/3nw8=")</f>
        <v>#VALUE!</v>
      </c>
      <c r="Q107" t="e">
        <f>AND(DATA!B566,"AAAAAG/3nxA=")</f>
        <v>#VALUE!</v>
      </c>
      <c r="R107" t="e">
        <f>AND(DATA!C566,"AAAAAG/3nxE=")</f>
        <v>#VALUE!</v>
      </c>
      <c r="S107" t="e">
        <f>AND(DATA!D566,"AAAAAG/3nxI=")</f>
        <v>#VALUE!</v>
      </c>
      <c r="T107" t="e">
        <f>AND(DATA!E566,"AAAAAG/3nxM=")</f>
        <v>#VALUE!</v>
      </c>
      <c r="U107" t="e">
        <f>AND(DATA!F566,"AAAAAG/3nxQ=")</f>
        <v>#VALUE!</v>
      </c>
      <c r="V107" t="e">
        <f>AND(DATA!G566,"AAAAAG/3nxU=")</f>
        <v>#VALUE!</v>
      </c>
      <c r="W107" t="e">
        <f>AND(DATA!H566,"AAAAAG/3nxY=")</f>
        <v>#VALUE!</v>
      </c>
      <c r="X107" t="e">
        <f>AND(DATA!I566,"AAAAAG/3nxc=")</f>
        <v>#VALUE!</v>
      </c>
      <c r="Y107" t="e">
        <f>AND(DATA!J566,"AAAAAG/3nxg=")</f>
        <v>#VALUE!</v>
      </c>
      <c r="Z107" t="e">
        <f>AND(DATA!K566,"AAAAAG/3nxk=")</f>
        <v>#VALUE!</v>
      </c>
      <c r="AA107" t="b">
        <f>AND(DATA!L567,"AAAAAG/3nxo=")</f>
        <v>1</v>
      </c>
      <c r="AB107" t="b">
        <f>AND(DATA!M567,"AAAAAG/3nxs=")</f>
        <v>1</v>
      </c>
      <c r="AC107" t="b">
        <f>AND(DATA!N567,"AAAAAG/3nxw=")</f>
        <v>1</v>
      </c>
      <c r="AD107" t="b">
        <f>AND(DATA!O567,"AAAAAG/3nx0=")</f>
        <v>1</v>
      </c>
      <c r="AE107" t="b">
        <f>AND(DATA!P567,"AAAAAG/3nx4=")</f>
        <v>1</v>
      </c>
      <c r="AF107" t="b">
        <f>AND(DATA!Q567,"AAAAAG/3nx8=")</f>
        <v>1</v>
      </c>
      <c r="AG107" t="b">
        <f>AND(DATA!R567,"AAAAAG/3nyA=")</f>
        <v>1</v>
      </c>
      <c r="AH107" t="b">
        <f>AND(DATA!S567,"AAAAAG/3nyE=")</f>
        <v>1</v>
      </c>
      <c r="AI107" t="b">
        <f>AND(DATA!T567,"AAAAAG/3nyI=")</f>
        <v>1</v>
      </c>
      <c r="AJ107" t="b">
        <f>AND(DATA!U567,"AAAAAG/3nyM=")</f>
        <v>1</v>
      </c>
      <c r="AK107" t="b">
        <f>AND(DATA!V567,"AAAAAG/3nyQ=")</f>
        <v>1</v>
      </c>
      <c r="AL107" t="e">
        <f>AND(DATA!W566,"AAAAAG/3nyU=")</f>
        <v>#VALUE!</v>
      </c>
      <c r="AM107" t="e">
        <f>AND(DATA!X566,"AAAAAG/3nyY=")</f>
        <v>#VALUE!</v>
      </c>
      <c r="AN107" t="e">
        <f>AND(DATA!Y566,"AAAAAG/3nyc=")</f>
        <v>#VALUE!</v>
      </c>
      <c r="AO107">
        <f>IF(DATA!567:567,"AAAAAG/3nyg=",0)</f>
        <v>0</v>
      </c>
      <c r="AP107" t="e">
        <f>AND(DATA!A567,"AAAAAG/3nyk=")</f>
        <v>#VALUE!</v>
      </c>
      <c r="AQ107" t="e">
        <f>AND(DATA!B567,"AAAAAG/3nyo=")</f>
        <v>#VALUE!</v>
      </c>
      <c r="AR107" t="e">
        <f>AND(DATA!C567,"AAAAAG/3nys=")</f>
        <v>#VALUE!</v>
      </c>
      <c r="AS107" t="e">
        <f>AND(DATA!D567,"AAAAAG/3nyw=")</f>
        <v>#VALUE!</v>
      </c>
      <c r="AT107" t="e">
        <f>AND(DATA!E567,"AAAAAG/3ny0=")</f>
        <v>#VALUE!</v>
      </c>
      <c r="AU107" t="e">
        <f>AND(DATA!F567,"AAAAAG/3ny4=")</f>
        <v>#VALUE!</v>
      </c>
      <c r="AV107" t="e">
        <f>AND(DATA!G567,"AAAAAG/3ny8=")</f>
        <v>#VALUE!</v>
      </c>
      <c r="AW107" t="e">
        <f>AND(DATA!H567,"AAAAAG/3nzA=")</f>
        <v>#VALUE!</v>
      </c>
      <c r="AX107" t="e">
        <f>AND(DATA!I567,"AAAAAG/3nzE=")</f>
        <v>#VALUE!</v>
      </c>
      <c r="AY107" t="e">
        <f>AND(DATA!J567,"AAAAAG/3nzI=")</f>
        <v>#VALUE!</v>
      </c>
      <c r="AZ107" t="e">
        <f>AND(DATA!K567,"AAAAAG/3nzM=")</f>
        <v>#VALUE!</v>
      </c>
      <c r="BA107" t="b">
        <f>AND(DATA!L568,"AAAAAG/3nzQ=")</f>
        <v>1</v>
      </c>
      <c r="BB107" t="b">
        <f>AND(DATA!M568,"AAAAAG/3nzU=")</f>
        <v>1</v>
      </c>
      <c r="BC107" t="b">
        <f>AND(DATA!N568,"AAAAAG/3nzY=")</f>
        <v>1</v>
      </c>
      <c r="BD107" t="b">
        <f>AND(DATA!O568,"AAAAAG/3nzc=")</f>
        <v>1</v>
      </c>
      <c r="BE107" t="b">
        <f>AND(DATA!P568,"AAAAAG/3nzg=")</f>
        <v>1</v>
      </c>
      <c r="BF107" t="b">
        <f>AND(DATA!Q568,"AAAAAG/3nzk=")</f>
        <v>1</v>
      </c>
      <c r="BG107" t="b">
        <f>AND(DATA!R568,"AAAAAG/3nzo=")</f>
        <v>1</v>
      </c>
      <c r="BH107" t="b">
        <f>AND(DATA!S568,"AAAAAG/3nzs=")</f>
        <v>1</v>
      </c>
      <c r="BI107" t="b">
        <f>AND(DATA!T568,"AAAAAG/3nzw=")</f>
        <v>1</v>
      </c>
      <c r="BJ107" t="b">
        <f>AND(DATA!U568,"AAAAAG/3nz0=")</f>
        <v>1</v>
      </c>
      <c r="BK107" t="b">
        <f>AND(DATA!V568,"AAAAAG/3nz4=")</f>
        <v>1</v>
      </c>
      <c r="BL107" t="e">
        <f>AND(DATA!W567,"AAAAAG/3nz8=")</f>
        <v>#VALUE!</v>
      </c>
      <c r="BM107" t="e">
        <f>AND(DATA!X567,"AAAAAG/3n0A=")</f>
        <v>#VALUE!</v>
      </c>
      <c r="BN107" t="e">
        <f>AND(DATA!Y567,"AAAAAG/3n0E=")</f>
        <v>#VALUE!</v>
      </c>
      <c r="BO107">
        <f>IF(DATA!568:568,"AAAAAG/3n0I=",0)</f>
        <v>0</v>
      </c>
      <c r="BP107" t="e">
        <f>AND(DATA!A568,"AAAAAG/3n0M=")</f>
        <v>#VALUE!</v>
      </c>
      <c r="BQ107" t="e">
        <f>AND(DATA!B568,"AAAAAG/3n0Q=")</f>
        <v>#VALUE!</v>
      </c>
      <c r="BR107" t="e">
        <f>AND(DATA!C568,"AAAAAG/3n0U=")</f>
        <v>#VALUE!</v>
      </c>
      <c r="BS107" t="e">
        <f>AND(DATA!D568,"AAAAAG/3n0Y=")</f>
        <v>#VALUE!</v>
      </c>
      <c r="BT107" t="e">
        <f>AND(DATA!E568,"AAAAAG/3n0c=")</f>
        <v>#VALUE!</v>
      </c>
      <c r="BU107" t="e">
        <f>AND(DATA!F568,"AAAAAG/3n0g=")</f>
        <v>#VALUE!</v>
      </c>
      <c r="BV107" t="e">
        <f>AND(DATA!G568,"AAAAAG/3n0k=")</f>
        <v>#VALUE!</v>
      </c>
      <c r="BW107" t="e">
        <f>AND(DATA!H568,"AAAAAG/3n0o=")</f>
        <v>#VALUE!</v>
      </c>
      <c r="BX107" t="e">
        <f>AND(DATA!I568,"AAAAAG/3n0s=")</f>
        <v>#VALUE!</v>
      </c>
      <c r="BY107" t="e">
        <f>AND(DATA!J568,"AAAAAG/3n0w=")</f>
        <v>#VALUE!</v>
      </c>
      <c r="BZ107" t="e">
        <f>AND(DATA!K568,"AAAAAG/3n00=")</f>
        <v>#VALUE!</v>
      </c>
      <c r="CA107" t="b">
        <f>AND(DATA!L569,"AAAAAG/3n04=")</f>
        <v>1</v>
      </c>
      <c r="CB107" t="b">
        <f>AND(DATA!M569,"AAAAAG/3n08=")</f>
        <v>1</v>
      </c>
      <c r="CC107" t="b">
        <f>AND(DATA!N569,"AAAAAG/3n1A=")</f>
        <v>1</v>
      </c>
      <c r="CD107" t="b">
        <f>AND(DATA!O569,"AAAAAG/3n1E=")</f>
        <v>1</v>
      </c>
      <c r="CE107" t="b">
        <f>AND(DATA!P569,"AAAAAG/3n1I=")</f>
        <v>1</v>
      </c>
      <c r="CF107" t="b">
        <f>AND(DATA!Q569,"AAAAAG/3n1M=")</f>
        <v>1</v>
      </c>
      <c r="CG107" t="b">
        <f>AND(DATA!R569,"AAAAAG/3n1Q=")</f>
        <v>1</v>
      </c>
      <c r="CH107" t="b">
        <f>AND(DATA!S569,"AAAAAG/3n1U=")</f>
        <v>1</v>
      </c>
      <c r="CI107" t="b">
        <f>AND(DATA!T569,"AAAAAG/3n1Y=")</f>
        <v>1</v>
      </c>
      <c r="CJ107" t="b">
        <f>AND(DATA!U569,"AAAAAG/3n1c=")</f>
        <v>1</v>
      </c>
      <c r="CK107" t="b">
        <f>AND(DATA!V569,"AAAAAG/3n1g=")</f>
        <v>1</v>
      </c>
      <c r="CL107" t="e">
        <f>AND(DATA!W568,"AAAAAG/3n1k=")</f>
        <v>#VALUE!</v>
      </c>
      <c r="CM107" t="e">
        <f>AND(DATA!X568,"AAAAAG/3n1o=")</f>
        <v>#VALUE!</v>
      </c>
      <c r="CN107" t="e">
        <f>AND(DATA!Y568,"AAAAAG/3n1s=")</f>
        <v>#VALUE!</v>
      </c>
      <c r="CO107">
        <f>IF(DATA!569:569,"AAAAAG/3n1w=",0)</f>
        <v>0</v>
      </c>
      <c r="CP107" t="e">
        <f>AND(DATA!A569,"AAAAAG/3n10=")</f>
        <v>#VALUE!</v>
      </c>
      <c r="CQ107" t="e">
        <f>AND(DATA!B569,"AAAAAG/3n14=")</f>
        <v>#VALUE!</v>
      </c>
      <c r="CR107" t="e">
        <f>AND(DATA!C569,"AAAAAG/3n18=")</f>
        <v>#VALUE!</v>
      </c>
      <c r="CS107" t="e">
        <f>AND(DATA!D569,"AAAAAG/3n2A=")</f>
        <v>#VALUE!</v>
      </c>
      <c r="CT107" t="e">
        <f>AND(DATA!E569,"AAAAAG/3n2E=")</f>
        <v>#VALUE!</v>
      </c>
      <c r="CU107" t="e">
        <f>AND(DATA!F569,"AAAAAG/3n2I=")</f>
        <v>#VALUE!</v>
      </c>
      <c r="CV107" t="e">
        <f>AND(DATA!G569,"AAAAAG/3n2M=")</f>
        <v>#VALUE!</v>
      </c>
      <c r="CW107" t="e">
        <f>AND(DATA!H569,"AAAAAG/3n2Q=")</f>
        <v>#VALUE!</v>
      </c>
      <c r="CX107" t="e">
        <f>AND(DATA!I569,"AAAAAG/3n2U=")</f>
        <v>#VALUE!</v>
      </c>
      <c r="CY107" t="e">
        <f>AND(DATA!J569,"AAAAAG/3n2Y=")</f>
        <v>#VALUE!</v>
      </c>
      <c r="CZ107" t="e">
        <f>AND(DATA!K569,"AAAAAG/3n2c=")</f>
        <v>#VALUE!</v>
      </c>
      <c r="DA107" t="b">
        <f>AND(DATA!L570,"AAAAAG/3n2g=")</f>
        <v>1</v>
      </c>
      <c r="DB107" t="b">
        <f>AND(DATA!M570,"AAAAAG/3n2k=")</f>
        <v>1</v>
      </c>
      <c r="DC107" t="b">
        <f>AND(DATA!N570,"AAAAAG/3n2o=")</f>
        <v>1</v>
      </c>
      <c r="DD107" t="b">
        <f>AND(DATA!O570,"AAAAAG/3n2s=")</f>
        <v>1</v>
      </c>
      <c r="DE107" t="b">
        <f>AND(DATA!P570,"AAAAAG/3n2w=")</f>
        <v>1</v>
      </c>
      <c r="DF107" t="b">
        <f>AND(DATA!Q570,"AAAAAG/3n20=")</f>
        <v>1</v>
      </c>
      <c r="DG107" t="b">
        <f>AND(DATA!R570,"AAAAAG/3n24=")</f>
        <v>1</v>
      </c>
      <c r="DH107" t="b">
        <f>AND(DATA!S570,"AAAAAG/3n28=")</f>
        <v>1</v>
      </c>
      <c r="DI107" t="b">
        <f>AND(DATA!T570,"AAAAAG/3n3A=")</f>
        <v>1</v>
      </c>
      <c r="DJ107" t="b">
        <f>AND(DATA!U570,"AAAAAG/3n3E=")</f>
        <v>1</v>
      </c>
      <c r="DK107" t="b">
        <f>AND(DATA!V570,"AAAAAG/3n3I=")</f>
        <v>1</v>
      </c>
      <c r="DL107" t="e">
        <f>AND(DATA!W569,"AAAAAG/3n3M=")</f>
        <v>#VALUE!</v>
      </c>
      <c r="DM107" t="e">
        <f>AND(DATA!X569,"AAAAAG/3n3Q=")</f>
        <v>#VALUE!</v>
      </c>
      <c r="DN107" t="e">
        <f>AND(DATA!Y569,"AAAAAG/3n3U=")</f>
        <v>#VALUE!</v>
      </c>
      <c r="DO107">
        <f>IF(DATA!570:570,"AAAAAG/3n3Y=",0)</f>
        <v>0</v>
      </c>
      <c r="DP107" t="e">
        <f>AND(DATA!A570,"AAAAAG/3n3c=")</f>
        <v>#VALUE!</v>
      </c>
      <c r="DQ107" t="e">
        <f>AND(DATA!B570,"AAAAAG/3n3g=")</f>
        <v>#VALUE!</v>
      </c>
      <c r="DR107" t="e">
        <f>AND(DATA!C570,"AAAAAG/3n3k=")</f>
        <v>#VALUE!</v>
      </c>
      <c r="DS107" t="e">
        <f>AND(DATA!D570,"AAAAAG/3n3o=")</f>
        <v>#VALUE!</v>
      </c>
      <c r="DT107" t="e">
        <f>AND(DATA!E570,"AAAAAG/3n3s=")</f>
        <v>#VALUE!</v>
      </c>
      <c r="DU107" t="e">
        <f>AND(DATA!F570,"AAAAAG/3n3w=")</f>
        <v>#VALUE!</v>
      </c>
      <c r="DV107" t="e">
        <f>AND(DATA!G570,"AAAAAG/3n30=")</f>
        <v>#VALUE!</v>
      </c>
      <c r="DW107" t="e">
        <f>AND(DATA!H570,"AAAAAG/3n34=")</f>
        <v>#VALUE!</v>
      </c>
      <c r="DX107" t="e">
        <f>AND(DATA!I570,"AAAAAG/3n38=")</f>
        <v>#VALUE!</v>
      </c>
      <c r="DY107" t="e">
        <f>AND(DATA!J570,"AAAAAG/3n4A=")</f>
        <v>#VALUE!</v>
      </c>
      <c r="DZ107" t="e">
        <f>AND(DATA!K570,"AAAAAG/3n4E=")</f>
        <v>#VALUE!</v>
      </c>
      <c r="EA107" t="b">
        <f>AND(DATA!L571,"AAAAAG/3n4I=")</f>
        <v>1</v>
      </c>
      <c r="EB107" t="b">
        <f>AND(DATA!M571,"AAAAAG/3n4M=")</f>
        <v>1</v>
      </c>
      <c r="EC107" t="b">
        <f>AND(DATA!N571,"AAAAAG/3n4Q=")</f>
        <v>1</v>
      </c>
      <c r="ED107" t="b">
        <f>AND(DATA!O571,"AAAAAG/3n4U=")</f>
        <v>1</v>
      </c>
      <c r="EE107" t="b">
        <f>AND(DATA!P571,"AAAAAG/3n4Y=")</f>
        <v>1</v>
      </c>
      <c r="EF107" t="b">
        <f>AND(DATA!Q571,"AAAAAG/3n4c=")</f>
        <v>1</v>
      </c>
      <c r="EG107" t="b">
        <f>AND(DATA!R571,"AAAAAG/3n4g=")</f>
        <v>1</v>
      </c>
      <c r="EH107" t="b">
        <f>AND(DATA!S571,"AAAAAG/3n4k=")</f>
        <v>1</v>
      </c>
      <c r="EI107" t="b">
        <f>AND(DATA!T571,"AAAAAG/3n4o=")</f>
        <v>1</v>
      </c>
      <c r="EJ107" t="b">
        <f>AND(DATA!U571,"AAAAAG/3n4s=")</f>
        <v>1</v>
      </c>
      <c r="EK107" t="b">
        <f>AND(DATA!V571,"AAAAAG/3n4w=")</f>
        <v>1</v>
      </c>
      <c r="EL107" t="e">
        <f>AND(DATA!W570,"AAAAAG/3n40=")</f>
        <v>#VALUE!</v>
      </c>
      <c r="EM107" t="e">
        <f>AND(DATA!X570,"AAAAAG/3n44=")</f>
        <v>#VALUE!</v>
      </c>
      <c r="EN107" t="e">
        <f>AND(DATA!Y570,"AAAAAG/3n48=")</f>
        <v>#VALUE!</v>
      </c>
      <c r="EO107">
        <f>IF(DATA!571:571,"AAAAAG/3n5A=",0)</f>
        <v>0</v>
      </c>
      <c r="EP107" t="e">
        <f>AND(DATA!A571,"AAAAAG/3n5E=")</f>
        <v>#VALUE!</v>
      </c>
      <c r="EQ107" t="e">
        <f>AND(DATA!B571,"AAAAAG/3n5I=")</f>
        <v>#VALUE!</v>
      </c>
      <c r="ER107" t="e">
        <f>AND(DATA!C571,"AAAAAG/3n5M=")</f>
        <v>#VALUE!</v>
      </c>
      <c r="ES107" t="e">
        <f>AND(DATA!D571,"AAAAAG/3n5Q=")</f>
        <v>#VALUE!</v>
      </c>
      <c r="ET107" t="e">
        <f>AND(DATA!E571,"AAAAAG/3n5U=")</f>
        <v>#VALUE!</v>
      </c>
      <c r="EU107" t="e">
        <f>AND(DATA!F571,"AAAAAG/3n5Y=")</f>
        <v>#VALUE!</v>
      </c>
      <c r="EV107" t="e">
        <f>AND(DATA!G571,"AAAAAG/3n5c=")</f>
        <v>#VALUE!</v>
      </c>
      <c r="EW107" t="e">
        <f>AND(DATA!H571,"AAAAAG/3n5g=")</f>
        <v>#VALUE!</v>
      </c>
      <c r="EX107" t="e">
        <f>AND(DATA!I571,"AAAAAG/3n5k=")</f>
        <v>#VALUE!</v>
      </c>
      <c r="EY107" t="e">
        <f>AND(DATA!J571,"AAAAAG/3n5o=")</f>
        <v>#VALUE!</v>
      </c>
      <c r="EZ107" t="e">
        <f>AND(DATA!K571,"AAAAAG/3n5s=")</f>
        <v>#VALUE!</v>
      </c>
      <c r="FA107" t="b">
        <f>AND(DATA!L572,"AAAAAG/3n5w=")</f>
        <v>1</v>
      </c>
      <c r="FB107" t="b">
        <f>AND(DATA!M572,"AAAAAG/3n50=")</f>
        <v>1</v>
      </c>
      <c r="FC107" t="b">
        <f>AND(DATA!N572,"AAAAAG/3n54=")</f>
        <v>1</v>
      </c>
      <c r="FD107" t="b">
        <f>AND(DATA!O572,"AAAAAG/3n58=")</f>
        <v>1</v>
      </c>
      <c r="FE107" t="b">
        <f>AND(DATA!P572,"AAAAAG/3n6A=")</f>
        <v>1</v>
      </c>
      <c r="FF107" t="b">
        <f>AND(DATA!Q572,"AAAAAG/3n6E=")</f>
        <v>1</v>
      </c>
      <c r="FG107" t="b">
        <f>AND(DATA!R572,"AAAAAG/3n6I=")</f>
        <v>1</v>
      </c>
      <c r="FH107" t="b">
        <f>AND(DATA!S572,"AAAAAG/3n6M=")</f>
        <v>1</v>
      </c>
      <c r="FI107" t="b">
        <f>AND(DATA!T572,"AAAAAG/3n6Q=")</f>
        <v>1</v>
      </c>
      <c r="FJ107" t="b">
        <f>AND(DATA!U572,"AAAAAG/3n6U=")</f>
        <v>1</v>
      </c>
      <c r="FK107" t="b">
        <f>AND(DATA!V572,"AAAAAG/3n6Y=")</f>
        <v>1</v>
      </c>
      <c r="FL107" t="e">
        <f>AND(DATA!W571,"AAAAAG/3n6c=")</f>
        <v>#VALUE!</v>
      </c>
      <c r="FM107" t="e">
        <f>AND(DATA!X571,"AAAAAG/3n6g=")</f>
        <v>#VALUE!</v>
      </c>
      <c r="FN107" t="e">
        <f>AND(DATA!Y571,"AAAAAG/3n6k=")</f>
        <v>#VALUE!</v>
      </c>
      <c r="FO107">
        <f>IF(DATA!572:572,"AAAAAG/3n6o=",0)</f>
        <v>0</v>
      </c>
      <c r="FP107" t="e">
        <f>AND(DATA!A572,"AAAAAG/3n6s=")</f>
        <v>#VALUE!</v>
      </c>
      <c r="FQ107" t="e">
        <f>AND(DATA!B572,"AAAAAG/3n6w=")</f>
        <v>#VALUE!</v>
      </c>
      <c r="FR107" t="e">
        <f>AND(DATA!C572,"AAAAAG/3n60=")</f>
        <v>#VALUE!</v>
      </c>
      <c r="FS107" t="e">
        <f>AND(DATA!D572,"AAAAAG/3n64=")</f>
        <v>#VALUE!</v>
      </c>
      <c r="FT107" t="e">
        <f>AND(DATA!E572,"AAAAAG/3n68=")</f>
        <v>#VALUE!</v>
      </c>
      <c r="FU107" t="e">
        <f>AND(DATA!F572,"AAAAAG/3n7A=")</f>
        <v>#VALUE!</v>
      </c>
      <c r="FV107" t="e">
        <f>AND(DATA!G572,"AAAAAG/3n7E=")</f>
        <v>#VALUE!</v>
      </c>
      <c r="FW107" t="e">
        <f>AND(DATA!H572,"AAAAAG/3n7I=")</f>
        <v>#VALUE!</v>
      </c>
      <c r="FX107" t="e">
        <f>AND(DATA!I572,"AAAAAG/3n7M=")</f>
        <v>#VALUE!</v>
      </c>
      <c r="FY107" t="e">
        <f>AND(DATA!J572,"AAAAAG/3n7Q=")</f>
        <v>#VALUE!</v>
      </c>
      <c r="FZ107" t="e">
        <f>AND(DATA!K572,"AAAAAG/3n7U=")</f>
        <v>#VALUE!</v>
      </c>
      <c r="GA107" t="b">
        <f>AND(DATA!L573,"AAAAAG/3n7Y=")</f>
        <v>1</v>
      </c>
      <c r="GB107" t="b">
        <f>AND(DATA!M573,"AAAAAG/3n7c=")</f>
        <v>1</v>
      </c>
      <c r="GC107" t="b">
        <f>AND(DATA!N573,"AAAAAG/3n7g=")</f>
        <v>1</v>
      </c>
      <c r="GD107" t="b">
        <f>AND(DATA!O573,"AAAAAG/3n7k=")</f>
        <v>1</v>
      </c>
      <c r="GE107" t="b">
        <f>AND(DATA!P573,"AAAAAG/3n7o=")</f>
        <v>1</v>
      </c>
      <c r="GF107" t="b">
        <f>AND(DATA!Q573,"AAAAAG/3n7s=")</f>
        <v>1</v>
      </c>
      <c r="GG107" t="b">
        <f>AND(DATA!R573,"AAAAAG/3n7w=")</f>
        <v>1</v>
      </c>
      <c r="GH107" t="b">
        <f>AND(DATA!S573,"AAAAAG/3n70=")</f>
        <v>1</v>
      </c>
      <c r="GI107" t="b">
        <f>AND(DATA!T573,"AAAAAG/3n74=")</f>
        <v>1</v>
      </c>
      <c r="GJ107" t="b">
        <f>AND(DATA!U573,"AAAAAG/3n78=")</f>
        <v>1</v>
      </c>
      <c r="GK107" t="b">
        <f>AND(DATA!V573,"AAAAAG/3n8A=")</f>
        <v>1</v>
      </c>
      <c r="GL107" t="e">
        <f>AND(DATA!W572,"AAAAAG/3n8E=")</f>
        <v>#VALUE!</v>
      </c>
      <c r="GM107" t="e">
        <f>AND(DATA!X572,"AAAAAG/3n8I=")</f>
        <v>#VALUE!</v>
      </c>
      <c r="GN107" t="e">
        <f>AND(DATA!Y572,"AAAAAG/3n8M=")</f>
        <v>#VALUE!</v>
      </c>
      <c r="GO107">
        <f>IF(DATA!573:573,"AAAAAG/3n8Q=",0)</f>
        <v>0</v>
      </c>
      <c r="GP107" t="e">
        <f>AND(DATA!A573,"AAAAAG/3n8U=")</f>
        <v>#VALUE!</v>
      </c>
      <c r="GQ107" t="e">
        <f>AND(DATA!B573,"AAAAAG/3n8Y=")</f>
        <v>#VALUE!</v>
      </c>
      <c r="GR107" t="e">
        <f>AND(DATA!C573,"AAAAAG/3n8c=")</f>
        <v>#VALUE!</v>
      </c>
      <c r="GS107" t="e">
        <f>AND(DATA!D573,"AAAAAG/3n8g=")</f>
        <v>#VALUE!</v>
      </c>
      <c r="GT107" t="e">
        <f>AND(DATA!E573,"AAAAAG/3n8k=")</f>
        <v>#VALUE!</v>
      </c>
      <c r="GU107" t="e">
        <f>AND(DATA!F573,"AAAAAG/3n8o=")</f>
        <v>#VALUE!</v>
      </c>
      <c r="GV107" t="e">
        <f>AND(DATA!G573,"AAAAAG/3n8s=")</f>
        <v>#VALUE!</v>
      </c>
      <c r="GW107" t="e">
        <f>AND(DATA!H573,"AAAAAG/3n8w=")</f>
        <v>#VALUE!</v>
      </c>
      <c r="GX107" t="e">
        <f>AND(DATA!I573,"AAAAAG/3n80=")</f>
        <v>#VALUE!</v>
      </c>
      <c r="GY107" t="e">
        <f>AND(DATA!J573,"AAAAAG/3n84=")</f>
        <v>#VALUE!</v>
      </c>
      <c r="GZ107" t="e">
        <f>AND(DATA!K573,"AAAAAG/3n88=")</f>
        <v>#VALUE!</v>
      </c>
      <c r="HA107" t="b">
        <f>AND(DATA!L574,"AAAAAG/3n9A=")</f>
        <v>1</v>
      </c>
      <c r="HB107" t="b">
        <f>AND(DATA!M574,"AAAAAG/3n9E=")</f>
        <v>1</v>
      </c>
      <c r="HC107" t="b">
        <f>AND(DATA!N574,"AAAAAG/3n9I=")</f>
        <v>1</v>
      </c>
      <c r="HD107" t="b">
        <f>AND(DATA!O574,"AAAAAG/3n9M=")</f>
        <v>1</v>
      </c>
      <c r="HE107" t="b">
        <f>AND(DATA!P574,"AAAAAG/3n9Q=")</f>
        <v>1</v>
      </c>
      <c r="HF107" t="b">
        <f>AND(DATA!Q574,"AAAAAG/3n9U=")</f>
        <v>1</v>
      </c>
      <c r="HG107" t="b">
        <f>AND(DATA!R574,"AAAAAG/3n9Y=")</f>
        <v>1</v>
      </c>
      <c r="HH107" t="b">
        <f>AND(DATA!S574,"AAAAAG/3n9c=")</f>
        <v>1</v>
      </c>
      <c r="HI107" t="b">
        <f>AND(DATA!T574,"AAAAAG/3n9g=")</f>
        <v>1</v>
      </c>
      <c r="HJ107" t="b">
        <f>AND(DATA!U574,"AAAAAG/3n9k=")</f>
        <v>1</v>
      </c>
      <c r="HK107" t="b">
        <f>AND(DATA!V574,"AAAAAG/3n9o=")</f>
        <v>1</v>
      </c>
      <c r="HL107" t="e">
        <f>AND(DATA!W573,"AAAAAG/3n9s=")</f>
        <v>#VALUE!</v>
      </c>
      <c r="HM107" t="e">
        <f>AND(DATA!X573,"AAAAAG/3n9w=")</f>
        <v>#VALUE!</v>
      </c>
      <c r="HN107" t="e">
        <f>AND(DATA!Y573,"AAAAAG/3n90=")</f>
        <v>#VALUE!</v>
      </c>
      <c r="HO107">
        <f>IF(DATA!574:574,"AAAAAG/3n94=",0)</f>
        <v>0</v>
      </c>
      <c r="HP107" t="e">
        <f>AND(DATA!A574,"AAAAAG/3n98=")</f>
        <v>#VALUE!</v>
      </c>
      <c r="HQ107" t="e">
        <f>AND(DATA!B574,"AAAAAG/3n+A=")</f>
        <v>#VALUE!</v>
      </c>
      <c r="HR107" t="e">
        <f>AND(DATA!C574,"AAAAAG/3n+E=")</f>
        <v>#VALUE!</v>
      </c>
      <c r="HS107" t="e">
        <f>AND(DATA!D574,"AAAAAG/3n+I=")</f>
        <v>#VALUE!</v>
      </c>
      <c r="HT107" t="e">
        <f>AND(DATA!E574,"AAAAAG/3n+M=")</f>
        <v>#VALUE!</v>
      </c>
      <c r="HU107" t="e">
        <f>AND(DATA!F574,"AAAAAG/3n+Q=")</f>
        <v>#VALUE!</v>
      </c>
      <c r="HV107" t="e">
        <f>AND(DATA!G574,"AAAAAG/3n+U=")</f>
        <v>#VALUE!</v>
      </c>
      <c r="HW107" t="e">
        <f>AND(DATA!H574,"AAAAAG/3n+Y=")</f>
        <v>#VALUE!</v>
      </c>
      <c r="HX107" t="e">
        <f>AND(DATA!I574,"AAAAAG/3n+c=")</f>
        <v>#VALUE!</v>
      </c>
      <c r="HY107" t="e">
        <f>AND(DATA!J574,"AAAAAG/3n+g=")</f>
        <v>#VALUE!</v>
      </c>
      <c r="HZ107" t="e">
        <f>AND(DATA!K574,"AAAAAG/3n+k=")</f>
        <v>#VALUE!</v>
      </c>
      <c r="IA107" t="b">
        <f>AND(DATA!L575,"AAAAAG/3n+o=")</f>
        <v>1</v>
      </c>
      <c r="IB107" t="b">
        <f>AND(DATA!M575,"AAAAAG/3n+s=")</f>
        <v>1</v>
      </c>
      <c r="IC107" t="b">
        <f>AND(DATA!N575,"AAAAAG/3n+w=")</f>
        <v>1</v>
      </c>
      <c r="ID107" t="b">
        <f>AND(DATA!O575,"AAAAAG/3n+0=")</f>
        <v>1</v>
      </c>
      <c r="IE107" t="b">
        <f>AND(DATA!P575,"AAAAAG/3n+4=")</f>
        <v>1</v>
      </c>
      <c r="IF107" t="b">
        <f>AND(DATA!Q575,"AAAAAG/3n+8=")</f>
        <v>1</v>
      </c>
      <c r="IG107" t="b">
        <f>AND(DATA!R575,"AAAAAG/3n/A=")</f>
        <v>1</v>
      </c>
      <c r="IH107" t="b">
        <f>AND(DATA!S575,"AAAAAG/3n/E=")</f>
        <v>1</v>
      </c>
      <c r="II107" t="b">
        <f>AND(DATA!T575,"AAAAAG/3n/I=")</f>
        <v>1</v>
      </c>
      <c r="IJ107" t="b">
        <f>AND(DATA!U575,"AAAAAG/3n/M=")</f>
        <v>1</v>
      </c>
      <c r="IK107" t="b">
        <f>AND(DATA!V575,"AAAAAG/3n/Q=")</f>
        <v>1</v>
      </c>
      <c r="IL107" t="e">
        <f>AND(DATA!W574,"AAAAAG/3n/U=")</f>
        <v>#VALUE!</v>
      </c>
      <c r="IM107" t="e">
        <f>AND(DATA!X574,"AAAAAG/3n/Y=")</f>
        <v>#VALUE!</v>
      </c>
      <c r="IN107" t="e">
        <f>AND(DATA!Y574,"AAAAAG/3n/c=")</f>
        <v>#VALUE!</v>
      </c>
      <c r="IO107">
        <f>IF(DATA!575:575,"AAAAAG/3n/g=",0)</f>
        <v>0</v>
      </c>
      <c r="IP107" t="e">
        <f>AND(DATA!A575,"AAAAAG/3n/k=")</f>
        <v>#VALUE!</v>
      </c>
      <c r="IQ107" t="e">
        <f>AND(DATA!B575,"AAAAAG/3n/o=")</f>
        <v>#VALUE!</v>
      </c>
      <c r="IR107" t="e">
        <f>AND(DATA!C575,"AAAAAG/3n/s=")</f>
        <v>#VALUE!</v>
      </c>
      <c r="IS107" t="e">
        <f>AND(DATA!D575,"AAAAAG/3n/w=")</f>
        <v>#VALUE!</v>
      </c>
      <c r="IT107" t="e">
        <f>AND(DATA!E575,"AAAAAG/3n/0=")</f>
        <v>#VALUE!</v>
      </c>
      <c r="IU107" t="e">
        <f>AND(DATA!F575,"AAAAAG/3n/4=")</f>
        <v>#VALUE!</v>
      </c>
      <c r="IV107" t="e">
        <f>AND(DATA!G575,"AAAAAG/3n/8=")</f>
        <v>#VALUE!</v>
      </c>
    </row>
    <row r="108" spans="1:256" x14ac:dyDescent="0.25">
      <c r="A108" t="e">
        <f>AND(DATA!H575,"AAAAAF+mfQA=")</f>
        <v>#VALUE!</v>
      </c>
      <c r="B108" t="e">
        <f>AND(DATA!I575,"AAAAAF+mfQE=")</f>
        <v>#VALUE!</v>
      </c>
      <c r="C108" t="e">
        <f>AND(DATA!J575,"AAAAAF+mfQI=")</f>
        <v>#VALUE!</v>
      </c>
      <c r="D108" t="e">
        <f>AND(DATA!K575,"AAAAAF+mfQM=")</f>
        <v>#VALUE!</v>
      </c>
      <c r="E108" t="b">
        <f>AND(DATA!L576,"AAAAAF+mfQQ=")</f>
        <v>1</v>
      </c>
      <c r="F108" t="b">
        <f>AND(DATA!M576,"AAAAAF+mfQU=")</f>
        <v>1</v>
      </c>
      <c r="G108" t="b">
        <f>AND(DATA!N576,"AAAAAF+mfQY=")</f>
        <v>1</v>
      </c>
      <c r="H108" t="b">
        <f>AND(DATA!O576,"AAAAAF+mfQc=")</f>
        <v>1</v>
      </c>
      <c r="I108" t="b">
        <f>AND(DATA!P576,"AAAAAF+mfQg=")</f>
        <v>1</v>
      </c>
      <c r="J108" t="b">
        <f>AND(DATA!Q576,"AAAAAF+mfQk=")</f>
        <v>1</v>
      </c>
      <c r="K108" t="b">
        <f>AND(DATA!R576,"AAAAAF+mfQo=")</f>
        <v>1</v>
      </c>
      <c r="L108" t="b">
        <f>AND(DATA!S576,"AAAAAF+mfQs=")</f>
        <v>1</v>
      </c>
      <c r="M108" t="b">
        <f>AND(DATA!T576,"AAAAAF+mfQw=")</f>
        <v>1</v>
      </c>
      <c r="N108" t="b">
        <f>AND(DATA!U576,"AAAAAF+mfQ0=")</f>
        <v>1</v>
      </c>
      <c r="O108" t="b">
        <f>AND(DATA!V576,"AAAAAF+mfQ4=")</f>
        <v>1</v>
      </c>
      <c r="P108" t="e">
        <f>AND(DATA!W575,"AAAAAF+mfQ8=")</f>
        <v>#VALUE!</v>
      </c>
      <c r="Q108" t="e">
        <f>AND(DATA!X575,"AAAAAF+mfRA=")</f>
        <v>#VALUE!</v>
      </c>
      <c r="R108" t="e">
        <f>AND(DATA!Y575,"AAAAAF+mfRE=")</f>
        <v>#VALUE!</v>
      </c>
      <c r="S108" t="str">
        <f>IF(DATA!576:576,"AAAAAF+mfRI=",0)</f>
        <v>AAAAAF+mfRI=</v>
      </c>
      <c r="T108" t="e">
        <f>AND(DATA!A576,"AAAAAF+mfRM=")</f>
        <v>#VALUE!</v>
      </c>
      <c r="U108" t="e">
        <f>AND(DATA!B576,"AAAAAF+mfRQ=")</f>
        <v>#VALUE!</v>
      </c>
      <c r="V108" t="e">
        <f>AND(DATA!C576,"AAAAAF+mfRU=")</f>
        <v>#VALUE!</v>
      </c>
      <c r="W108" t="e">
        <f>AND(DATA!D576,"AAAAAF+mfRY=")</f>
        <v>#VALUE!</v>
      </c>
      <c r="X108" t="e">
        <f>AND(DATA!E576,"AAAAAF+mfRc=")</f>
        <v>#VALUE!</v>
      </c>
      <c r="Y108" t="e">
        <f>AND(DATA!F576,"AAAAAF+mfRg=")</f>
        <v>#VALUE!</v>
      </c>
      <c r="Z108" t="e">
        <f>AND(DATA!G576,"AAAAAF+mfRk=")</f>
        <v>#VALUE!</v>
      </c>
      <c r="AA108" t="e">
        <f>AND(DATA!H576,"AAAAAF+mfRo=")</f>
        <v>#VALUE!</v>
      </c>
      <c r="AB108" t="e">
        <f>AND(DATA!I576,"AAAAAF+mfRs=")</f>
        <v>#VALUE!</v>
      </c>
      <c r="AC108" t="e">
        <f>AND(DATA!J576,"AAAAAF+mfRw=")</f>
        <v>#VALUE!</v>
      </c>
      <c r="AD108" t="e">
        <f>AND(DATA!K576,"AAAAAF+mfR0=")</f>
        <v>#VALUE!</v>
      </c>
      <c r="AE108" t="b">
        <f>AND(DATA!L577,"AAAAAF+mfR4=")</f>
        <v>1</v>
      </c>
      <c r="AF108" t="b">
        <f>AND(DATA!M577,"AAAAAF+mfR8=")</f>
        <v>1</v>
      </c>
      <c r="AG108" t="b">
        <f>AND(DATA!N577,"AAAAAF+mfSA=")</f>
        <v>1</v>
      </c>
      <c r="AH108" t="b">
        <f>AND(DATA!O577,"AAAAAF+mfSE=")</f>
        <v>1</v>
      </c>
      <c r="AI108" t="b">
        <f>AND(DATA!P577,"AAAAAF+mfSI=")</f>
        <v>1</v>
      </c>
      <c r="AJ108" t="b">
        <f>AND(DATA!Q577,"AAAAAF+mfSM=")</f>
        <v>1</v>
      </c>
      <c r="AK108" t="b">
        <f>AND(DATA!R577,"AAAAAF+mfSQ=")</f>
        <v>1</v>
      </c>
      <c r="AL108" t="b">
        <f>AND(DATA!S577,"AAAAAF+mfSU=")</f>
        <v>1</v>
      </c>
      <c r="AM108" t="b">
        <f>AND(DATA!T577,"AAAAAF+mfSY=")</f>
        <v>1</v>
      </c>
      <c r="AN108" t="b">
        <f>AND(DATA!U577,"AAAAAF+mfSc=")</f>
        <v>1</v>
      </c>
      <c r="AO108" t="b">
        <f>AND(DATA!V577,"AAAAAF+mfSg=")</f>
        <v>1</v>
      </c>
      <c r="AP108" t="e">
        <f>AND(DATA!W576,"AAAAAF+mfSk=")</f>
        <v>#VALUE!</v>
      </c>
      <c r="AQ108" t="e">
        <f>AND(DATA!X576,"AAAAAF+mfSo=")</f>
        <v>#VALUE!</v>
      </c>
      <c r="AR108" t="e">
        <f>AND(DATA!Y576,"AAAAAF+mfSs=")</f>
        <v>#VALUE!</v>
      </c>
      <c r="AS108">
        <f>IF(DATA!577:577,"AAAAAF+mfSw=",0)</f>
        <v>0</v>
      </c>
      <c r="AT108" t="e">
        <f>AND(DATA!A577,"AAAAAF+mfS0=")</f>
        <v>#VALUE!</v>
      </c>
      <c r="AU108" t="e">
        <f>AND(DATA!B577,"AAAAAF+mfS4=")</f>
        <v>#VALUE!</v>
      </c>
      <c r="AV108" t="e">
        <f>AND(DATA!C577,"AAAAAF+mfS8=")</f>
        <v>#VALUE!</v>
      </c>
      <c r="AW108" t="e">
        <f>AND(DATA!D577,"AAAAAF+mfTA=")</f>
        <v>#VALUE!</v>
      </c>
      <c r="AX108" t="e">
        <f>AND(DATA!E577,"AAAAAF+mfTE=")</f>
        <v>#VALUE!</v>
      </c>
      <c r="AY108" t="e">
        <f>AND(DATA!F577,"AAAAAF+mfTI=")</f>
        <v>#VALUE!</v>
      </c>
      <c r="AZ108" t="e">
        <f>AND(DATA!G577,"AAAAAF+mfTM=")</f>
        <v>#VALUE!</v>
      </c>
      <c r="BA108" t="e">
        <f>AND(DATA!H577,"AAAAAF+mfTQ=")</f>
        <v>#VALUE!</v>
      </c>
      <c r="BB108" t="e">
        <f>AND(DATA!I577,"AAAAAF+mfTU=")</f>
        <v>#VALUE!</v>
      </c>
      <c r="BC108" t="e">
        <f>AND(DATA!J577,"AAAAAF+mfTY=")</f>
        <v>#VALUE!</v>
      </c>
      <c r="BD108" t="e">
        <f>AND(DATA!K577,"AAAAAF+mfTc=")</f>
        <v>#VALUE!</v>
      </c>
      <c r="BE108" t="b">
        <f>AND(DATA!L578,"AAAAAF+mfTg=")</f>
        <v>1</v>
      </c>
      <c r="BF108" t="b">
        <f>AND(DATA!M578,"AAAAAF+mfTk=")</f>
        <v>1</v>
      </c>
      <c r="BG108" t="b">
        <f>AND(DATA!N578,"AAAAAF+mfTo=")</f>
        <v>1</v>
      </c>
      <c r="BH108" t="b">
        <f>AND(DATA!O578,"AAAAAF+mfTs=")</f>
        <v>1</v>
      </c>
      <c r="BI108" t="b">
        <f>AND(DATA!P578,"AAAAAF+mfTw=")</f>
        <v>1</v>
      </c>
      <c r="BJ108" t="b">
        <f>AND(DATA!Q578,"AAAAAF+mfT0=")</f>
        <v>1</v>
      </c>
      <c r="BK108" t="b">
        <f>AND(DATA!R578,"AAAAAF+mfT4=")</f>
        <v>1</v>
      </c>
      <c r="BL108" t="b">
        <f>AND(DATA!S578,"AAAAAF+mfT8=")</f>
        <v>1</v>
      </c>
      <c r="BM108" t="b">
        <f>AND(DATA!T578,"AAAAAF+mfUA=")</f>
        <v>1</v>
      </c>
      <c r="BN108" t="b">
        <f>AND(DATA!U578,"AAAAAF+mfUE=")</f>
        <v>1</v>
      </c>
      <c r="BO108" t="b">
        <f>AND(DATA!V578,"AAAAAF+mfUI=")</f>
        <v>1</v>
      </c>
      <c r="BP108" t="e">
        <f>AND(DATA!W577,"AAAAAF+mfUM=")</f>
        <v>#VALUE!</v>
      </c>
      <c r="BQ108" t="e">
        <f>AND(DATA!X577,"AAAAAF+mfUQ=")</f>
        <v>#VALUE!</v>
      </c>
      <c r="BR108" t="e">
        <f>AND(DATA!Y577,"AAAAAF+mfUU=")</f>
        <v>#VALUE!</v>
      </c>
      <c r="BS108">
        <f>IF(DATA!578:578,"AAAAAF+mfUY=",0)</f>
        <v>0</v>
      </c>
      <c r="BT108" t="e">
        <f>AND(DATA!A578,"AAAAAF+mfUc=")</f>
        <v>#VALUE!</v>
      </c>
      <c r="BU108" t="e">
        <f>AND(DATA!B578,"AAAAAF+mfUg=")</f>
        <v>#VALUE!</v>
      </c>
      <c r="BV108" t="e">
        <f>AND(DATA!C578,"AAAAAF+mfUk=")</f>
        <v>#VALUE!</v>
      </c>
      <c r="BW108" t="e">
        <f>AND(DATA!D578,"AAAAAF+mfUo=")</f>
        <v>#VALUE!</v>
      </c>
      <c r="BX108" t="e">
        <f>AND(DATA!E578,"AAAAAF+mfUs=")</f>
        <v>#VALUE!</v>
      </c>
      <c r="BY108" t="e">
        <f>AND(DATA!F578,"AAAAAF+mfUw=")</f>
        <v>#VALUE!</v>
      </c>
      <c r="BZ108" t="e">
        <f>AND(DATA!G578,"AAAAAF+mfU0=")</f>
        <v>#VALUE!</v>
      </c>
      <c r="CA108" t="e">
        <f>AND(DATA!H578,"AAAAAF+mfU4=")</f>
        <v>#VALUE!</v>
      </c>
      <c r="CB108" t="e">
        <f>AND(DATA!I578,"AAAAAF+mfU8=")</f>
        <v>#VALUE!</v>
      </c>
      <c r="CC108" t="e">
        <f>AND(DATA!J578,"AAAAAF+mfVA=")</f>
        <v>#VALUE!</v>
      </c>
      <c r="CD108" t="e">
        <f>AND(DATA!K578,"AAAAAF+mfVE=")</f>
        <v>#VALUE!</v>
      </c>
      <c r="CE108" t="b">
        <f>AND(DATA!L579,"AAAAAF+mfVI=")</f>
        <v>1</v>
      </c>
      <c r="CF108" t="b">
        <f>AND(DATA!M579,"AAAAAF+mfVM=")</f>
        <v>1</v>
      </c>
      <c r="CG108" t="b">
        <f>AND(DATA!N579,"AAAAAF+mfVQ=")</f>
        <v>1</v>
      </c>
      <c r="CH108" t="b">
        <f>AND(DATA!O579,"AAAAAF+mfVU=")</f>
        <v>1</v>
      </c>
      <c r="CI108" t="b">
        <f>AND(DATA!P579,"AAAAAF+mfVY=")</f>
        <v>1</v>
      </c>
      <c r="CJ108" t="b">
        <f>AND(DATA!Q579,"AAAAAF+mfVc=")</f>
        <v>1</v>
      </c>
      <c r="CK108" t="b">
        <f>AND(DATA!R579,"AAAAAF+mfVg=")</f>
        <v>1</v>
      </c>
      <c r="CL108" t="b">
        <f>AND(DATA!S579,"AAAAAF+mfVk=")</f>
        <v>1</v>
      </c>
      <c r="CM108" t="b">
        <f>AND(DATA!T579,"AAAAAF+mfVo=")</f>
        <v>1</v>
      </c>
      <c r="CN108" t="b">
        <f>AND(DATA!U579,"AAAAAF+mfVs=")</f>
        <v>1</v>
      </c>
      <c r="CO108" t="b">
        <f>AND(DATA!V579,"AAAAAF+mfVw=")</f>
        <v>1</v>
      </c>
      <c r="CP108" t="e">
        <f>AND(DATA!W578,"AAAAAF+mfV0=")</f>
        <v>#VALUE!</v>
      </c>
      <c r="CQ108" t="e">
        <f>AND(DATA!X578,"AAAAAF+mfV4=")</f>
        <v>#VALUE!</v>
      </c>
      <c r="CR108" t="e">
        <f>AND(DATA!Y578,"AAAAAF+mfV8=")</f>
        <v>#VALUE!</v>
      </c>
      <c r="CS108">
        <f>IF(DATA!579:579,"AAAAAF+mfWA=",0)</f>
        <v>0</v>
      </c>
      <c r="CT108" t="e">
        <f>AND(DATA!A579,"AAAAAF+mfWE=")</f>
        <v>#VALUE!</v>
      </c>
      <c r="CU108" t="e">
        <f>AND(DATA!B579,"AAAAAF+mfWI=")</f>
        <v>#VALUE!</v>
      </c>
      <c r="CV108" t="e">
        <f>AND(DATA!C579,"AAAAAF+mfWM=")</f>
        <v>#VALUE!</v>
      </c>
      <c r="CW108" t="e">
        <f>AND(DATA!D579,"AAAAAF+mfWQ=")</f>
        <v>#VALUE!</v>
      </c>
      <c r="CX108" t="e">
        <f>AND(DATA!E579,"AAAAAF+mfWU=")</f>
        <v>#VALUE!</v>
      </c>
      <c r="CY108" t="e">
        <f>AND(DATA!F579,"AAAAAF+mfWY=")</f>
        <v>#VALUE!</v>
      </c>
      <c r="CZ108" t="e">
        <f>AND(DATA!G579,"AAAAAF+mfWc=")</f>
        <v>#VALUE!</v>
      </c>
      <c r="DA108" t="e">
        <f>AND(DATA!H579,"AAAAAF+mfWg=")</f>
        <v>#VALUE!</v>
      </c>
      <c r="DB108" t="e">
        <f>AND(DATA!I579,"AAAAAF+mfWk=")</f>
        <v>#VALUE!</v>
      </c>
      <c r="DC108" t="e">
        <f>AND(DATA!J579,"AAAAAF+mfWo=")</f>
        <v>#VALUE!</v>
      </c>
      <c r="DD108" t="e">
        <f>AND(DATA!K579,"AAAAAF+mfWs=")</f>
        <v>#VALUE!</v>
      </c>
      <c r="DE108" t="b">
        <f>AND(DATA!L580,"AAAAAF+mfWw=")</f>
        <v>1</v>
      </c>
      <c r="DF108" t="b">
        <f>AND(DATA!M580,"AAAAAF+mfW0=")</f>
        <v>1</v>
      </c>
      <c r="DG108" t="b">
        <f>AND(DATA!N580,"AAAAAF+mfW4=")</f>
        <v>1</v>
      </c>
      <c r="DH108" t="b">
        <f>AND(DATA!O580,"AAAAAF+mfW8=")</f>
        <v>1</v>
      </c>
      <c r="DI108" t="b">
        <f>AND(DATA!P580,"AAAAAF+mfXA=")</f>
        <v>1</v>
      </c>
      <c r="DJ108" t="b">
        <f>AND(DATA!Q580,"AAAAAF+mfXE=")</f>
        <v>1</v>
      </c>
      <c r="DK108" t="b">
        <f>AND(DATA!R580,"AAAAAF+mfXI=")</f>
        <v>1</v>
      </c>
      <c r="DL108" t="b">
        <f>AND(DATA!S580,"AAAAAF+mfXM=")</f>
        <v>1</v>
      </c>
      <c r="DM108" t="b">
        <f>AND(DATA!T580,"AAAAAF+mfXQ=")</f>
        <v>1</v>
      </c>
      <c r="DN108" t="b">
        <f>AND(DATA!U580,"AAAAAF+mfXU=")</f>
        <v>1</v>
      </c>
      <c r="DO108" t="b">
        <f>AND(DATA!V580,"AAAAAF+mfXY=")</f>
        <v>1</v>
      </c>
      <c r="DP108" t="e">
        <f>AND(DATA!W579,"AAAAAF+mfXc=")</f>
        <v>#VALUE!</v>
      </c>
      <c r="DQ108" t="e">
        <f>AND(DATA!X579,"AAAAAF+mfXg=")</f>
        <v>#VALUE!</v>
      </c>
      <c r="DR108" t="e">
        <f>AND(DATA!Y579,"AAAAAF+mfXk=")</f>
        <v>#VALUE!</v>
      </c>
      <c r="DS108">
        <f>IF(DATA!580:580,"AAAAAF+mfXo=",0)</f>
        <v>0</v>
      </c>
      <c r="DT108" t="e">
        <f>AND(DATA!A580,"AAAAAF+mfXs=")</f>
        <v>#VALUE!</v>
      </c>
      <c r="DU108" t="e">
        <f>AND(DATA!B580,"AAAAAF+mfXw=")</f>
        <v>#VALUE!</v>
      </c>
      <c r="DV108" t="e">
        <f>AND(DATA!C580,"AAAAAF+mfX0=")</f>
        <v>#VALUE!</v>
      </c>
      <c r="DW108" t="e">
        <f>AND(DATA!D580,"AAAAAF+mfX4=")</f>
        <v>#VALUE!</v>
      </c>
      <c r="DX108" t="e">
        <f>AND(DATA!E580,"AAAAAF+mfX8=")</f>
        <v>#VALUE!</v>
      </c>
      <c r="DY108" t="e">
        <f>AND(DATA!F580,"AAAAAF+mfYA=")</f>
        <v>#VALUE!</v>
      </c>
      <c r="DZ108" t="e">
        <f>AND(DATA!G580,"AAAAAF+mfYE=")</f>
        <v>#VALUE!</v>
      </c>
      <c r="EA108" t="e">
        <f>AND(DATA!H580,"AAAAAF+mfYI=")</f>
        <v>#VALUE!</v>
      </c>
      <c r="EB108" t="e">
        <f>AND(DATA!I580,"AAAAAF+mfYM=")</f>
        <v>#VALUE!</v>
      </c>
      <c r="EC108" t="e">
        <f>AND(DATA!J580,"AAAAAF+mfYQ=")</f>
        <v>#VALUE!</v>
      </c>
      <c r="ED108" t="e">
        <f>AND(DATA!K580,"AAAAAF+mfYU=")</f>
        <v>#VALUE!</v>
      </c>
      <c r="EE108" t="b">
        <f>AND(DATA!L581,"AAAAAF+mfYY=")</f>
        <v>1</v>
      </c>
      <c r="EF108" t="b">
        <f>AND(DATA!M581,"AAAAAF+mfYc=")</f>
        <v>1</v>
      </c>
      <c r="EG108" t="b">
        <f>AND(DATA!N581,"AAAAAF+mfYg=")</f>
        <v>1</v>
      </c>
      <c r="EH108" t="b">
        <f>AND(DATA!O581,"AAAAAF+mfYk=")</f>
        <v>1</v>
      </c>
      <c r="EI108" t="b">
        <f>AND(DATA!P581,"AAAAAF+mfYo=")</f>
        <v>1</v>
      </c>
      <c r="EJ108" t="b">
        <f>AND(DATA!Q581,"AAAAAF+mfYs=")</f>
        <v>1</v>
      </c>
      <c r="EK108" t="b">
        <f>AND(DATA!R581,"AAAAAF+mfYw=")</f>
        <v>1</v>
      </c>
      <c r="EL108" t="b">
        <f>AND(DATA!S581,"AAAAAF+mfY0=")</f>
        <v>1</v>
      </c>
      <c r="EM108" t="b">
        <f>AND(DATA!T581,"AAAAAF+mfY4=")</f>
        <v>1</v>
      </c>
      <c r="EN108" t="b">
        <f>AND(DATA!U581,"AAAAAF+mfY8=")</f>
        <v>1</v>
      </c>
      <c r="EO108" t="b">
        <f>AND(DATA!V581,"AAAAAF+mfZA=")</f>
        <v>1</v>
      </c>
      <c r="EP108" t="e">
        <f>AND(DATA!W580,"AAAAAF+mfZE=")</f>
        <v>#VALUE!</v>
      </c>
      <c r="EQ108" t="e">
        <f>AND(DATA!X580,"AAAAAF+mfZI=")</f>
        <v>#VALUE!</v>
      </c>
      <c r="ER108" t="e">
        <f>AND(DATA!Y580,"AAAAAF+mfZM=")</f>
        <v>#VALUE!</v>
      </c>
      <c r="ES108">
        <f>IF(DATA!581:581,"AAAAAF+mfZQ=",0)</f>
        <v>0</v>
      </c>
      <c r="ET108" t="e">
        <f>AND(DATA!A581,"AAAAAF+mfZU=")</f>
        <v>#VALUE!</v>
      </c>
      <c r="EU108" t="e">
        <f>AND(DATA!B581,"AAAAAF+mfZY=")</f>
        <v>#VALUE!</v>
      </c>
      <c r="EV108" t="e">
        <f>AND(DATA!C581,"AAAAAF+mfZc=")</f>
        <v>#VALUE!</v>
      </c>
      <c r="EW108" t="e">
        <f>AND(DATA!D581,"AAAAAF+mfZg=")</f>
        <v>#VALUE!</v>
      </c>
      <c r="EX108" t="e">
        <f>AND(DATA!E581,"AAAAAF+mfZk=")</f>
        <v>#VALUE!</v>
      </c>
      <c r="EY108" t="e">
        <f>AND(DATA!F581,"AAAAAF+mfZo=")</f>
        <v>#VALUE!</v>
      </c>
      <c r="EZ108" t="e">
        <f>AND(DATA!G581,"AAAAAF+mfZs=")</f>
        <v>#VALUE!</v>
      </c>
      <c r="FA108" t="e">
        <f>AND(DATA!H581,"AAAAAF+mfZw=")</f>
        <v>#VALUE!</v>
      </c>
      <c r="FB108" t="e">
        <f>AND(DATA!I581,"AAAAAF+mfZ0=")</f>
        <v>#VALUE!</v>
      </c>
      <c r="FC108" t="e">
        <f>AND(DATA!J581,"AAAAAF+mfZ4=")</f>
        <v>#VALUE!</v>
      </c>
      <c r="FD108" t="e">
        <f>AND(DATA!K581,"AAAAAF+mfZ8=")</f>
        <v>#VALUE!</v>
      </c>
      <c r="FE108" t="b">
        <f>AND(DATA!L582,"AAAAAF+mfaA=")</f>
        <v>1</v>
      </c>
      <c r="FF108" t="b">
        <f>AND(DATA!M582,"AAAAAF+mfaE=")</f>
        <v>1</v>
      </c>
      <c r="FG108" t="b">
        <f>AND(DATA!N582,"AAAAAF+mfaI=")</f>
        <v>1</v>
      </c>
      <c r="FH108" t="b">
        <f>AND(DATA!O582,"AAAAAF+mfaM=")</f>
        <v>1</v>
      </c>
      <c r="FI108" t="b">
        <f>AND(DATA!P582,"AAAAAF+mfaQ=")</f>
        <v>1</v>
      </c>
      <c r="FJ108" t="b">
        <f>AND(DATA!Q582,"AAAAAF+mfaU=")</f>
        <v>1</v>
      </c>
      <c r="FK108" t="b">
        <f>AND(DATA!R582,"AAAAAF+mfaY=")</f>
        <v>1</v>
      </c>
      <c r="FL108" t="b">
        <f>AND(DATA!S582,"AAAAAF+mfac=")</f>
        <v>1</v>
      </c>
      <c r="FM108" t="b">
        <f>AND(DATA!T582,"AAAAAF+mfag=")</f>
        <v>1</v>
      </c>
      <c r="FN108" t="b">
        <f>AND(DATA!U582,"AAAAAF+mfak=")</f>
        <v>1</v>
      </c>
      <c r="FO108" t="b">
        <f>AND(DATA!V582,"AAAAAF+mfao=")</f>
        <v>1</v>
      </c>
      <c r="FP108" t="e">
        <f>AND(DATA!W581,"AAAAAF+mfas=")</f>
        <v>#VALUE!</v>
      </c>
      <c r="FQ108" t="e">
        <f>AND(DATA!X581,"AAAAAF+mfaw=")</f>
        <v>#VALUE!</v>
      </c>
      <c r="FR108" t="e">
        <f>AND(DATA!Y581,"AAAAAF+mfa0=")</f>
        <v>#VALUE!</v>
      </c>
      <c r="FS108">
        <f>IF(DATA!582:582,"AAAAAF+mfa4=",0)</f>
        <v>0</v>
      </c>
      <c r="FT108" t="e">
        <f>AND(DATA!A582,"AAAAAF+mfa8=")</f>
        <v>#VALUE!</v>
      </c>
      <c r="FU108" t="e">
        <f>AND(DATA!B582,"AAAAAF+mfbA=")</f>
        <v>#VALUE!</v>
      </c>
      <c r="FV108" t="e">
        <f>AND(DATA!C582,"AAAAAF+mfbE=")</f>
        <v>#VALUE!</v>
      </c>
      <c r="FW108" t="e">
        <f>AND(DATA!D582,"AAAAAF+mfbI=")</f>
        <v>#VALUE!</v>
      </c>
      <c r="FX108" t="e">
        <f>AND(DATA!E582,"AAAAAF+mfbM=")</f>
        <v>#VALUE!</v>
      </c>
      <c r="FY108" t="e">
        <f>AND(DATA!F582,"AAAAAF+mfbQ=")</f>
        <v>#VALUE!</v>
      </c>
      <c r="FZ108" t="e">
        <f>AND(DATA!G582,"AAAAAF+mfbU=")</f>
        <v>#VALUE!</v>
      </c>
      <c r="GA108" t="e">
        <f>AND(DATA!H582,"AAAAAF+mfbY=")</f>
        <v>#VALUE!</v>
      </c>
      <c r="GB108" t="e">
        <f>AND(DATA!I582,"AAAAAF+mfbc=")</f>
        <v>#VALUE!</v>
      </c>
      <c r="GC108" t="e">
        <f>AND(DATA!J582,"AAAAAF+mfbg=")</f>
        <v>#VALUE!</v>
      </c>
      <c r="GD108" t="e">
        <f>AND(DATA!K582,"AAAAAF+mfbk=")</f>
        <v>#VALUE!</v>
      </c>
      <c r="GE108" t="b">
        <f>AND(DATA!L583,"AAAAAF+mfbo=")</f>
        <v>1</v>
      </c>
      <c r="GF108" t="b">
        <f>AND(DATA!M583,"AAAAAF+mfbs=")</f>
        <v>1</v>
      </c>
      <c r="GG108" t="b">
        <f>AND(DATA!N583,"AAAAAF+mfbw=")</f>
        <v>1</v>
      </c>
      <c r="GH108" t="b">
        <f>AND(DATA!O583,"AAAAAF+mfb0=")</f>
        <v>1</v>
      </c>
      <c r="GI108" t="b">
        <f>AND(DATA!P583,"AAAAAF+mfb4=")</f>
        <v>1</v>
      </c>
      <c r="GJ108" t="b">
        <f>AND(DATA!Q583,"AAAAAF+mfb8=")</f>
        <v>1</v>
      </c>
      <c r="GK108" t="b">
        <f>AND(DATA!R583,"AAAAAF+mfcA=")</f>
        <v>1</v>
      </c>
      <c r="GL108" t="b">
        <f>AND(DATA!S583,"AAAAAF+mfcE=")</f>
        <v>1</v>
      </c>
      <c r="GM108" t="b">
        <f>AND(DATA!T583,"AAAAAF+mfcI=")</f>
        <v>1</v>
      </c>
      <c r="GN108" t="b">
        <f>AND(DATA!U583,"AAAAAF+mfcM=")</f>
        <v>1</v>
      </c>
      <c r="GO108" t="b">
        <f>AND(DATA!V583,"AAAAAF+mfcQ=")</f>
        <v>1</v>
      </c>
      <c r="GP108" t="e">
        <f>AND(DATA!W582,"AAAAAF+mfcU=")</f>
        <v>#VALUE!</v>
      </c>
      <c r="GQ108" t="e">
        <f>AND(DATA!X582,"AAAAAF+mfcY=")</f>
        <v>#VALUE!</v>
      </c>
      <c r="GR108" t="e">
        <f>AND(DATA!Y582,"AAAAAF+mfcc=")</f>
        <v>#VALUE!</v>
      </c>
      <c r="GS108">
        <f>IF(DATA!583:583,"AAAAAF+mfcg=",0)</f>
        <v>0</v>
      </c>
      <c r="GT108" t="e">
        <f>AND(DATA!A583,"AAAAAF+mfck=")</f>
        <v>#VALUE!</v>
      </c>
      <c r="GU108" t="e">
        <f>AND(DATA!B583,"AAAAAF+mfco=")</f>
        <v>#VALUE!</v>
      </c>
      <c r="GV108" t="e">
        <f>AND(DATA!C583,"AAAAAF+mfcs=")</f>
        <v>#VALUE!</v>
      </c>
      <c r="GW108" t="e">
        <f>AND(DATA!D583,"AAAAAF+mfcw=")</f>
        <v>#VALUE!</v>
      </c>
      <c r="GX108" t="e">
        <f>AND(DATA!E583,"AAAAAF+mfc0=")</f>
        <v>#VALUE!</v>
      </c>
      <c r="GY108" t="e">
        <f>AND(DATA!F583,"AAAAAF+mfc4=")</f>
        <v>#VALUE!</v>
      </c>
      <c r="GZ108" t="e">
        <f>AND(DATA!G583,"AAAAAF+mfc8=")</f>
        <v>#VALUE!</v>
      </c>
      <c r="HA108" t="e">
        <f>AND(DATA!H583,"AAAAAF+mfdA=")</f>
        <v>#VALUE!</v>
      </c>
      <c r="HB108" t="e">
        <f>AND(DATA!I583,"AAAAAF+mfdE=")</f>
        <v>#VALUE!</v>
      </c>
      <c r="HC108" t="e">
        <f>AND(DATA!J583,"AAAAAF+mfdI=")</f>
        <v>#VALUE!</v>
      </c>
      <c r="HD108" t="e">
        <f>AND(DATA!K583,"AAAAAF+mfdM=")</f>
        <v>#VALUE!</v>
      </c>
      <c r="HE108" t="b">
        <f>AND(DATA!L584,"AAAAAF+mfdQ=")</f>
        <v>1</v>
      </c>
      <c r="HF108" t="b">
        <f>AND(DATA!M584,"AAAAAF+mfdU=")</f>
        <v>1</v>
      </c>
      <c r="HG108" t="b">
        <f>AND(DATA!N584,"AAAAAF+mfdY=")</f>
        <v>1</v>
      </c>
      <c r="HH108" t="b">
        <f>AND(DATA!O584,"AAAAAF+mfdc=")</f>
        <v>1</v>
      </c>
      <c r="HI108" t="b">
        <f>AND(DATA!P584,"AAAAAF+mfdg=")</f>
        <v>1</v>
      </c>
      <c r="HJ108" t="b">
        <f>AND(DATA!Q584,"AAAAAF+mfdk=")</f>
        <v>1</v>
      </c>
      <c r="HK108" t="b">
        <f>AND(DATA!R584,"AAAAAF+mfdo=")</f>
        <v>1</v>
      </c>
      <c r="HL108" t="b">
        <f>AND(DATA!S584,"AAAAAF+mfds=")</f>
        <v>1</v>
      </c>
      <c r="HM108" t="b">
        <f>AND(DATA!T584,"AAAAAF+mfdw=")</f>
        <v>1</v>
      </c>
      <c r="HN108" t="b">
        <f>AND(DATA!U584,"AAAAAF+mfd0=")</f>
        <v>1</v>
      </c>
      <c r="HO108" t="b">
        <f>AND(DATA!V584,"AAAAAF+mfd4=")</f>
        <v>1</v>
      </c>
      <c r="HP108" t="e">
        <f>AND(DATA!W583,"AAAAAF+mfd8=")</f>
        <v>#VALUE!</v>
      </c>
      <c r="HQ108" t="e">
        <f>AND(DATA!X583,"AAAAAF+mfeA=")</f>
        <v>#VALUE!</v>
      </c>
      <c r="HR108" t="e">
        <f>AND(DATA!Y583,"AAAAAF+mfeE=")</f>
        <v>#VALUE!</v>
      </c>
      <c r="HS108">
        <f>IF(DATA!584:584,"AAAAAF+mfeI=",0)</f>
        <v>0</v>
      </c>
      <c r="HT108" t="e">
        <f>AND(DATA!A584,"AAAAAF+mfeM=")</f>
        <v>#VALUE!</v>
      </c>
      <c r="HU108" t="e">
        <f>AND(DATA!B584,"AAAAAF+mfeQ=")</f>
        <v>#VALUE!</v>
      </c>
      <c r="HV108" t="e">
        <f>AND(DATA!C584,"AAAAAF+mfeU=")</f>
        <v>#VALUE!</v>
      </c>
      <c r="HW108" t="e">
        <f>AND(DATA!D584,"AAAAAF+mfeY=")</f>
        <v>#VALUE!</v>
      </c>
      <c r="HX108" t="e">
        <f>AND(DATA!E584,"AAAAAF+mfec=")</f>
        <v>#VALUE!</v>
      </c>
      <c r="HY108" t="e">
        <f>AND(DATA!F584,"AAAAAF+mfeg=")</f>
        <v>#VALUE!</v>
      </c>
      <c r="HZ108" t="e">
        <f>AND(DATA!G584,"AAAAAF+mfek=")</f>
        <v>#VALUE!</v>
      </c>
      <c r="IA108" t="e">
        <f>AND(DATA!H584,"AAAAAF+mfeo=")</f>
        <v>#VALUE!</v>
      </c>
      <c r="IB108" t="e">
        <f>AND(DATA!I584,"AAAAAF+mfes=")</f>
        <v>#VALUE!</v>
      </c>
      <c r="IC108" t="e">
        <f>AND(DATA!J584,"AAAAAF+mfew=")</f>
        <v>#VALUE!</v>
      </c>
      <c r="ID108" t="e">
        <f>AND(DATA!K584,"AAAAAF+mfe0=")</f>
        <v>#VALUE!</v>
      </c>
      <c r="IE108" t="b">
        <f>AND(DATA!L585,"AAAAAF+mfe4=")</f>
        <v>1</v>
      </c>
      <c r="IF108" t="b">
        <f>AND(DATA!M585,"AAAAAF+mfe8=")</f>
        <v>1</v>
      </c>
      <c r="IG108" t="b">
        <f>AND(DATA!N585,"AAAAAF+mffA=")</f>
        <v>1</v>
      </c>
      <c r="IH108" t="b">
        <f>AND(DATA!O585,"AAAAAF+mffE=")</f>
        <v>1</v>
      </c>
      <c r="II108" t="b">
        <f>AND(DATA!P585,"AAAAAF+mffI=")</f>
        <v>1</v>
      </c>
      <c r="IJ108" t="b">
        <f>AND(DATA!Q585,"AAAAAF+mffM=")</f>
        <v>1</v>
      </c>
      <c r="IK108" t="b">
        <f>AND(DATA!R585,"AAAAAF+mffQ=")</f>
        <v>1</v>
      </c>
      <c r="IL108" t="b">
        <f>AND(DATA!S585,"AAAAAF+mffU=")</f>
        <v>1</v>
      </c>
      <c r="IM108" t="b">
        <f>AND(DATA!T585,"AAAAAF+mffY=")</f>
        <v>1</v>
      </c>
      <c r="IN108" t="b">
        <f>AND(DATA!U585,"AAAAAF+mffc=")</f>
        <v>1</v>
      </c>
      <c r="IO108" t="b">
        <f>AND(DATA!V585,"AAAAAF+mffg=")</f>
        <v>1</v>
      </c>
      <c r="IP108" t="e">
        <f>AND(DATA!W584,"AAAAAF+mffk=")</f>
        <v>#VALUE!</v>
      </c>
      <c r="IQ108" t="e">
        <f>AND(DATA!X584,"AAAAAF+mffo=")</f>
        <v>#VALUE!</v>
      </c>
      <c r="IR108" t="e">
        <f>AND(DATA!Y584,"AAAAAF+mffs=")</f>
        <v>#VALUE!</v>
      </c>
      <c r="IS108">
        <f>IF(DATA!585:585,"AAAAAF+mffw=",0)</f>
        <v>0</v>
      </c>
      <c r="IT108" t="e">
        <f>AND(DATA!A585,"AAAAAF+mff0=")</f>
        <v>#VALUE!</v>
      </c>
      <c r="IU108" t="e">
        <f>AND(DATA!B585,"AAAAAF+mff4=")</f>
        <v>#VALUE!</v>
      </c>
      <c r="IV108" t="e">
        <f>AND(DATA!C585,"AAAAAF+mff8=")</f>
        <v>#VALUE!</v>
      </c>
    </row>
    <row r="109" spans="1:256" x14ac:dyDescent="0.25">
      <c r="A109" t="e">
        <f>AND(DATA!D585,"AAAAAHXvfwA=")</f>
        <v>#VALUE!</v>
      </c>
      <c r="B109" t="e">
        <f>AND(DATA!E585,"AAAAAHXvfwE=")</f>
        <v>#VALUE!</v>
      </c>
      <c r="C109" t="e">
        <f>AND(DATA!F585,"AAAAAHXvfwI=")</f>
        <v>#VALUE!</v>
      </c>
      <c r="D109" t="e">
        <f>AND(DATA!G585,"AAAAAHXvfwM=")</f>
        <v>#VALUE!</v>
      </c>
      <c r="E109" t="e">
        <f>AND(DATA!H585,"AAAAAHXvfwQ=")</f>
        <v>#VALUE!</v>
      </c>
      <c r="F109" t="e">
        <f>AND(DATA!I585,"AAAAAHXvfwU=")</f>
        <v>#VALUE!</v>
      </c>
      <c r="G109" t="e">
        <f>AND(DATA!J585,"AAAAAHXvfwY=")</f>
        <v>#VALUE!</v>
      </c>
      <c r="H109" t="e">
        <f>AND(DATA!K585,"AAAAAHXvfwc=")</f>
        <v>#VALUE!</v>
      </c>
      <c r="I109" t="b">
        <f>AND(DATA!L586,"AAAAAHXvfwg=")</f>
        <v>1</v>
      </c>
      <c r="J109" t="b">
        <f>AND(DATA!M586,"AAAAAHXvfwk=")</f>
        <v>1</v>
      </c>
      <c r="K109" t="b">
        <f>AND(DATA!N586,"AAAAAHXvfwo=")</f>
        <v>1</v>
      </c>
      <c r="L109" t="b">
        <f>AND(DATA!O586,"AAAAAHXvfws=")</f>
        <v>1</v>
      </c>
      <c r="M109" t="b">
        <f>AND(DATA!P586,"AAAAAHXvfww=")</f>
        <v>1</v>
      </c>
      <c r="N109" t="b">
        <f>AND(DATA!Q586,"AAAAAHXvfw0=")</f>
        <v>1</v>
      </c>
      <c r="O109" t="b">
        <f>AND(DATA!R586,"AAAAAHXvfw4=")</f>
        <v>1</v>
      </c>
      <c r="P109" t="b">
        <f>AND(DATA!S586,"AAAAAHXvfw8=")</f>
        <v>1</v>
      </c>
      <c r="Q109" t="b">
        <f>AND(DATA!T586,"AAAAAHXvfxA=")</f>
        <v>1</v>
      </c>
      <c r="R109" t="b">
        <f>AND(DATA!U586,"AAAAAHXvfxE=")</f>
        <v>1</v>
      </c>
      <c r="S109" t="b">
        <f>AND(DATA!V586,"AAAAAHXvfxI=")</f>
        <v>1</v>
      </c>
      <c r="T109" t="e">
        <f>AND(DATA!W585,"AAAAAHXvfxM=")</f>
        <v>#VALUE!</v>
      </c>
      <c r="U109" t="e">
        <f>AND(DATA!X585,"AAAAAHXvfxQ=")</f>
        <v>#VALUE!</v>
      </c>
      <c r="V109" t="e">
        <f>AND(DATA!Y585,"AAAAAHXvfxU=")</f>
        <v>#VALUE!</v>
      </c>
      <c r="W109">
        <f>IF(DATA!586:586,"AAAAAHXvfxY=",0)</f>
        <v>0</v>
      </c>
      <c r="X109" t="e">
        <f>AND(DATA!A586,"AAAAAHXvfxc=")</f>
        <v>#VALUE!</v>
      </c>
      <c r="Y109" t="e">
        <f>AND(DATA!B586,"AAAAAHXvfxg=")</f>
        <v>#VALUE!</v>
      </c>
      <c r="Z109" t="e">
        <f>AND(DATA!C586,"AAAAAHXvfxk=")</f>
        <v>#VALUE!</v>
      </c>
      <c r="AA109" t="e">
        <f>AND(DATA!D586,"AAAAAHXvfxo=")</f>
        <v>#VALUE!</v>
      </c>
      <c r="AB109" t="e">
        <f>AND(DATA!E586,"AAAAAHXvfxs=")</f>
        <v>#VALUE!</v>
      </c>
      <c r="AC109" t="e">
        <f>AND(DATA!F586,"AAAAAHXvfxw=")</f>
        <v>#VALUE!</v>
      </c>
      <c r="AD109" t="e">
        <f>AND(DATA!G586,"AAAAAHXvfx0=")</f>
        <v>#VALUE!</v>
      </c>
      <c r="AE109" t="e">
        <f>AND(DATA!H586,"AAAAAHXvfx4=")</f>
        <v>#VALUE!</v>
      </c>
      <c r="AF109" t="e">
        <f>AND(DATA!I586,"AAAAAHXvfx8=")</f>
        <v>#VALUE!</v>
      </c>
      <c r="AG109" t="e">
        <f>AND(DATA!J586,"AAAAAHXvfyA=")</f>
        <v>#VALUE!</v>
      </c>
      <c r="AH109" t="e">
        <f>AND(DATA!K586,"AAAAAHXvfyE=")</f>
        <v>#VALUE!</v>
      </c>
      <c r="AI109" t="b">
        <f>AND(DATA!L587,"AAAAAHXvfyI=")</f>
        <v>1</v>
      </c>
      <c r="AJ109" t="b">
        <f>AND(DATA!M587,"AAAAAHXvfyM=")</f>
        <v>1</v>
      </c>
      <c r="AK109" t="b">
        <f>AND(DATA!N587,"AAAAAHXvfyQ=")</f>
        <v>1</v>
      </c>
      <c r="AL109" t="b">
        <f>AND(DATA!O587,"AAAAAHXvfyU=")</f>
        <v>1</v>
      </c>
      <c r="AM109" t="b">
        <f>AND(DATA!P587,"AAAAAHXvfyY=")</f>
        <v>1</v>
      </c>
      <c r="AN109" t="b">
        <f>AND(DATA!Q587,"AAAAAHXvfyc=")</f>
        <v>1</v>
      </c>
      <c r="AO109" t="b">
        <f>AND(DATA!R587,"AAAAAHXvfyg=")</f>
        <v>1</v>
      </c>
      <c r="AP109" t="b">
        <f>AND(DATA!S587,"AAAAAHXvfyk=")</f>
        <v>1</v>
      </c>
      <c r="AQ109" t="b">
        <f>AND(DATA!T587,"AAAAAHXvfyo=")</f>
        <v>1</v>
      </c>
      <c r="AR109" t="b">
        <f>AND(DATA!U587,"AAAAAHXvfys=")</f>
        <v>1</v>
      </c>
      <c r="AS109" t="b">
        <f>AND(DATA!V587,"AAAAAHXvfyw=")</f>
        <v>1</v>
      </c>
      <c r="AT109" t="e">
        <f>AND(DATA!W586,"AAAAAHXvfy0=")</f>
        <v>#VALUE!</v>
      </c>
      <c r="AU109" t="e">
        <f>AND(DATA!X586,"AAAAAHXvfy4=")</f>
        <v>#VALUE!</v>
      </c>
      <c r="AV109" t="e">
        <f>AND(DATA!Y586,"AAAAAHXvfy8=")</f>
        <v>#VALUE!</v>
      </c>
      <c r="AW109">
        <f>IF(DATA!587:587,"AAAAAHXvfzA=",0)</f>
        <v>0</v>
      </c>
      <c r="AX109" t="e">
        <f>AND(DATA!A587,"AAAAAHXvfzE=")</f>
        <v>#VALUE!</v>
      </c>
      <c r="AY109" t="e">
        <f>AND(DATA!B587,"AAAAAHXvfzI=")</f>
        <v>#VALUE!</v>
      </c>
      <c r="AZ109" t="e">
        <f>AND(DATA!C587,"AAAAAHXvfzM=")</f>
        <v>#VALUE!</v>
      </c>
      <c r="BA109" t="e">
        <f>AND(DATA!D587,"AAAAAHXvfzQ=")</f>
        <v>#VALUE!</v>
      </c>
      <c r="BB109" t="e">
        <f>AND(DATA!E587,"AAAAAHXvfzU=")</f>
        <v>#VALUE!</v>
      </c>
      <c r="BC109" t="e">
        <f>AND(DATA!F587,"AAAAAHXvfzY=")</f>
        <v>#VALUE!</v>
      </c>
      <c r="BD109" t="e">
        <f>AND(DATA!G587,"AAAAAHXvfzc=")</f>
        <v>#VALUE!</v>
      </c>
      <c r="BE109" t="e">
        <f>AND(DATA!H587,"AAAAAHXvfzg=")</f>
        <v>#VALUE!</v>
      </c>
      <c r="BF109" t="e">
        <f>AND(DATA!I587,"AAAAAHXvfzk=")</f>
        <v>#VALUE!</v>
      </c>
      <c r="BG109" t="e">
        <f>AND(DATA!J587,"AAAAAHXvfzo=")</f>
        <v>#VALUE!</v>
      </c>
      <c r="BH109" t="e">
        <f>AND(DATA!K587,"AAAAAHXvfzs=")</f>
        <v>#VALUE!</v>
      </c>
      <c r="BI109" t="b">
        <f>AND(DATA!L588,"AAAAAHXvfzw=")</f>
        <v>1</v>
      </c>
      <c r="BJ109" t="b">
        <f>AND(DATA!M588,"AAAAAHXvfz0=")</f>
        <v>1</v>
      </c>
      <c r="BK109" t="b">
        <f>AND(DATA!N588,"AAAAAHXvfz4=")</f>
        <v>1</v>
      </c>
      <c r="BL109" t="b">
        <f>AND(DATA!O588,"AAAAAHXvfz8=")</f>
        <v>1</v>
      </c>
      <c r="BM109" t="b">
        <f>AND(DATA!P588,"AAAAAHXvf0A=")</f>
        <v>1</v>
      </c>
      <c r="BN109" t="b">
        <f>AND(DATA!Q588,"AAAAAHXvf0E=")</f>
        <v>1</v>
      </c>
      <c r="BO109" t="b">
        <f>AND(DATA!R588,"AAAAAHXvf0I=")</f>
        <v>1</v>
      </c>
      <c r="BP109" t="b">
        <f>AND(DATA!S588,"AAAAAHXvf0M=")</f>
        <v>1</v>
      </c>
      <c r="BQ109" t="b">
        <f>AND(DATA!T588,"AAAAAHXvf0Q=")</f>
        <v>1</v>
      </c>
      <c r="BR109" t="b">
        <f>AND(DATA!U588,"AAAAAHXvf0U=")</f>
        <v>1</v>
      </c>
      <c r="BS109" t="b">
        <f>AND(DATA!V588,"AAAAAHXvf0Y=")</f>
        <v>1</v>
      </c>
      <c r="BT109" t="e">
        <f>AND(DATA!W587,"AAAAAHXvf0c=")</f>
        <v>#VALUE!</v>
      </c>
      <c r="BU109" t="e">
        <f>AND(DATA!X587,"AAAAAHXvf0g=")</f>
        <v>#VALUE!</v>
      </c>
      <c r="BV109" t="e">
        <f>AND(DATA!Y587,"AAAAAHXvf0k=")</f>
        <v>#VALUE!</v>
      </c>
      <c r="BW109">
        <f>IF(DATA!588:588,"AAAAAHXvf0o=",0)</f>
        <v>0</v>
      </c>
      <c r="BX109" t="e">
        <f>AND(DATA!A588,"AAAAAHXvf0s=")</f>
        <v>#VALUE!</v>
      </c>
      <c r="BY109" t="e">
        <f>AND(DATA!B588,"AAAAAHXvf0w=")</f>
        <v>#VALUE!</v>
      </c>
      <c r="BZ109" t="e">
        <f>AND(DATA!C588,"AAAAAHXvf00=")</f>
        <v>#VALUE!</v>
      </c>
      <c r="CA109" t="e">
        <f>AND(DATA!D588,"AAAAAHXvf04=")</f>
        <v>#VALUE!</v>
      </c>
      <c r="CB109" t="e">
        <f>AND(DATA!E588,"AAAAAHXvf08=")</f>
        <v>#VALUE!</v>
      </c>
      <c r="CC109" t="e">
        <f>AND(DATA!F588,"AAAAAHXvf1A=")</f>
        <v>#VALUE!</v>
      </c>
      <c r="CD109" t="e">
        <f>AND(DATA!G588,"AAAAAHXvf1E=")</f>
        <v>#VALUE!</v>
      </c>
      <c r="CE109" t="e">
        <f>AND(DATA!H588,"AAAAAHXvf1I=")</f>
        <v>#VALUE!</v>
      </c>
      <c r="CF109" t="e">
        <f>AND(DATA!I588,"AAAAAHXvf1M=")</f>
        <v>#VALUE!</v>
      </c>
      <c r="CG109" t="e">
        <f>AND(DATA!J588,"AAAAAHXvf1Q=")</f>
        <v>#VALUE!</v>
      </c>
      <c r="CH109" t="e">
        <f>AND(DATA!K588,"AAAAAHXvf1U=")</f>
        <v>#VALUE!</v>
      </c>
      <c r="CI109" t="b">
        <f>AND(DATA!L589,"AAAAAHXvf1Y=")</f>
        <v>1</v>
      </c>
      <c r="CJ109" t="b">
        <f>AND(DATA!M589,"AAAAAHXvf1c=")</f>
        <v>1</v>
      </c>
      <c r="CK109" t="b">
        <f>AND(DATA!N589,"AAAAAHXvf1g=")</f>
        <v>1</v>
      </c>
      <c r="CL109" t="b">
        <f>AND(DATA!O589,"AAAAAHXvf1k=")</f>
        <v>1</v>
      </c>
      <c r="CM109" t="b">
        <f>AND(DATA!P589,"AAAAAHXvf1o=")</f>
        <v>1</v>
      </c>
      <c r="CN109" t="b">
        <f>AND(DATA!Q589,"AAAAAHXvf1s=")</f>
        <v>1</v>
      </c>
      <c r="CO109" t="b">
        <f>AND(DATA!R589,"AAAAAHXvf1w=")</f>
        <v>1</v>
      </c>
      <c r="CP109" t="b">
        <f>AND(DATA!S589,"AAAAAHXvf10=")</f>
        <v>1</v>
      </c>
      <c r="CQ109" t="b">
        <f>AND(DATA!T589,"AAAAAHXvf14=")</f>
        <v>1</v>
      </c>
      <c r="CR109" t="b">
        <f>AND(DATA!U589,"AAAAAHXvf18=")</f>
        <v>1</v>
      </c>
      <c r="CS109" t="b">
        <f>AND(DATA!V589,"AAAAAHXvf2A=")</f>
        <v>1</v>
      </c>
      <c r="CT109" t="e">
        <f>AND(DATA!W588,"AAAAAHXvf2E=")</f>
        <v>#VALUE!</v>
      </c>
      <c r="CU109" t="e">
        <f>AND(DATA!X588,"AAAAAHXvf2I=")</f>
        <v>#VALUE!</v>
      </c>
      <c r="CV109" t="e">
        <f>AND(DATA!Y588,"AAAAAHXvf2M=")</f>
        <v>#VALUE!</v>
      </c>
      <c r="CW109">
        <f>IF(DATA!589:589,"AAAAAHXvf2Q=",0)</f>
        <v>0</v>
      </c>
      <c r="CX109" t="e">
        <f>AND(DATA!A589,"AAAAAHXvf2U=")</f>
        <v>#VALUE!</v>
      </c>
      <c r="CY109" t="e">
        <f>AND(DATA!B589,"AAAAAHXvf2Y=")</f>
        <v>#VALUE!</v>
      </c>
      <c r="CZ109" t="e">
        <f>AND(DATA!C589,"AAAAAHXvf2c=")</f>
        <v>#VALUE!</v>
      </c>
      <c r="DA109" t="e">
        <f>AND(DATA!D589,"AAAAAHXvf2g=")</f>
        <v>#VALUE!</v>
      </c>
      <c r="DB109" t="e">
        <f>AND(DATA!E589,"AAAAAHXvf2k=")</f>
        <v>#VALUE!</v>
      </c>
      <c r="DC109" t="e">
        <f>AND(DATA!F589,"AAAAAHXvf2o=")</f>
        <v>#VALUE!</v>
      </c>
      <c r="DD109" t="e">
        <f>AND(DATA!G589,"AAAAAHXvf2s=")</f>
        <v>#VALUE!</v>
      </c>
      <c r="DE109" t="e">
        <f>AND(DATA!H589,"AAAAAHXvf2w=")</f>
        <v>#VALUE!</v>
      </c>
      <c r="DF109" t="e">
        <f>AND(DATA!I589,"AAAAAHXvf20=")</f>
        <v>#VALUE!</v>
      </c>
      <c r="DG109" t="e">
        <f>AND(DATA!J589,"AAAAAHXvf24=")</f>
        <v>#VALUE!</v>
      </c>
      <c r="DH109" t="e">
        <f>AND(DATA!K589,"AAAAAHXvf28=")</f>
        <v>#VALUE!</v>
      </c>
      <c r="DI109" t="b">
        <f>AND(DATA!L590,"AAAAAHXvf3A=")</f>
        <v>1</v>
      </c>
      <c r="DJ109" t="b">
        <f>AND(DATA!M590,"AAAAAHXvf3E=")</f>
        <v>1</v>
      </c>
      <c r="DK109" t="b">
        <f>AND(DATA!N590,"AAAAAHXvf3I=")</f>
        <v>1</v>
      </c>
      <c r="DL109" t="b">
        <f>AND(DATA!O590,"AAAAAHXvf3M=")</f>
        <v>1</v>
      </c>
      <c r="DM109" t="b">
        <f>AND(DATA!P590,"AAAAAHXvf3Q=")</f>
        <v>1</v>
      </c>
      <c r="DN109" t="b">
        <f>AND(DATA!Q590,"AAAAAHXvf3U=")</f>
        <v>1</v>
      </c>
      <c r="DO109" t="b">
        <f>AND(DATA!R590,"AAAAAHXvf3Y=")</f>
        <v>1</v>
      </c>
      <c r="DP109" t="b">
        <f>AND(DATA!S590,"AAAAAHXvf3c=")</f>
        <v>1</v>
      </c>
      <c r="DQ109" t="b">
        <f>AND(DATA!T590,"AAAAAHXvf3g=")</f>
        <v>1</v>
      </c>
      <c r="DR109" t="b">
        <f>AND(DATA!U590,"AAAAAHXvf3k=")</f>
        <v>1</v>
      </c>
      <c r="DS109" t="b">
        <f>AND(DATA!V590,"AAAAAHXvf3o=")</f>
        <v>1</v>
      </c>
      <c r="DT109" t="e">
        <f>AND(DATA!W589,"AAAAAHXvf3s=")</f>
        <v>#VALUE!</v>
      </c>
      <c r="DU109" t="e">
        <f>AND(DATA!X589,"AAAAAHXvf3w=")</f>
        <v>#VALUE!</v>
      </c>
      <c r="DV109" t="e">
        <f>AND(DATA!Y589,"AAAAAHXvf30=")</f>
        <v>#VALUE!</v>
      </c>
      <c r="DW109">
        <f>IF(DATA!590:590,"AAAAAHXvf34=",0)</f>
        <v>0</v>
      </c>
      <c r="DX109" t="e">
        <f>AND(DATA!A590,"AAAAAHXvf38=")</f>
        <v>#VALUE!</v>
      </c>
      <c r="DY109" t="e">
        <f>AND(DATA!B590,"AAAAAHXvf4A=")</f>
        <v>#VALUE!</v>
      </c>
      <c r="DZ109" t="e">
        <f>AND(DATA!C590,"AAAAAHXvf4E=")</f>
        <v>#VALUE!</v>
      </c>
      <c r="EA109" t="e">
        <f>AND(DATA!D590,"AAAAAHXvf4I=")</f>
        <v>#VALUE!</v>
      </c>
      <c r="EB109" t="e">
        <f>AND(DATA!E590,"AAAAAHXvf4M=")</f>
        <v>#VALUE!</v>
      </c>
      <c r="EC109" t="e">
        <f>AND(DATA!F590,"AAAAAHXvf4Q=")</f>
        <v>#VALUE!</v>
      </c>
      <c r="ED109" t="e">
        <f>AND(DATA!G590,"AAAAAHXvf4U=")</f>
        <v>#VALUE!</v>
      </c>
      <c r="EE109" t="e">
        <f>AND(DATA!H590,"AAAAAHXvf4Y=")</f>
        <v>#VALUE!</v>
      </c>
      <c r="EF109" t="e">
        <f>AND(DATA!I590,"AAAAAHXvf4c=")</f>
        <v>#VALUE!</v>
      </c>
      <c r="EG109" t="e">
        <f>AND(DATA!J590,"AAAAAHXvf4g=")</f>
        <v>#VALUE!</v>
      </c>
      <c r="EH109" t="e">
        <f>AND(DATA!K590,"AAAAAHXvf4k=")</f>
        <v>#VALUE!</v>
      </c>
      <c r="EI109" t="b">
        <f>AND(DATA!L591,"AAAAAHXvf4o=")</f>
        <v>1</v>
      </c>
      <c r="EJ109" t="b">
        <f>AND(DATA!M591,"AAAAAHXvf4s=")</f>
        <v>1</v>
      </c>
      <c r="EK109" t="b">
        <f>AND(DATA!N591,"AAAAAHXvf4w=")</f>
        <v>1</v>
      </c>
      <c r="EL109" t="b">
        <f>AND(DATA!O591,"AAAAAHXvf40=")</f>
        <v>1</v>
      </c>
      <c r="EM109" t="b">
        <f>AND(DATA!P591,"AAAAAHXvf44=")</f>
        <v>1</v>
      </c>
      <c r="EN109" t="b">
        <f>AND(DATA!Q591,"AAAAAHXvf48=")</f>
        <v>1</v>
      </c>
      <c r="EO109" t="b">
        <f>AND(DATA!R591,"AAAAAHXvf5A=")</f>
        <v>1</v>
      </c>
      <c r="EP109" t="b">
        <f>AND(DATA!S591,"AAAAAHXvf5E=")</f>
        <v>1</v>
      </c>
      <c r="EQ109" t="b">
        <f>AND(DATA!T591,"AAAAAHXvf5I=")</f>
        <v>1</v>
      </c>
      <c r="ER109" t="b">
        <f>AND(DATA!U591,"AAAAAHXvf5M=")</f>
        <v>1</v>
      </c>
      <c r="ES109" t="b">
        <f>AND(DATA!V591,"AAAAAHXvf5Q=")</f>
        <v>1</v>
      </c>
      <c r="ET109" t="e">
        <f>AND(DATA!W590,"AAAAAHXvf5U=")</f>
        <v>#VALUE!</v>
      </c>
      <c r="EU109" t="e">
        <f>AND(DATA!X590,"AAAAAHXvf5Y=")</f>
        <v>#VALUE!</v>
      </c>
      <c r="EV109" t="e">
        <f>AND(DATA!Y590,"AAAAAHXvf5c=")</f>
        <v>#VALUE!</v>
      </c>
      <c r="EW109">
        <f>IF(DATA!591:591,"AAAAAHXvf5g=",0)</f>
        <v>0</v>
      </c>
      <c r="EX109" t="e">
        <f>AND(DATA!A591,"AAAAAHXvf5k=")</f>
        <v>#VALUE!</v>
      </c>
      <c r="EY109" t="e">
        <f>AND(DATA!B591,"AAAAAHXvf5o=")</f>
        <v>#VALUE!</v>
      </c>
      <c r="EZ109" t="e">
        <f>AND(DATA!C591,"AAAAAHXvf5s=")</f>
        <v>#VALUE!</v>
      </c>
      <c r="FA109" t="e">
        <f>AND(DATA!D591,"AAAAAHXvf5w=")</f>
        <v>#VALUE!</v>
      </c>
      <c r="FB109" t="e">
        <f>AND(DATA!E591,"AAAAAHXvf50=")</f>
        <v>#VALUE!</v>
      </c>
      <c r="FC109" t="e">
        <f>AND(DATA!F591,"AAAAAHXvf54=")</f>
        <v>#VALUE!</v>
      </c>
      <c r="FD109" t="e">
        <f>AND(DATA!G591,"AAAAAHXvf58=")</f>
        <v>#VALUE!</v>
      </c>
      <c r="FE109" t="e">
        <f>AND(DATA!H591,"AAAAAHXvf6A=")</f>
        <v>#VALUE!</v>
      </c>
      <c r="FF109" t="e">
        <f>AND(DATA!I591,"AAAAAHXvf6E=")</f>
        <v>#VALUE!</v>
      </c>
      <c r="FG109" t="e">
        <f>AND(DATA!J591,"AAAAAHXvf6I=")</f>
        <v>#VALUE!</v>
      </c>
      <c r="FH109" t="e">
        <f>AND(DATA!K591,"AAAAAHXvf6M=")</f>
        <v>#VALUE!</v>
      </c>
      <c r="FI109" t="b">
        <f>AND(DATA!L592,"AAAAAHXvf6Q=")</f>
        <v>1</v>
      </c>
      <c r="FJ109" t="b">
        <f>AND(DATA!M592,"AAAAAHXvf6U=")</f>
        <v>1</v>
      </c>
      <c r="FK109" t="b">
        <f>AND(DATA!N592,"AAAAAHXvf6Y=")</f>
        <v>1</v>
      </c>
      <c r="FL109" t="b">
        <f>AND(DATA!O592,"AAAAAHXvf6c=")</f>
        <v>1</v>
      </c>
      <c r="FM109" t="b">
        <f>AND(DATA!P592,"AAAAAHXvf6g=")</f>
        <v>1</v>
      </c>
      <c r="FN109" t="b">
        <f>AND(DATA!Q592,"AAAAAHXvf6k=")</f>
        <v>1</v>
      </c>
      <c r="FO109" t="b">
        <f>AND(DATA!R592,"AAAAAHXvf6o=")</f>
        <v>1</v>
      </c>
      <c r="FP109" t="b">
        <f>AND(DATA!S592,"AAAAAHXvf6s=")</f>
        <v>1</v>
      </c>
      <c r="FQ109" t="b">
        <f>AND(DATA!T592,"AAAAAHXvf6w=")</f>
        <v>1</v>
      </c>
      <c r="FR109" t="b">
        <f>AND(DATA!U592,"AAAAAHXvf60=")</f>
        <v>1</v>
      </c>
      <c r="FS109" t="b">
        <f>AND(DATA!V592,"AAAAAHXvf64=")</f>
        <v>1</v>
      </c>
      <c r="FT109" t="e">
        <f>AND(DATA!W591,"AAAAAHXvf68=")</f>
        <v>#VALUE!</v>
      </c>
      <c r="FU109" t="e">
        <f>AND(DATA!X591,"AAAAAHXvf7A=")</f>
        <v>#VALUE!</v>
      </c>
      <c r="FV109" t="e">
        <f>AND(DATA!Y591,"AAAAAHXvf7E=")</f>
        <v>#VALUE!</v>
      </c>
      <c r="FW109">
        <f>IF(DATA!592:592,"AAAAAHXvf7I=",0)</f>
        <v>0</v>
      </c>
      <c r="FX109" t="e">
        <f>AND(DATA!A592,"AAAAAHXvf7M=")</f>
        <v>#VALUE!</v>
      </c>
      <c r="FY109" t="e">
        <f>AND(DATA!B592,"AAAAAHXvf7Q=")</f>
        <v>#VALUE!</v>
      </c>
      <c r="FZ109" t="e">
        <f>AND(DATA!C592,"AAAAAHXvf7U=")</f>
        <v>#VALUE!</v>
      </c>
      <c r="GA109" t="e">
        <f>AND(DATA!D592,"AAAAAHXvf7Y=")</f>
        <v>#VALUE!</v>
      </c>
      <c r="GB109" t="e">
        <f>AND(DATA!E592,"AAAAAHXvf7c=")</f>
        <v>#VALUE!</v>
      </c>
      <c r="GC109" t="e">
        <f>AND(DATA!F592,"AAAAAHXvf7g=")</f>
        <v>#VALUE!</v>
      </c>
      <c r="GD109" t="e">
        <f>AND(DATA!G592,"AAAAAHXvf7k=")</f>
        <v>#VALUE!</v>
      </c>
      <c r="GE109" t="e">
        <f>AND(DATA!H592,"AAAAAHXvf7o=")</f>
        <v>#VALUE!</v>
      </c>
      <c r="GF109" t="e">
        <f>AND(DATA!I592,"AAAAAHXvf7s=")</f>
        <v>#VALUE!</v>
      </c>
      <c r="GG109" t="e">
        <f>AND(DATA!J592,"AAAAAHXvf7w=")</f>
        <v>#VALUE!</v>
      </c>
      <c r="GH109" t="e">
        <f>AND(DATA!K592,"AAAAAHXvf70=")</f>
        <v>#VALUE!</v>
      </c>
      <c r="GI109" t="b">
        <f>AND(DATA!L593,"AAAAAHXvf74=")</f>
        <v>1</v>
      </c>
      <c r="GJ109" t="b">
        <f>AND(DATA!M593,"AAAAAHXvf78=")</f>
        <v>1</v>
      </c>
      <c r="GK109" t="b">
        <f>AND(DATA!N593,"AAAAAHXvf8A=")</f>
        <v>1</v>
      </c>
      <c r="GL109" t="b">
        <f>AND(DATA!O593,"AAAAAHXvf8E=")</f>
        <v>1</v>
      </c>
      <c r="GM109" t="b">
        <f>AND(DATA!P593,"AAAAAHXvf8I=")</f>
        <v>1</v>
      </c>
      <c r="GN109" t="b">
        <f>AND(DATA!Q593,"AAAAAHXvf8M=")</f>
        <v>1</v>
      </c>
      <c r="GO109" t="b">
        <f>AND(DATA!R593,"AAAAAHXvf8Q=")</f>
        <v>1</v>
      </c>
      <c r="GP109" t="b">
        <f>AND(DATA!S593,"AAAAAHXvf8U=")</f>
        <v>1</v>
      </c>
      <c r="GQ109" t="b">
        <f>AND(DATA!T593,"AAAAAHXvf8Y=")</f>
        <v>1</v>
      </c>
      <c r="GR109" t="b">
        <f>AND(DATA!U593,"AAAAAHXvf8c=")</f>
        <v>1</v>
      </c>
      <c r="GS109" t="b">
        <f>AND(DATA!V593,"AAAAAHXvf8g=")</f>
        <v>1</v>
      </c>
      <c r="GT109" t="e">
        <f>AND(DATA!W592,"AAAAAHXvf8k=")</f>
        <v>#VALUE!</v>
      </c>
      <c r="GU109" t="e">
        <f>AND(DATA!X592,"AAAAAHXvf8o=")</f>
        <v>#VALUE!</v>
      </c>
      <c r="GV109" t="e">
        <f>AND(DATA!Y592,"AAAAAHXvf8s=")</f>
        <v>#VALUE!</v>
      </c>
      <c r="GW109">
        <f>IF(DATA!593:593,"AAAAAHXvf8w=",0)</f>
        <v>0</v>
      </c>
      <c r="GX109" t="e">
        <f>AND(DATA!A593,"AAAAAHXvf80=")</f>
        <v>#VALUE!</v>
      </c>
      <c r="GY109" t="e">
        <f>AND(DATA!B593,"AAAAAHXvf84=")</f>
        <v>#VALUE!</v>
      </c>
      <c r="GZ109" t="e">
        <f>AND(DATA!C593,"AAAAAHXvf88=")</f>
        <v>#VALUE!</v>
      </c>
      <c r="HA109" t="e">
        <f>AND(DATA!D593,"AAAAAHXvf9A=")</f>
        <v>#VALUE!</v>
      </c>
      <c r="HB109" t="e">
        <f>AND(DATA!E593,"AAAAAHXvf9E=")</f>
        <v>#VALUE!</v>
      </c>
      <c r="HC109" t="e">
        <f>AND(DATA!F593,"AAAAAHXvf9I=")</f>
        <v>#VALUE!</v>
      </c>
      <c r="HD109" t="e">
        <f>AND(DATA!G593,"AAAAAHXvf9M=")</f>
        <v>#VALUE!</v>
      </c>
      <c r="HE109" t="e">
        <f>AND(DATA!H593,"AAAAAHXvf9Q=")</f>
        <v>#VALUE!</v>
      </c>
      <c r="HF109" t="e">
        <f>AND(DATA!I593,"AAAAAHXvf9U=")</f>
        <v>#VALUE!</v>
      </c>
      <c r="HG109" t="e">
        <f>AND(DATA!J593,"AAAAAHXvf9Y=")</f>
        <v>#VALUE!</v>
      </c>
      <c r="HH109" t="e">
        <f>AND(DATA!K593,"AAAAAHXvf9c=")</f>
        <v>#VALUE!</v>
      </c>
      <c r="HI109" t="b">
        <f>AND(DATA!L594,"AAAAAHXvf9g=")</f>
        <v>1</v>
      </c>
      <c r="HJ109" t="b">
        <f>AND(DATA!M594,"AAAAAHXvf9k=")</f>
        <v>1</v>
      </c>
      <c r="HK109" t="b">
        <f>AND(DATA!N594,"AAAAAHXvf9o=")</f>
        <v>1</v>
      </c>
      <c r="HL109" t="b">
        <f>AND(DATA!O594,"AAAAAHXvf9s=")</f>
        <v>1</v>
      </c>
      <c r="HM109" t="b">
        <f>AND(DATA!P594,"AAAAAHXvf9w=")</f>
        <v>1</v>
      </c>
      <c r="HN109" t="b">
        <f>AND(DATA!Q594,"AAAAAHXvf90=")</f>
        <v>1</v>
      </c>
      <c r="HO109" t="b">
        <f>AND(DATA!R594,"AAAAAHXvf94=")</f>
        <v>1</v>
      </c>
      <c r="HP109" t="b">
        <f>AND(DATA!S594,"AAAAAHXvf98=")</f>
        <v>1</v>
      </c>
      <c r="HQ109" t="b">
        <f>AND(DATA!T594,"AAAAAHXvf+A=")</f>
        <v>1</v>
      </c>
      <c r="HR109" t="b">
        <f>AND(DATA!U594,"AAAAAHXvf+E=")</f>
        <v>1</v>
      </c>
      <c r="HS109" t="b">
        <f>AND(DATA!V594,"AAAAAHXvf+I=")</f>
        <v>1</v>
      </c>
      <c r="HT109" t="e">
        <f>AND(DATA!W593,"AAAAAHXvf+M=")</f>
        <v>#VALUE!</v>
      </c>
      <c r="HU109" t="e">
        <f>AND(DATA!X593,"AAAAAHXvf+Q=")</f>
        <v>#VALUE!</v>
      </c>
      <c r="HV109" t="e">
        <f>AND(DATA!Y593,"AAAAAHXvf+U=")</f>
        <v>#VALUE!</v>
      </c>
      <c r="HW109">
        <f>IF(DATA!594:594,"AAAAAHXvf+Y=",0)</f>
        <v>0</v>
      </c>
      <c r="HX109" t="e">
        <f>AND(DATA!A594,"AAAAAHXvf+c=")</f>
        <v>#VALUE!</v>
      </c>
      <c r="HY109" t="e">
        <f>AND(DATA!B594,"AAAAAHXvf+g=")</f>
        <v>#VALUE!</v>
      </c>
      <c r="HZ109" t="e">
        <f>AND(DATA!C594,"AAAAAHXvf+k=")</f>
        <v>#VALUE!</v>
      </c>
      <c r="IA109" t="e">
        <f>AND(DATA!D594,"AAAAAHXvf+o=")</f>
        <v>#VALUE!</v>
      </c>
      <c r="IB109" t="e">
        <f>AND(DATA!E594,"AAAAAHXvf+s=")</f>
        <v>#VALUE!</v>
      </c>
      <c r="IC109" t="e">
        <f>AND(DATA!F594,"AAAAAHXvf+w=")</f>
        <v>#VALUE!</v>
      </c>
      <c r="ID109" t="e">
        <f>AND(DATA!G594,"AAAAAHXvf+0=")</f>
        <v>#VALUE!</v>
      </c>
      <c r="IE109" t="e">
        <f>AND(DATA!H594,"AAAAAHXvf+4=")</f>
        <v>#VALUE!</v>
      </c>
      <c r="IF109" t="e">
        <f>AND(DATA!I594,"AAAAAHXvf+8=")</f>
        <v>#VALUE!</v>
      </c>
      <c r="IG109" t="e">
        <f>AND(DATA!J594,"AAAAAHXvf/A=")</f>
        <v>#VALUE!</v>
      </c>
      <c r="IH109" t="e">
        <f>AND(DATA!K594,"AAAAAHXvf/E=")</f>
        <v>#VALUE!</v>
      </c>
      <c r="II109" t="b">
        <f>AND(DATA!L595,"AAAAAHXvf/I=")</f>
        <v>1</v>
      </c>
      <c r="IJ109" t="b">
        <f>AND(DATA!M595,"AAAAAHXvf/M=")</f>
        <v>1</v>
      </c>
      <c r="IK109" t="b">
        <f>AND(DATA!N595,"AAAAAHXvf/Q=")</f>
        <v>1</v>
      </c>
      <c r="IL109" t="b">
        <f>AND(DATA!O595,"AAAAAHXvf/U=")</f>
        <v>1</v>
      </c>
      <c r="IM109" t="b">
        <f>AND(DATA!P595,"AAAAAHXvf/Y=")</f>
        <v>1</v>
      </c>
      <c r="IN109" t="b">
        <f>AND(DATA!Q595,"AAAAAHXvf/c=")</f>
        <v>1</v>
      </c>
      <c r="IO109" t="b">
        <f>AND(DATA!R595,"AAAAAHXvf/g=")</f>
        <v>1</v>
      </c>
      <c r="IP109" t="b">
        <f>AND(DATA!S595,"AAAAAHXvf/k=")</f>
        <v>1</v>
      </c>
      <c r="IQ109" t="b">
        <f>AND(DATA!T595,"AAAAAHXvf/o=")</f>
        <v>1</v>
      </c>
      <c r="IR109" t="b">
        <f>AND(DATA!U595,"AAAAAHXvf/s=")</f>
        <v>1</v>
      </c>
      <c r="IS109" t="b">
        <f>AND(DATA!V595,"AAAAAHXvf/w=")</f>
        <v>1</v>
      </c>
      <c r="IT109" t="e">
        <f>AND(DATA!W594,"AAAAAHXvf/0=")</f>
        <v>#VALUE!</v>
      </c>
      <c r="IU109" t="e">
        <f>AND(DATA!X594,"AAAAAHXvf/4=")</f>
        <v>#VALUE!</v>
      </c>
      <c r="IV109" t="e">
        <f>AND(DATA!Y594,"AAAAAHXvf/8=")</f>
        <v>#VALUE!</v>
      </c>
    </row>
    <row r="110" spans="1:256" x14ac:dyDescent="0.25">
      <c r="A110">
        <f>IF(DATA!595:595,"AAAAAF9euwA=",0)</f>
        <v>0</v>
      </c>
      <c r="B110" t="e">
        <f>AND(DATA!A595,"AAAAAF9euwE=")</f>
        <v>#VALUE!</v>
      </c>
      <c r="C110" t="e">
        <f>AND(DATA!B595,"AAAAAF9euwI=")</f>
        <v>#VALUE!</v>
      </c>
      <c r="D110" t="e">
        <f>AND(DATA!C595,"AAAAAF9euwM=")</f>
        <v>#VALUE!</v>
      </c>
      <c r="E110" t="e">
        <f>AND(DATA!D595,"AAAAAF9euwQ=")</f>
        <v>#VALUE!</v>
      </c>
      <c r="F110" t="e">
        <f>AND(DATA!E595,"AAAAAF9euwU=")</f>
        <v>#VALUE!</v>
      </c>
      <c r="G110" t="e">
        <f>AND(DATA!F595,"AAAAAF9euwY=")</f>
        <v>#VALUE!</v>
      </c>
      <c r="H110" t="e">
        <f>AND(DATA!G595,"AAAAAF9euwc=")</f>
        <v>#VALUE!</v>
      </c>
      <c r="I110" t="e">
        <f>AND(DATA!H595,"AAAAAF9euwg=")</f>
        <v>#VALUE!</v>
      </c>
      <c r="J110" t="e">
        <f>AND(DATA!I595,"AAAAAF9euwk=")</f>
        <v>#VALUE!</v>
      </c>
      <c r="K110" t="e">
        <f>AND(DATA!J595,"AAAAAF9euwo=")</f>
        <v>#VALUE!</v>
      </c>
      <c r="L110" t="e">
        <f>AND(DATA!K595,"AAAAAF9euws=")</f>
        <v>#VALUE!</v>
      </c>
      <c r="M110" t="b">
        <f>AND(DATA!L596,"AAAAAF9euww=")</f>
        <v>1</v>
      </c>
      <c r="N110" t="b">
        <f>AND(DATA!M596,"AAAAAF9euw0=")</f>
        <v>1</v>
      </c>
      <c r="O110" t="b">
        <f>AND(DATA!N596,"AAAAAF9euw4=")</f>
        <v>1</v>
      </c>
      <c r="P110" t="b">
        <f>AND(DATA!O596,"AAAAAF9euw8=")</f>
        <v>1</v>
      </c>
      <c r="Q110" t="b">
        <f>AND(DATA!P596,"AAAAAF9euxA=")</f>
        <v>1</v>
      </c>
      <c r="R110" t="b">
        <f>AND(DATA!Q596,"AAAAAF9euxE=")</f>
        <v>1</v>
      </c>
      <c r="S110" t="b">
        <f>AND(DATA!R596,"AAAAAF9euxI=")</f>
        <v>1</v>
      </c>
      <c r="T110" t="b">
        <f>AND(DATA!S596,"AAAAAF9euxM=")</f>
        <v>1</v>
      </c>
      <c r="U110" t="b">
        <f>AND(DATA!T596,"AAAAAF9euxQ=")</f>
        <v>1</v>
      </c>
      <c r="V110" t="b">
        <f>AND(DATA!U596,"AAAAAF9euxU=")</f>
        <v>1</v>
      </c>
      <c r="W110" t="b">
        <f>AND(DATA!V596,"AAAAAF9euxY=")</f>
        <v>1</v>
      </c>
      <c r="X110" t="e">
        <f>AND(DATA!W595,"AAAAAF9euxc=")</f>
        <v>#VALUE!</v>
      </c>
      <c r="Y110" t="e">
        <f>AND(DATA!X595,"AAAAAF9euxg=")</f>
        <v>#VALUE!</v>
      </c>
      <c r="Z110" t="e">
        <f>AND(DATA!Y595,"AAAAAF9euxk=")</f>
        <v>#VALUE!</v>
      </c>
      <c r="AA110">
        <f>IF(DATA!596:596,"AAAAAF9euxo=",0)</f>
        <v>0</v>
      </c>
      <c r="AB110" t="e">
        <f>AND(DATA!A596,"AAAAAF9euxs=")</f>
        <v>#VALUE!</v>
      </c>
      <c r="AC110" t="e">
        <f>AND(DATA!B596,"AAAAAF9euxw=")</f>
        <v>#VALUE!</v>
      </c>
      <c r="AD110" t="e">
        <f>AND(DATA!C596,"AAAAAF9eux0=")</f>
        <v>#VALUE!</v>
      </c>
      <c r="AE110" t="e">
        <f>AND(DATA!D596,"AAAAAF9eux4=")</f>
        <v>#VALUE!</v>
      </c>
      <c r="AF110" t="e">
        <f>AND(DATA!E596,"AAAAAF9eux8=")</f>
        <v>#VALUE!</v>
      </c>
      <c r="AG110" t="e">
        <f>AND(DATA!F596,"AAAAAF9euyA=")</f>
        <v>#VALUE!</v>
      </c>
      <c r="AH110" t="e">
        <f>AND(DATA!G596,"AAAAAF9euyE=")</f>
        <v>#VALUE!</v>
      </c>
      <c r="AI110" t="e">
        <f>AND(DATA!H596,"AAAAAF9euyI=")</f>
        <v>#VALUE!</v>
      </c>
      <c r="AJ110" t="e">
        <f>AND(DATA!I596,"AAAAAF9euyM=")</f>
        <v>#VALUE!</v>
      </c>
      <c r="AK110" t="e">
        <f>AND(DATA!J596,"AAAAAF9euyQ=")</f>
        <v>#VALUE!</v>
      </c>
      <c r="AL110" t="e">
        <f>AND(DATA!K596,"AAAAAF9euyU=")</f>
        <v>#VALUE!</v>
      </c>
      <c r="AM110" t="b">
        <f>AND(DATA!L597,"AAAAAF9euyY=")</f>
        <v>1</v>
      </c>
      <c r="AN110" t="b">
        <f>AND(DATA!M597,"AAAAAF9euyc=")</f>
        <v>1</v>
      </c>
      <c r="AO110" t="b">
        <f>AND(DATA!N597,"AAAAAF9euyg=")</f>
        <v>1</v>
      </c>
      <c r="AP110" t="b">
        <f>AND(DATA!O597,"AAAAAF9euyk=")</f>
        <v>1</v>
      </c>
      <c r="AQ110" t="b">
        <f>AND(DATA!P597,"AAAAAF9euyo=")</f>
        <v>1</v>
      </c>
      <c r="AR110" t="b">
        <f>AND(DATA!Q597,"AAAAAF9euys=")</f>
        <v>1</v>
      </c>
      <c r="AS110" t="b">
        <f>AND(DATA!R597,"AAAAAF9euyw=")</f>
        <v>1</v>
      </c>
      <c r="AT110" t="b">
        <f>AND(DATA!S597,"AAAAAF9euy0=")</f>
        <v>1</v>
      </c>
      <c r="AU110" t="b">
        <f>AND(DATA!T597,"AAAAAF9euy4=")</f>
        <v>1</v>
      </c>
      <c r="AV110" t="b">
        <f>AND(DATA!U597,"AAAAAF9euy8=")</f>
        <v>1</v>
      </c>
      <c r="AW110" t="b">
        <f>AND(DATA!V597,"AAAAAF9euzA=")</f>
        <v>1</v>
      </c>
      <c r="AX110" t="e">
        <f>AND(DATA!W596,"AAAAAF9euzE=")</f>
        <v>#VALUE!</v>
      </c>
      <c r="AY110" t="e">
        <f>AND(DATA!X596,"AAAAAF9euzI=")</f>
        <v>#VALUE!</v>
      </c>
      <c r="AZ110" t="e">
        <f>AND(DATA!Y596,"AAAAAF9euzM=")</f>
        <v>#VALUE!</v>
      </c>
      <c r="BA110">
        <f>IF(DATA!597:597,"AAAAAF9euzQ=",0)</f>
        <v>0</v>
      </c>
      <c r="BB110" t="e">
        <f>AND(DATA!A597,"AAAAAF9euzU=")</f>
        <v>#VALUE!</v>
      </c>
      <c r="BC110" t="e">
        <f>AND(DATA!B597,"AAAAAF9euzY=")</f>
        <v>#VALUE!</v>
      </c>
      <c r="BD110" t="e">
        <f>AND(DATA!C597,"AAAAAF9euzc=")</f>
        <v>#VALUE!</v>
      </c>
      <c r="BE110" t="e">
        <f>AND(DATA!D597,"AAAAAF9euzg=")</f>
        <v>#VALUE!</v>
      </c>
      <c r="BF110" t="e">
        <f>AND(DATA!E597,"AAAAAF9euzk=")</f>
        <v>#VALUE!</v>
      </c>
      <c r="BG110" t="e">
        <f>AND(DATA!F597,"AAAAAF9euzo=")</f>
        <v>#VALUE!</v>
      </c>
      <c r="BH110" t="e">
        <f>AND(DATA!G597,"AAAAAF9euzs=")</f>
        <v>#VALUE!</v>
      </c>
      <c r="BI110" t="e">
        <f>AND(DATA!H597,"AAAAAF9euzw=")</f>
        <v>#VALUE!</v>
      </c>
      <c r="BJ110" t="e">
        <f>AND(DATA!I597,"AAAAAF9euz0=")</f>
        <v>#VALUE!</v>
      </c>
      <c r="BK110" t="e">
        <f>AND(DATA!J597,"AAAAAF9euz4=")</f>
        <v>#VALUE!</v>
      </c>
      <c r="BL110" t="e">
        <f>AND(DATA!K597,"AAAAAF9euz8=")</f>
        <v>#VALUE!</v>
      </c>
      <c r="BM110" t="b">
        <f>AND(DATA!L598,"AAAAAF9eu0A=")</f>
        <v>1</v>
      </c>
      <c r="BN110" t="b">
        <f>AND(DATA!M598,"AAAAAF9eu0E=")</f>
        <v>1</v>
      </c>
      <c r="BO110" t="b">
        <f>AND(DATA!N598,"AAAAAF9eu0I=")</f>
        <v>1</v>
      </c>
      <c r="BP110" t="b">
        <f>AND(DATA!O598,"AAAAAF9eu0M=")</f>
        <v>1</v>
      </c>
      <c r="BQ110" t="b">
        <f>AND(DATA!P598,"AAAAAF9eu0Q=")</f>
        <v>1</v>
      </c>
      <c r="BR110" t="b">
        <f>AND(DATA!Q598,"AAAAAF9eu0U=")</f>
        <v>1</v>
      </c>
      <c r="BS110" t="b">
        <f>AND(DATA!R598,"AAAAAF9eu0Y=")</f>
        <v>1</v>
      </c>
      <c r="BT110" t="b">
        <f>AND(DATA!S598,"AAAAAF9eu0c=")</f>
        <v>1</v>
      </c>
      <c r="BU110" t="b">
        <f>AND(DATA!T598,"AAAAAF9eu0g=")</f>
        <v>1</v>
      </c>
      <c r="BV110" t="b">
        <f>AND(DATA!U598,"AAAAAF9eu0k=")</f>
        <v>1</v>
      </c>
      <c r="BW110" t="b">
        <f>AND(DATA!V598,"AAAAAF9eu0o=")</f>
        <v>1</v>
      </c>
      <c r="BX110" t="e">
        <f>AND(DATA!W597,"AAAAAF9eu0s=")</f>
        <v>#VALUE!</v>
      </c>
      <c r="BY110" t="e">
        <f>AND(DATA!X597,"AAAAAF9eu0w=")</f>
        <v>#VALUE!</v>
      </c>
      <c r="BZ110" t="e">
        <f>AND(DATA!Y597,"AAAAAF9eu00=")</f>
        <v>#VALUE!</v>
      </c>
      <c r="CA110">
        <f>IF(DATA!598:598,"AAAAAF9eu04=",0)</f>
        <v>0</v>
      </c>
      <c r="CB110" t="e">
        <f>AND(DATA!A598,"AAAAAF9eu08=")</f>
        <v>#VALUE!</v>
      </c>
      <c r="CC110" t="e">
        <f>AND(DATA!B598,"AAAAAF9eu1A=")</f>
        <v>#VALUE!</v>
      </c>
      <c r="CD110" t="e">
        <f>AND(DATA!C598,"AAAAAF9eu1E=")</f>
        <v>#VALUE!</v>
      </c>
      <c r="CE110" t="e">
        <f>AND(DATA!D598,"AAAAAF9eu1I=")</f>
        <v>#VALUE!</v>
      </c>
      <c r="CF110" t="e">
        <f>AND(DATA!E598,"AAAAAF9eu1M=")</f>
        <v>#VALUE!</v>
      </c>
      <c r="CG110" t="e">
        <f>AND(DATA!F598,"AAAAAF9eu1Q=")</f>
        <v>#VALUE!</v>
      </c>
      <c r="CH110" t="e">
        <f>AND(DATA!G598,"AAAAAF9eu1U=")</f>
        <v>#VALUE!</v>
      </c>
      <c r="CI110" t="e">
        <f>AND(DATA!H598,"AAAAAF9eu1Y=")</f>
        <v>#VALUE!</v>
      </c>
      <c r="CJ110" t="e">
        <f>AND(DATA!I598,"AAAAAF9eu1c=")</f>
        <v>#VALUE!</v>
      </c>
      <c r="CK110" t="e">
        <f>AND(DATA!J598,"AAAAAF9eu1g=")</f>
        <v>#VALUE!</v>
      </c>
      <c r="CL110" t="e">
        <f>AND(DATA!K598,"AAAAAF9eu1k=")</f>
        <v>#VALUE!</v>
      </c>
      <c r="CM110" t="b">
        <f>AND(DATA!L599,"AAAAAF9eu1o=")</f>
        <v>1</v>
      </c>
      <c r="CN110" t="b">
        <f>AND(DATA!M599,"AAAAAF9eu1s=")</f>
        <v>1</v>
      </c>
      <c r="CO110" t="b">
        <f>AND(DATA!N599,"AAAAAF9eu1w=")</f>
        <v>1</v>
      </c>
      <c r="CP110" t="b">
        <f>AND(DATA!O599,"AAAAAF9eu10=")</f>
        <v>1</v>
      </c>
      <c r="CQ110" t="b">
        <f>AND(DATA!P599,"AAAAAF9eu14=")</f>
        <v>1</v>
      </c>
      <c r="CR110" t="b">
        <f>AND(DATA!Q599,"AAAAAF9eu18=")</f>
        <v>1</v>
      </c>
      <c r="CS110" t="b">
        <f>AND(DATA!R599,"AAAAAF9eu2A=")</f>
        <v>1</v>
      </c>
      <c r="CT110" t="b">
        <f>AND(DATA!S599,"AAAAAF9eu2E=")</f>
        <v>1</v>
      </c>
      <c r="CU110" t="b">
        <f>AND(DATA!T599,"AAAAAF9eu2I=")</f>
        <v>1</v>
      </c>
      <c r="CV110" t="b">
        <f>AND(DATA!U599,"AAAAAF9eu2M=")</f>
        <v>1</v>
      </c>
      <c r="CW110" t="b">
        <f>AND(DATA!V599,"AAAAAF9eu2Q=")</f>
        <v>1</v>
      </c>
      <c r="CX110" t="e">
        <f>AND(DATA!W598,"AAAAAF9eu2U=")</f>
        <v>#VALUE!</v>
      </c>
      <c r="CY110" t="e">
        <f>AND(DATA!X598,"AAAAAF9eu2Y=")</f>
        <v>#VALUE!</v>
      </c>
      <c r="CZ110" t="e">
        <f>AND(DATA!Y598,"AAAAAF9eu2c=")</f>
        <v>#VALUE!</v>
      </c>
      <c r="DA110">
        <f>IF(DATA!599:599,"AAAAAF9eu2g=",0)</f>
        <v>0</v>
      </c>
      <c r="DB110" t="e">
        <f>AND(DATA!A599,"AAAAAF9eu2k=")</f>
        <v>#VALUE!</v>
      </c>
      <c r="DC110" t="e">
        <f>AND(DATA!B599,"AAAAAF9eu2o=")</f>
        <v>#VALUE!</v>
      </c>
      <c r="DD110" t="e">
        <f>AND(DATA!C599,"AAAAAF9eu2s=")</f>
        <v>#VALUE!</v>
      </c>
      <c r="DE110" t="e">
        <f>AND(DATA!D599,"AAAAAF9eu2w=")</f>
        <v>#VALUE!</v>
      </c>
      <c r="DF110" t="e">
        <f>AND(DATA!E599,"AAAAAF9eu20=")</f>
        <v>#VALUE!</v>
      </c>
      <c r="DG110" t="e">
        <f>AND(DATA!F599,"AAAAAF9eu24=")</f>
        <v>#VALUE!</v>
      </c>
      <c r="DH110" t="e">
        <f>AND(DATA!G599,"AAAAAF9eu28=")</f>
        <v>#VALUE!</v>
      </c>
      <c r="DI110" t="e">
        <f>AND(DATA!H599,"AAAAAF9eu3A=")</f>
        <v>#VALUE!</v>
      </c>
      <c r="DJ110" t="e">
        <f>AND(DATA!I599,"AAAAAF9eu3E=")</f>
        <v>#VALUE!</v>
      </c>
      <c r="DK110" t="e">
        <f>AND(DATA!J599,"AAAAAF9eu3I=")</f>
        <v>#VALUE!</v>
      </c>
      <c r="DL110" t="e">
        <f>AND(DATA!K599,"AAAAAF9eu3M=")</f>
        <v>#VALUE!</v>
      </c>
      <c r="DM110" t="b">
        <f>AND(DATA!L600,"AAAAAF9eu3Q=")</f>
        <v>1</v>
      </c>
      <c r="DN110" t="b">
        <f>AND(DATA!M600,"AAAAAF9eu3U=")</f>
        <v>1</v>
      </c>
      <c r="DO110" t="b">
        <f>AND(DATA!N600,"AAAAAF9eu3Y=")</f>
        <v>1</v>
      </c>
      <c r="DP110" t="b">
        <f>AND(DATA!O600,"AAAAAF9eu3c=")</f>
        <v>1</v>
      </c>
      <c r="DQ110" t="b">
        <f>AND(DATA!P600,"AAAAAF9eu3g=")</f>
        <v>1</v>
      </c>
      <c r="DR110" t="b">
        <f>AND(DATA!Q600,"AAAAAF9eu3k=")</f>
        <v>1</v>
      </c>
      <c r="DS110" t="b">
        <f>AND(DATA!R600,"AAAAAF9eu3o=")</f>
        <v>1</v>
      </c>
      <c r="DT110" t="b">
        <f>AND(DATA!S600,"AAAAAF9eu3s=")</f>
        <v>1</v>
      </c>
      <c r="DU110" t="b">
        <f>AND(DATA!T600,"AAAAAF9eu3w=")</f>
        <v>1</v>
      </c>
      <c r="DV110" t="b">
        <f>AND(DATA!U600,"AAAAAF9eu30=")</f>
        <v>1</v>
      </c>
      <c r="DW110" t="b">
        <f>AND(DATA!V600,"AAAAAF9eu34=")</f>
        <v>1</v>
      </c>
      <c r="DX110" t="e">
        <f>AND(DATA!W599,"AAAAAF9eu38=")</f>
        <v>#VALUE!</v>
      </c>
      <c r="DY110" t="e">
        <f>AND(DATA!X599,"AAAAAF9eu4A=")</f>
        <v>#VALUE!</v>
      </c>
      <c r="DZ110" t="e">
        <f>AND(DATA!Y599,"AAAAAF9eu4E=")</f>
        <v>#VALUE!</v>
      </c>
      <c r="EA110">
        <f>IF(DATA!600:600,"AAAAAF9eu4I=",0)</f>
        <v>0</v>
      </c>
      <c r="EB110" t="e">
        <f>AND(DATA!A600,"AAAAAF9eu4M=")</f>
        <v>#VALUE!</v>
      </c>
      <c r="EC110" t="e">
        <f>AND(DATA!B600,"AAAAAF9eu4Q=")</f>
        <v>#VALUE!</v>
      </c>
      <c r="ED110" t="e">
        <f>AND(DATA!C600,"AAAAAF9eu4U=")</f>
        <v>#VALUE!</v>
      </c>
      <c r="EE110" t="e">
        <f>AND(DATA!D600,"AAAAAF9eu4Y=")</f>
        <v>#VALUE!</v>
      </c>
      <c r="EF110" t="e">
        <f>AND(DATA!E600,"AAAAAF9eu4c=")</f>
        <v>#VALUE!</v>
      </c>
      <c r="EG110" t="e">
        <f>AND(DATA!F600,"AAAAAF9eu4g=")</f>
        <v>#VALUE!</v>
      </c>
      <c r="EH110" t="e">
        <f>AND(DATA!G600,"AAAAAF9eu4k=")</f>
        <v>#VALUE!</v>
      </c>
      <c r="EI110" t="e">
        <f>AND(DATA!H600,"AAAAAF9eu4o=")</f>
        <v>#VALUE!</v>
      </c>
      <c r="EJ110" t="e">
        <f>AND(DATA!I600,"AAAAAF9eu4s=")</f>
        <v>#VALUE!</v>
      </c>
      <c r="EK110" t="e">
        <f>AND(DATA!J600,"AAAAAF9eu4w=")</f>
        <v>#VALUE!</v>
      </c>
      <c r="EL110" t="e">
        <f>AND(DATA!K600,"AAAAAF9eu40=")</f>
        <v>#VALUE!</v>
      </c>
      <c r="EM110" t="b">
        <f>AND(DATA!L601,"AAAAAF9eu44=")</f>
        <v>1</v>
      </c>
      <c r="EN110" t="b">
        <f>AND(DATA!M601,"AAAAAF9eu48=")</f>
        <v>1</v>
      </c>
      <c r="EO110" t="b">
        <f>AND(DATA!N601,"AAAAAF9eu5A=")</f>
        <v>1</v>
      </c>
      <c r="EP110" t="b">
        <f>AND(DATA!O601,"AAAAAF9eu5E=")</f>
        <v>1</v>
      </c>
      <c r="EQ110" t="b">
        <f>AND(DATA!P601,"AAAAAF9eu5I=")</f>
        <v>1</v>
      </c>
      <c r="ER110" t="b">
        <f>AND(DATA!Q601,"AAAAAF9eu5M=")</f>
        <v>1</v>
      </c>
      <c r="ES110" t="b">
        <f>AND(DATA!R601,"AAAAAF9eu5Q=")</f>
        <v>1</v>
      </c>
      <c r="ET110" t="b">
        <f>AND(DATA!S601,"AAAAAF9eu5U=")</f>
        <v>1</v>
      </c>
      <c r="EU110" t="b">
        <f>AND(DATA!T601,"AAAAAF9eu5Y=")</f>
        <v>1</v>
      </c>
      <c r="EV110" t="b">
        <f>AND(DATA!U601,"AAAAAF9eu5c=")</f>
        <v>1</v>
      </c>
      <c r="EW110" t="b">
        <f>AND(DATA!V601,"AAAAAF9eu5g=")</f>
        <v>1</v>
      </c>
      <c r="EX110" t="e">
        <f>AND(DATA!W600,"AAAAAF9eu5k=")</f>
        <v>#VALUE!</v>
      </c>
      <c r="EY110" t="e">
        <f>AND(DATA!X600,"AAAAAF9eu5o=")</f>
        <v>#VALUE!</v>
      </c>
      <c r="EZ110" t="e">
        <f>AND(DATA!Y600,"AAAAAF9eu5s=")</f>
        <v>#VALUE!</v>
      </c>
      <c r="FA110">
        <f>IF(DATA!601:601,"AAAAAF9eu5w=",0)</f>
        <v>0</v>
      </c>
      <c r="FB110" t="e">
        <f>AND(DATA!A601,"AAAAAF9eu50=")</f>
        <v>#VALUE!</v>
      </c>
      <c r="FC110" t="e">
        <f>AND(DATA!B601,"AAAAAF9eu54=")</f>
        <v>#VALUE!</v>
      </c>
      <c r="FD110" t="e">
        <f>AND(DATA!C601,"AAAAAF9eu58=")</f>
        <v>#VALUE!</v>
      </c>
      <c r="FE110" t="e">
        <f>AND(DATA!D601,"AAAAAF9eu6A=")</f>
        <v>#VALUE!</v>
      </c>
      <c r="FF110" t="e">
        <f>AND(DATA!E601,"AAAAAF9eu6E=")</f>
        <v>#VALUE!</v>
      </c>
      <c r="FG110" t="e">
        <f>AND(DATA!F601,"AAAAAF9eu6I=")</f>
        <v>#VALUE!</v>
      </c>
      <c r="FH110" t="e">
        <f>AND(DATA!G601,"AAAAAF9eu6M=")</f>
        <v>#VALUE!</v>
      </c>
      <c r="FI110" t="e">
        <f>AND(DATA!H601,"AAAAAF9eu6Q=")</f>
        <v>#VALUE!</v>
      </c>
      <c r="FJ110" t="e">
        <f>AND(DATA!I601,"AAAAAF9eu6U=")</f>
        <v>#VALUE!</v>
      </c>
      <c r="FK110" t="e">
        <f>AND(DATA!J601,"AAAAAF9eu6Y=")</f>
        <v>#VALUE!</v>
      </c>
      <c r="FL110" t="e">
        <f>AND(DATA!K601,"AAAAAF9eu6c=")</f>
        <v>#VALUE!</v>
      </c>
      <c r="FM110" t="b">
        <f>AND(DATA!L602,"AAAAAF9eu6g=")</f>
        <v>1</v>
      </c>
      <c r="FN110" t="b">
        <f>AND(DATA!M602,"AAAAAF9eu6k=")</f>
        <v>1</v>
      </c>
      <c r="FO110" t="b">
        <f>AND(DATA!N602,"AAAAAF9eu6o=")</f>
        <v>1</v>
      </c>
      <c r="FP110" t="b">
        <f>AND(DATA!O602,"AAAAAF9eu6s=")</f>
        <v>1</v>
      </c>
      <c r="FQ110" t="b">
        <f>AND(DATA!P602,"AAAAAF9eu6w=")</f>
        <v>1</v>
      </c>
      <c r="FR110" t="b">
        <f>AND(DATA!Q602,"AAAAAF9eu60=")</f>
        <v>1</v>
      </c>
      <c r="FS110" t="b">
        <f>AND(DATA!R602,"AAAAAF9eu64=")</f>
        <v>1</v>
      </c>
      <c r="FT110" t="b">
        <f>AND(DATA!S602,"AAAAAF9eu68=")</f>
        <v>1</v>
      </c>
      <c r="FU110" t="b">
        <f>AND(DATA!T602,"AAAAAF9eu7A=")</f>
        <v>1</v>
      </c>
      <c r="FV110" t="b">
        <f>AND(DATA!U602,"AAAAAF9eu7E=")</f>
        <v>1</v>
      </c>
      <c r="FW110" t="b">
        <f>AND(DATA!V602,"AAAAAF9eu7I=")</f>
        <v>1</v>
      </c>
      <c r="FX110" t="e">
        <f>AND(DATA!W601,"AAAAAF9eu7M=")</f>
        <v>#VALUE!</v>
      </c>
      <c r="FY110" t="e">
        <f>AND(DATA!X601,"AAAAAF9eu7Q=")</f>
        <v>#VALUE!</v>
      </c>
      <c r="FZ110" t="e">
        <f>AND(DATA!Y601,"AAAAAF9eu7U=")</f>
        <v>#VALUE!</v>
      </c>
      <c r="GA110">
        <f>IF(DATA!602:602,"AAAAAF9eu7Y=",0)</f>
        <v>0</v>
      </c>
      <c r="GB110" t="e">
        <f>AND(DATA!A602,"AAAAAF9eu7c=")</f>
        <v>#VALUE!</v>
      </c>
      <c r="GC110" t="e">
        <f>AND(DATA!B602,"AAAAAF9eu7g=")</f>
        <v>#VALUE!</v>
      </c>
      <c r="GD110" t="e">
        <f>AND(DATA!C602,"AAAAAF9eu7k=")</f>
        <v>#VALUE!</v>
      </c>
      <c r="GE110" t="e">
        <f>AND(DATA!D602,"AAAAAF9eu7o=")</f>
        <v>#VALUE!</v>
      </c>
      <c r="GF110" t="e">
        <f>AND(DATA!E602,"AAAAAF9eu7s=")</f>
        <v>#VALUE!</v>
      </c>
      <c r="GG110" t="e">
        <f>AND(DATA!F602,"AAAAAF9eu7w=")</f>
        <v>#VALUE!</v>
      </c>
      <c r="GH110" t="e">
        <f>AND(DATA!G602,"AAAAAF9eu70=")</f>
        <v>#VALUE!</v>
      </c>
      <c r="GI110" t="e">
        <f>AND(DATA!H602,"AAAAAF9eu74=")</f>
        <v>#VALUE!</v>
      </c>
      <c r="GJ110" t="e">
        <f>AND(DATA!I602,"AAAAAF9eu78=")</f>
        <v>#VALUE!</v>
      </c>
      <c r="GK110" t="e">
        <f>AND(DATA!J602,"AAAAAF9eu8A=")</f>
        <v>#VALUE!</v>
      </c>
      <c r="GL110" t="e">
        <f>AND(DATA!K602,"AAAAAF9eu8E=")</f>
        <v>#VALUE!</v>
      </c>
      <c r="GM110" t="b">
        <f>AND(DATA!L603,"AAAAAF9eu8I=")</f>
        <v>1</v>
      </c>
      <c r="GN110" t="b">
        <f>AND(DATA!M603,"AAAAAF9eu8M=")</f>
        <v>1</v>
      </c>
      <c r="GO110" t="b">
        <f>AND(DATA!N603,"AAAAAF9eu8Q=")</f>
        <v>1</v>
      </c>
      <c r="GP110" t="b">
        <f>AND(DATA!O603,"AAAAAF9eu8U=")</f>
        <v>1</v>
      </c>
      <c r="GQ110" t="b">
        <f>AND(DATA!P603,"AAAAAF9eu8Y=")</f>
        <v>1</v>
      </c>
      <c r="GR110" t="b">
        <f>AND(DATA!Q603,"AAAAAF9eu8c=")</f>
        <v>1</v>
      </c>
      <c r="GS110" t="b">
        <f>AND(DATA!R603,"AAAAAF9eu8g=")</f>
        <v>1</v>
      </c>
      <c r="GT110" t="b">
        <f>AND(DATA!S603,"AAAAAF9eu8k=")</f>
        <v>1</v>
      </c>
      <c r="GU110" t="b">
        <f>AND(DATA!T603,"AAAAAF9eu8o=")</f>
        <v>1</v>
      </c>
      <c r="GV110" t="b">
        <f>AND(DATA!U603,"AAAAAF9eu8s=")</f>
        <v>1</v>
      </c>
      <c r="GW110" t="b">
        <f>AND(DATA!V603,"AAAAAF9eu8w=")</f>
        <v>1</v>
      </c>
      <c r="GX110" t="e">
        <f>AND(DATA!W602,"AAAAAF9eu80=")</f>
        <v>#VALUE!</v>
      </c>
      <c r="GY110" t="e">
        <f>AND(DATA!X602,"AAAAAF9eu84=")</f>
        <v>#VALUE!</v>
      </c>
      <c r="GZ110" t="e">
        <f>AND(DATA!Y602,"AAAAAF9eu88=")</f>
        <v>#VALUE!</v>
      </c>
      <c r="HA110">
        <f>IF(DATA!603:603,"AAAAAF9eu9A=",0)</f>
        <v>0</v>
      </c>
      <c r="HB110" t="e">
        <f>AND(DATA!A603,"AAAAAF9eu9E=")</f>
        <v>#VALUE!</v>
      </c>
      <c r="HC110" t="e">
        <f>AND(DATA!B603,"AAAAAF9eu9I=")</f>
        <v>#VALUE!</v>
      </c>
      <c r="HD110" t="e">
        <f>AND(DATA!C603,"AAAAAF9eu9M=")</f>
        <v>#VALUE!</v>
      </c>
      <c r="HE110" t="e">
        <f>AND(DATA!D603,"AAAAAF9eu9Q=")</f>
        <v>#VALUE!</v>
      </c>
      <c r="HF110" t="e">
        <f>AND(DATA!E603,"AAAAAF9eu9U=")</f>
        <v>#VALUE!</v>
      </c>
      <c r="HG110" t="e">
        <f>AND(DATA!F603,"AAAAAF9eu9Y=")</f>
        <v>#VALUE!</v>
      </c>
      <c r="HH110" t="e">
        <f>AND(DATA!G603,"AAAAAF9eu9c=")</f>
        <v>#VALUE!</v>
      </c>
      <c r="HI110" t="e">
        <f>AND(DATA!H603,"AAAAAF9eu9g=")</f>
        <v>#VALUE!</v>
      </c>
      <c r="HJ110" t="e">
        <f>AND(DATA!I603,"AAAAAF9eu9k=")</f>
        <v>#VALUE!</v>
      </c>
      <c r="HK110" t="e">
        <f>AND(DATA!J603,"AAAAAF9eu9o=")</f>
        <v>#VALUE!</v>
      </c>
      <c r="HL110" t="e">
        <f>AND(DATA!K603,"AAAAAF9eu9s=")</f>
        <v>#VALUE!</v>
      </c>
      <c r="HM110" t="b">
        <f>AND(DATA!L604,"AAAAAF9eu9w=")</f>
        <v>1</v>
      </c>
      <c r="HN110" t="b">
        <f>AND(DATA!M604,"AAAAAF9eu90=")</f>
        <v>1</v>
      </c>
      <c r="HO110" t="b">
        <f>AND(DATA!N604,"AAAAAF9eu94=")</f>
        <v>1</v>
      </c>
      <c r="HP110" t="b">
        <f>AND(DATA!O604,"AAAAAF9eu98=")</f>
        <v>1</v>
      </c>
      <c r="HQ110" t="b">
        <f>AND(DATA!P604,"AAAAAF9eu+A=")</f>
        <v>1</v>
      </c>
      <c r="HR110" t="b">
        <f>AND(DATA!Q604,"AAAAAF9eu+E=")</f>
        <v>1</v>
      </c>
      <c r="HS110" t="b">
        <f>AND(DATA!R604,"AAAAAF9eu+I=")</f>
        <v>1</v>
      </c>
      <c r="HT110" t="b">
        <f>AND(DATA!S604,"AAAAAF9eu+M=")</f>
        <v>1</v>
      </c>
      <c r="HU110" t="b">
        <f>AND(DATA!T604,"AAAAAF9eu+Q=")</f>
        <v>1</v>
      </c>
      <c r="HV110" t="b">
        <f>AND(DATA!U604,"AAAAAF9eu+U=")</f>
        <v>1</v>
      </c>
      <c r="HW110" t="b">
        <f>AND(DATA!V604,"AAAAAF9eu+Y=")</f>
        <v>1</v>
      </c>
      <c r="HX110" t="e">
        <f>AND(DATA!W603,"AAAAAF9eu+c=")</f>
        <v>#VALUE!</v>
      </c>
      <c r="HY110" t="e">
        <f>AND(DATA!X603,"AAAAAF9eu+g=")</f>
        <v>#VALUE!</v>
      </c>
      <c r="HZ110" t="e">
        <f>AND(DATA!Y603,"AAAAAF9eu+k=")</f>
        <v>#VALUE!</v>
      </c>
      <c r="IA110">
        <f>IF(DATA!604:604,"AAAAAF9eu+o=",0)</f>
        <v>0</v>
      </c>
      <c r="IB110" t="e">
        <f>AND(DATA!A604,"AAAAAF9eu+s=")</f>
        <v>#VALUE!</v>
      </c>
      <c r="IC110" t="e">
        <f>AND(DATA!B604,"AAAAAF9eu+w=")</f>
        <v>#VALUE!</v>
      </c>
      <c r="ID110" t="e">
        <f>AND(DATA!C604,"AAAAAF9eu+0=")</f>
        <v>#VALUE!</v>
      </c>
      <c r="IE110" t="e">
        <f>AND(DATA!D604,"AAAAAF9eu+4=")</f>
        <v>#VALUE!</v>
      </c>
      <c r="IF110" t="e">
        <f>AND(DATA!E604,"AAAAAF9eu+8=")</f>
        <v>#VALUE!</v>
      </c>
      <c r="IG110" t="e">
        <f>AND(DATA!F604,"AAAAAF9eu/A=")</f>
        <v>#VALUE!</v>
      </c>
      <c r="IH110" t="e">
        <f>AND(DATA!G604,"AAAAAF9eu/E=")</f>
        <v>#VALUE!</v>
      </c>
      <c r="II110" t="e">
        <f>AND(DATA!H604,"AAAAAF9eu/I=")</f>
        <v>#VALUE!</v>
      </c>
      <c r="IJ110" t="e">
        <f>AND(DATA!I604,"AAAAAF9eu/M=")</f>
        <v>#VALUE!</v>
      </c>
      <c r="IK110" t="e">
        <f>AND(DATA!J604,"AAAAAF9eu/Q=")</f>
        <v>#VALUE!</v>
      </c>
      <c r="IL110" t="e">
        <f>AND(DATA!K604,"AAAAAF9eu/U=")</f>
        <v>#VALUE!</v>
      </c>
      <c r="IM110" t="b">
        <f>AND(DATA!L605,"AAAAAF9eu/Y=")</f>
        <v>1</v>
      </c>
      <c r="IN110" t="b">
        <f>AND(DATA!M605,"AAAAAF9eu/c=")</f>
        <v>1</v>
      </c>
      <c r="IO110" t="b">
        <f>AND(DATA!N605,"AAAAAF9eu/g=")</f>
        <v>1</v>
      </c>
      <c r="IP110" t="b">
        <f>AND(DATA!O605,"AAAAAF9eu/k=")</f>
        <v>1</v>
      </c>
      <c r="IQ110" t="b">
        <f>AND(DATA!P605,"AAAAAF9eu/o=")</f>
        <v>1</v>
      </c>
      <c r="IR110" t="b">
        <f>AND(DATA!Q605,"AAAAAF9eu/s=")</f>
        <v>1</v>
      </c>
      <c r="IS110" t="b">
        <f>AND(DATA!R605,"AAAAAF9eu/w=")</f>
        <v>1</v>
      </c>
      <c r="IT110" t="b">
        <f>AND(DATA!S605,"AAAAAF9eu/0=")</f>
        <v>1</v>
      </c>
      <c r="IU110" t="b">
        <f>AND(DATA!T605,"AAAAAF9eu/4=")</f>
        <v>1</v>
      </c>
      <c r="IV110" t="b">
        <f>AND(DATA!U605,"AAAAAF9eu/8=")</f>
        <v>1</v>
      </c>
    </row>
    <row r="111" spans="1:256" x14ac:dyDescent="0.25">
      <c r="A111" t="b">
        <f>AND(DATA!V605,"AAAAAHdbngA=")</f>
        <v>1</v>
      </c>
      <c r="B111" t="e">
        <f>AND(DATA!W604,"AAAAAHdbngE=")</f>
        <v>#VALUE!</v>
      </c>
      <c r="C111" t="e">
        <f>AND(DATA!X604,"AAAAAHdbngI=")</f>
        <v>#VALUE!</v>
      </c>
      <c r="D111" t="e">
        <f>AND(DATA!Y604,"AAAAAHdbngM=")</f>
        <v>#VALUE!</v>
      </c>
      <c r="E111">
        <f>IF(DATA!605:605,"AAAAAHdbngQ=",0)</f>
        <v>0</v>
      </c>
      <c r="F111" t="e">
        <f>AND(DATA!A605,"AAAAAHdbngU=")</f>
        <v>#VALUE!</v>
      </c>
      <c r="G111" t="e">
        <f>AND(DATA!B605,"AAAAAHdbngY=")</f>
        <v>#VALUE!</v>
      </c>
      <c r="H111" t="e">
        <f>AND(DATA!C605,"AAAAAHdbngc=")</f>
        <v>#VALUE!</v>
      </c>
      <c r="I111" t="e">
        <f>AND(DATA!D605,"AAAAAHdbngg=")</f>
        <v>#VALUE!</v>
      </c>
      <c r="J111" t="e">
        <f>AND(DATA!E605,"AAAAAHdbngk=")</f>
        <v>#VALUE!</v>
      </c>
      <c r="K111" t="e">
        <f>AND(DATA!F605,"AAAAAHdbngo=")</f>
        <v>#VALUE!</v>
      </c>
      <c r="L111" t="e">
        <f>AND(DATA!G605,"AAAAAHdbngs=")</f>
        <v>#VALUE!</v>
      </c>
      <c r="M111" t="e">
        <f>AND(DATA!H605,"AAAAAHdbngw=")</f>
        <v>#VALUE!</v>
      </c>
      <c r="N111" t="e">
        <f>AND(DATA!I605,"AAAAAHdbng0=")</f>
        <v>#VALUE!</v>
      </c>
      <c r="O111" t="e">
        <f>AND(DATA!J605,"AAAAAHdbng4=")</f>
        <v>#VALUE!</v>
      </c>
      <c r="P111" t="e">
        <f>AND(DATA!K605,"AAAAAHdbng8=")</f>
        <v>#VALUE!</v>
      </c>
      <c r="Q111" t="b">
        <f>AND(DATA!L606,"AAAAAHdbnhA=")</f>
        <v>1</v>
      </c>
      <c r="R111" t="b">
        <f>AND(DATA!M606,"AAAAAHdbnhE=")</f>
        <v>1</v>
      </c>
      <c r="S111" t="b">
        <f>AND(DATA!N606,"AAAAAHdbnhI=")</f>
        <v>1</v>
      </c>
      <c r="T111" t="b">
        <f>AND(DATA!O606,"AAAAAHdbnhM=")</f>
        <v>1</v>
      </c>
      <c r="U111" t="b">
        <f>AND(DATA!P606,"AAAAAHdbnhQ=")</f>
        <v>1</v>
      </c>
      <c r="V111" t="b">
        <f>AND(DATA!Q606,"AAAAAHdbnhU=")</f>
        <v>1</v>
      </c>
      <c r="W111" t="b">
        <f>AND(DATA!R606,"AAAAAHdbnhY=")</f>
        <v>1</v>
      </c>
      <c r="X111" t="b">
        <f>AND(DATA!S606,"AAAAAHdbnhc=")</f>
        <v>1</v>
      </c>
      <c r="Y111" t="b">
        <f>AND(DATA!T606,"AAAAAHdbnhg=")</f>
        <v>1</v>
      </c>
      <c r="Z111" t="b">
        <f>AND(DATA!U606,"AAAAAHdbnhk=")</f>
        <v>1</v>
      </c>
      <c r="AA111" t="b">
        <f>AND(DATA!V606,"AAAAAHdbnho=")</f>
        <v>1</v>
      </c>
      <c r="AB111" t="e">
        <f>AND(DATA!W605,"AAAAAHdbnhs=")</f>
        <v>#VALUE!</v>
      </c>
      <c r="AC111" t="e">
        <f>AND(DATA!X605,"AAAAAHdbnhw=")</f>
        <v>#VALUE!</v>
      </c>
      <c r="AD111" t="e">
        <f>AND(DATA!Y605,"AAAAAHdbnh0=")</f>
        <v>#VALUE!</v>
      </c>
      <c r="AE111">
        <f>IF(DATA!606:606,"AAAAAHdbnh4=",0)</f>
        <v>0</v>
      </c>
      <c r="AF111" t="e">
        <f>AND(DATA!A606,"AAAAAHdbnh8=")</f>
        <v>#VALUE!</v>
      </c>
      <c r="AG111" t="e">
        <f>AND(DATA!B606,"AAAAAHdbniA=")</f>
        <v>#VALUE!</v>
      </c>
      <c r="AH111" t="e">
        <f>AND(DATA!C606,"AAAAAHdbniE=")</f>
        <v>#VALUE!</v>
      </c>
      <c r="AI111" t="e">
        <f>AND(DATA!D606,"AAAAAHdbniI=")</f>
        <v>#VALUE!</v>
      </c>
      <c r="AJ111" t="e">
        <f>AND(DATA!E606,"AAAAAHdbniM=")</f>
        <v>#VALUE!</v>
      </c>
      <c r="AK111" t="e">
        <f>AND(DATA!F606,"AAAAAHdbniQ=")</f>
        <v>#VALUE!</v>
      </c>
      <c r="AL111" t="e">
        <f>AND(DATA!G606,"AAAAAHdbniU=")</f>
        <v>#VALUE!</v>
      </c>
      <c r="AM111" t="e">
        <f>AND(DATA!H606,"AAAAAHdbniY=")</f>
        <v>#VALUE!</v>
      </c>
      <c r="AN111" t="e">
        <f>AND(DATA!I606,"AAAAAHdbnic=")</f>
        <v>#VALUE!</v>
      </c>
      <c r="AO111" t="e">
        <f>AND(DATA!J606,"AAAAAHdbnig=")</f>
        <v>#VALUE!</v>
      </c>
      <c r="AP111" t="e">
        <f>AND(DATA!K606,"AAAAAHdbnik=")</f>
        <v>#VALUE!</v>
      </c>
      <c r="AQ111" t="b">
        <f>AND(DATA!L607,"AAAAAHdbnio=")</f>
        <v>1</v>
      </c>
      <c r="AR111" t="b">
        <f>AND(DATA!M607,"AAAAAHdbnis=")</f>
        <v>1</v>
      </c>
      <c r="AS111" t="b">
        <f>AND(DATA!N607,"AAAAAHdbniw=")</f>
        <v>1</v>
      </c>
      <c r="AT111" t="b">
        <f>AND(DATA!O607,"AAAAAHdbni0=")</f>
        <v>1</v>
      </c>
      <c r="AU111" t="b">
        <f>AND(DATA!P607,"AAAAAHdbni4=")</f>
        <v>1</v>
      </c>
      <c r="AV111" t="b">
        <f>AND(DATA!Q607,"AAAAAHdbni8=")</f>
        <v>1</v>
      </c>
      <c r="AW111" t="b">
        <f>AND(DATA!R607,"AAAAAHdbnjA=")</f>
        <v>1</v>
      </c>
      <c r="AX111" t="b">
        <f>AND(DATA!S607,"AAAAAHdbnjE=")</f>
        <v>1</v>
      </c>
      <c r="AY111" t="b">
        <f>AND(DATA!T607,"AAAAAHdbnjI=")</f>
        <v>1</v>
      </c>
      <c r="AZ111" t="b">
        <f>AND(DATA!U607,"AAAAAHdbnjM=")</f>
        <v>1</v>
      </c>
      <c r="BA111" t="b">
        <f>AND(DATA!V607,"AAAAAHdbnjQ=")</f>
        <v>1</v>
      </c>
      <c r="BB111" t="e">
        <f>AND(DATA!W606,"AAAAAHdbnjU=")</f>
        <v>#VALUE!</v>
      </c>
      <c r="BC111" t="e">
        <f>AND(DATA!X606,"AAAAAHdbnjY=")</f>
        <v>#VALUE!</v>
      </c>
      <c r="BD111" t="e">
        <f>AND(DATA!Y606,"AAAAAHdbnjc=")</f>
        <v>#VALUE!</v>
      </c>
      <c r="BE111">
        <f>IF(DATA!607:607,"AAAAAHdbnjg=",0)</f>
        <v>0</v>
      </c>
      <c r="BF111" t="e">
        <f>AND(DATA!A607,"AAAAAHdbnjk=")</f>
        <v>#VALUE!</v>
      </c>
      <c r="BG111" t="e">
        <f>AND(DATA!B607,"AAAAAHdbnjo=")</f>
        <v>#VALUE!</v>
      </c>
      <c r="BH111" t="e">
        <f>AND(DATA!C607,"AAAAAHdbnjs=")</f>
        <v>#VALUE!</v>
      </c>
      <c r="BI111" t="e">
        <f>AND(DATA!D607,"AAAAAHdbnjw=")</f>
        <v>#VALUE!</v>
      </c>
      <c r="BJ111" t="e">
        <f>AND(DATA!E607,"AAAAAHdbnj0=")</f>
        <v>#VALUE!</v>
      </c>
      <c r="BK111" t="e">
        <f>AND(DATA!F607,"AAAAAHdbnj4=")</f>
        <v>#VALUE!</v>
      </c>
      <c r="BL111" t="e">
        <f>AND(DATA!G607,"AAAAAHdbnj8=")</f>
        <v>#VALUE!</v>
      </c>
      <c r="BM111" t="e">
        <f>AND(DATA!H607,"AAAAAHdbnkA=")</f>
        <v>#VALUE!</v>
      </c>
      <c r="BN111" t="e">
        <f>AND(DATA!I607,"AAAAAHdbnkE=")</f>
        <v>#VALUE!</v>
      </c>
      <c r="BO111" t="e">
        <f>AND(DATA!J607,"AAAAAHdbnkI=")</f>
        <v>#VALUE!</v>
      </c>
      <c r="BP111" t="e">
        <f>AND(DATA!K607,"AAAAAHdbnkM=")</f>
        <v>#VALUE!</v>
      </c>
      <c r="BQ111" t="b">
        <f>AND(DATA!L608,"AAAAAHdbnkQ=")</f>
        <v>1</v>
      </c>
      <c r="BR111" t="b">
        <f>AND(DATA!M608,"AAAAAHdbnkU=")</f>
        <v>1</v>
      </c>
      <c r="BS111" t="b">
        <f>AND(DATA!N608,"AAAAAHdbnkY=")</f>
        <v>1</v>
      </c>
      <c r="BT111" t="b">
        <f>AND(DATA!O608,"AAAAAHdbnkc=")</f>
        <v>1</v>
      </c>
      <c r="BU111" t="b">
        <f>AND(DATA!P608,"AAAAAHdbnkg=")</f>
        <v>1</v>
      </c>
      <c r="BV111" t="b">
        <f>AND(DATA!Q608,"AAAAAHdbnkk=")</f>
        <v>1</v>
      </c>
      <c r="BW111" t="b">
        <f>AND(DATA!R608,"AAAAAHdbnko=")</f>
        <v>1</v>
      </c>
      <c r="BX111" t="b">
        <f>AND(DATA!S608,"AAAAAHdbnks=")</f>
        <v>1</v>
      </c>
      <c r="BY111" t="b">
        <f>AND(DATA!T608,"AAAAAHdbnkw=")</f>
        <v>1</v>
      </c>
      <c r="BZ111" t="b">
        <f>AND(DATA!U608,"AAAAAHdbnk0=")</f>
        <v>1</v>
      </c>
      <c r="CA111" t="b">
        <f>AND(DATA!V608,"AAAAAHdbnk4=")</f>
        <v>1</v>
      </c>
      <c r="CB111" t="e">
        <f>AND(DATA!W607,"AAAAAHdbnk8=")</f>
        <v>#VALUE!</v>
      </c>
      <c r="CC111" t="e">
        <f>AND(DATA!X607,"AAAAAHdbnlA=")</f>
        <v>#VALUE!</v>
      </c>
      <c r="CD111" t="e">
        <f>AND(DATA!Y607,"AAAAAHdbnlE=")</f>
        <v>#VALUE!</v>
      </c>
      <c r="CE111">
        <f>IF(DATA!608:608,"AAAAAHdbnlI=",0)</f>
        <v>0</v>
      </c>
      <c r="CF111" t="e">
        <f>AND(DATA!A608,"AAAAAHdbnlM=")</f>
        <v>#VALUE!</v>
      </c>
      <c r="CG111" t="e">
        <f>AND(DATA!B608,"AAAAAHdbnlQ=")</f>
        <v>#VALUE!</v>
      </c>
      <c r="CH111" t="e">
        <f>AND(DATA!C608,"AAAAAHdbnlU=")</f>
        <v>#VALUE!</v>
      </c>
      <c r="CI111" t="e">
        <f>AND(DATA!D608,"AAAAAHdbnlY=")</f>
        <v>#VALUE!</v>
      </c>
      <c r="CJ111" t="e">
        <f>AND(DATA!E608,"AAAAAHdbnlc=")</f>
        <v>#VALUE!</v>
      </c>
      <c r="CK111" t="e">
        <f>AND(DATA!F608,"AAAAAHdbnlg=")</f>
        <v>#VALUE!</v>
      </c>
      <c r="CL111" t="e">
        <f>AND(DATA!G608,"AAAAAHdbnlk=")</f>
        <v>#VALUE!</v>
      </c>
      <c r="CM111" t="e">
        <f>AND(DATA!H608,"AAAAAHdbnlo=")</f>
        <v>#VALUE!</v>
      </c>
      <c r="CN111" t="e">
        <f>AND(DATA!I608,"AAAAAHdbnls=")</f>
        <v>#VALUE!</v>
      </c>
      <c r="CO111" t="e">
        <f>AND(DATA!J608,"AAAAAHdbnlw=")</f>
        <v>#VALUE!</v>
      </c>
      <c r="CP111" t="e">
        <f>AND(DATA!K608,"AAAAAHdbnl0=")</f>
        <v>#VALUE!</v>
      </c>
      <c r="CQ111" t="b">
        <f>AND(DATA!L609,"AAAAAHdbnl4=")</f>
        <v>1</v>
      </c>
      <c r="CR111" t="b">
        <f>AND(DATA!M609,"AAAAAHdbnl8=")</f>
        <v>1</v>
      </c>
      <c r="CS111" t="b">
        <f>AND(DATA!N609,"AAAAAHdbnmA=")</f>
        <v>1</v>
      </c>
      <c r="CT111" t="b">
        <f>AND(DATA!O609,"AAAAAHdbnmE=")</f>
        <v>1</v>
      </c>
      <c r="CU111" t="b">
        <f>AND(DATA!P609,"AAAAAHdbnmI=")</f>
        <v>1</v>
      </c>
      <c r="CV111" t="b">
        <f>AND(DATA!Q609,"AAAAAHdbnmM=")</f>
        <v>1</v>
      </c>
      <c r="CW111" t="b">
        <f>AND(DATA!R609,"AAAAAHdbnmQ=")</f>
        <v>1</v>
      </c>
      <c r="CX111" t="b">
        <f>AND(DATA!S609,"AAAAAHdbnmU=")</f>
        <v>1</v>
      </c>
      <c r="CY111" t="b">
        <f>AND(DATA!T609,"AAAAAHdbnmY=")</f>
        <v>1</v>
      </c>
      <c r="CZ111" t="b">
        <f>AND(DATA!U609,"AAAAAHdbnmc=")</f>
        <v>1</v>
      </c>
      <c r="DA111" t="b">
        <f>AND(DATA!V609,"AAAAAHdbnmg=")</f>
        <v>1</v>
      </c>
      <c r="DB111" t="e">
        <f>AND(DATA!W608,"AAAAAHdbnmk=")</f>
        <v>#VALUE!</v>
      </c>
      <c r="DC111" t="e">
        <f>AND(DATA!X608,"AAAAAHdbnmo=")</f>
        <v>#VALUE!</v>
      </c>
      <c r="DD111" t="e">
        <f>AND(DATA!Y608,"AAAAAHdbnms=")</f>
        <v>#VALUE!</v>
      </c>
      <c r="DE111">
        <f>IF(DATA!609:609,"AAAAAHdbnmw=",0)</f>
        <v>0</v>
      </c>
      <c r="DF111" t="e">
        <f>AND(DATA!A609,"AAAAAHdbnm0=")</f>
        <v>#VALUE!</v>
      </c>
      <c r="DG111" t="e">
        <f>AND(DATA!B609,"AAAAAHdbnm4=")</f>
        <v>#VALUE!</v>
      </c>
      <c r="DH111" t="e">
        <f>AND(DATA!C609,"AAAAAHdbnm8=")</f>
        <v>#VALUE!</v>
      </c>
      <c r="DI111" t="e">
        <f>AND(DATA!D609,"AAAAAHdbnnA=")</f>
        <v>#VALUE!</v>
      </c>
      <c r="DJ111" t="e">
        <f>AND(DATA!E609,"AAAAAHdbnnE=")</f>
        <v>#VALUE!</v>
      </c>
      <c r="DK111" t="e">
        <f>AND(DATA!F609,"AAAAAHdbnnI=")</f>
        <v>#VALUE!</v>
      </c>
      <c r="DL111" t="e">
        <f>AND(DATA!G609,"AAAAAHdbnnM=")</f>
        <v>#VALUE!</v>
      </c>
      <c r="DM111" t="e">
        <f>AND(DATA!H609,"AAAAAHdbnnQ=")</f>
        <v>#VALUE!</v>
      </c>
      <c r="DN111" t="e">
        <f>AND(DATA!I609,"AAAAAHdbnnU=")</f>
        <v>#VALUE!</v>
      </c>
      <c r="DO111" t="e">
        <f>AND(DATA!J609,"AAAAAHdbnnY=")</f>
        <v>#VALUE!</v>
      </c>
      <c r="DP111" t="e">
        <f>AND(DATA!K609,"AAAAAHdbnnc=")</f>
        <v>#VALUE!</v>
      </c>
      <c r="DQ111" t="b">
        <f>AND(DATA!L610,"AAAAAHdbnng=")</f>
        <v>1</v>
      </c>
      <c r="DR111" t="b">
        <f>AND(DATA!M610,"AAAAAHdbnnk=")</f>
        <v>1</v>
      </c>
      <c r="DS111" t="b">
        <f>AND(DATA!N610,"AAAAAHdbnno=")</f>
        <v>1</v>
      </c>
      <c r="DT111" t="b">
        <f>AND(DATA!O610,"AAAAAHdbnns=")</f>
        <v>1</v>
      </c>
      <c r="DU111" t="b">
        <f>AND(DATA!P610,"AAAAAHdbnnw=")</f>
        <v>1</v>
      </c>
      <c r="DV111" t="b">
        <f>AND(DATA!Q610,"AAAAAHdbnn0=")</f>
        <v>1</v>
      </c>
      <c r="DW111" t="b">
        <f>AND(DATA!R610,"AAAAAHdbnn4=")</f>
        <v>1</v>
      </c>
      <c r="DX111" t="b">
        <f>AND(DATA!S610,"AAAAAHdbnn8=")</f>
        <v>1</v>
      </c>
      <c r="DY111" t="b">
        <f>AND(DATA!T610,"AAAAAHdbnoA=")</f>
        <v>1</v>
      </c>
      <c r="DZ111" t="b">
        <f>AND(DATA!U610,"AAAAAHdbnoE=")</f>
        <v>1</v>
      </c>
      <c r="EA111" t="b">
        <f>AND(DATA!V610,"AAAAAHdbnoI=")</f>
        <v>1</v>
      </c>
      <c r="EB111" t="e">
        <f>AND(DATA!W609,"AAAAAHdbnoM=")</f>
        <v>#VALUE!</v>
      </c>
      <c r="EC111" t="e">
        <f>AND(DATA!X609,"AAAAAHdbnoQ=")</f>
        <v>#VALUE!</v>
      </c>
      <c r="ED111" t="e">
        <f>AND(DATA!Y609,"AAAAAHdbnoU=")</f>
        <v>#VALUE!</v>
      </c>
      <c r="EE111">
        <f>IF(DATA!610:610,"AAAAAHdbnoY=",0)</f>
        <v>0</v>
      </c>
      <c r="EF111" t="e">
        <f>AND(DATA!A610,"AAAAAHdbnoc=")</f>
        <v>#VALUE!</v>
      </c>
      <c r="EG111" t="e">
        <f>AND(DATA!B610,"AAAAAHdbnog=")</f>
        <v>#VALUE!</v>
      </c>
      <c r="EH111" t="e">
        <f>AND(DATA!C610,"AAAAAHdbnok=")</f>
        <v>#VALUE!</v>
      </c>
      <c r="EI111" t="e">
        <f>AND(DATA!D610,"AAAAAHdbnoo=")</f>
        <v>#VALUE!</v>
      </c>
      <c r="EJ111" t="e">
        <f>AND(DATA!E610,"AAAAAHdbnos=")</f>
        <v>#VALUE!</v>
      </c>
      <c r="EK111" t="e">
        <f>AND(DATA!F610,"AAAAAHdbnow=")</f>
        <v>#VALUE!</v>
      </c>
      <c r="EL111" t="e">
        <f>AND(DATA!G610,"AAAAAHdbno0=")</f>
        <v>#VALUE!</v>
      </c>
      <c r="EM111" t="e">
        <f>AND(DATA!H610,"AAAAAHdbno4=")</f>
        <v>#VALUE!</v>
      </c>
      <c r="EN111" t="e">
        <f>AND(DATA!I610,"AAAAAHdbno8=")</f>
        <v>#VALUE!</v>
      </c>
      <c r="EO111" t="e">
        <f>AND(DATA!J610,"AAAAAHdbnpA=")</f>
        <v>#VALUE!</v>
      </c>
      <c r="EP111" t="e">
        <f>AND(DATA!K610,"AAAAAHdbnpE=")</f>
        <v>#VALUE!</v>
      </c>
      <c r="EQ111" t="b">
        <f>AND(DATA!L611,"AAAAAHdbnpI=")</f>
        <v>1</v>
      </c>
      <c r="ER111" t="b">
        <f>AND(DATA!M611,"AAAAAHdbnpM=")</f>
        <v>1</v>
      </c>
      <c r="ES111" t="b">
        <f>AND(DATA!N611,"AAAAAHdbnpQ=")</f>
        <v>1</v>
      </c>
      <c r="ET111" t="b">
        <f>AND(DATA!O611,"AAAAAHdbnpU=")</f>
        <v>1</v>
      </c>
      <c r="EU111" t="b">
        <f>AND(DATA!P611,"AAAAAHdbnpY=")</f>
        <v>1</v>
      </c>
      <c r="EV111" t="b">
        <f>AND(DATA!Q611,"AAAAAHdbnpc=")</f>
        <v>1</v>
      </c>
      <c r="EW111" t="b">
        <f>AND(DATA!R611,"AAAAAHdbnpg=")</f>
        <v>1</v>
      </c>
      <c r="EX111" t="b">
        <f>AND(DATA!S611,"AAAAAHdbnpk=")</f>
        <v>1</v>
      </c>
      <c r="EY111" t="b">
        <f>AND(DATA!T611,"AAAAAHdbnpo=")</f>
        <v>1</v>
      </c>
      <c r="EZ111" t="b">
        <f>AND(DATA!U611,"AAAAAHdbnps=")</f>
        <v>1</v>
      </c>
      <c r="FA111" t="b">
        <f>AND(DATA!V611,"AAAAAHdbnpw=")</f>
        <v>1</v>
      </c>
      <c r="FB111" t="e">
        <f>AND(DATA!W610,"AAAAAHdbnp0=")</f>
        <v>#VALUE!</v>
      </c>
      <c r="FC111" t="e">
        <f>AND(DATA!X610,"AAAAAHdbnp4=")</f>
        <v>#VALUE!</v>
      </c>
      <c r="FD111" t="e">
        <f>AND(DATA!Y610,"AAAAAHdbnp8=")</f>
        <v>#VALUE!</v>
      </c>
      <c r="FE111">
        <f>IF(DATA!611:611,"AAAAAHdbnqA=",0)</f>
        <v>0</v>
      </c>
      <c r="FF111" t="e">
        <f>AND(DATA!A611,"AAAAAHdbnqE=")</f>
        <v>#VALUE!</v>
      </c>
      <c r="FG111" t="e">
        <f>AND(DATA!B611,"AAAAAHdbnqI=")</f>
        <v>#VALUE!</v>
      </c>
      <c r="FH111" t="e">
        <f>AND(DATA!C611,"AAAAAHdbnqM=")</f>
        <v>#VALUE!</v>
      </c>
      <c r="FI111" t="e">
        <f>AND(DATA!D611,"AAAAAHdbnqQ=")</f>
        <v>#VALUE!</v>
      </c>
      <c r="FJ111" t="e">
        <f>AND(DATA!E611,"AAAAAHdbnqU=")</f>
        <v>#VALUE!</v>
      </c>
      <c r="FK111" t="e">
        <f>AND(DATA!F611,"AAAAAHdbnqY=")</f>
        <v>#VALUE!</v>
      </c>
      <c r="FL111" t="e">
        <f>AND(DATA!G611,"AAAAAHdbnqc=")</f>
        <v>#VALUE!</v>
      </c>
      <c r="FM111" t="e">
        <f>AND(DATA!H611,"AAAAAHdbnqg=")</f>
        <v>#VALUE!</v>
      </c>
      <c r="FN111" t="e">
        <f>AND(DATA!I611,"AAAAAHdbnqk=")</f>
        <v>#VALUE!</v>
      </c>
      <c r="FO111" t="e">
        <f>AND(DATA!J611,"AAAAAHdbnqo=")</f>
        <v>#VALUE!</v>
      </c>
      <c r="FP111" t="e">
        <f>AND(DATA!K611,"AAAAAHdbnqs=")</f>
        <v>#VALUE!</v>
      </c>
      <c r="FQ111" t="b">
        <f>AND(DATA!L612,"AAAAAHdbnqw=")</f>
        <v>1</v>
      </c>
      <c r="FR111" t="b">
        <f>AND(DATA!M612,"AAAAAHdbnq0=")</f>
        <v>1</v>
      </c>
      <c r="FS111" t="b">
        <f>AND(DATA!N612,"AAAAAHdbnq4=")</f>
        <v>1</v>
      </c>
      <c r="FT111" t="b">
        <f>AND(DATA!O612,"AAAAAHdbnq8=")</f>
        <v>1</v>
      </c>
      <c r="FU111" t="b">
        <f>AND(DATA!P612,"AAAAAHdbnrA=")</f>
        <v>1</v>
      </c>
      <c r="FV111" t="b">
        <f>AND(DATA!Q612,"AAAAAHdbnrE=")</f>
        <v>1</v>
      </c>
      <c r="FW111" t="b">
        <f>AND(DATA!R612,"AAAAAHdbnrI=")</f>
        <v>1</v>
      </c>
      <c r="FX111" t="b">
        <f>AND(DATA!S612,"AAAAAHdbnrM=")</f>
        <v>1</v>
      </c>
      <c r="FY111" t="b">
        <f>AND(DATA!T612,"AAAAAHdbnrQ=")</f>
        <v>1</v>
      </c>
      <c r="FZ111" t="b">
        <f>AND(DATA!U612,"AAAAAHdbnrU=")</f>
        <v>1</v>
      </c>
      <c r="GA111" t="b">
        <f>AND(DATA!V612,"AAAAAHdbnrY=")</f>
        <v>1</v>
      </c>
      <c r="GB111" t="e">
        <f>AND(DATA!W611,"AAAAAHdbnrc=")</f>
        <v>#VALUE!</v>
      </c>
      <c r="GC111" t="e">
        <f>AND(DATA!X611,"AAAAAHdbnrg=")</f>
        <v>#VALUE!</v>
      </c>
      <c r="GD111" t="e">
        <f>AND(DATA!Y611,"AAAAAHdbnrk=")</f>
        <v>#VALUE!</v>
      </c>
      <c r="GE111">
        <f>IF(DATA!612:612,"AAAAAHdbnro=",0)</f>
        <v>0</v>
      </c>
      <c r="GF111" t="e">
        <f>AND(DATA!A612,"AAAAAHdbnrs=")</f>
        <v>#VALUE!</v>
      </c>
      <c r="GG111" t="e">
        <f>AND(DATA!B612,"AAAAAHdbnrw=")</f>
        <v>#VALUE!</v>
      </c>
      <c r="GH111" t="e">
        <f>AND(DATA!C612,"AAAAAHdbnr0=")</f>
        <v>#VALUE!</v>
      </c>
      <c r="GI111" t="e">
        <f>AND(DATA!D612,"AAAAAHdbnr4=")</f>
        <v>#VALUE!</v>
      </c>
      <c r="GJ111" t="e">
        <f>AND(DATA!E612,"AAAAAHdbnr8=")</f>
        <v>#VALUE!</v>
      </c>
      <c r="GK111" t="e">
        <f>AND(DATA!F612,"AAAAAHdbnsA=")</f>
        <v>#VALUE!</v>
      </c>
      <c r="GL111" t="e">
        <f>AND(DATA!G612,"AAAAAHdbnsE=")</f>
        <v>#VALUE!</v>
      </c>
      <c r="GM111" t="e">
        <f>AND(DATA!H612,"AAAAAHdbnsI=")</f>
        <v>#VALUE!</v>
      </c>
      <c r="GN111" t="e">
        <f>AND(DATA!I612,"AAAAAHdbnsM=")</f>
        <v>#VALUE!</v>
      </c>
      <c r="GO111" t="e">
        <f>AND(DATA!J612,"AAAAAHdbnsQ=")</f>
        <v>#VALUE!</v>
      </c>
      <c r="GP111" t="e">
        <f>AND(DATA!K612,"AAAAAHdbnsU=")</f>
        <v>#VALUE!</v>
      </c>
      <c r="GQ111" t="b">
        <f>AND(DATA!L613,"AAAAAHdbnsY=")</f>
        <v>1</v>
      </c>
      <c r="GR111" t="b">
        <f>AND(DATA!M613,"AAAAAHdbnsc=")</f>
        <v>1</v>
      </c>
      <c r="GS111" t="b">
        <f>AND(DATA!N613,"AAAAAHdbnsg=")</f>
        <v>1</v>
      </c>
      <c r="GT111" t="b">
        <f>AND(DATA!O613,"AAAAAHdbnsk=")</f>
        <v>1</v>
      </c>
      <c r="GU111" t="b">
        <f>AND(DATA!P613,"AAAAAHdbnso=")</f>
        <v>1</v>
      </c>
      <c r="GV111" t="b">
        <f>AND(DATA!Q613,"AAAAAHdbnss=")</f>
        <v>1</v>
      </c>
      <c r="GW111" t="b">
        <f>AND(DATA!R613,"AAAAAHdbnsw=")</f>
        <v>1</v>
      </c>
      <c r="GX111" t="b">
        <f>AND(DATA!S613,"AAAAAHdbns0=")</f>
        <v>1</v>
      </c>
      <c r="GY111" t="b">
        <f>AND(DATA!T613,"AAAAAHdbns4=")</f>
        <v>1</v>
      </c>
      <c r="GZ111" t="b">
        <f>AND(DATA!U613,"AAAAAHdbns8=")</f>
        <v>1</v>
      </c>
      <c r="HA111" t="b">
        <f>AND(DATA!V613,"AAAAAHdbntA=")</f>
        <v>1</v>
      </c>
      <c r="HB111" t="e">
        <f>AND(DATA!W612,"AAAAAHdbntE=")</f>
        <v>#VALUE!</v>
      </c>
      <c r="HC111" t="e">
        <f>AND(DATA!X612,"AAAAAHdbntI=")</f>
        <v>#VALUE!</v>
      </c>
      <c r="HD111" t="e">
        <f>AND(DATA!Y612,"AAAAAHdbntM=")</f>
        <v>#VALUE!</v>
      </c>
      <c r="HE111">
        <f>IF(DATA!613:613,"AAAAAHdbntQ=",0)</f>
        <v>0</v>
      </c>
      <c r="HF111" t="e">
        <f>AND(DATA!A613,"AAAAAHdbntU=")</f>
        <v>#VALUE!</v>
      </c>
      <c r="HG111" t="e">
        <f>AND(DATA!B613,"AAAAAHdbntY=")</f>
        <v>#VALUE!</v>
      </c>
      <c r="HH111" t="e">
        <f>AND(DATA!C613,"AAAAAHdbntc=")</f>
        <v>#VALUE!</v>
      </c>
      <c r="HI111" t="e">
        <f>AND(DATA!D613,"AAAAAHdbntg=")</f>
        <v>#VALUE!</v>
      </c>
      <c r="HJ111" t="e">
        <f>AND(DATA!E613,"AAAAAHdbntk=")</f>
        <v>#VALUE!</v>
      </c>
      <c r="HK111" t="e">
        <f>AND(DATA!F613,"AAAAAHdbnto=")</f>
        <v>#VALUE!</v>
      </c>
      <c r="HL111" t="e">
        <f>AND(DATA!G613,"AAAAAHdbnts=")</f>
        <v>#VALUE!</v>
      </c>
      <c r="HM111" t="e">
        <f>AND(DATA!H613,"AAAAAHdbntw=")</f>
        <v>#VALUE!</v>
      </c>
      <c r="HN111" t="e">
        <f>AND(DATA!I613,"AAAAAHdbnt0=")</f>
        <v>#VALUE!</v>
      </c>
      <c r="HO111" t="e">
        <f>AND(DATA!J613,"AAAAAHdbnt4=")</f>
        <v>#VALUE!</v>
      </c>
      <c r="HP111" t="e">
        <f>AND(DATA!K613,"AAAAAHdbnt8=")</f>
        <v>#VALUE!</v>
      </c>
      <c r="HQ111" t="b">
        <f>AND(DATA!L614,"AAAAAHdbnuA=")</f>
        <v>1</v>
      </c>
      <c r="HR111" t="b">
        <f>AND(DATA!M614,"AAAAAHdbnuE=")</f>
        <v>1</v>
      </c>
      <c r="HS111" t="b">
        <f>AND(DATA!N614,"AAAAAHdbnuI=")</f>
        <v>1</v>
      </c>
      <c r="HT111" t="b">
        <f>AND(DATA!O614,"AAAAAHdbnuM=")</f>
        <v>1</v>
      </c>
      <c r="HU111" t="b">
        <f>AND(DATA!P614,"AAAAAHdbnuQ=")</f>
        <v>1</v>
      </c>
      <c r="HV111" t="b">
        <f>AND(DATA!Q614,"AAAAAHdbnuU=")</f>
        <v>1</v>
      </c>
      <c r="HW111" t="b">
        <f>AND(DATA!R614,"AAAAAHdbnuY=")</f>
        <v>1</v>
      </c>
      <c r="HX111" t="b">
        <f>AND(DATA!S614,"AAAAAHdbnuc=")</f>
        <v>1</v>
      </c>
      <c r="HY111" t="b">
        <f>AND(DATA!T614,"AAAAAHdbnug=")</f>
        <v>1</v>
      </c>
      <c r="HZ111" t="b">
        <f>AND(DATA!U614,"AAAAAHdbnuk=")</f>
        <v>1</v>
      </c>
      <c r="IA111" t="b">
        <f>AND(DATA!V614,"AAAAAHdbnuo=")</f>
        <v>1</v>
      </c>
      <c r="IB111" t="e">
        <f>AND(DATA!W613,"AAAAAHdbnus=")</f>
        <v>#VALUE!</v>
      </c>
      <c r="IC111" t="e">
        <f>AND(DATA!X613,"AAAAAHdbnuw=")</f>
        <v>#VALUE!</v>
      </c>
      <c r="ID111" t="e">
        <f>AND(DATA!Y613,"AAAAAHdbnu0=")</f>
        <v>#VALUE!</v>
      </c>
      <c r="IE111">
        <f>IF(DATA!614:614,"AAAAAHdbnu4=",0)</f>
        <v>0</v>
      </c>
      <c r="IF111" t="e">
        <f>AND(DATA!A614,"AAAAAHdbnu8=")</f>
        <v>#VALUE!</v>
      </c>
      <c r="IG111" t="e">
        <f>AND(DATA!B614,"AAAAAHdbnvA=")</f>
        <v>#VALUE!</v>
      </c>
      <c r="IH111" t="e">
        <f>AND(DATA!C614,"AAAAAHdbnvE=")</f>
        <v>#VALUE!</v>
      </c>
      <c r="II111" t="e">
        <f>AND(DATA!D614,"AAAAAHdbnvI=")</f>
        <v>#VALUE!</v>
      </c>
      <c r="IJ111" t="e">
        <f>AND(DATA!E614,"AAAAAHdbnvM=")</f>
        <v>#VALUE!</v>
      </c>
      <c r="IK111" t="e">
        <f>AND(DATA!F614,"AAAAAHdbnvQ=")</f>
        <v>#VALUE!</v>
      </c>
      <c r="IL111" t="e">
        <f>AND(DATA!G614,"AAAAAHdbnvU=")</f>
        <v>#VALUE!</v>
      </c>
      <c r="IM111" t="e">
        <f>AND(DATA!H614,"AAAAAHdbnvY=")</f>
        <v>#VALUE!</v>
      </c>
      <c r="IN111" t="e">
        <f>AND(DATA!I614,"AAAAAHdbnvc=")</f>
        <v>#VALUE!</v>
      </c>
      <c r="IO111" t="e">
        <f>AND(DATA!J614,"AAAAAHdbnvg=")</f>
        <v>#VALUE!</v>
      </c>
      <c r="IP111" t="e">
        <f>AND(DATA!K614,"AAAAAHdbnvk=")</f>
        <v>#VALUE!</v>
      </c>
      <c r="IQ111" t="b">
        <f>AND(DATA!L615,"AAAAAHdbnvo=")</f>
        <v>1</v>
      </c>
      <c r="IR111" t="b">
        <f>AND(DATA!M615,"AAAAAHdbnvs=")</f>
        <v>1</v>
      </c>
      <c r="IS111" t="b">
        <f>AND(DATA!N615,"AAAAAHdbnvw=")</f>
        <v>1</v>
      </c>
      <c r="IT111" t="b">
        <f>AND(DATA!O615,"AAAAAHdbnv0=")</f>
        <v>1</v>
      </c>
      <c r="IU111" t="b">
        <f>AND(DATA!P615,"AAAAAHdbnv4=")</f>
        <v>1</v>
      </c>
      <c r="IV111" t="b">
        <f>AND(DATA!Q615,"AAAAAHdbnv8=")</f>
        <v>1</v>
      </c>
    </row>
    <row r="112" spans="1:256" x14ac:dyDescent="0.25">
      <c r="A112" t="b">
        <f>AND(DATA!R615,"AAAAADzT5wA=")</f>
        <v>1</v>
      </c>
      <c r="B112" t="b">
        <f>AND(DATA!S615,"AAAAADzT5wE=")</f>
        <v>1</v>
      </c>
      <c r="C112" t="b">
        <f>AND(DATA!T615,"AAAAADzT5wI=")</f>
        <v>1</v>
      </c>
      <c r="D112" t="b">
        <f>AND(DATA!U615,"AAAAADzT5wM=")</f>
        <v>1</v>
      </c>
      <c r="E112" t="b">
        <f>AND(DATA!V615,"AAAAADzT5wQ=")</f>
        <v>1</v>
      </c>
      <c r="F112" t="e">
        <f>AND(DATA!W614,"AAAAADzT5wU=")</f>
        <v>#VALUE!</v>
      </c>
      <c r="G112" t="e">
        <f>AND(DATA!X614,"AAAAADzT5wY=")</f>
        <v>#VALUE!</v>
      </c>
      <c r="H112" t="e">
        <f>AND(DATA!Y614,"AAAAADzT5wc=")</f>
        <v>#VALUE!</v>
      </c>
      <c r="I112">
        <f>IF(DATA!615:615,"AAAAADzT5wg=",0)</f>
        <v>0</v>
      </c>
      <c r="J112" t="e">
        <f>AND(DATA!A615,"AAAAADzT5wk=")</f>
        <v>#VALUE!</v>
      </c>
      <c r="K112" t="e">
        <f>AND(DATA!B615,"AAAAADzT5wo=")</f>
        <v>#VALUE!</v>
      </c>
      <c r="L112" t="e">
        <f>AND(DATA!C615,"AAAAADzT5ws=")</f>
        <v>#VALUE!</v>
      </c>
      <c r="M112" t="e">
        <f>AND(DATA!D615,"AAAAADzT5ww=")</f>
        <v>#VALUE!</v>
      </c>
      <c r="N112" t="e">
        <f>AND(DATA!E615,"AAAAADzT5w0=")</f>
        <v>#VALUE!</v>
      </c>
      <c r="O112" t="e">
        <f>AND(DATA!F615,"AAAAADzT5w4=")</f>
        <v>#VALUE!</v>
      </c>
      <c r="P112" t="e">
        <f>AND(DATA!G615,"AAAAADzT5w8=")</f>
        <v>#VALUE!</v>
      </c>
      <c r="Q112" t="e">
        <f>AND(DATA!H615,"AAAAADzT5xA=")</f>
        <v>#VALUE!</v>
      </c>
      <c r="R112" t="e">
        <f>AND(DATA!I615,"AAAAADzT5xE=")</f>
        <v>#VALUE!</v>
      </c>
      <c r="S112" t="e">
        <f>AND(DATA!J615,"AAAAADzT5xI=")</f>
        <v>#VALUE!</v>
      </c>
      <c r="T112" t="e">
        <f>AND(DATA!K615,"AAAAADzT5xM=")</f>
        <v>#VALUE!</v>
      </c>
      <c r="U112" t="b">
        <f>AND(DATA!L616,"AAAAADzT5xQ=")</f>
        <v>1</v>
      </c>
      <c r="V112" t="b">
        <f>AND(DATA!M616,"AAAAADzT5xU=")</f>
        <v>1</v>
      </c>
      <c r="W112" t="b">
        <f>AND(DATA!N616,"AAAAADzT5xY=")</f>
        <v>1</v>
      </c>
      <c r="X112" t="b">
        <f>AND(DATA!O616,"AAAAADzT5xc=")</f>
        <v>1</v>
      </c>
      <c r="Y112" t="b">
        <f>AND(DATA!P616,"AAAAADzT5xg=")</f>
        <v>1</v>
      </c>
      <c r="Z112" t="b">
        <f>AND(DATA!Q616,"AAAAADzT5xk=")</f>
        <v>1</v>
      </c>
      <c r="AA112" t="b">
        <f>AND(DATA!R616,"AAAAADzT5xo=")</f>
        <v>1</v>
      </c>
      <c r="AB112" t="b">
        <f>AND(DATA!S616,"AAAAADzT5xs=")</f>
        <v>1</v>
      </c>
      <c r="AC112" t="b">
        <f>AND(DATA!T616,"AAAAADzT5xw=")</f>
        <v>1</v>
      </c>
      <c r="AD112" t="b">
        <f>AND(DATA!U616,"AAAAADzT5x0=")</f>
        <v>1</v>
      </c>
      <c r="AE112" t="b">
        <f>AND(DATA!V616,"AAAAADzT5x4=")</f>
        <v>1</v>
      </c>
      <c r="AF112" t="e">
        <f>AND(DATA!W615,"AAAAADzT5x8=")</f>
        <v>#VALUE!</v>
      </c>
      <c r="AG112" t="e">
        <f>AND(DATA!X615,"AAAAADzT5yA=")</f>
        <v>#VALUE!</v>
      </c>
      <c r="AH112" t="e">
        <f>AND(DATA!Y615,"AAAAADzT5yE=")</f>
        <v>#VALUE!</v>
      </c>
      <c r="AI112">
        <f>IF(DATA!616:616,"AAAAADzT5yI=",0)</f>
        <v>0</v>
      </c>
      <c r="AJ112" t="e">
        <f>AND(DATA!A616,"AAAAADzT5yM=")</f>
        <v>#VALUE!</v>
      </c>
      <c r="AK112" t="e">
        <f>AND(DATA!B616,"AAAAADzT5yQ=")</f>
        <v>#VALUE!</v>
      </c>
      <c r="AL112" t="e">
        <f>AND(DATA!C616,"AAAAADzT5yU=")</f>
        <v>#VALUE!</v>
      </c>
      <c r="AM112" t="e">
        <f>AND(DATA!D616,"AAAAADzT5yY=")</f>
        <v>#VALUE!</v>
      </c>
      <c r="AN112" t="e">
        <f>AND(DATA!E616,"AAAAADzT5yc=")</f>
        <v>#VALUE!</v>
      </c>
      <c r="AO112" t="e">
        <f>AND(DATA!F616,"AAAAADzT5yg=")</f>
        <v>#VALUE!</v>
      </c>
      <c r="AP112" t="e">
        <f>AND(DATA!G616,"AAAAADzT5yk=")</f>
        <v>#VALUE!</v>
      </c>
      <c r="AQ112" t="e">
        <f>AND(DATA!H616,"AAAAADzT5yo=")</f>
        <v>#VALUE!</v>
      </c>
      <c r="AR112" t="e">
        <f>AND(DATA!I616,"AAAAADzT5ys=")</f>
        <v>#VALUE!</v>
      </c>
      <c r="AS112" t="e">
        <f>AND(DATA!J616,"AAAAADzT5yw=")</f>
        <v>#VALUE!</v>
      </c>
      <c r="AT112" t="e">
        <f>AND(DATA!K616,"AAAAADzT5y0=")</f>
        <v>#VALUE!</v>
      </c>
      <c r="AU112" t="b">
        <f>AND(DATA!L617,"AAAAADzT5y4=")</f>
        <v>1</v>
      </c>
      <c r="AV112" t="b">
        <f>AND(DATA!M617,"AAAAADzT5y8=")</f>
        <v>1</v>
      </c>
      <c r="AW112" t="b">
        <f>AND(DATA!N617,"AAAAADzT5zA=")</f>
        <v>1</v>
      </c>
      <c r="AX112" t="b">
        <f>AND(DATA!O617,"AAAAADzT5zE=")</f>
        <v>1</v>
      </c>
      <c r="AY112" t="b">
        <f>AND(DATA!P617,"AAAAADzT5zI=")</f>
        <v>1</v>
      </c>
      <c r="AZ112" t="b">
        <f>AND(DATA!Q617,"AAAAADzT5zM=")</f>
        <v>1</v>
      </c>
      <c r="BA112" t="b">
        <f>AND(DATA!R617,"AAAAADzT5zQ=")</f>
        <v>1</v>
      </c>
      <c r="BB112" t="b">
        <f>AND(DATA!S617,"AAAAADzT5zU=")</f>
        <v>1</v>
      </c>
      <c r="BC112" t="b">
        <f>AND(DATA!T617,"AAAAADzT5zY=")</f>
        <v>1</v>
      </c>
      <c r="BD112" t="b">
        <f>AND(DATA!U617,"AAAAADzT5zc=")</f>
        <v>1</v>
      </c>
      <c r="BE112" t="b">
        <f>AND(DATA!V617,"AAAAADzT5zg=")</f>
        <v>1</v>
      </c>
      <c r="BF112" t="e">
        <f>AND(DATA!W616,"AAAAADzT5zk=")</f>
        <v>#VALUE!</v>
      </c>
      <c r="BG112" t="e">
        <f>AND(DATA!X616,"AAAAADzT5zo=")</f>
        <v>#VALUE!</v>
      </c>
      <c r="BH112" t="e">
        <f>AND(DATA!Y616,"AAAAADzT5zs=")</f>
        <v>#VALUE!</v>
      </c>
      <c r="BI112">
        <f>IF(DATA!617:617,"AAAAADzT5zw=",0)</f>
        <v>0</v>
      </c>
      <c r="BJ112" t="e">
        <f>AND(DATA!A617,"AAAAADzT5z0=")</f>
        <v>#VALUE!</v>
      </c>
      <c r="BK112" t="e">
        <f>AND(DATA!B617,"AAAAADzT5z4=")</f>
        <v>#VALUE!</v>
      </c>
      <c r="BL112" t="e">
        <f>AND(DATA!C617,"AAAAADzT5z8=")</f>
        <v>#VALUE!</v>
      </c>
      <c r="BM112" t="e">
        <f>AND(DATA!D617,"AAAAADzT50A=")</f>
        <v>#VALUE!</v>
      </c>
      <c r="BN112" t="e">
        <f>AND(DATA!E617,"AAAAADzT50E=")</f>
        <v>#VALUE!</v>
      </c>
      <c r="BO112" t="e">
        <f>AND(DATA!F617,"AAAAADzT50I=")</f>
        <v>#VALUE!</v>
      </c>
      <c r="BP112" t="e">
        <f>AND(DATA!G617,"AAAAADzT50M=")</f>
        <v>#VALUE!</v>
      </c>
      <c r="BQ112" t="e">
        <f>AND(DATA!H617,"AAAAADzT50Q=")</f>
        <v>#VALUE!</v>
      </c>
      <c r="BR112" t="e">
        <f>AND(DATA!I617,"AAAAADzT50U=")</f>
        <v>#VALUE!</v>
      </c>
      <c r="BS112" t="e">
        <f>AND(DATA!J617,"AAAAADzT50Y=")</f>
        <v>#VALUE!</v>
      </c>
      <c r="BT112" t="e">
        <f>AND(DATA!K617,"AAAAADzT50c=")</f>
        <v>#VALUE!</v>
      </c>
      <c r="BU112" t="b">
        <f>AND(DATA!L618,"AAAAADzT50g=")</f>
        <v>1</v>
      </c>
      <c r="BV112" t="b">
        <f>AND(DATA!M618,"AAAAADzT50k=")</f>
        <v>1</v>
      </c>
      <c r="BW112" t="b">
        <f>AND(DATA!N618,"AAAAADzT50o=")</f>
        <v>1</v>
      </c>
      <c r="BX112" t="b">
        <f>AND(DATA!O618,"AAAAADzT50s=")</f>
        <v>1</v>
      </c>
      <c r="BY112" t="b">
        <f>AND(DATA!P618,"AAAAADzT50w=")</f>
        <v>1</v>
      </c>
      <c r="BZ112" t="b">
        <f>AND(DATA!Q618,"AAAAADzT500=")</f>
        <v>1</v>
      </c>
      <c r="CA112" t="b">
        <f>AND(DATA!R618,"AAAAADzT504=")</f>
        <v>1</v>
      </c>
      <c r="CB112" t="b">
        <f>AND(DATA!S618,"AAAAADzT508=")</f>
        <v>1</v>
      </c>
      <c r="CC112" t="b">
        <f>AND(DATA!T618,"AAAAADzT51A=")</f>
        <v>1</v>
      </c>
      <c r="CD112" t="b">
        <f>AND(DATA!U618,"AAAAADzT51E=")</f>
        <v>1</v>
      </c>
      <c r="CE112" t="b">
        <f>AND(DATA!V618,"AAAAADzT51I=")</f>
        <v>1</v>
      </c>
      <c r="CF112" t="e">
        <f>AND(DATA!W617,"AAAAADzT51M=")</f>
        <v>#VALUE!</v>
      </c>
      <c r="CG112" t="e">
        <f>AND(DATA!X617,"AAAAADzT51Q=")</f>
        <v>#VALUE!</v>
      </c>
      <c r="CH112" t="e">
        <f>AND(DATA!Y617,"AAAAADzT51U=")</f>
        <v>#VALUE!</v>
      </c>
      <c r="CI112">
        <f>IF(DATA!618:618,"AAAAADzT51Y=",0)</f>
        <v>0</v>
      </c>
      <c r="CJ112" t="e">
        <f>AND(DATA!A618,"AAAAADzT51c=")</f>
        <v>#VALUE!</v>
      </c>
      <c r="CK112" t="e">
        <f>AND(DATA!B618,"AAAAADzT51g=")</f>
        <v>#VALUE!</v>
      </c>
      <c r="CL112" t="e">
        <f>AND(DATA!C618,"AAAAADzT51k=")</f>
        <v>#VALUE!</v>
      </c>
      <c r="CM112" t="e">
        <f>AND(DATA!D618,"AAAAADzT51o=")</f>
        <v>#VALUE!</v>
      </c>
      <c r="CN112" t="e">
        <f>AND(DATA!E618,"AAAAADzT51s=")</f>
        <v>#VALUE!</v>
      </c>
      <c r="CO112" t="e">
        <f>AND(DATA!F618,"AAAAADzT51w=")</f>
        <v>#VALUE!</v>
      </c>
      <c r="CP112" t="e">
        <f>AND(DATA!G618,"AAAAADzT510=")</f>
        <v>#VALUE!</v>
      </c>
      <c r="CQ112" t="e">
        <f>AND(DATA!H618,"AAAAADzT514=")</f>
        <v>#VALUE!</v>
      </c>
      <c r="CR112" t="e">
        <f>AND(DATA!I618,"AAAAADzT518=")</f>
        <v>#VALUE!</v>
      </c>
      <c r="CS112" t="e">
        <f>AND(DATA!J618,"AAAAADzT52A=")</f>
        <v>#VALUE!</v>
      </c>
      <c r="CT112" t="e">
        <f>AND(DATA!K618,"AAAAADzT52E=")</f>
        <v>#VALUE!</v>
      </c>
      <c r="CU112" t="b">
        <f>AND(DATA!L619,"AAAAADzT52I=")</f>
        <v>1</v>
      </c>
      <c r="CV112" t="b">
        <f>AND(DATA!M619,"AAAAADzT52M=")</f>
        <v>1</v>
      </c>
      <c r="CW112" t="b">
        <f>AND(DATA!N619,"AAAAADzT52Q=")</f>
        <v>1</v>
      </c>
      <c r="CX112" t="b">
        <f>AND(DATA!O619,"AAAAADzT52U=")</f>
        <v>1</v>
      </c>
      <c r="CY112" t="b">
        <f>AND(DATA!P619,"AAAAADzT52Y=")</f>
        <v>1</v>
      </c>
      <c r="CZ112" t="b">
        <f>AND(DATA!Q619,"AAAAADzT52c=")</f>
        <v>1</v>
      </c>
      <c r="DA112" t="b">
        <f>AND(DATA!R619,"AAAAADzT52g=")</f>
        <v>1</v>
      </c>
      <c r="DB112" t="b">
        <f>AND(DATA!S619,"AAAAADzT52k=")</f>
        <v>1</v>
      </c>
      <c r="DC112" t="b">
        <f>AND(DATA!T619,"AAAAADzT52o=")</f>
        <v>1</v>
      </c>
      <c r="DD112" t="b">
        <f>AND(DATA!U619,"AAAAADzT52s=")</f>
        <v>1</v>
      </c>
      <c r="DE112" t="b">
        <f>AND(DATA!V619,"AAAAADzT52w=")</f>
        <v>1</v>
      </c>
      <c r="DF112" t="e">
        <f>AND(DATA!W618,"AAAAADzT520=")</f>
        <v>#VALUE!</v>
      </c>
      <c r="DG112" t="e">
        <f>AND(DATA!X618,"AAAAADzT524=")</f>
        <v>#VALUE!</v>
      </c>
      <c r="DH112" t="e">
        <f>AND(DATA!Y618,"AAAAADzT528=")</f>
        <v>#VALUE!</v>
      </c>
      <c r="DI112">
        <f>IF(DATA!619:619,"AAAAADzT53A=",0)</f>
        <v>0</v>
      </c>
      <c r="DJ112" t="e">
        <f>AND(DATA!A619,"AAAAADzT53E=")</f>
        <v>#VALUE!</v>
      </c>
      <c r="DK112" t="e">
        <f>AND(DATA!B619,"AAAAADzT53I=")</f>
        <v>#VALUE!</v>
      </c>
      <c r="DL112" t="e">
        <f>AND(DATA!C619,"AAAAADzT53M=")</f>
        <v>#VALUE!</v>
      </c>
      <c r="DM112" t="e">
        <f>AND(DATA!D619,"AAAAADzT53Q=")</f>
        <v>#VALUE!</v>
      </c>
      <c r="DN112" t="e">
        <f>AND(DATA!E619,"AAAAADzT53U=")</f>
        <v>#VALUE!</v>
      </c>
      <c r="DO112" t="e">
        <f>AND(DATA!F619,"AAAAADzT53Y=")</f>
        <v>#VALUE!</v>
      </c>
      <c r="DP112" t="e">
        <f>AND(DATA!G619,"AAAAADzT53c=")</f>
        <v>#VALUE!</v>
      </c>
      <c r="DQ112" t="e">
        <f>AND(DATA!H619,"AAAAADzT53g=")</f>
        <v>#VALUE!</v>
      </c>
      <c r="DR112" t="e">
        <f>AND(DATA!I619,"AAAAADzT53k=")</f>
        <v>#VALUE!</v>
      </c>
      <c r="DS112" t="e">
        <f>AND(DATA!J619,"AAAAADzT53o=")</f>
        <v>#VALUE!</v>
      </c>
      <c r="DT112" t="e">
        <f>AND(DATA!K619,"AAAAADzT53s=")</f>
        <v>#VALUE!</v>
      </c>
      <c r="DU112" t="b">
        <f>AND(DATA!L620,"AAAAADzT53w=")</f>
        <v>1</v>
      </c>
      <c r="DV112" t="b">
        <f>AND(DATA!M620,"AAAAADzT530=")</f>
        <v>1</v>
      </c>
      <c r="DW112" t="b">
        <f>AND(DATA!N620,"AAAAADzT534=")</f>
        <v>1</v>
      </c>
      <c r="DX112" t="b">
        <f>AND(DATA!O620,"AAAAADzT538=")</f>
        <v>1</v>
      </c>
      <c r="DY112" t="b">
        <f>AND(DATA!P620,"AAAAADzT54A=")</f>
        <v>1</v>
      </c>
      <c r="DZ112" t="b">
        <f>AND(DATA!Q620,"AAAAADzT54E=")</f>
        <v>1</v>
      </c>
      <c r="EA112" t="b">
        <f>AND(DATA!R620,"AAAAADzT54I=")</f>
        <v>1</v>
      </c>
      <c r="EB112" t="b">
        <f>AND(DATA!S620,"AAAAADzT54M=")</f>
        <v>1</v>
      </c>
      <c r="EC112" t="b">
        <f>AND(DATA!T620,"AAAAADzT54Q=")</f>
        <v>1</v>
      </c>
      <c r="ED112" t="b">
        <f>AND(DATA!U620,"AAAAADzT54U=")</f>
        <v>1</v>
      </c>
      <c r="EE112" t="b">
        <f>AND(DATA!V620,"AAAAADzT54Y=")</f>
        <v>1</v>
      </c>
      <c r="EF112" t="e">
        <f>AND(DATA!W619,"AAAAADzT54c=")</f>
        <v>#VALUE!</v>
      </c>
      <c r="EG112" t="e">
        <f>AND(DATA!X619,"AAAAADzT54g=")</f>
        <v>#VALUE!</v>
      </c>
      <c r="EH112" t="e">
        <f>AND(DATA!Y619,"AAAAADzT54k=")</f>
        <v>#VALUE!</v>
      </c>
      <c r="EI112">
        <f>IF(DATA!620:620,"AAAAADzT54o=",0)</f>
        <v>0</v>
      </c>
      <c r="EJ112" t="e">
        <f>AND(DATA!A620,"AAAAADzT54s=")</f>
        <v>#VALUE!</v>
      </c>
      <c r="EK112" t="e">
        <f>AND(DATA!B620,"AAAAADzT54w=")</f>
        <v>#VALUE!</v>
      </c>
      <c r="EL112" t="e">
        <f>AND(DATA!C620,"AAAAADzT540=")</f>
        <v>#VALUE!</v>
      </c>
      <c r="EM112" t="e">
        <f>AND(DATA!D620,"AAAAADzT544=")</f>
        <v>#VALUE!</v>
      </c>
      <c r="EN112" t="e">
        <f>AND(DATA!E620,"AAAAADzT548=")</f>
        <v>#VALUE!</v>
      </c>
      <c r="EO112" t="e">
        <f>AND(DATA!F620,"AAAAADzT55A=")</f>
        <v>#VALUE!</v>
      </c>
      <c r="EP112" t="e">
        <f>AND(DATA!G620,"AAAAADzT55E=")</f>
        <v>#VALUE!</v>
      </c>
      <c r="EQ112" t="e">
        <f>AND(DATA!H620,"AAAAADzT55I=")</f>
        <v>#VALUE!</v>
      </c>
      <c r="ER112" t="e">
        <f>AND(DATA!I620,"AAAAADzT55M=")</f>
        <v>#VALUE!</v>
      </c>
      <c r="ES112" t="e">
        <f>AND(DATA!J620,"AAAAADzT55Q=")</f>
        <v>#VALUE!</v>
      </c>
      <c r="ET112" t="e">
        <f>AND(DATA!K620,"AAAAADzT55U=")</f>
        <v>#VALUE!</v>
      </c>
      <c r="EU112" t="b">
        <f>AND(DATA!L621,"AAAAADzT55Y=")</f>
        <v>1</v>
      </c>
      <c r="EV112" t="b">
        <f>AND(DATA!M621,"AAAAADzT55c=")</f>
        <v>1</v>
      </c>
      <c r="EW112" t="b">
        <f>AND(DATA!N621,"AAAAADzT55g=")</f>
        <v>1</v>
      </c>
      <c r="EX112" t="b">
        <f>AND(DATA!O621,"AAAAADzT55k=")</f>
        <v>1</v>
      </c>
      <c r="EY112" t="b">
        <f>AND(DATA!P621,"AAAAADzT55o=")</f>
        <v>1</v>
      </c>
      <c r="EZ112" t="b">
        <f>AND(DATA!Q621,"AAAAADzT55s=")</f>
        <v>1</v>
      </c>
      <c r="FA112" t="b">
        <f>AND(DATA!R621,"AAAAADzT55w=")</f>
        <v>1</v>
      </c>
      <c r="FB112" t="b">
        <f>AND(DATA!S621,"AAAAADzT550=")</f>
        <v>1</v>
      </c>
      <c r="FC112" t="b">
        <f>AND(DATA!T621,"AAAAADzT554=")</f>
        <v>1</v>
      </c>
      <c r="FD112" t="b">
        <f>AND(DATA!U621,"AAAAADzT558=")</f>
        <v>1</v>
      </c>
      <c r="FE112" t="b">
        <f>AND(DATA!V621,"AAAAADzT56A=")</f>
        <v>1</v>
      </c>
      <c r="FF112" t="e">
        <f>AND(DATA!W620,"AAAAADzT56E=")</f>
        <v>#VALUE!</v>
      </c>
      <c r="FG112" t="e">
        <f>AND(DATA!X620,"AAAAADzT56I=")</f>
        <v>#VALUE!</v>
      </c>
      <c r="FH112" t="e">
        <f>AND(DATA!Y620,"AAAAADzT56M=")</f>
        <v>#VALUE!</v>
      </c>
      <c r="FI112">
        <f>IF(DATA!621:621,"AAAAADzT56Q=",0)</f>
        <v>0</v>
      </c>
      <c r="FJ112" t="e">
        <f>AND(DATA!A621,"AAAAADzT56U=")</f>
        <v>#VALUE!</v>
      </c>
      <c r="FK112" t="e">
        <f>AND(DATA!B621,"AAAAADzT56Y=")</f>
        <v>#VALUE!</v>
      </c>
      <c r="FL112" t="e">
        <f>AND(DATA!C621,"AAAAADzT56c=")</f>
        <v>#VALUE!</v>
      </c>
      <c r="FM112" t="e">
        <f>AND(DATA!D621,"AAAAADzT56g=")</f>
        <v>#VALUE!</v>
      </c>
      <c r="FN112" t="e">
        <f>AND(DATA!E621,"AAAAADzT56k=")</f>
        <v>#VALUE!</v>
      </c>
      <c r="FO112" t="e">
        <f>AND(DATA!F621,"AAAAADzT56o=")</f>
        <v>#VALUE!</v>
      </c>
      <c r="FP112" t="e">
        <f>AND(DATA!G621,"AAAAADzT56s=")</f>
        <v>#VALUE!</v>
      </c>
      <c r="FQ112" t="e">
        <f>AND(DATA!H621,"AAAAADzT56w=")</f>
        <v>#VALUE!</v>
      </c>
      <c r="FR112" t="e">
        <f>AND(DATA!I621,"AAAAADzT560=")</f>
        <v>#VALUE!</v>
      </c>
      <c r="FS112" t="e">
        <f>AND(DATA!J621,"AAAAADzT564=")</f>
        <v>#VALUE!</v>
      </c>
      <c r="FT112" t="e">
        <f>AND(DATA!K621,"AAAAADzT568=")</f>
        <v>#VALUE!</v>
      </c>
      <c r="FU112" t="b">
        <f>AND(DATA!L622,"AAAAADzT57A=")</f>
        <v>1</v>
      </c>
      <c r="FV112" t="b">
        <f>AND(DATA!M622,"AAAAADzT57E=")</f>
        <v>1</v>
      </c>
      <c r="FW112" t="b">
        <f>AND(DATA!N622,"AAAAADzT57I=")</f>
        <v>1</v>
      </c>
      <c r="FX112" t="b">
        <f>AND(DATA!O622,"AAAAADzT57M=")</f>
        <v>1</v>
      </c>
      <c r="FY112" t="b">
        <f>AND(DATA!P622,"AAAAADzT57Q=")</f>
        <v>1</v>
      </c>
      <c r="FZ112" t="b">
        <f>AND(DATA!Q622,"AAAAADzT57U=")</f>
        <v>1</v>
      </c>
      <c r="GA112" t="b">
        <f>AND(DATA!R622,"AAAAADzT57Y=")</f>
        <v>1</v>
      </c>
      <c r="GB112" t="b">
        <f>AND(DATA!S622,"AAAAADzT57c=")</f>
        <v>1</v>
      </c>
      <c r="GC112" t="b">
        <f>AND(DATA!T622,"AAAAADzT57g=")</f>
        <v>1</v>
      </c>
      <c r="GD112" t="b">
        <f>AND(DATA!U622,"AAAAADzT57k=")</f>
        <v>1</v>
      </c>
      <c r="GE112" t="b">
        <f>AND(DATA!V622,"AAAAADzT57o=")</f>
        <v>1</v>
      </c>
      <c r="GF112" t="e">
        <f>AND(DATA!W621,"AAAAADzT57s=")</f>
        <v>#VALUE!</v>
      </c>
      <c r="GG112" t="e">
        <f>AND(DATA!X621,"AAAAADzT57w=")</f>
        <v>#VALUE!</v>
      </c>
      <c r="GH112" t="e">
        <f>AND(DATA!Y621,"AAAAADzT570=")</f>
        <v>#VALUE!</v>
      </c>
      <c r="GI112">
        <f>IF(DATA!622:622,"AAAAADzT574=",0)</f>
        <v>0</v>
      </c>
      <c r="GJ112" t="e">
        <f>AND(DATA!A622,"AAAAADzT578=")</f>
        <v>#VALUE!</v>
      </c>
      <c r="GK112" t="e">
        <f>AND(DATA!B622,"AAAAADzT58A=")</f>
        <v>#VALUE!</v>
      </c>
      <c r="GL112" t="e">
        <f>AND(DATA!C622,"AAAAADzT58E=")</f>
        <v>#VALUE!</v>
      </c>
      <c r="GM112" t="e">
        <f>AND(DATA!D622,"AAAAADzT58I=")</f>
        <v>#VALUE!</v>
      </c>
      <c r="GN112" t="e">
        <f>AND(DATA!E622,"AAAAADzT58M=")</f>
        <v>#VALUE!</v>
      </c>
      <c r="GO112" t="e">
        <f>AND(DATA!F622,"AAAAADzT58Q=")</f>
        <v>#VALUE!</v>
      </c>
      <c r="GP112" t="e">
        <f>AND(DATA!G622,"AAAAADzT58U=")</f>
        <v>#VALUE!</v>
      </c>
      <c r="GQ112" t="e">
        <f>AND(DATA!H622,"AAAAADzT58Y=")</f>
        <v>#VALUE!</v>
      </c>
      <c r="GR112" t="e">
        <f>AND(DATA!I622,"AAAAADzT58c=")</f>
        <v>#VALUE!</v>
      </c>
      <c r="GS112" t="e">
        <f>AND(DATA!J622,"AAAAADzT58g=")</f>
        <v>#VALUE!</v>
      </c>
      <c r="GT112" t="e">
        <f>AND(DATA!K622,"AAAAADzT58k=")</f>
        <v>#VALUE!</v>
      </c>
      <c r="GU112" t="b">
        <f>AND(DATA!L623,"AAAAADzT58o=")</f>
        <v>1</v>
      </c>
      <c r="GV112" t="b">
        <f>AND(DATA!M623,"AAAAADzT58s=")</f>
        <v>1</v>
      </c>
      <c r="GW112" t="b">
        <f>AND(DATA!N623,"AAAAADzT58w=")</f>
        <v>1</v>
      </c>
      <c r="GX112" t="b">
        <f>AND(DATA!O623,"AAAAADzT580=")</f>
        <v>1</v>
      </c>
      <c r="GY112" t="b">
        <f>AND(DATA!P623,"AAAAADzT584=")</f>
        <v>1</v>
      </c>
      <c r="GZ112" t="b">
        <f>AND(DATA!Q623,"AAAAADzT588=")</f>
        <v>1</v>
      </c>
      <c r="HA112" t="b">
        <f>AND(DATA!R623,"AAAAADzT59A=")</f>
        <v>1</v>
      </c>
      <c r="HB112" t="b">
        <f>AND(DATA!S623,"AAAAADzT59E=")</f>
        <v>1</v>
      </c>
      <c r="HC112" t="b">
        <f>AND(DATA!T623,"AAAAADzT59I=")</f>
        <v>1</v>
      </c>
      <c r="HD112" t="b">
        <f>AND(DATA!U623,"AAAAADzT59M=")</f>
        <v>1</v>
      </c>
      <c r="HE112" t="b">
        <f>AND(DATA!V623,"AAAAADzT59Q=")</f>
        <v>1</v>
      </c>
      <c r="HF112" t="e">
        <f>AND(DATA!W622,"AAAAADzT59U=")</f>
        <v>#VALUE!</v>
      </c>
      <c r="HG112" t="e">
        <f>AND(DATA!X622,"AAAAADzT59Y=")</f>
        <v>#VALUE!</v>
      </c>
      <c r="HH112" t="e">
        <f>AND(DATA!Y622,"AAAAADzT59c=")</f>
        <v>#VALUE!</v>
      </c>
      <c r="HI112">
        <f>IF(DATA!623:623,"AAAAADzT59g=",0)</f>
        <v>0</v>
      </c>
      <c r="HJ112" t="e">
        <f>AND(DATA!A623,"AAAAADzT59k=")</f>
        <v>#VALUE!</v>
      </c>
      <c r="HK112" t="e">
        <f>AND(DATA!B623,"AAAAADzT59o=")</f>
        <v>#VALUE!</v>
      </c>
      <c r="HL112" t="e">
        <f>AND(DATA!C623,"AAAAADzT59s=")</f>
        <v>#VALUE!</v>
      </c>
      <c r="HM112" t="e">
        <f>AND(DATA!D623,"AAAAADzT59w=")</f>
        <v>#VALUE!</v>
      </c>
      <c r="HN112" t="e">
        <f>AND(DATA!E623,"AAAAADzT590=")</f>
        <v>#VALUE!</v>
      </c>
      <c r="HO112" t="e">
        <f>AND(DATA!F623,"AAAAADzT594=")</f>
        <v>#VALUE!</v>
      </c>
      <c r="HP112" t="e">
        <f>AND(DATA!G623,"AAAAADzT598=")</f>
        <v>#VALUE!</v>
      </c>
      <c r="HQ112" t="e">
        <f>AND(DATA!H623,"AAAAADzT5+A=")</f>
        <v>#VALUE!</v>
      </c>
      <c r="HR112" t="e">
        <f>AND(DATA!I623,"AAAAADzT5+E=")</f>
        <v>#VALUE!</v>
      </c>
      <c r="HS112" t="e">
        <f>AND(DATA!J623,"AAAAADzT5+I=")</f>
        <v>#VALUE!</v>
      </c>
      <c r="HT112" t="e">
        <f>AND(DATA!K623,"AAAAADzT5+M=")</f>
        <v>#VALUE!</v>
      </c>
      <c r="HU112" t="b">
        <f>AND(DATA!L624,"AAAAADzT5+Q=")</f>
        <v>1</v>
      </c>
      <c r="HV112" t="b">
        <f>AND(DATA!M624,"AAAAADzT5+U=")</f>
        <v>1</v>
      </c>
      <c r="HW112" t="b">
        <f>AND(DATA!N624,"AAAAADzT5+Y=")</f>
        <v>1</v>
      </c>
      <c r="HX112" t="b">
        <f>AND(DATA!O624,"AAAAADzT5+c=")</f>
        <v>1</v>
      </c>
      <c r="HY112" t="b">
        <f>AND(DATA!P624,"AAAAADzT5+g=")</f>
        <v>1</v>
      </c>
      <c r="HZ112" t="b">
        <f>AND(DATA!Q624,"AAAAADzT5+k=")</f>
        <v>1</v>
      </c>
      <c r="IA112" t="b">
        <f>AND(DATA!R624,"AAAAADzT5+o=")</f>
        <v>1</v>
      </c>
      <c r="IB112" t="b">
        <f>AND(DATA!S624,"AAAAADzT5+s=")</f>
        <v>1</v>
      </c>
      <c r="IC112" t="b">
        <f>AND(DATA!T624,"AAAAADzT5+w=")</f>
        <v>1</v>
      </c>
      <c r="ID112" t="b">
        <f>AND(DATA!U624,"AAAAADzT5+0=")</f>
        <v>1</v>
      </c>
      <c r="IE112" t="b">
        <f>AND(DATA!V624,"AAAAADzT5+4=")</f>
        <v>1</v>
      </c>
      <c r="IF112" t="e">
        <f>AND(DATA!W623,"AAAAADzT5+8=")</f>
        <v>#VALUE!</v>
      </c>
      <c r="IG112" t="e">
        <f>AND(DATA!X623,"AAAAADzT5/A=")</f>
        <v>#VALUE!</v>
      </c>
      <c r="IH112" t="e">
        <f>AND(DATA!Y623,"AAAAADzT5/E=")</f>
        <v>#VALUE!</v>
      </c>
      <c r="II112">
        <f>IF(DATA!624:624,"AAAAADzT5/I=",0)</f>
        <v>0</v>
      </c>
      <c r="IJ112" t="e">
        <f>AND(DATA!A624,"AAAAADzT5/M=")</f>
        <v>#VALUE!</v>
      </c>
      <c r="IK112" t="e">
        <f>AND(DATA!B624,"AAAAADzT5/Q=")</f>
        <v>#VALUE!</v>
      </c>
      <c r="IL112" t="e">
        <f>AND(DATA!C624,"AAAAADzT5/U=")</f>
        <v>#VALUE!</v>
      </c>
      <c r="IM112" t="e">
        <f>AND(DATA!D624,"AAAAADzT5/Y=")</f>
        <v>#VALUE!</v>
      </c>
      <c r="IN112" t="e">
        <f>AND(DATA!E624,"AAAAADzT5/c=")</f>
        <v>#VALUE!</v>
      </c>
      <c r="IO112" t="e">
        <f>AND(DATA!F624,"AAAAADzT5/g=")</f>
        <v>#VALUE!</v>
      </c>
      <c r="IP112" t="e">
        <f>AND(DATA!G624,"AAAAADzT5/k=")</f>
        <v>#VALUE!</v>
      </c>
      <c r="IQ112" t="e">
        <f>AND(DATA!H624,"AAAAADzT5/o=")</f>
        <v>#VALUE!</v>
      </c>
      <c r="IR112" t="e">
        <f>AND(DATA!I624,"AAAAADzT5/s=")</f>
        <v>#VALUE!</v>
      </c>
      <c r="IS112" t="e">
        <f>AND(DATA!J624,"AAAAADzT5/w=")</f>
        <v>#VALUE!</v>
      </c>
      <c r="IT112" t="e">
        <f>AND(DATA!K624,"AAAAADzT5/0=")</f>
        <v>#VALUE!</v>
      </c>
      <c r="IU112" t="b">
        <f>AND(DATA!L625,"AAAAADzT5/4=")</f>
        <v>1</v>
      </c>
      <c r="IV112" t="b">
        <f>AND(DATA!M625,"AAAAADzT5/8=")</f>
        <v>1</v>
      </c>
    </row>
    <row r="113" spans="1:256" x14ac:dyDescent="0.25">
      <c r="A113" t="b">
        <f>AND(DATA!N625,"AAAAADO/+wA=")</f>
        <v>1</v>
      </c>
      <c r="B113" t="b">
        <f>AND(DATA!O625,"AAAAADO/+wE=")</f>
        <v>1</v>
      </c>
      <c r="C113" t="b">
        <f>AND(DATA!P625,"AAAAADO/+wI=")</f>
        <v>1</v>
      </c>
      <c r="D113" t="b">
        <f>AND(DATA!Q625,"AAAAADO/+wM=")</f>
        <v>1</v>
      </c>
      <c r="E113" t="b">
        <f>AND(DATA!R625,"AAAAADO/+wQ=")</f>
        <v>1</v>
      </c>
      <c r="F113" t="b">
        <f>AND(DATA!S625,"AAAAADO/+wU=")</f>
        <v>1</v>
      </c>
      <c r="G113" t="b">
        <f>AND(DATA!T625,"AAAAADO/+wY=")</f>
        <v>1</v>
      </c>
      <c r="H113" t="b">
        <f>AND(DATA!U625,"AAAAADO/+wc=")</f>
        <v>1</v>
      </c>
      <c r="I113" t="b">
        <f>AND(DATA!V625,"AAAAADO/+wg=")</f>
        <v>1</v>
      </c>
      <c r="J113" t="e">
        <f>AND(DATA!W624,"AAAAADO/+wk=")</f>
        <v>#VALUE!</v>
      </c>
      <c r="K113" t="e">
        <f>AND(DATA!X624,"AAAAADO/+wo=")</f>
        <v>#VALUE!</v>
      </c>
      <c r="L113" t="e">
        <f>AND(DATA!Y624,"AAAAADO/+ws=")</f>
        <v>#VALUE!</v>
      </c>
      <c r="M113" t="str">
        <f>IF(DATA!625:625,"AAAAADO/+ww=",0)</f>
        <v>AAAAADO/+ww=</v>
      </c>
      <c r="N113" t="e">
        <f>AND(DATA!A625,"AAAAADO/+w0=")</f>
        <v>#VALUE!</v>
      </c>
      <c r="O113" t="e">
        <f>AND(DATA!B625,"AAAAADO/+w4=")</f>
        <v>#VALUE!</v>
      </c>
      <c r="P113" t="e">
        <f>AND(DATA!C625,"AAAAADO/+w8=")</f>
        <v>#VALUE!</v>
      </c>
      <c r="Q113" t="e">
        <f>AND(DATA!D625,"AAAAADO/+xA=")</f>
        <v>#VALUE!</v>
      </c>
      <c r="R113" t="e">
        <f>AND(DATA!E625,"AAAAADO/+xE=")</f>
        <v>#VALUE!</v>
      </c>
      <c r="S113" t="e">
        <f>AND(DATA!F625,"AAAAADO/+xI=")</f>
        <v>#VALUE!</v>
      </c>
      <c r="T113" t="e">
        <f>AND(DATA!G625,"AAAAADO/+xM=")</f>
        <v>#VALUE!</v>
      </c>
      <c r="U113" t="e">
        <f>AND(DATA!H625,"AAAAADO/+xQ=")</f>
        <v>#VALUE!</v>
      </c>
      <c r="V113" t="e">
        <f>AND(DATA!I625,"AAAAADO/+xU=")</f>
        <v>#VALUE!</v>
      </c>
      <c r="W113" t="e">
        <f>AND(DATA!J625,"AAAAADO/+xY=")</f>
        <v>#VALUE!</v>
      </c>
      <c r="X113" t="e">
        <f>AND(DATA!K625,"AAAAADO/+xc=")</f>
        <v>#VALUE!</v>
      </c>
      <c r="Y113" t="b">
        <f>AND(DATA!L626,"AAAAADO/+xg=")</f>
        <v>1</v>
      </c>
      <c r="Z113" t="b">
        <f>AND(DATA!M626,"AAAAADO/+xk=")</f>
        <v>1</v>
      </c>
      <c r="AA113" t="b">
        <f>AND(DATA!N626,"AAAAADO/+xo=")</f>
        <v>1</v>
      </c>
      <c r="AB113" t="b">
        <f>AND(DATA!O626,"AAAAADO/+xs=")</f>
        <v>1</v>
      </c>
      <c r="AC113" t="b">
        <f>AND(DATA!P626,"AAAAADO/+xw=")</f>
        <v>1</v>
      </c>
      <c r="AD113" t="b">
        <f>AND(DATA!Q626,"AAAAADO/+x0=")</f>
        <v>1</v>
      </c>
      <c r="AE113" t="b">
        <f>AND(DATA!R626,"AAAAADO/+x4=")</f>
        <v>1</v>
      </c>
      <c r="AF113" t="b">
        <f>AND(DATA!S626,"AAAAADO/+x8=")</f>
        <v>1</v>
      </c>
      <c r="AG113" t="b">
        <f>AND(DATA!T626,"AAAAADO/+yA=")</f>
        <v>1</v>
      </c>
      <c r="AH113" t="b">
        <f>AND(DATA!U626,"AAAAADO/+yE=")</f>
        <v>1</v>
      </c>
      <c r="AI113" t="b">
        <f>AND(DATA!V626,"AAAAADO/+yI=")</f>
        <v>1</v>
      </c>
      <c r="AJ113" t="e">
        <f>AND(DATA!W625,"AAAAADO/+yM=")</f>
        <v>#VALUE!</v>
      </c>
      <c r="AK113" t="e">
        <f>AND(DATA!X625,"AAAAADO/+yQ=")</f>
        <v>#VALUE!</v>
      </c>
      <c r="AL113" t="e">
        <f>AND(DATA!Y625,"AAAAADO/+yU=")</f>
        <v>#VALUE!</v>
      </c>
      <c r="AM113">
        <f>IF(DATA!626:626,"AAAAADO/+yY=",0)</f>
        <v>0</v>
      </c>
      <c r="AN113" t="e">
        <f>AND(DATA!A626,"AAAAADO/+yc=")</f>
        <v>#VALUE!</v>
      </c>
      <c r="AO113" t="e">
        <f>AND(DATA!B626,"AAAAADO/+yg=")</f>
        <v>#VALUE!</v>
      </c>
      <c r="AP113" t="e">
        <f>AND(DATA!C626,"AAAAADO/+yk=")</f>
        <v>#VALUE!</v>
      </c>
      <c r="AQ113" t="e">
        <f>AND(DATA!D626,"AAAAADO/+yo=")</f>
        <v>#VALUE!</v>
      </c>
      <c r="AR113" t="e">
        <f>AND(DATA!E626,"AAAAADO/+ys=")</f>
        <v>#VALUE!</v>
      </c>
      <c r="AS113" t="e">
        <f>AND(DATA!F626,"AAAAADO/+yw=")</f>
        <v>#VALUE!</v>
      </c>
      <c r="AT113" t="e">
        <f>AND(DATA!G626,"AAAAADO/+y0=")</f>
        <v>#VALUE!</v>
      </c>
      <c r="AU113" t="e">
        <f>AND(DATA!H626,"AAAAADO/+y4=")</f>
        <v>#VALUE!</v>
      </c>
      <c r="AV113" t="e">
        <f>AND(DATA!I626,"AAAAADO/+y8=")</f>
        <v>#VALUE!</v>
      </c>
      <c r="AW113" t="e">
        <f>AND(DATA!J626,"AAAAADO/+zA=")</f>
        <v>#VALUE!</v>
      </c>
      <c r="AX113" t="e">
        <f>AND(DATA!K626,"AAAAADO/+zE=")</f>
        <v>#VALUE!</v>
      </c>
      <c r="AY113" t="b">
        <f>AND(DATA!L627,"AAAAADO/+zI=")</f>
        <v>1</v>
      </c>
      <c r="AZ113" t="b">
        <f>AND(DATA!M627,"AAAAADO/+zM=")</f>
        <v>1</v>
      </c>
      <c r="BA113" t="b">
        <f>AND(DATA!N627,"AAAAADO/+zQ=")</f>
        <v>1</v>
      </c>
      <c r="BB113" t="b">
        <f>AND(DATA!O627,"AAAAADO/+zU=")</f>
        <v>1</v>
      </c>
      <c r="BC113" t="b">
        <f>AND(DATA!P627,"AAAAADO/+zY=")</f>
        <v>1</v>
      </c>
      <c r="BD113" t="b">
        <f>AND(DATA!Q627,"AAAAADO/+zc=")</f>
        <v>1</v>
      </c>
      <c r="BE113" t="b">
        <f>AND(DATA!R627,"AAAAADO/+zg=")</f>
        <v>1</v>
      </c>
      <c r="BF113" t="b">
        <f>AND(DATA!S627,"AAAAADO/+zk=")</f>
        <v>1</v>
      </c>
      <c r="BG113" t="b">
        <f>AND(DATA!T627,"AAAAADO/+zo=")</f>
        <v>1</v>
      </c>
      <c r="BH113" t="b">
        <f>AND(DATA!U627,"AAAAADO/+zs=")</f>
        <v>1</v>
      </c>
      <c r="BI113" t="b">
        <f>AND(DATA!V627,"AAAAADO/+zw=")</f>
        <v>1</v>
      </c>
      <c r="BJ113" t="e">
        <f>AND(DATA!W626,"AAAAADO/+z0=")</f>
        <v>#VALUE!</v>
      </c>
      <c r="BK113" t="e">
        <f>AND(DATA!X626,"AAAAADO/+z4=")</f>
        <v>#VALUE!</v>
      </c>
      <c r="BL113" t="e">
        <f>AND(DATA!Y626,"AAAAADO/+z8=")</f>
        <v>#VALUE!</v>
      </c>
      <c r="BM113">
        <f>IF(DATA!627:627,"AAAAADO/+0A=",0)</f>
        <v>0</v>
      </c>
      <c r="BN113" t="e">
        <f>AND(DATA!A627,"AAAAADO/+0E=")</f>
        <v>#VALUE!</v>
      </c>
      <c r="BO113" t="e">
        <f>AND(DATA!B627,"AAAAADO/+0I=")</f>
        <v>#VALUE!</v>
      </c>
      <c r="BP113" t="e">
        <f>AND(DATA!C627,"AAAAADO/+0M=")</f>
        <v>#VALUE!</v>
      </c>
      <c r="BQ113" t="e">
        <f>AND(DATA!D627,"AAAAADO/+0Q=")</f>
        <v>#VALUE!</v>
      </c>
      <c r="BR113" t="e">
        <f>AND(DATA!E627,"AAAAADO/+0U=")</f>
        <v>#VALUE!</v>
      </c>
      <c r="BS113" t="e">
        <f>AND(DATA!F627,"AAAAADO/+0Y=")</f>
        <v>#VALUE!</v>
      </c>
      <c r="BT113" t="e">
        <f>AND(DATA!G627,"AAAAADO/+0c=")</f>
        <v>#VALUE!</v>
      </c>
      <c r="BU113" t="e">
        <f>AND(DATA!H627,"AAAAADO/+0g=")</f>
        <v>#VALUE!</v>
      </c>
      <c r="BV113" t="e">
        <f>AND(DATA!I627,"AAAAADO/+0k=")</f>
        <v>#VALUE!</v>
      </c>
      <c r="BW113" t="e">
        <f>AND(DATA!J627,"AAAAADO/+0o=")</f>
        <v>#VALUE!</v>
      </c>
      <c r="BX113" t="e">
        <f>AND(DATA!K627,"AAAAADO/+0s=")</f>
        <v>#VALUE!</v>
      </c>
      <c r="BY113" t="b">
        <f>AND(DATA!L628,"AAAAADO/+0w=")</f>
        <v>1</v>
      </c>
      <c r="BZ113" t="b">
        <f>AND(DATA!M628,"AAAAADO/+00=")</f>
        <v>1</v>
      </c>
      <c r="CA113" t="b">
        <f>AND(DATA!N628,"AAAAADO/+04=")</f>
        <v>1</v>
      </c>
      <c r="CB113" t="b">
        <f>AND(DATA!O628,"AAAAADO/+08=")</f>
        <v>1</v>
      </c>
      <c r="CC113" t="b">
        <f>AND(DATA!P628,"AAAAADO/+1A=")</f>
        <v>1</v>
      </c>
      <c r="CD113" t="b">
        <f>AND(DATA!Q628,"AAAAADO/+1E=")</f>
        <v>1</v>
      </c>
      <c r="CE113" t="b">
        <f>AND(DATA!R628,"AAAAADO/+1I=")</f>
        <v>1</v>
      </c>
      <c r="CF113" t="b">
        <f>AND(DATA!S628,"AAAAADO/+1M=")</f>
        <v>1</v>
      </c>
      <c r="CG113" t="b">
        <f>AND(DATA!T628,"AAAAADO/+1Q=")</f>
        <v>1</v>
      </c>
      <c r="CH113" t="b">
        <f>AND(DATA!U628,"AAAAADO/+1U=")</f>
        <v>1</v>
      </c>
      <c r="CI113" t="b">
        <f>AND(DATA!V628,"AAAAADO/+1Y=")</f>
        <v>1</v>
      </c>
      <c r="CJ113" t="e">
        <f>AND(DATA!W627,"AAAAADO/+1c=")</f>
        <v>#VALUE!</v>
      </c>
      <c r="CK113" t="e">
        <f>AND(DATA!X627,"AAAAADO/+1g=")</f>
        <v>#VALUE!</v>
      </c>
      <c r="CL113" t="e">
        <f>AND(DATA!Y627,"AAAAADO/+1k=")</f>
        <v>#VALUE!</v>
      </c>
      <c r="CM113">
        <f>IF(DATA!628:628,"AAAAADO/+1o=",0)</f>
        <v>0</v>
      </c>
      <c r="CN113" t="e">
        <f>AND(DATA!A628,"AAAAADO/+1s=")</f>
        <v>#VALUE!</v>
      </c>
      <c r="CO113" t="e">
        <f>AND(DATA!B628,"AAAAADO/+1w=")</f>
        <v>#VALUE!</v>
      </c>
      <c r="CP113" t="e">
        <f>AND(DATA!C628,"AAAAADO/+10=")</f>
        <v>#VALUE!</v>
      </c>
      <c r="CQ113" t="e">
        <f>AND(DATA!D628,"AAAAADO/+14=")</f>
        <v>#VALUE!</v>
      </c>
      <c r="CR113" t="e">
        <f>AND(DATA!E628,"AAAAADO/+18=")</f>
        <v>#VALUE!</v>
      </c>
      <c r="CS113" t="e">
        <f>AND(DATA!F628,"AAAAADO/+2A=")</f>
        <v>#VALUE!</v>
      </c>
      <c r="CT113" t="e">
        <f>AND(DATA!G628,"AAAAADO/+2E=")</f>
        <v>#VALUE!</v>
      </c>
      <c r="CU113" t="e">
        <f>AND(DATA!H628,"AAAAADO/+2I=")</f>
        <v>#VALUE!</v>
      </c>
      <c r="CV113" t="e">
        <f>AND(DATA!I628,"AAAAADO/+2M=")</f>
        <v>#VALUE!</v>
      </c>
      <c r="CW113" t="e">
        <f>AND(DATA!J628,"AAAAADO/+2Q=")</f>
        <v>#VALUE!</v>
      </c>
      <c r="CX113" t="e">
        <f>AND(DATA!K628,"AAAAADO/+2U=")</f>
        <v>#VALUE!</v>
      </c>
      <c r="CY113" t="b">
        <f>AND(DATA!L629,"AAAAADO/+2Y=")</f>
        <v>1</v>
      </c>
      <c r="CZ113" t="b">
        <f>AND(DATA!M629,"AAAAADO/+2c=")</f>
        <v>1</v>
      </c>
      <c r="DA113" t="b">
        <f>AND(DATA!N629,"AAAAADO/+2g=")</f>
        <v>1</v>
      </c>
      <c r="DB113" t="b">
        <f>AND(DATA!O629,"AAAAADO/+2k=")</f>
        <v>1</v>
      </c>
      <c r="DC113" t="b">
        <f>AND(DATA!P629,"AAAAADO/+2o=")</f>
        <v>1</v>
      </c>
      <c r="DD113" t="b">
        <f>AND(DATA!Q629,"AAAAADO/+2s=")</f>
        <v>1</v>
      </c>
      <c r="DE113" t="b">
        <f>AND(DATA!R629,"AAAAADO/+2w=")</f>
        <v>1</v>
      </c>
      <c r="DF113" t="b">
        <f>AND(DATA!S629,"AAAAADO/+20=")</f>
        <v>1</v>
      </c>
      <c r="DG113" t="b">
        <f>AND(DATA!T629,"AAAAADO/+24=")</f>
        <v>1</v>
      </c>
      <c r="DH113" t="b">
        <f>AND(DATA!U629,"AAAAADO/+28=")</f>
        <v>1</v>
      </c>
      <c r="DI113" t="b">
        <f>AND(DATA!V629,"AAAAADO/+3A=")</f>
        <v>1</v>
      </c>
      <c r="DJ113" t="e">
        <f>AND(DATA!W628,"AAAAADO/+3E=")</f>
        <v>#VALUE!</v>
      </c>
      <c r="DK113" t="e">
        <f>AND(DATA!X628,"AAAAADO/+3I=")</f>
        <v>#VALUE!</v>
      </c>
      <c r="DL113" t="e">
        <f>AND(DATA!Y628,"AAAAADO/+3M=")</f>
        <v>#VALUE!</v>
      </c>
      <c r="DM113">
        <f>IF(DATA!629:629,"AAAAADO/+3Q=",0)</f>
        <v>0</v>
      </c>
      <c r="DN113" t="e">
        <f>AND(DATA!A629,"AAAAADO/+3U=")</f>
        <v>#VALUE!</v>
      </c>
      <c r="DO113" t="e">
        <f>AND(DATA!B629,"AAAAADO/+3Y=")</f>
        <v>#VALUE!</v>
      </c>
      <c r="DP113" t="e">
        <f>AND(DATA!C629,"AAAAADO/+3c=")</f>
        <v>#VALUE!</v>
      </c>
      <c r="DQ113" t="e">
        <f>AND(DATA!D629,"AAAAADO/+3g=")</f>
        <v>#VALUE!</v>
      </c>
      <c r="DR113" t="e">
        <f>AND(DATA!E629,"AAAAADO/+3k=")</f>
        <v>#VALUE!</v>
      </c>
      <c r="DS113" t="e">
        <f>AND(DATA!F629,"AAAAADO/+3o=")</f>
        <v>#VALUE!</v>
      </c>
      <c r="DT113" t="e">
        <f>AND(DATA!G629,"AAAAADO/+3s=")</f>
        <v>#VALUE!</v>
      </c>
      <c r="DU113" t="e">
        <f>AND(DATA!H629,"AAAAADO/+3w=")</f>
        <v>#VALUE!</v>
      </c>
      <c r="DV113" t="e">
        <f>AND(DATA!I629,"AAAAADO/+30=")</f>
        <v>#VALUE!</v>
      </c>
      <c r="DW113" t="e">
        <f>AND(DATA!J629,"AAAAADO/+34=")</f>
        <v>#VALUE!</v>
      </c>
      <c r="DX113" t="e">
        <f>AND(DATA!K629,"AAAAADO/+38=")</f>
        <v>#VALUE!</v>
      </c>
      <c r="DY113" t="b">
        <f>AND(DATA!L630,"AAAAADO/+4A=")</f>
        <v>1</v>
      </c>
      <c r="DZ113" t="b">
        <f>AND(DATA!M630,"AAAAADO/+4E=")</f>
        <v>1</v>
      </c>
      <c r="EA113" t="b">
        <f>AND(DATA!N630,"AAAAADO/+4I=")</f>
        <v>1</v>
      </c>
      <c r="EB113" t="b">
        <f>AND(DATA!O630,"AAAAADO/+4M=")</f>
        <v>1</v>
      </c>
      <c r="EC113" t="b">
        <f>AND(DATA!P630,"AAAAADO/+4Q=")</f>
        <v>1</v>
      </c>
      <c r="ED113" t="b">
        <f>AND(DATA!Q630,"AAAAADO/+4U=")</f>
        <v>1</v>
      </c>
      <c r="EE113" t="b">
        <f>AND(DATA!R630,"AAAAADO/+4Y=")</f>
        <v>1</v>
      </c>
      <c r="EF113" t="b">
        <f>AND(DATA!S630,"AAAAADO/+4c=")</f>
        <v>1</v>
      </c>
      <c r="EG113" t="b">
        <f>AND(DATA!T630,"AAAAADO/+4g=")</f>
        <v>1</v>
      </c>
      <c r="EH113" t="b">
        <f>AND(DATA!U630,"AAAAADO/+4k=")</f>
        <v>1</v>
      </c>
      <c r="EI113" t="b">
        <f>AND(DATA!V630,"AAAAADO/+4o=")</f>
        <v>1</v>
      </c>
      <c r="EJ113" t="e">
        <f>AND(DATA!W629,"AAAAADO/+4s=")</f>
        <v>#VALUE!</v>
      </c>
      <c r="EK113" t="e">
        <f>AND(DATA!X629,"AAAAADO/+4w=")</f>
        <v>#VALUE!</v>
      </c>
      <c r="EL113" t="e">
        <f>AND(DATA!Y629,"AAAAADO/+40=")</f>
        <v>#VALUE!</v>
      </c>
      <c r="EM113">
        <f>IF(DATA!630:630,"AAAAADO/+44=",0)</f>
        <v>0</v>
      </c>
      <c r="EN113" t="e">
        <f>AND(DATA!A630,"AAAAADO/+48=")</f>
        <v>#VALUE!</v>
      </c>
      <c r="EO113" t="e">
        <f>AND(DATA!B630,"AAAAADO/+5A=")</f>
        <v>#VALUE!</v>
      </c>
      <c r="EP113" t="e">
        <f>AND(DATA!C630,"AAAAADO/+5E=")</f>
        <v>#VALUE!</v>
      </c>
      <c r="EQ113" t="e">
        <f>AND(DATA!D630,"AAAAADO/+5I=")</f>
        <v>#VALUE!</v>
      </c>
      <c r="ER113" t="e">
        <f>AND(DATA!E630,"AAAAADO/+5M=")</f>
        <v>#VALUE!</v>
      </c>
      <c r="ES113" t="e">
        <f>AND(DATA!F630,"AAAAADO/+5Q=")</f>
        <v>#VALUE!</v>
      </c>
      <c r="ET113" t="e">
        <f>AND(DATA!G630,"AAAAADO/+5U=")</f>
        <v>#VALUE!</v>
      </c>
      <c r="EU113" t="e">
        <f>AND(DATA!H630,"AAAAADO/+5Y=")</f>
        <v>#VALUE!</v>
      </c>
      <c r="EV113" t="e">
        <f>AND(DATA!I630,"AAAAADO/+5c=")</f>
        <v>#VALUE!</v>
      </c>
      <c r="EW113" t="e">
        <f>AND(DATA!J630,"AAAAADO/+5g=")</f>
        <v>#VALUE!</v>
      </c>
      <c r="EX113" t="e">
        <f>AND(DATA!K630,"AAAAADO/+5k=")</f>
        <v>#VALUE!</v>
      </c>
      <c r="EY113" t="b">
        <f>AND(DATA!L631,"AAAAADO/+5o=")</f>
        <v>1</v>
      </c>
      <c r="EZ113" t="b">
        <f>AND(DATA!M631,"AAAAADO/+5s=")</f>
        <v>1</v>
      </c>
      <c r="FA113" t="b">
        <f>AND(DATA!N631,"AAAAADO/+5w=")</f>
        <v>1</v>
      </c>
      <c r="FB113" t="b">
        <f>AND(DATA!O631,"AAAAADO/+50=")</f>
        <v>1</v>
      </c>
      <c r="FC113" t="b">
        <f>AND(DATA!P631,"AAAAADO/+54=")</f>
        <v>1</v>
      </c>
      <c r="FD113" t="b">
        <f>AND(DATA!Q631,"AAAAADO/+58=")</f>
        <v>1</v>
      </c>
      <c r="FE113" t="b">
        <f>AND(DATA!R631,"AAAAADO/+6A=")</f>
        <v>1</v>
      </c>
      <c r="FF113" t="b">
        <f>AND(DATA!S631,"AAAAADO/+6E=")</f>
        <v>1</v>
      </c>
      <c r="FG113" t="b">
        <f>AND(DATA!T631,"AAAAADO/+6I=")</f>
        <v>1</v>
      </c>
      <c r="FH113" t="b">
        <f>AND(DATA!U631,"AAAAADO/+6M=")</f>
        <v>1</v>
      </c>
      <c r="FI113" t="b">
        <f>AND(DATA!V631,"AAAAADO/+6Q=")</f>
        <v>1</v>
      </c>
      <c r="FJ113" t="e">
        <f>AND(DATA!W630,"AAAAADO/+6U=")</f>
        <v>#VALUE!</v>
      </c>
      <c r="FK113" t="e">
        <f>AND(DATA!X630,"AAAAADO/+6Y=")</f>
        <v>#VALUE!</v>
      </c>
      <c r="FL113" t="e">
        <f>AND(DATA!Y630,"AAAAADO/+6c=")</f>
        <v>#VALUE!</v>
      </c>
      <c r="FM113">
        <f>IF(DATA!631:631,"AAAAADO/+6g=",0)</f>
        <v>0</v>
      </c>
      <c r="FN113" t="e">
        <f>AND(DATA!A631,"AAAAADO/+6k=")</f>
        <v>#VALUE!</v>
      </c>
      <c r="FO113" t="e">
        <f>AND(DATA!B631,"AAAAADO/+6o=")</f>
        <v>#VALUE!</v>
      </c>
      <c r="FP113" t="e">
        <f>AND(DATA!C631,"AAAAADO/+6s=")</f>
        <v>#VALUE!</v>
      </c>
      <c r="FQ113" t="e">
        <f>AND(DATA!D631,"AAAAADO/+6w=")</f>
        <v>#VALUE!</v>
      </c>
      <c r="FR113" t="e">
        <f>AND(DATA!E631,"AAAAADO/+60=")</f>
        <v>#VALUE!</v>
      </c>
      <c r="FS113" t="e">
        <f>AND(DATA!F631,"AAAAADO/+64=")</f>
        <v>#VALUE!</v>
      </c>
      <c r="FT113" t="e">
        <f>AND(DATA!G631,"AAAAADO/+68=")</f>
        <v>#VALUE!</v>
      </c>
      <c r="FU113" t="e">
        <f>AND(DATA!H631,"AAAAADO/+7A=")</f>
        <v>#VALUE!</v>
      </c>
      <c r="FV113" t="e">
        <f>AND(DATA!I631,"AAAAADO/+7E=")</f>
        <v>#VALUE!</v>
      </c>
      <c r="FW113" t="e">
        <f>AND(DATA!J631,"AAAAADO/+7I=")</f>
        <v>#VALUE!</v>
      </c>
      <c r="FX113" t="e">
        <f>AND(DATA!K631,"AAAAADO/+7M=")</f>
        <v>#VALUE!</v>
      </c>
      <c r="FY113" t="b">
        <f>AND(DATA!L632,"AAAAADO/+7Q=")</f>
        <v>1</v>
      </c>
      <c r="FZ113" t="b">
        <f>AND(DATA!M632,"AAAAADO/+7U=")</f>
        <v>1</v>
      </c>
      <c r="GA113" t="b">
        <f>AND(DATA!N632,"AAAAADO/+7Y=")</f>
        <v>1</v>
      </c>
      <c r="GB113" t="b">
        <f>AND(DATA!O632,"AAAAADO/+7c=")</f>
        <v>1</v>
      </c>
      <c r="GC113" t="b">
        <f>AND(DATA!P632,"AAAAADO/+7g=")</f>
        <v>1</v>
      </c>
      <c r="GD113" t="b">
        <f>AND(DATA!Q632,"AAAAADO/+7k=")</f>
        <v>1</v>
      </c>
      <c r="GE113" t="b">
        <f>AND(DATA!R632,"AAAAADO/+7o=")</f>
        <v>1</v>
      </c>
      <c r="GF113" t="b">
        <f>AND(DATA!S632,"AAAAADO/+7s=")</f>
        <v>1</v>
      </c>
      <c r="GG113" t="b">
        <f>AND(DATA!T632,"AAAAADO/+7w=")</f>
        <v>1</v>
      </c>
      <c r="GH113" t="b">
        <f>AND(DATA!U632,"AAAAADO/+70=")</f>
        <v>1</v>
      </c>
      <c r="GI113" t="b">
        <f>AND(DATA!V632,"AAAAADO/+74=")</f>
        <v>1</v>
      </c>
      <c r="GJ113" t="e">
        <f>AND(DATA!W631,"AAAAADO/+78=")</f>
        <v>#VALUE!</v>
      </c>
      <c r="GK113" t="e">
        <f>AND(DATA!X631,"AAAAADO/+8A=")</f>
        <v>#VALUE!</v>
      </c>
      <c r="GL113" t="e">
        <f>AND(DATA!Y631,"AAAAADO/+8E=")</f>
        <v>#VALUE!</v>
      </c>
      <c r="GM113">
        <f>IF(DATA!632:632,"AAAAADO/+8I=",0)</f>
        <v>0</v>
      </c>
      <c r="GN113" t="e">
        <f>AND(DATA!A632,"AAAAADO/+8M=")</f>
        <v>#VALUE!</v>
      </c>
      <c r="GO113" t="e">
        <f>AND(DATA!B632,"AAAAADO/+8Q=")</f>
        <v>#VALUE!</v>
      </c>
      <c r="GP113" t="e">
        <f>AND(DATA!C632,"AAAAADO/+8U=")</f>
        <v>#VALUE!</v>
      </c>
      <c r="GQ113" t="e">
        <f>AND(DATA!D632,"AAAAADO/+8Y=")</f>
        <v>#VALUE!</v>
      </c>
      <c r="GR113" t="e">
        <f>AND(DATA!E632,"AAAAADO/+8c=")</f>
        <v>#VALUE!</v>
      </c>
      <c r="GS113" t="e">
        <f>AND(DATA!F632,"AAAAADO/+8g=")</f>
        <v>#VALUE!</v>
      </c>
      <c r="GT113" t="e">
        <f>AND(DATA!G632,"AAAAADO/+8k=")</f>
        <v>#VALUE!</v>
      </c>
      <c r="GU113" t="e">
        <f>AND(DATA!H632,"AAAAADO/+8o=")</f>
        <v>#VALUE!</v>
      </c>
      <c r="GV113" t="e">
        <f>AND(DATA!I632,"AAAAADO/+8s=")</f>
        <v>#VALUE!</v>
      </c>
      <c r="GW113" t="e">
        <f>AND(DATA!J632,"AAAAADO/+8w=")</f>
        <v>#VALUE!</v>
      </c>
      <c r="GX113" t="e">
        <f>AND(DATA!K632,"AAAAADO/+80=")</f>
        <v>#VALUE!</v>
      </c>
      <c r="GY113" t="b">
        <f>AND(DATA!L633,"AAAAADO/+84=")</f>
        <v>1</v>
      </c>
      <c r="GZ113" t="b">
        <f>AND(DATA!M633,"AAAAADO/+88=")</f>
        <v>1</v>
      </c>
      <c r="HA113" t="b">
        <f>AND(DATA!N633,"AAAAADO/+9A=")</f>
        <v>1</v>
      </c>
      <c r="HB113" t="b">
        <f>AND(DATA!O633,"AAAAADO/+9E=")</f>
        <v>1</v>
      </c>
      <c r="HC113" t="b">
        <f>AND(DATA!P633,"AAAAADO/+9I=")</f>
        <v>1</v>
      </c>
      <c r="HD113" t="b">
        <f>AND(DATA!Q633,"AAAAADO/+9M=")</f>
        <v>1</v>
      </c>
      <c r="HE113" t="b">
        <f>AND(DATA!R633,"AAAAADO/+9Q=")</f>
        <v>1</v>
      </c>
      <c r="HF113" t="b">
        <f>AND(DATA!S633,"AAAAADO/+9U=")</f>
        <v>1</v>
      </c>
      <c r="HG113" t="b">
        <f>AND(DATA!T633,"AAAAADO/+9Y=")</f>
        <v>1</v>
      </c>
      <c r="HH113" t="b">
        <f>AND(DATA!U633,"AAAAADO/+9c=")</f>
        <v>1</v>
      </c>
      <c r="HI113" t="b">
        <f>AND(DATA!V633,"AAAAADO/+9g=")</f>
        <v>1</v>
      </c>
      <c r="HJ113" t="e">
        <f>AND(DATA!W632,"AAAAADO/+9k=")</f>
        <v>#VALUE!</v>
      </c>
      <c r="HK113" t="e">
        <f>AND(DATA!X632,"AAAAADO/+9o=")</f>
        <v>#VALUE!</v>
      </c>
      <c r="HL113" t="e">
        <f>AND(DATA!Y632,"AAAAADO/+9s=")</f>
        <v>#VALUE!</v>
      </c>
      <c r="HM113">
        <f>IF(DATA!633:633,"AAAAADO/+9w=",0)</f>
        <v>0</v>
      </c>
      <c r="HN113" t="e">
        <f>AND(DATA!A633,"AAAAADO/+90=")</f>
        <v>#VALUE!</v>
      </c>
      <c r="HO113" t="e">
        <f>AND(DATA!B633,"AAAAADO/+94=")</f>
        <v>#VALUE!</v>
      </c>
      <c r="HP113" t="e">
        <f>AND(DATA!C633,"AAAAADO/+98=")</f>
        <v>#VALUE!</v>
      </c>
      <c r="HQ113" t="e">
        <f>AND(DATA!D633,"AAAAADO/++A=")</f>
        <v>#VALUE!</v>
      </c>
      <c r="HR113" t="e">
        <f>AND(DATA!E633,"AAAAADO/++E=")</f>
        <v>#VALUE!</v>
      </c>
      <c r="HS113" t="e">
        <f>AND(DATA!F633,"AAAAADO/++I=")</f>
        <v>#VALUE!</v>
      </c>
      <c r="HT113" t="e">
        <f>AND(DATA!G633,"AAAAADO/++M=")</f>
        <v>#VALUE!</v>
      </c>
      <c r="HU113" t="e">
        <f>AND(DATA!H633,"AAAAADO/++Q=")</f>
        <v>#VALUE!</v>
      </c>
      <c r="HV113" t="e">
        <f>AND(DATA!I633,"AAAAADO/++U=")</f>
        <v>#VALUE!</v>
      </c>
      <c r="HW113" t="e">
        <f>AND(DATA!J633,"AAAAADO/++Y=")</f>
        <v>#VALUE!</v>
      </c>
      <c r="HX113" t="e">
        <f>AND(DATA!K633,"AAAAADO/++c=")</f>
        <v>#VALUE!</v>
      </c>
      <c r="HY113" t="b">
        <f>AND(DATA!L634,"AAAAADO/++g=")</f>
        <v>1</v>
      </c>
      <c r="HZ113" t="b">
        <f>AND(DATA!M634,"AAAAADO/++k=")</f>
        <v>1</v>
      </c>
      <c r="IA113" t="b">
        <f>AND(DATA!N634,"AAAAADO/++o=")</f>
        <v>1</v>
      </c>
      <c r="IB113" t="b">
        <f>AND(DATA!O634,"AAAAADO/++s=")</f>
        <v>1</v>
      </c>
      <c r="IC113" t="b">
        <f>AND(DATA!P634,"AAAAADO/++w=")</f>
        <v>1</v>
      </c>
      <c r="ID113" t="b">
        <f>AND(DATA!Q634,"AAAAADO/++0=")</f>
        <v>1</v>
      </c>
      <c r="IE113" t="b">
        <f>AND(DATA!R634,"AAAAADO/++4=")</f>
        <v>1</v>
      </c>
      <c r="IF113" t="b">
        <f>AND(DATA!S634,"AAAAADO/++8=")</f>
        <v>1</v>
      </c>
      <c r="IG113" t="b">
        <f>AND(DATA!T634,"AAAAADO/+/A=")</f>
        <v>1</v>
      </c>
      <c r="IH113" t="b">
        <f>AND(DATA!U634,"AAAAADO/+/E=")</f>
        <v>1</v>
      </c>
      <c r="II113" t="b">
        <f>AND(DATA!V634,"AAAAADO/+/I=")</f>
        <v>1</v>
      </c>
      <c r="IJ113" t="e">
        <f>AND(DATA!W633,"AAAAADO/+/M=")</f>
        <v>#VALUE!</v>
      </c>
      <c r="IK113" t="e">
        <f>AND(DATA!X633,"AAAAADO/+/Q=")</f>
        <v>#VALUE!</v>
      </c>
      <c r="IL113" t="e">
        <f>AND(DATA!Y633,"AAAAADO/+/U=")</f>
        <v>#VALUE!</v>
      </c>
      <c r="IM113">
        <f>IF(DATA!634:634,"AAAAADO/+/Y=",0)</f>
        <v>0</v>
      </c>
      <c r="IN113" t="e">
        <f>AND(DATA!A634,"AAAAADO/+/c=")</f>
        <v>#VALUE!</v>
      </c>
      <c r="IO113" t="e">
        <f>AND(DATA!B634,"AAAAADO/+/g=")</f>
        <v>#VALUE!</v>
      </c>
      <c r="IP113" t="e">
        <f>AND(DATA!C634,"AAAAADO/+/k=")</f>
        <v>#VALUE!</v>
      </c>
      <c r="IQ113" t="e">
        <f>AND(DATA!D634,"AAAAADO/+/o=")</f>
        <v>#VALUE!</v>
      </c>
      <c r="IR113" t="e">
        <f>AND(DATA!E634,"AAAAADO/+/s=")</f>
        <v>#VALUE!</v>
      </c>
      <c r="IS113" t="e">
        <f>AND(DATA!F634,"AAAAADO/+/w=")</f>
        <v>#VALUE!</v>
      </c>
      <c r="IT113" t="e">
        <f>AND(DATA!G634,"AAAAADO/+/0=")</f>
        <v>#VALUE!</v>
      </c>
      <c r="IU113" t="e">
        <f>AND(DATA!H634,"AAAAADO/+/4=")</f>
        <v>#VALUE!</v>
      </c>
      <c r="IV113" t="e">
        <f>AND(DATA!I634,"AAAAADO/+/8=")</f>
        <v>#VALUE!</v>
      </c>
    </row>
    <row r="114" spans="1:256" x14ac:dyDescent="0.25">
      <c r="A114" t="e">
        <f>AND(DATA!J634,"AAAAAH5/3wA=")</f>
        <v>#VALUE!</v>
      </c>
      <c r="B114" t="e">
        <f>AND(DATA!K634,"AAAAAH5/3wE=")</f>
        <v>#VALUE!</v>
      </c>
      <c r="C114" t="b">
        <f>AND(DATA!L635,"AAAAAH5/3wI=")</f>
        <v>1</v>
      </c>
      <c r="D114" t="b">
        <f>AND(DATA!M635,"AAAAAH5/3wM=")</f>
        <v>1</v>
      </c>
      <c r="E114" t="b">
        <f>AND(DATA!N635,"AAAAAH5/3wQ=")</f>
        <v>1</v>
      </c>
      <c r="F114" t="b">
        <f>AND(DATA!O635,"AAAAAH5/3wU=")</f>
        <v>1</v>
      </c>
      <c r="G114" t="b">
        <f>AND(DATA!P635,"AAAAAH5/3wY=")</f>
        <v>1</v>
      </c>
      <c r="H114" t="b">
        <f>AND(DATA!Q635,"AAAAAH5/3wc=")</f>
        <v>1</v>
      </c>
      <c r="I114" t="b">
        <f>AND(DATA!R635,"AAAAAH5/3wg=")</f>
        <v>1</v>
      </c>
      <c r="J114" t="b">
        <f>AND(DATA!S635,"AAAAAH5/3wk=")</f>
        <v>1</v>
      </c>
      <c r="K114" t="b">
        <f>AND(DATA!T635,"AAAAAH5/3wo=")</f>
        <v>1</v>
      </c>
      <c r="L114" t="b">
        <f>AND(DATA!U635,"AAAAAH5/3ws=")</f>
        <v>1</v>
      </c>
      <c r="M114" t="b">
        <f>AND(DATA!V635,"AAAAAH5/3ww=")</f>
        <v>1</v>
      </c>
      <c r="N114" t="e">
        <f>AND(DATA!W634,"AAAAAH5/3w0=")</f>
        <v>#VALUE!</v>
      </c>
      <c r="O114" t="e">
        <f>AND(DATA!X634,"AAAAAH5/3w4=")</f>
        <v>#VALUE!</v>
      </c>
      <c r="P114" t="e">
        <f>AND(DATA!Y634,"AAAAAH5/3w8=")</f>
        <v>#VALUE!</v>
      </c>
      <c r="Q114" t="str">
        <f>IF(DATA!635:635,"AAAAAH5/3xA=",0)</f>
        <v>AAAAAH5/3xA=</v>
      </c>
      <c r="R114" t="e">
        <f>AND(DATA!A635,"AAAAAH5/3xE=")</f>
        <v>#VALUE!</v>
      </c>
      <c r="S114" t="e">
        <f>AND(DATA!B635,"AAAAAH5/3xI=")</f>
        <v>#VALUE!</v>
      </c>
      <c r="T114" t="e">
        <f>AND(DATA!C635,"AAAAAH5/3xM=")</f>
        <v>#VALUE!</v>
      </c>
      <c r="U114" t="e">
        <f>AND(DATA!D635,"AAAAAH5/3xQ=")</f>
        <v>#VALUE!</v>
      </c>
      <c r="V114" t="e">
        <f>AND(DATA!E635,"AAAAAH5/3xU=")</f>
        <v>#VALUE!</v>
      </c>
      <c r="W114" t="e">
        <f>AND(DATA!F635,"AAAAAH5/3xY=")</f>
        <v>#VALUE!</v>
      </c>
      <c r="X114" t="e">
        <f>AND(DATA!G635,"AAAAAH5/3xc=")</f>
        <v>#VALUE!</v>
      </c>
      <c r="Y114" t="e">
        <f>AND(DATA!H635,"AAAAAH5/3xg=")</f>
        <v>#VALUE!</v>
      </c>
      <c r="Z114" t="e">
        <f>AND(DATA!I635,"AAAAAH5/3xk=")</f>
        <v>#VALUE!</v>
      </c>
      <c r="AA114" t="e">
        <f>AND(DATA!J635,"AAAAAH5/3xo=")</f>
        <v>#VALUE!</v>
      </c>
      <c r="AB114" t="e">
        <f>AND(DATA!K635,"AAAAAH5/3xs=")</f>
        <v>#VALUE!</v>
      </c>
      <c r="AC114" t="b">
        <f>AND(DATA!L636,"AAAAAH5/3xw=")</f>
        <v>1</v>
      </c>
      <c r="AD114" t="b">
        <f>AND(DATA!M636,"AAAAAH5/3x0=")</f>
        <v>1</v>
      </c>
      <c r="AE114" t="b">
        <f>AND(DATA!N636,"AAAAAH5/3x4=")</f>
        <v>1</v>
      </c>
      <c r="AF114" t="b">
        <f>AND(DATA!O636,"AAAAAH5/3x8=")</f>
        <v>1</v>
      </c>
      <c r="AG114" t="b">
        <f>AND(DATA!P636,"AAAAAH5/3yA=")</f>
        <v>1</v>
      </c>
      <c r="AH114" t="b">
        <f>AND(DATA!Q636,"AAAAAH5/3yE=")</f>
        <v>1</v>
      </c>
      <c r="AI114" t="b">
        <f>AND(DATA!R636,"AAAAAH5/3yI=")</f>
        <v>1</v>
      </c>
      <c r="AJ114" t="b">
        <f>AND(DATA!S636,"AAAAAH5/3yM=")</f>
        <v>1</v>
      </c>
      <c r="AK114" t="b">
        <f>AND(DATA!T636,"AAAAAH5/3yQ=")</f>
        <v>1</v>
      </c>
      <c r="AL114" t="b">
        <f>AND(DATA!U636,"AAAAAH5/3yU=")</f>
        <v>1</v>
      </c>
      <c r="AM114" t="b">
        <f>AND(DATA!V636,"AAAAAH5/3yY=")</f>
        <v>1</v>
      </c>
      <c r="AN114" t="e">
        <f>AND(DATA!W635,"AAAAAH5/3yc=")</f>
        <v>#VALUE!</v>
      </c>
      <c r="AO114" t="e">
        <f>AND(DATA!X635,"AAAAAH5/3yg=")</f>
        <v>#VALUE!</v>
      </c>
      <c r="AP114" t="e">
        <f>AND(DATA!Y635,"AAAAAH5/3yk=")</f>
        <v>#VALUE!</v>
      </c>
      <c r="AQ114">
        <f>IF(DATA!636:636,"AAAAAH5/3yo=",0)</f>
        <v>0</v>
      </c>
      <c r="AR114" t="e">
        <f>AND(DATA!A636,"AAAAAH5/3ys=")</f>
        <v>#VALUE!</v>
      </c>
      <c r="AS114" t="e">
        <f>AND(DATA!B636,"AAAAAH5/3yw=")</f>
        <v>#VALUE!</v>
      </c>
      <c r="AT114" t="e">
        <f>AND(DATA!C636,"AAAAAH5/3y0=")</f>
        <v>#VALUE!</v>
      </c>
      <c r="AU114" t="e">
        <f>AND(DATA!D636,"AAAAAH5/3y4=")</f>
        <v>#VALUE!</v>
      </c>
      <c r="AV114" t="e">
        <f>AND(DATA!E636,"AAAAAH5/3y8=")</f>
        <v>#VALUE!</v>
      </c>
      <c r="AW114" t="e">
        <f>AND(DATA!F636,"AAAAAH5/3zA=")</f>
        <v>#VALUE!</v>
      </c>
      <c r="AX114" t="e">
        <f>AND(DATA!G636,"AAAAAH5/3zE=")</f>
        <v>#VALUE!</v>
      </c>
      <c r="AY114" t="e">
        <f>AND(DATA!H636,"AAAAAH5/3zI=")</f>
        <v>#VALUE!</v>
      </c>
      <c r="AZ114" t="e">
        <f>AND(DATA!I636,"AAAAAH5/3zM=")</f>
        <v>#VALUE!</v>
      </c>
      <c r="BA114" t="e">
        <f>AND(DATA!J636,"AAAAAH5/3zQ=")</f>
        <v>#VALUE!</v>
      </c>
      <c r="BB114" t="e">
        <f>AND(DATA!K636,"AAAAAH5/3zU=")</f>
        <v>#VALUE!</v>
      </c>
      <c r="BC114" t="b">
        <f>AND(DATA!L637,"AAAAAH5/3zY=")</f>
        <v>1</v>
      </c>
      <c r="BD114" t="b">
        <f>AND(DATA!M637,"AAAAAH5/3zc=")</f>
        <v>1</v>
      </c>
      <c r="BE114" t="b">
        <f>AND(DATA!N637,"AAAAAH5/3zg=")</f>
        <v>1</v>
      </c>
      <c r="BF114" t="b">
        <f>AND(DATA!O637,"AAAAAH5/3zk=")</f>
        <v>1</v>
      </c>
      <c r="BG114" t="b">
        <f>AND(DATA!P637,"AAAAAH5/3zo=")</f>
        <v>1</v>
      </c>
      <c r="BH114" t="b">
        <f>AND(DATA!Q637,"AAAAAH5/3zs=")</f>
        <v>1</v>
      </c>
      <c r="BI114" t="b">
        <f>AND(DATA!R637,"AAAAAH5/3zw=")</f>
        <v>1</v>
      </c>
      <c r="BJ114" t="b">
        <f>AND(DATA!S637,"AAAAAH5/3z0=")</f>
        <v>1</v>
      </c>
      <c r="BK114" t="b">
        <f>AND(DATA!T637,"AAAAAH5/3z4=")</f>
        <v>1</v>
      </c>
      <c r="BL114" t="b">
        <f>AND(DATA!U637,"AAAAAH5/3z8=")</f>
        <v>1</v>
      </c>
      <c r="BM114" t="b">
        <f>AND(DATA!V637,"AAAAAH5/30A=")</f>
        <v>1</v>
      </c>
      <c r="BN114" t="e">
        <f>AND(DATA!W636,"AAAAAH5/30E=")</f>
        <v>#VALUE!</v>
      </c>
      <c r="BO114" t="e">
        <f>AND(DATA!X636,"AAAAAH5/30I=")</f>
        <v>#VALUE!</v>
      </c>
      <c r="BP114" t="e">
        <f>AND(DATA!Y636,"AAAAAH5/30M=")</f>
        <v>#VALUE!</v>
      </c>
      <c r="BQ114">
        <f>IF(DATA!637:637,"AAAAAH5/30Q=",0)</f>
        <v>0</v>
      </c>
      <c r="BR114" t="e">
        <f>AND(DATA!A637,"AAAAAH5/30U=")</f>
        <v>#VALUE!</v>
      </c>
      <c r="BS114" t="e">
        <f>AND(DATA!B637,"AAAAAH5/30Y=")</f>
        <v>#VALUE!</v>
      </c>
      <c r="BT114" t="e">
        <f>AND(DATA!C637,"AAAAAH5/30c=")</f>
        <v>#VALUE!</v>
      </c>
      <c r="BU114" t="e">
        <f>AND(DATA!D637,"AAAAAH5/30g=")</f>
        <v>#VALUE!</v>
      </c>
      <c r="BV114" t="e">
        <f>AND(DATA!E637,"AAAAAH5/30k=")</f>
        <v>#VALUE!</v>
      </c>
      <c r="BW114" t="e">
        <f>AND(DATA!F637,"AAAAAH5/30o=")</f>
        <v>#VALUE!</v>
      </c>
      <c r="BX114" t="e">
        <f>AND(DATA!G637,"AAAAAH5/30s=")</f>
        <v>#VALUE!</v>
      </c>
      <c r="BY114" t="e">
        <f>AND(DATA!H637,"AAAAAH5/30w=")</f>
        <v>#VALUE!</v>
      </c>
      <c r="BZ114" t="e">
        <f>AND(DATA!I637,"AAAAAH5/300=")</f>
        <v>#VALUE!</v>
      </c>
      <c r="CA114" t="e">
        <f>AND(DATA!J637,"AAAAAH5/304=")</f>
        <v>#VALUE!</v>
      </c>
      <c r="CB114" t="e">
        <f>AND(DATA!K637,"AAAAAH5/308=")</f>
        <v>#VALUE!</v>
      </c>
      <c r="CC114" t="b">
        <f>AND(DATA!L638,"AAAAAH5/31A=")</f>
        <v>1</v>
      </c>
      <c r="CD114" t="b">
        <f>AND(DATA!M638,"AAAAAH5/31E=")</f>
        <v>1</v>
      </c>
      <c r="CE114" t="b">
        <f>AND(DATA!N638,"AAAAAH5/31I=")</f>
        <v>1</v>
      </c>
      <c r="CF114" t="b">
        <f>AND(DATA!O638,"AAAAAH5/31M=")</f>
        <v>1</v>
      </c>
      <c r="CG114" t="b">
        <f>AND(DATA!P638,"AAAAAH5/31Q=")</f>
        <v>1</v>
      </c>
      <c r="CH114" t="b">
        <f>AND(DATA!Q638,"AAAAAH5/31U=")</f>
        <v>1</v>
      </c>
      <c r="CI114" t="b">
        <f>AND(DATA!R638,"AAAAAH5/31Y=")</f>
        <v>1</v>
      </c>
      <c r="CJ114" t="b">
        <f>AND(DATA!S638,"AAAAAH5/31c=")</f>
        <v>1</v>
      </c>
      <c r="CK114" t="b">
        <f>AND(DATA!T638,"AAAAAH5/31g=")</f>
        <v>1</v>
      </c>
      <c r="CL114" t="b">
        <f>AND(DATA!U638,"AAAAAH5/31k=")</f>
        <v>1</v>
      </c>
      <c r="CM114" t="b">
        <f>AND(DATA!V638,"AAAAAH5/31o=")</f>
        <v>1</v>
      </c>
      <c r="CN114" t="e">
        <f>AND(DATA!W637,"AAAAAH5/31s=")</f>
        <v>#VALUE!</v>
      </c>
      <c r="CO114" t="e">
        <f>AND(DATA!X637,"AAAAAH5/31w=")</f>
        <v>#VALUE!</v>
      </c>
      <c r="CP114" t="e">
        <f>AND(DATA!Y637,"AAAAAH5/310=")</f>
        <v>#VALUE!</v>
      </c>
      <c r="CQ114">
        <f>IF(DATA!638:638,"AAAAAH5/314=",0)</f>
        <v>0</v>
      </c>
      <c r="CR114" t="e">
        <f>AND(DATA!A638,"AAAAAH5/318=")</f>
        <v>#VALUE!</v>
      </c>
      <c r="CS114" t="e">
        <f>AND(DATA!B638,"AAAAAH5/32A=")</f>
        <v>#VALUE!</v>
      </c>
      <c r="CT114" t="e">
        <f>AND(DATA!C638,"AAAAAH5/32E=")</f>
        <v>#VALUE!</v>
      </c>
      <c r="CU114" t="e">
        <f>AND(DATA!D638,"AAAAAH5/32I=")</f>
        <v>#VALUE!</v>
      </c>
      <c r="CV114" t="e">
        <f>AND(DATA!E638,"AAAAAH5/32M=")</f>
        <v>#VALUE!</v>
      </c>
      <c r="CW114" t="e">
        <f>AND(DATA!F638,"AAAAAH5/32Q=")</f>
        <v>#VALUE!</v>
      </c>
      <c r="CX114" t="e">
        <f>AND(DATA!G638,"AAAAAH5/32U=")</f>
        <v>#VALUE!</v>
      </c>
      <c r="CY114" t="e">
        <f>AND(DATA!H638,"AAAAAH5/32Y=")</f>
        <v>#VALUE!</v>
      </c>
      <c r="CZ114" t="e">
        <f>AND(DATA!I638,"AAAAAH5/32c=")</f>
        <v>#VALUE!</v>
      </c>
      <c r="DA114" t="e">
        <f>AND(DATA!J638,"AAAAAH5/32g=")</f>
        <v>#VALUE!</v>
      </c>
      <c r="DB114" t="e">
        <f>AND(DATA!K638,"AAAAAH5/32k=")</f>
        <v>#VALUE!</v>
      </c>
      <c r="DC114" t="b">
        <f>AND(DATA!L639,"AAAAAH5/32o=")</f>
        <v>1</v>
      </c>
      <c r="DD114" t="b">
        <f>AND(DATA!M639,"AAAAAH5/32s=")</f>
        <v>1</v>
      </c>
      <c r="DE114" t="b">
        <f>AND(DATA!N639,"AAAAAH5/32w=")</f>
        <v>1</v>
      </c>
      <c r="DF114" t="b">
        <f>AND(DATA!O639,"AAAAAH5/320=")</f>
        <v>1</v>
      </c>
      <c r="DG114" t="b">
        <f>AND(DATA!P639,"AAAAAH5/324=")</f>
        <v>1</v>
      </c>
      <c r="DH114" t="b">
        <f>AND(DATA!Q639,"AAAAAH5/328=")</f>
        <v>1</v>
      </c>
      <c r="DI114" t="b">
        <f>AND(DATA!R639,"AAAAAH5/33A=")</f>
        <v>1</v>
      </c>
      <c r="DJ114" t="b">
        <f>AND(DATA!S639,"AAAAAH5/33E=")</f>
        <v>1</v>
      </c>
      <c r="DK114" t="b">
        <f>AND(DATA!T639,"AAAAAH5/33I=")</f>
        <v>1</v>
      </c>
      <c r="DL114" t="b">
        <f>AND(DATA!U639,"AAAAAH5/33M=")</f>
        <v>1</v>
      </c>
      <c r="DM114" t="b">
        <f>AND(DATA!V639,"AAAAAH5/33Q=")</f>
        <v>1</v>
      </c>
      <c r="DN114" t="e">
        <f>AND(DATA!W638,"AAAAAH5/33U=")</f>
        <v>#VALUE!</v>
      </c>
      <c r="DO114" t="e">
        <f>AND(DATA!X638,"AAAAAH5/33Y=")</f>
        <v>#VALUE!</v>
      </c>
      <c r="DP114" t="e">
        <f>AND(DATA!Y638,"AAAAAH5/33c=")</f>
        <v>#VALUE!</v>
      </c>
      <c r="DQ114">
        <f>IF(DATA!639:639,"AAAAAH5/33g=",0)</f>
        <v>0</v>
      </c>
      <c r="DR114" t="e">
        <f>AND(DATA!A639,"AAAAAH5/33k=")</f>
        <v>#VALUE!</v>
      </c>
      <c r="DS114" t="e">
        <f>AND(DATA!B639,"AAAAAH5/33o=")</f>
        <v>#VALUE!</v>
      </c>
      <c r="DT114" t="e">
        <f>AND(DATA!C639,"AAAAAH5/33s=")</f>
        <v>#VALUE!</v>
      </c>
      <c r="DU114" t="e">
        <f>AND(DATA!D639,"AAAAAH5/33w=")</f>
        <v>#VALUE!</v>
      </c>
      <c r="DV114" t="e">
        <f>AND(DATA!E639,"AAAAAH5/330=")</f>
        <v>#VALUE!</v>
      </c>
      <c r="DW114" t="e">
        <f>AND(DATA!F639,"AAAAAH5/334=")</f>
        <v>#VALUE!</v>
      </c>
      <c r="DX114" t="e">
        <f>AND(DATA!G639,"AAAAAH5/338=")</f>
        <v>#VALUE!</v>
      </c>
      <c r="DY114" t="e">
        <f>AND(DATA!H639,"AAAAAH5/34A=")</f>
        <v>#VALUE!</v>
      </c>
      <c r="DZ114" t="e">
        <f>AND(DATA!I639,"AAAAAH5/34E=")</f>
        <v>#VALUE!</v>
      </c>
      <c r="EA114" t="e">
        <f>AND(DATA!J639,"AAAAAH5/34I=")</f>
        <v>#VALUE!</v>
      </c>
      <c r="EB114" t="e">
        <f>AND(DATA!K639,"AAAAAH5/34M=")</f>
        <v>#VALUE!</v>
      </c>
      <c r="EC114" t="b">
        <f>AND(DATA!L640,"AAAAAH5/34Q=")</f>
        <v>1</v>
      </c>
      <c r="ED114" t="b">
        <f>AND(DATA!M640,"AAAAAH5/34U=")</f>
        <v>1</v>
      </c>
      <c r="EE114" t="b">
        <f>AND(DATA!N640,"AAAAAH5/34Y=")</f>
        <v>1</v>
      </c>
      <c r="EF114" t="b">
        <f>AND(DATA!O640,"AAAAAH5/34c=")</f>
        <v>1</v>
      </c>
      <c r="EG114" t="b">
        <f>AND(DATA!P640,"AAAAAH5/34g=")</f>
        <v>1</v>
      </c>
      <c r="EH114" t="b">
        <f>AND(DATA!Q640,"AAAAAH5/34k=")</f>
        <v>1</v>
      </c>
      <c r="EI114" t="b">
        <f>AND(DATA!R640,"AAAAAH5/34o=")</f>
        <v>1</v>
      </c>
      <c r="EJ114" t="b">
        <f>AND(DATA!S640,"AAAAAH5/34s=")</f>
        <v>1</v>
      </c>
      <c r="EK114" t="b">
        <f>AND(DATA!T640,"AAAAAH5/34w=")</f>
        <v>1</v>
      </c>
      <c r="EL114" t="b">
        <f>AND(DATA!U640,"AAAAAH5/340=")</f>
        <v>1</v>
      </c>
      <c r="EM114" t="b">
        <f>AND(DATA!V640,"AAAAAH5/344=")</f>
        <v>1</v>
      </c>
      <c r="EN114" t="e">
        <f>AND(DATA!W639,"AAAAAH5/348=")</f>
        <v>#VALUE!</v>
      </c>
      <c r="EO114" t="e">
        <f>AND(DATA!X639,"AAAAAH5/35A=")</f>
        <v>#VALUE!</v>
      </c>
      <c r="EP114" t="e">
        <f>AND(DATA!Y639,"AAAAAH5/35E=")</f>
        <v>#VALUE!</v>
      </c>
      <c r="EQ114">
        <f>IF(DATA!640:640,"AAAAAH5/35I=",0)</f>
        <v>0</v>
      </c>
      <c r="ER114" t="e">
        <f>AND(DATA!A640,"AAAAAH5/35M=")</f>
        <v>#VALUE!</v>
      </c>
      <c r="ES114" t="e">
        <f>AND(DATA!B640,"AAAAAH5/35Q=")</f>
        <v>#VALUE!</v>
      </c>
      <c r="ET114" t="e">
        <f>AND(DATA!C640,"AAAAAH5/35U=")</f>
        <v>#VALUE!</v>
      </c>
      <c r="EU114" t="e">
        <f>AND(DATA!D640,"AAAAAH5/35Y=")</f>
        <v>#VALUE!</v>
      </c>
      <c r="EV114" t="e">
        <f>AND(DATA!E640,"AAAAAH5/35c=")</f>
        <v>#VALUE!</v>
      </c>
      <c r="EW114" t="e">
        <f>AND(DATA!F640,"AAAAAH5/35g=")</f>
        <v>#VALUE!</v>
      </c>
      <c r="EX114" t="e">
        <f>AND(DATA!G640,"AAAAAH5/35k=")</f>
        <v>#VALUE!</v>
      </c>
      <c r="EY114" t="e">
        <f>AND(DATA!H640,"AAAAAH5/35o=")</f>
        <v>#VALUE!</v>
      </c>
      <c r="EZ114" t="e">
        <f>AND(DATA!I640,"AAAAAH5/35s=")</f>
        <v>#VALUE!</v>
      </c>
      <c r="FA114" t="e">
        <f>AND(DATA!J640,"AAAAAH5/35w=")</f>
        <v>#VALUE!</v>
      </c>
      <c r="FB114" t="e">
        <f>AND(DATA!K640,"AAAAAH5/350=")</f>
        <v>#VALUE!</v>
      </c>
      <c r="FC114" t="b">
        <f>AND(DATA!L641,"AAAAAH5/354=")</f>
        <v>1</v>
      </c>
      <c r="FD114" t="b">
        <f>AND(DATA!M641,"AAAAAH5/358=")</f>
        <v>1</v>
      </c>
      <c r="FE114" t="b">
        <f>AND(DATA!N641,"AAAAAH5/36A=")</f>
        <v>1</v>
      </c>
      <c r="FF114" t="b">
        <f>AND(DATA!O641,"AAAAAH5/36E=")</f>
        <v>1</v>
      </c>
      <c r="FG114" t="b">
        <f>AND(DATA!P641,"AAAAAH5/36I=")</f>
        <v>1</v>
      </c>
      <c r="FH114" t="b">
        <f>AND(DATA!Q641,"AAAAAH5/36M=")</f>
        <v>1</v>
      </c>
      <c r="FI114" t="b">
        <f>AND(DATA!R641,"AAAAAH5/36Q=")</f>
        <v>1</v>
      </c>
      <c r="FJ114" t="b">
        <f>AND(DATA!S641,"AAAAAH5/36U=")</f>
        <v>1</v>
      </c>
      <c r="FK114" t="b">
        <f>AND(DATA!T641,"AAAAAH5/36Y=")</f>
        <v>1</v>
      </c>
      <c r="FL114" t="b">
        <f>AND(DATA!U641,"AAAAAH5/36c=")</f>
        <v>1</v>
      </c>
      <c r="FM114" t="b">
        <f>AND(DATA!V641,"AAAAAH5/36g=")</f>
        <v>1</v>
      </c>
      <c r="FN114" t="e">
        <f>AND(DATA!W640,"AAAAAH5/36k=")</f>
        <v>#VALUE!</v>
      </c>
      <c r="FO114" t="e">
        <f>AND(DATA!X640,"AAAAAH5/36o=")</f>
        <v>#VALUE!</v>
      </c>
      <c r="FP114" t="e">
        <f>AND(DATA!Y640,"AAAAAH5/36s=")</f>
        <v>#VALUE!</v>
      </c>
      <c r="FQ114">
        <f>IF(DATA!641:641,"AAAAAH5/36w=",0)</f>
        <v>0</v>
      </c>
      <c r="FR114" t="e">
        <f>AND(DATA!A641,"AAAAAH5/360=")</f>
        <v>#VALUE!</v>
      </c>
      <c r="FS114" t="e">
        <f>AND(DATA!B641,"AAAAAH5/364=")</f>
        <v>#VALUE!</v>
      </c>
      <c r="FT114" t="e">
        <f>AND(DATA!C641,"AAAAAH5/368=")</f>
        <v>#VALUE!</v>
      </c>
      <c r="FU114" t="e">
        <f>AND(DATA!D641,"AAAAAH5/37A=")</f>
        <v>#VALUE!</v>
      </c>
      <c r="FV114" t="e">
        <f>AND(DATA!E641,"AAAAAH5/37E=")</f>
        <v>#VALUE!</v>
      </c>
      <c r="FW114" t="e">
        <f>AND(DATA!F641,"AAAAAH5/37I=")</f>
        <v>#VALUE!</v>
      </c>
      <c r="FX114" t="e">
        <f>AND(DATA!G641,"AAAAAH5/37M=")</f>
        <v>#VALUE!</v>
      </c>
      <c r="FY114" t="e">
        <f>AND(DATA!H641,"AAAAAH5/37Q=")</f>
        <v>#VALUE!</v>
      </c>
      <c r="FZ114" t="e">
        <f>AND(DATA!I641,"AAAAAH5/37U=")</f>
        <v>#VALUE!</v>
      </c>
      <c r="GA114" t="e">
        <f>AND(DATA!J641,"AAAAAH5/37Y=")</f>
        <v>#VALUE!</v>
      </c>
      <c r="GB114" t="e">
        <f>AND(DATA!K641,"AAAAAH5/37c=")</f>
        <v>#VALUE!</v>
      </c>
      <c r="GC114" t="b">
        <f>AND(DATA!L642,"AAAAAH5/37g=")</f>
        <v>1</v>
      </c>
      <c r="GD114" t="b">
        <f>AND(DATA!M642,"AAAAAH5/37k=")</f>
        <v>1</v>
      </c>
      <c r="GE114" t="b">
        <f>AND(DATA!N642,"AAAAAH5/37o=")</f>
        <v>1</v>
      </c>
      <c r="GF114" t="b">
        <f>AND(DATA!O642,"AAAAAH5/37s=")</f>
        <v>1</v>
      </c>
      <c r="GG114" t="b">
        <f>AND(DATA!P642,"AAAAAH5/37w=")</f>
        <v>1</v>
      </c>
      <c r="GH114" t="b">
        <f>AND(DATA!Q642,"AAAAAH5/370=")</f>
        <v>1</v>
      </c>
      <c r="GI114" t="b">
        <f>AND(DATA!R642,"AAAAAH5/374=")</f>
        <v>1</v>
      </c>
      <c r="GJ114" t="b">
        <f>AND(DATA!S642,"AAAAAH5/378=")</f>
        <v>1</v>
      </c>
      <c r="GK114" t="b">
        <f>AND(DATA!T642,"AAAAAH5/38A=")</f>
        <v>1</v>
      </c>
      <c r="GL114" t="b">
        <f>AND(DATA!U642,"AAAAAH5/38E=")</f>
        <v>1</v>
      </c>
      <c r="GM114" t="b">
        <f>AND(DATA!V642,"AAAAAH5/38I=")</f>
        <v>1</v>
      </c>
      <c r="GN114" t="e">
        <f>AND(DATA!W641,"AAAAAH5/38M=")</f>
        <v>#VALUE!</v>
      </c>
      <c r="GO114" t="e">
        <f>AND(DATA!X641,"AAAAAH5/38Q=")</f>
        <v>#VALUE!</v>
      </c>
      <c r="GP114" t="e">
        <f>AND(DATA!Y641,"AAAAAH5/38U=")</f>
        <v>#VALUE!</v>
      </c>
      <c r="GQ114">
        <f>IF(DATA!642:642,"AAAAAH5/38Y=",0)</f>
        <v>0</v>
      </c>
      <c r="GR114" t="e">
        <f>AND(DATA!A642,"AAAAAH5/38c=")</f>
        <v>#VALUE!</v>
      </c>
      <c r="GS114" t="e">
        <f>AND(DATA!B642,"AAAAAH5/38g=")</f>
        <v>#VALUE!</v>
      </c>
      <c r="GT114" t="e">
        <f>AND(DATA!C642,"AAAAAH5/38k=")</f>
        <v>#VALUE!</v>
      </c>
      <c r="GU114" t="e">
        <f>AND(DATA!D642,"AAAAAH5/38o=")</f>
        <v>#VALUE!</v>
      </c>
      <c r="GV114" t="e">
        <f>AND(DATA!E642,"AAAAAH5/38s=")</f>
        <v>#VALUE!</v>
      </c>
      <c r="GW114" t="e">
        <f>AND(DATA!F642,"AAAAAH5/38w=")</f>
        <v>#VALUE!</v>
      </c>
      <c r="GX114" t="e">
        <f>AND(DATA!G642,"AAAAAH5/380=")</f>
        <v>#VALUE!</v>
      </c>
      <c r="GY114" t="e">
        <f>AND(DATA!H642,"AAAAAH5/384=")</f>
        <v>#VALUE!</v>
      </c>
      <c r="GZ114" t="e">
        <f>AND(DATA!I642,"AAAAAH5/388=")</f>
        <v>#VALUE!</v>
      </c>
      <c r="HA114" t="e">
        <f>AND(DATA!J642,"AAAAAH5/39A=")</f>
        <v>#VALUE!</v>
      </c>
      <c r="HB114" t="e">
        <f>AND(DATA!K642,"AAAAAH5/39E=")</f>
        <v>#VALUE!</v>
      </c>
      <c r="HC114" t="b">
        <f>AND(DATA!L643,"AAAAAH5/39I=")</f>
        <v>1</v>
      </c>
      <c r="HD114" t="b">
        <f>AND(DATA!M643,"AAAAAH5/39M=")</f>
        <v>1</v>
      </c>
      <c r="HE114" t="b">
        <f>AND(DATA!N643,"AAAAAH5/39Q=")</f>
        <v>1</v>
      </c>
      <c r="HF114" t="b">
        <f>AND(DATA!O643,"AAAAAH5/39U=")</f>
        <v>1</v>
      </c>
      <c r="HG114" t="b">
        <f>AND(DATA!P643,"AAAAAH5/39Y=")</f>
        <v>1</v>
      </c>
      <c r="HH114" t="b">
        <f>AND(DATA!Q643,"AAAAAH5/39c=")</f>
        <v>1</v>
      </c>
      <c r="HI114" t="b">
        <f>AND(DATA!R643,"AAAAAH5/39g=")</f>
        <v>1</v>
      </c>
      <c r="HJ114" t="b">
        <f>AND(DATA!S643,"AAAAAH5/39k=")</f>
        <v>1</v>
      </c>
      <c r="HK114" t="b">
        <f>AND(DATA!T643,"AAAAAH5/39o=")</f>
        <v>1</v>
      </c>
      <c r="HL114" t="b">
        <f>AND(DATA!U643,"AAAAAH5/39s=")</f>
        <v>1</v>
      </c>
      <c r="HM114" t="b">
        <f>AND(DATA!V643,"AAAAAH5/39w=")</f>
        <v>1</v>
      </c>
      <c r="HN114" t="e">
        <f>AND(DATA!W642,"AAAAAH5/390=")</f>
        <v>#VALUE!</v>
      </c>
      <c r="HO114" t="e">
        <f>AND(DATA!X642,"AAAAAH5/394=")</f>
        <v>#VALUE!</v>
      </c>
      <c r="HP114" t="e">
        <f>AND(DATA!Y642,"AAAAAH5/398=")</f>
        <v>#VALUE!</v>
      </c>
      <c r="HQ114">
        <f>IF(DATA!643:643,"AAAAAH5/3+A=",0)</f>
        <v>0</v>
      </c>
      <c r="HR114" t="e">
        <f>AND(DATA!A643,"AAAAAH5/3+E=")</f>
        <v>#VALUE!</v>
      </c>
      <c r="HS114" t="e">
        <f>AND(DATA!B643,"AAAAAH5/3+I=")</f>
        <v>#VALUE!</v>
      </c>
      <c r="HT114" t="e">
        <f>AND(DATA!C643,"AAAAAH5/3+M=")</f>
        <v>#VALUE!</v>
      </c>
      <c r="HU114" t="e">
        <f>AND(DATA!D643,"AAAAAH5/3+Q=")</f>
        <v>#VALUE!</v>
      </c>
      <c r="HV114" t="e">
        <f>AND(DATA!E643,"AAAAAH5/3+U=")</f>
        <v>#VALUE!</v>
      </c>
      <c r="HW114" t="e">
        <f>AND(DATA!F643,"AAAAAH5/3+Y=")</f>
        <v>#VALUE!</v>
      </c>
      <c r="HX114" t="e">
        <f>AND(DATA!G643,"AAAAAH5/3+c=")</f>
        <v>#VALUE!</v>
      </c>
      <c r="HY114" t="e">
        <f>AND(DATA!H643,"AAAAAH5/3+g=")</f>
        <v>#VALUE!</v>
      </c>
      <c r="HZ114" t="e">
        <f>AND(DATA!I643,"AAAAAH5/3+k=")</f>
        <v>#VALUE!</v>
      </c>
      <c r="IA114" t="e">
        <f>AND(DATA!J643,"AAAAAH5/3+o=")</f>
        <v>#VALUE!</v>
      </c>
      <c r="IB114" t="e">
        <f>AND(DATA!K643,"AAAAAH5/3+s=")</f>
        <v>#VALUE!</v>
      </c>
      <c r="IC114" t="b">
        <f>AND(DATA!L644,"AAAAAH5/3+w=")</f>
        <v>1</v>
      </c>
      <c r="ID114" t="b">
        <f>AND(DATA!M644,"AAAAAH5/3+0=")</f>
        <v>1</v>
      </c>
      <c r="IE114" t="b">
        <f>AND(DATA!N644,"AAAAAH5/3+4=")</f>
        <v>1</v>
      </c>
      <c r="IF114" t="b">
        <f>AND(DATA!O644,"AAAAAH5/3+8=")</f>
        <v>1</v>
      </c>
      <c r="IG114" t="b">
        <f>AND(DATA!P644,"AAAAAH5/3/A=")</f>
        <v>1</v>
      </c>
      <c r="IH114" t="b">
        <f>AND(DATA!Q644,"AAAAAH5/3/E=")</f>
        <v>1</v>
      </c>
      <c r="II114" t="b">
        <f>AND(DATA!R644,"AAAAAH5/3/I=")</f>
        <v>1</v>
      </c>
      <c r="IJ114" t="b">
        <f>AND(DATA!S644,"AAAAAH5/3/M=")</f>
        <v>1</v>
      </c>
      <c r="IK114" t="b">
        <f>AND(DATA!T644,"AAAAAH5/3/Q=")</f>
        <v>1</v>
      </c>
      <c r="IL114" t="b">
        <f>AND(DATA!U644,"AAAAAH5/3/U=")</f>
        <v>1</v>
      </c>
      <c r="IM114" t="b">
        <f>AND(DATA!V644,"AAAAAH5/3/Y=")</f>
        <v>1</v>
      </c>
      <c r="IN114" t="e">
        <f>AND(DATA!W643,"AAAAAH5/3/c=")</f>
        <v>#VALUE!</v>
      </c>
      <c r="IO114" t="e">
        <f>AND(DATA!X643,"AAAAAH5/3/g=")</f>
        <v>#VALUE!</v>
      </c>
      <c r="IP114" t="e">
        <f>AND(DATA!Y643,"AAAAAH5/3/k=")</f>
        <v>#VALUE!</v>
      </c>
      <c r="IQ114">
        <f>IF(DATA!644:644,"AAAAAH5/3/o=",0)</f>
        <v>0</v>
      </c>
      <c r="IR114" t="e">
        <f>AND(DATA!A644,"AAAAAH5/3/s=")</f>
        <v>#VALUE!</v>
      </c>
      <c r="IS114" t="e">
        <f>AND(DATA!B644,"AAAAAH5/3/w=")</f>
        <v>#VALUE!</v>
      </c>
      <c r="IT114" t="e">
        <f>AND(DATA!C644,"AAAAAH5/3/0=")</f>
        <v>#VALUE!</v>
      </c>
      <c r="IU114" t="e">
        <f>AND(DATA!D644,"AAAAAH5/3/4=")</f>
        <v>#VALUE!</v>
      </c>
      <c r="IV114" t="e">
        <f>AND(DATA!E644,"AAAAAH5/3/8=")</f>
        <v>#VALUE!</v>
      </c>
    </row>
    <row r="115" spans="1:256" x14ac:dyDescent="0.25">
      <c r="A115" t="e">
        <f>AND(DATA!F644,"AAAAAHvP+wA=")</f>
        <v>#VALUE!</v>
      </c>
      <c r="B115" t="e">
        <f>AND(DATA!G644,"AAAAAHvP+wE=")</f>
        <v>#VALUE!</v>
      </c>
      <c r="C115" t="e">
        <f>AND(DATA!H644,"AAAAAHvP+wI=")</f>
        <v>#VALUE!</v>
      </c>
      <c r="D115" t="e">
        <f>AND(DATA!I644,"AAAAAHvP+wM=")</f>
        <v>#VALUE!</v>
      </c>
      <c r="E115" t="e">
        <f>AND(DATA!J644,"AAAAAHvP+wQ=")</f>
        <v>#VALUE!</v>
      </c>
      <c r="F115" t="e">
        <f>AND(DATA!K644,"AAAAAHvP+wU=")</f>
        <v>#VALUE!</v>
      </c>
      <c r="G115" t="b">
        <f>AND(DATA!L645,"AAAAAHvP+wY=")</f>
        <v>1</v>
      </c>
      <c r="H115" t="b">
        <f>AND(DATA!M645,"AAAAAHvP+wc=")</f>
        <v>1</v>
      </c>
      <c r="I115" t="b">
        <f>AND(DATA!N645,"AAAAAHvP+wg=")</f>
        <v>1</v>
      </c>
      <c r="J115" t="b">
        <f>AND(DATA!O645,"AAAAAHvP+wk=")</f>
        <v>1</v>
      </c>
      <c r="K115" t="b">
        <f>AND(DATA!P645,"AAAAAHvP+wo=")</f>
        <v>1</v>
      </c>
      <c r="L115" t="b">
        <f>AND(DATA!Q645,"AAAAAHvP+ws=")</f>
        <v>1</v>
      </c>
      <c r="M115" t="b">
        <f>AND(DATA!R645,"AAAAAHvP+ww=")</f>
        <v>1</v>
      </c>
      <c r="N115" t="b">
        <f>AND(DATA!S645,"AAAAAHvP+w0=")</f>
        <v>1</v>
      </c>
      <c r="O115" t="b">
        <f>AND(DATA!T645,"AAAAAHvP+w4=")</f>
        <v>1</v>
      </c>
      <c r="P115" t="b">
        <f>AND(DATA!U645,"AAAAAHvP+w8=")</f>
        <v>1</v>
      </c>
      <c r="Q115" t="b">
        <f>AND(DATA!V645,"AAAAAHvP+xA=")</f>
        <v>1</v>
      </c>
      <c r="R115" t="e">
        <f>AND(DATA!W644,"AAAAAHvP+xE=")</f>
        <v>#VALUE!</v>
      </c>
      <c r="S115" t="e">
        <f>AND(DATA!X644,"AAAAAHvP+xI=")</f>
        <v>#VALUE!</v>
      </c>
      <c r="T115" t="e">
        <f>AND(DATA!Y644,"AAAAAHvP+xM=")</f>
        <v>#VALUE!</v>
      </c>
      <c r="U115" t="str">
        <f>IF(DATA!645:645,"AAAAAHvP+xQ=",0)</f>
        <v>AAAAAHvP+xQ=</v>
      </c>
      <c r="V115" t="e">
        <f>AND(DATA!A645,"AAAAAHvP+xU=")</f>
        <v>#VALUE!</v>
      </c>
      <c r="W115" t="e">
        <f>AND(DATA!B645,"AAAAAHvP+xY=")</f>
        <v>#VALUE!</v>
      </c>
      <c r="X115" t="e">
        <f>AND(DATA!C645,"AAAAAHvP+xc=")</f>
        <v>#VALUE!</v>
      </c>
      <c r="Y115" t="e">
        <f>AND(DATA!D645,"AAAAAHvP+xg=")</f>
        <v>#VALUE!</v>
      </c>
      <c r="Z115" t="e">
        <f>AND(DATA!E645,"AAAAAHvP+xk=")</f>
        <v>#VALUE!</v>
      </c>
      <c r="AA115" t="e">
        <f>AND(DATA!F645,"AAAAAHvP+xo=")</f>
        <v>#VALUE!</v>
      </c>
      <c r="AB115" t="e">
        <f>AND(DATA!G645,"AAAAAHvP+xs=")</f>
        <v>#VALUE!</v>
      </c>
      <c r="AC115" t="e">
        <f>AND(DATA!H645,"AAAAAHvP+xw=")</f>
        <v>#VALUE!</v>
      </c>
      <c r="AD115" t="e">
        <f>AND(DATA!I645,"AAAAAHvP+x0=")</f>
        <v>#VALUE!</v>
      </c>
      <c r="AE115" t="e">
        <f>AND(DATA!J645,"AAAAAHvP+x4=")</f>
        <v>#VALUE!</v>
      </c>
      <c r="AF115" t="e">
        <f>AND(DATA!K645,"AAAAAHvP+x8=")</f>
        <v>#VALUE!</v>
      </c>
      <c r="AG115" t="b">
        <f>AND(DATA!L646,"AAAAAHvP+yA=")</f>
        <v>1</v>
      </c>
      <c r="AH115" t="b">
        <f>AND(DATA!M646,"AAAAAHvP+yE=")</f>
        <v>1</v>
      </c>
      <c r="AI115" t="b">
        <f>AND(DATA!N646,"AAAAAHvP+yI=")</f>
        <v>1</v>
      </c>
      <c r="AJ115" t="b">
        <f>AND(DATA!O646,"AAAAAHvP+yM=")</f>
        <v>1</v>
      </c>
      <c r="AK115" t="b">
        <f>AND(DATA!P646,"AAAAAHvP+yQ=")</f>
        <v>1</v>
      </c>
      <c r="AL115" t="b">
        <f>AND(DATA!Q646,"AAAAAHvP+yU=")</f>
        <v>1</v>
      </c>
      <c r="AM115" t="b">
        <f>AND(DATA!R646,"AAAAAHvP+yY=")</f>
        <v>1</v>
      </c>
      <c r="AN115" t="b">
        <f>AND(DATA!S646,"AAAAAHvP+yc=")</f>
        <v>1</v>
      </c>
      <c r="AO115" t="b">
        <f>AND(DATA!T646,"AAAAAHvP+yg=")</f>
        <v>1</v>
      </c>
      <c r="AP115" t="b">
        <f>AND(DATA!U646,"AAAAAHvP+yk=")</f>
        <v>1</v>
      </c>
      <c r="AQ115" t="b">
        <f>AND(DATA!V646,"AAAAAHvP+yo=")</f>
        <v>1</v>
      </c>
      <c r="AR115" t="e">
        <f>AND(DATA!W645,"AAAAAHvP+ys=")</f>
        <v>#VALUE!</v>
      </c>
      <c r="AS115" t="e">
        <f>AND(DATA!X645,"AAAAAHvP+yw=")</f>
        <v>#VALUE!</v>
      </c>
      <c r="AT115" t="e">
        <f>AND(DATA!Y645,"AAAAAHvP+y0=")</f>
        <v>#VALUE!</v>
      </c>
      <c r="AU115">
        <f>IF(DATA!646:646,"AAAAAHvP+y4=",0)</f>
        <v>0</v>
      </c>
      <c r="AV115" t="e">
        <f>AND(DATA!A646,"AAAAAHvP+y8=")</f>
        <v>#VALUE!</v>
      </c>
      <c r="AW115" t="e">
        <f>AND(DATA!B646,"AAAAAHvP+zA=")</f>
        <v>#VALUE!</v>
      </c>
      <c r="AX115" t="e">
        <f>AND(DATA!C646,"AAAAAHvP+zE=")</f>
        <v>#VALUE!</v>
      </c>
      <c r="AY115" t="e">
        <f>AND(DATA!D646,"AAAAAHvP+zI=")</f>
        <v>#VALUE!</v>
      </c>
      <c r="AZ115" t="e">
        <f>AND(DATA!E646,"AAAAAHvP+zM=")</f>
        <v>#VALUE!</v>
      </c>
      <c r="BA115" t="e">
        <f>AND(DATA!F646,"AAAAAHvP+zQ=")</f>
        <v>#VALUE!</v>
      </c>
      <c r="BB115" t="e">
        <f>AND(DATA!G646,"AAAAAHvP+zU=")</f>
        <v>#VALUE!</v>
      </c>
      <c r="BC115" t="e">
        <f>AND(DATA!H646,"AAAAAHvP+zY=")</f>
        <v>#VALUE!</v>
      </c>
      <c r="BD115" t="e">
        <f>AND(DATA!I646,"AAAAAHvP+zc=")</f>
        <v>#VALUE!</v>
      </c>
      <c r="BE115" t="e">
        <f>AND(DATA!J646,"AAAAAHvP+zg=")</f>
        <v>#VALUE!</v>
      </c>
      <c r="BF115" t="e">
        <f>AND(DATA!K646,"AAAAAHvP+zk=")</f>
        <v>#VALUE!</v>
      </c>
      <c r="BG115" t="b">
        <f>AND(DATA!L647,"AAAAAHvP+zo=")</f>
        <v>1</v>
      </c>
      <c r="BH115" t="b">
        <f>AND(DATA!M647,"AAAAAHvP+zs=")</f>
        <v>1</v>
      </c>
      <c r="BI115" t="b">
        <f>AND(DATA!N647,"AAAAAHvP+zw=")</f>
        <v>1</v>
      </c>
      <c r="BJ115" t="b">
        <f>AND(DATA!O647,"AAAAAHvP+z0=")</f>
        <v>1</v>
      </c>
      <c r="BK115" t="b">
        <f>AND(DATA!P647,"AAAAAHvP+z4=")</f>
        <v>1</v>
      </c>
      <c r="BL115" t="b">
        <f>AND(DATA!Q647,"AAAAAHvP+z8=")</f>
        <v>1</v>
      </c>
      <c r="BM115" t="b">
        <f>AND(DATA!R647,"AAAAAHvP+0A=")</f>
        <v>1</v>
      </c>
      <c r="BN115" t="b">
        <f>AND(DATA!S647,"AAAAAHvP+0E=")</f>
        <v>1</v>
      </c>
      <c r="BO115" t="b">
        <f>AND(DATA!T647,"AAAAAHvP+0I=")</f>
        <v>1</v>
      </c>
      <c r="BP115" t="b">
        <f>AND(DATA!U647,"AAAAAHvP+0M=")</f>
        <v>1</v>
      </c>
      <c r="BQ115" t="b">
        <f>AND(DATA!V647,"AAAAAHvP+0Q=")</f>
        <v>1</v>
      </c>
      <c r="BR115" t="e">
        <f>AND(DATA!W646,"AAAAAHvP+0U=")</f>
        <v>#VALUE!</v>
      </c>
      <c r="BS115" t="e">
        <f>AND(DATA!X646,"AAAAAHvP+0Y=")</f>
        <v>#VALUE!</v>
      </c>
      <c r="BT115" t="e">
        <f>AND(DATA!Y646,"AAAAAHvP+0c=")</f>
        <v>#VALUE!</v>
      </c>
      <c r="BU115">
        <f>IF(DATA!647:647,"AAAAAHvP+0g=",0)</f>
        <v>0</v>
      </c>
      <c r="BV115" t="e">
        <f>AND(DATA!A647,"AAAAAHvP+0k=")</f>
        <v>#VALUE!</v>
      </c>
      <c r="BW115" t="e">
        <f>AND(DATA!B647,"AAAAAHvP+0o=")</f>
        <v>#VALUE!</v>
      </c>
      <c r="BX115" t="e">
        <f>AND(DATA!C647,"AAAAAHvP+0s=")</f>
        <v>#VALUE!</v>
      </c>
      <c r="BY115" t="e">
        <f>AND(DATA!D647,"AAAAAHvP+0w=")</f>
        <v>#VALUE!</v>
      </c>
      <c r="BZ115" t="e">
        <f>AND(DATA!E647,"AAAAAHvP+00=")</f>
        <v>#VALUE!</v>
      </c>
      <c r="CA115" t="e">
        <f>AND(DATA!F647,"AAAAAHvP+04=")</f>
        <v>#VALUE!</v>
      </c>
      <c r="CB115" t="e">
        <f>AND(DATA!G647,"AAAAAHvP+08=")</f>
        <v>#VALUE!</v>
      </c>
      <c r="CC115" t="e">
        <f>AND(DATA!H647,"AAAAAHvP+1A=")</f>
        <v>#VALUE!</v>
      </c>
      <c r="CD115" t="e">
        <f>AND(DATA!I647,"AAAAAHvP+1E=")</f>
        <v>#VALUE!</v>
      </c>
      <c r="CE115" t="e">
        <f>AND(DATA!J647,"AAAAAHvP+1I=")</f>
        <v>#VALUE!</v>
      </c>
      <c r="CF115" t="e">
        <f>AND(DATA!K647,"AAAAAHvP+1M=")</f>
        <v>#VALUE!</v>
      </c>
      <c r="CG115" t="b">
        <f>AND(DATA!L648,"AAAAAHvP+1Q=")</f>
        <v>1</v>
      </c>
      <c r="CH115" t="b">
        <f>AND(DATA!M648,"AAAAAHvP+1U=")</f>
        <v>1</v>
      </c>
      <c r="CI115" t="b">
        <f>AND(DATA!N648,"AAAAAHvP+1Y=")</f>
        <v>1</v>
      </c>
      <c r="CJ115" t="b">
        <f>AND(DATA!O648,"AAAAAHvP+1c=")</f>
        <v>1</v>
      </c>
      <c r="CK115" t="b">
        <f>AND(DATA!P648,"AAAAAHvP+1g=")</f>
        <v>1</v>
      </c>
      <c r="CL115" t="b">
        <f>AND(DATA!Q648,"AAAAAHvP+1k=")</f>
        <v>1</v>
      </c>
      <c r="CM115" t="b">
        <f>AND(DATA!R648,"AAAAAHvP+1o=")</f>
        <v>1</v>
      </c>
      <c r="CN115" t="b">
        <f>AND(DATA!S648,"AAAAAHvP+1s=")</f>
        <v>1</v>
      </c>
      <c r="CO115" t="b">
        <f>AND(DATA!T648,"AAAAAHvP+1w=")</f>
        <v>1</v>
      </c>
      <c r="CP115" t="b">
        <f>AND(DATA!U648,"AAAAAHvP+10=")</f>
        <v>1</v>
      </c>
      <c r="CQ115" t="b">
        <f>AND(DATA!V648,"AAAAAHvP+14=")</f>
        <v>1</v>
      </c>
      <c r="CR115" t="e">
        <f>AND(DATA!W647,"AAAAAHvP+18=")</f>
        <v>#VALUE!</v>
      </c>
      <c r="CS115" t="e">
        <f>AND(DATA!X647,"AAAAAHvP+2A=")</f>
        <v>#VALUE!</v>
      </c>
      <c r="CT115" t="e">
        <f>AND(DATA!Y647,"AAAAAHvP+2E=")</f>
        <v>#VALUE!</v>
      </c>
      <c r="CU115">
        <f>IF(DATA!648:648,"AAAAAHvP+2I=",0)</f>
        <v>0</v>
      </c>
      <c r="CV115" t="e">
        <f>AND(DATA!A648,"AAAAAHvP+2M=")</f>
        <v>#VALUE!</v>
      </c>
      <c r="CW115" t="e">
        <f>AND(DATA!B648,"AAAAAHvP+2Q=")</f>
        <v>#VALUE!</v>
      </c>
      <c r="CX115" t="e">
        <f>AND(DATA!C648,"AAAAAHvP+2U=")</f>
        <v>#VALUE!</v>
      </c>
      <c r="CY115" t="e">
        <f>AND(DATA!D648,"AAAAAHvP+2Y=")</f>
        <v>#VALUE!</v>
      </c>
      <c r="CZ115" t="e">
        <f>AND(DATA!E648,"AAAAAHvP+2c=")</f>
        <v>#VALUE!</v>
      </c>
      <c r="DA115" t="e">
        <f>AND(DATA!F648,"AAAAAHvP+2g=")</f>
        <v>#VALUE!</v>
      </c>
      <c r="DB115" t="e">
        <f>AND(DATA!G648,"AAAAAHvP+2k=")</f>
        <v>#VALUE!</v>
      </c>
      <c r="DC115" t="e">
        <f>AND(DATA!H648,"AAAAAHvP+2o=")</f>
        <v>#VALUE!</v>
      </c>
      <c r="DD115" t="e">
        <f>AND(DATA!I648,"AAAAAHvP+2s=")</f>
        <v>#VALUE!</v>
      </c>
      <c r="DE115" t="e">
        <f>AND(DATA!J648,"AAAAAHvP+2w=")</f>
        <v>#VALUE!</v>
      </c>
      <c r="DF115" t="e">
        <f>AND(DATA!K648,"AAAAAHvP+20=")</f>
        <v>#VALUE!</v>
      </c>
      <c r="DG115" t="b">
        <f>AND(DATA!L649,"AAAAAHvP+24=")</f>
        <v>1</v>
      </c>
      <c r="DH115" t="b">
        <f>AND(DATA!M649,"AAAAAHvP+28=")</f>
        <v>1</v>
      </c>
      <c r="DI115" t="b">
        <f>AND(DATA!N649,"AAAAAHvP+3A=")</f>
        <v>1</v>
      </c>
      <c r="DJ115" t="b">
        <f>AND(DATA!O649,"AAAAAHvP+3E=")</f>
        <v>1</v>
      </c>
      <c r="DK115" t="b">
        <f>AND(DATA!P649,"AAAAAHvP+3I=")</f>
        <v>1</v>
      </c>
      <c r="DL115" t="b">
        <f>AND(DATA!Q649,"AAAAAHvP+3M=")</f>
        <v>1</v>
      </c>
      <c r="DM115" t="b">
        <f>AND(DATA!R649,"AAAAAHvP+3Q=")</f>
        <v>1</v>
      </c>
      <c r="DN115" t="b">
        <f>AND(DATA!S649,"AAAAAHvP+3U=")</f>
        <v>1</v>
      </c>
      <c r="DO115" t="b">
        <f>AND(DATA!T649,"AAAAAHvP+3Y=")</f>
        <v>1</v>
      </c>
      <c r="DP115" t="b">
        <f>AND(DATA!U649,"AAAAAHvP+3c=")</f>
        <v>1</v>
      </c>
      <c r="DQ115" t="b">
        <f>AND(DATA!V649,"AAAAAHvP+3g=")</f>
        <v>1</v>
      </c>
      <c r="DR115" t="e">
        <f>AND(DATA!W648,"AAAAAHvP+3k=")</f>
        <v>#VALUE!</v>
      </c>
      <c r="DS115" t="e">
        <f>AND(DATA!X648,"AAAAAHvP+3o=")</f>
        <v>#VALUE!</v>
      </c>
      <c r="DT115" t="e">
        <f>AND(DATA!Y648,"AAAAAHvP+3s=")</f>
        <v>#VALUE!</v>
      </c>
      <c r="DU115">
        <f>IF(DATA!649:649,"AAAAAHvP+3w=",0)</f>
        <v>0</v>
      </c>
      <c r="DV115" t="e">
        <f>AND(DATA!A649,"AAAAAHvP+30=")</f>
        <v>#VALUE!</v>
      </c>
      <c r="DW115" t="e">
        <f>AND(DATA!B649,"AAAAAHvP+34=")</f>
        <v>#VALUE!</v>
      </c>
      <c r="DX115" t="e">
        <f>AND(DATA!C649,"AAAAAHvP+38=")</f>
        <v>#VALUE!</v>
      </c>
      <c r="DY115" t="e">
        <f>AND(DATA!D649,"AAAAAHvP+4A=")</f>
        <v>#VALUE!</v>
      </c>
      <c r="DZ115" t="e">
        <f>AND(DATA!E649,"AAAAAHvP+4E=")</f>
        <v>#VALUE!</v>
      </c>
      <c r="EA115" t="e">
        <f>AND(DATA!F649,"AAAAAHvP+4I=")</f>
        <v>#VALUE!</v>
      </c>
      <c r="EB115" t="e">
        <f>AND(DATA!G649,"AAAAAHvP+4M=")</f>
        <v>#VALUE!</v>
      </c>
      <c r="EC115" t="e">
        <f>AND(DATA!H649,"AAAAAHvP+4Q=")</f>
        <v>#VALUE!</v>
      </c>
      <c r="ED115" t="e">
        <f>AND(DATA!I649,"AAAAAHvP+4U=")</f>
        <v>#VALUE!</v>
      </c>
      <c r="EE115" t="e">
        <f>AND(DATA!J649,"AAAAAHvP+4Y=")</f>
        <v>#VALUE!</v>
      </c>
      <c r="EF115" t="e">
        <f>AND(DATA!K649,"AAAAAHvP+4c=")</f>
        <v>#VALUE!</v>
      </c>
      <c r="EG115" t="b">
        <f>AND(DATA!L650,"AAAAAHvP+4g=")</f>
        <v>1</v>
      </c>
      <c r="EH115" t="b">
        <f>AND(DATA!M650,"AAAAAHvP+4k=")</f>
        <v>1</v>
      </c>
      <c r="EI115" t="b">
        <f>AND(DATA!N650,"AAAAAHvP+4o=")</f>
        <v>1</v>
      </c>
      <c r="EJ115" t="b">
        <f>AND(DATA!O650,"AAAAAHvP+4s=")</f>
        <v>1</v>
      </c>
      <c r="EK115" t="b">
        <f>AND(DATA!P650,"AAAAAHvP+4w=")</f>
        <v>1</v>
      </c>
      <c r="EL115" t="b">
        <f>AND(DATA!Q650,"AAAAAHvP+40=")</f>
        <v>1</v>
      </c>
      <c r="EM115" t="b">
        <f>AND(DATA!R650,"AAAAAHvP+44=")</f>
        <v>1</v>
      </c>
      <c r="EN115" t="b">
        <f>AND(DATA!S650,"AAAAAHvP+48=")</f>
        <v>1</v>
      </c>
      <c r="EO115" t="b">
        <f>AND(DATA!T650,"AAAAAHvP+5A=")</f>
        <v>1</v>
      </c>
      <c r="EP115" t="b">
        <f>AND(DATA!U650,"AAAAAHvP+5E=")</f>
        <v>1</v>
      </c>
      <c r="EQ115" t="b">
        <f>AND(DATA!V650,"AAAAAHvP+5I=")</f>
        <v>1</v>
      </c>
      <c r="ER115" t="e">
        <f>AND(DATA!W649,"AAAAAHvP+5M=")</f>
        <v>#VALUE!</v>
      </c>
      <c r="ES115" t="e">
        <f>AND(DATA!X649,"AAAAAHvP+5Q=")</f>
        <v>#VALUE!</v>
      </c>
      <c r="ET115" t="e">
        <f>AND(DATA!Y649,"AAAAAHvP+5U=")</f>
        <v>#VALUE!</v>
      </c>
      <c r="EU115">
        <f>IF(DATA!650:650,"AAAAAHvP+5Y=",0)</f>
        <v>0</v>
      </c>
      <c r="EV115" t="e">
        <f>AND(DATA!A650,"AAAAAHvP+5c=")</f>
        <v>#VALUE!</v>
      </c>
      <c r="EW115" t="e">
        <f>AND(DATA!B650,"AAAAAHvP+5g=")</f>
        <v>#VALUE!</v>
      </c>
      <c r="EX115" t="e">
        <f>AND(DATA!C650,"AAAAAHvP+5k=")</f>
        <v>#VALUE!</v>
      </c>
      <c r="EY115" t="e">
        <f>AND(DATA!D650,"AAAAAHvP+5o=")</f>
        <v>#VALUE!</v>
      </c>
      <c r="EZ115" t="e">
        <f>AND(DATA!E650,"AAAAAHvP+5s=")</f>
        <v>#VALUE!</v>
      </c>
      <c r="FA115" t="e">
        <f>AND(DATA!F650,"AAAAAHvP+5w=")</f>
        <v>#VALUE!</v>
      </c>
      <c r="FB115" t="e">
        <f>AND(DATA!G650,"AAAAAHvP+50=")</f>
        <v>#VALUE!</v>
      </c>
      <c r="FC115" t="e">
        <f>AND(DATA!H650,"AAAAAHvP+54=")</f>
        <v>#VALUE!</v>
      </c>
      <c r="FD115" t="e">
        <f>AND(DATA!I650,"AAAAAHvP+58=")</f>
        <v>#VALUE!</v>
      </c>
      <c r="FE115" t="e">
        <f>AND(DATA!J650,"AAAAAHvP+6A=")</f>
        <v>#VALUE!</v>
      </c>
      <c r="FF115" t="e">
        <f>AND(DATA!K650,"AAAAAHvP+6E=")</f>
        <v>#VALUE!</v>
      </c>
      <c r="FG115" t="b">
        <f>AND(DATA!L651,"AAAAAHvP+6I=")</f>
        <v>1</v>
      </c>
      <c r="FH115" t="b">
        <f>AND(DATA!M651,"AAAAAHvP+6M=")</f>
        <v>1</v>
      </c>
      <c r="FI115" t="b">
        <f>AND(DATA!N651,"AAAAAHvP+6Q=")</f>
        <v>1</v>
      </c>
      <c r="FJ115" t="b">
        <f>AND(DATA!O651,"AAAAAHvP+6U=")</f>
        <v>1</v>
      </c>
      <c r="FK115" t="b">
        <f>AND(DATA!P651,"AAAAAHvP+6Y=")</f>
        <v>1</v>
      </c>
      <c r="FL115" t="b">
        <f>AND(DATA!Q651,"AAAAAHvP+6c=")</f>
        <v>1</v>
      </c>
      <c r="FM115" t="b">
        <f>AND(DATA!R651,"AAAAAHvP+6g=")</f>
        <v>1</v>
      </c>
      <c r="FN115" t="b">
        <f>AND(DATA!S651,"AAAAAHvP+6k=")</f>
        <v>1</v>
      </c>
      <c r="FO115" t="b">
        <f>AND(DATA!T651,"AAAAAHvP+6o=")</f>
        <v>1</v>
      </c>
      <c r="FP115" t="b">
        <f>AND(DATA!U651,"AAAAAHvP+6s=")</f>
        <v>1</v>
      </c>
      <c r="FQ115" t="b">
        <f>AND(DATA!V651,"AAAAAHvP+6w=")</f>
        <v>1</v>
      </c>
      <c r="FR115" t="e">
        <f>AND(DATA!W650,"AAAAAHvP+60=")</f>
        <v>#VALUE!</v>
      </c>
      <c r="FS115" t="e">
        <f>AND(DATA!X650,"AAAAAHvP+64=")</f>
        <v>#VALUE!</v>
      </c>
      <c r="FT115" t="e">
        <f>AND(DATA!Y650,"AAAAAHvP+68=")</f>
        <v>#VALUE!</v>
      </c>
      <c r="FU115">
        <f>IF(DATA!651:651,"AAAAAHvP+7A=",0)</f>
        <v>0</v>
      </c>
      <c r="FV115" t="e">
        <f>AND(DATA!A651,"AAAAAHvP+7E=")</f>
        <v>#VALUE!</v>
      </c>
      <c r="FW115" t="e">
        <f>AND(DATA!B651,"AAAAAHvP+7I=")</f>
        <v>#VALUE!</v>
      </c>
      <c r="FX115" t="e">
        <f>AND(DATA!C651,"AAAAAHvP+7M=")</f>
        <v>#VALUE!</v>
      </c>
      <c r="FY115" t="e">
        <f>AND(DATA!D651,"AAAAAHvP+7Q=")</f>
        <v>#VALUE!</v>
      </c>
      <c r="FZ115" t="e">
        <f>AND(DATA!E651,"AAAAAHvP+7U=")</f>
        <v>#VALUE!</v>
      </c>
      <c r="GA115" t="e">
        <f>AND(DATA!F651,"AAAAAHvP+7Y=")</f>
        <v>#VALUE!</v>
      </c>
      <c r="GB115" t="e">
        <f>AND(DATA!G651,"AAAAAHvP+7c=")</f>
        <v>#VALUE!</v>
      </c>
      <c r="GC115" t="e">
        <f>AND(DATA!H651,"AAAAAHvP+7g=")</f>
        <v>#VALUE!</v>
      </c>
      <c r="GD115" t="e">
        <f>AND(DATA!I651,"AAAAAHvP+7k=")</f>
        <v>#VALUE!</v>
      </c>
      <c r="GE115" t="e">
        <f>AND(DATA!J651,"AAAAAHvP+7o=")</f>
        <v>#VALUE!</v>
      </c>
      <c r="GF115" t="e">
        <f>AND(DATA!K651,"AAAAAHvP+7s=")</f>
        <v>#VALUE!</v>
      </c>
      <c r="GG115" t="b">
        <f>AND(DATA!L652,"AAAAAHvP+7w=")</f>
        <v>1</v>
      </c>
      <c r="GH115" t="b">
        <f>AND(DATA!M652,"AAAAAHvP+70=")</f>
        <v>1</v>
      </c>
      <c r="GI115" t="b">
        <f>AND(DATA!N652,"AAAAAHvP+74=")</f>
        <v>1</v>
      </c>
      <c r="GJ115" t="b">
        <f>AND(DATA!O652,"AAAAAHvP+78=")</f>
        <v>1</v>
      </c>
      <c r="GK115" t="b">
        <f>AND(DATA!P652,"AAAAAHvP+8A=")</f>
        <v>1</v>
      </c>
      <c r="GL115" t="b">
        <f>AND(DATA!Q652,"AAAAAHvP+8E=")</f>
        <v>1</v>
      </c>
      <c r="GM115" t="b">
        <f>AND(DATA!R652,"AAAAAHvP+8I=")</f>
        <v>1</v>
      </c>
      <c r="GN115" t="b">
        <f>AND(DATA!S652,"AAAAAHvP+8M=")</f>
        <v>1</v>
      </c>
      <c r="GO115" t="b">
        <f>AND(DATA!T652,"AAAAAHvP+8Q=")</f>
        <v>1</v>
      </c>
      <c r="GP115" t="b">
        <f>AND(DATA!U652,"AAAAAHvP+8U=")</f>
        <v>1</v>
      </c>
      <c r="GQ115" t="b">
        <f>AND(DATA!V652,"AAAAAHvP+8Y=")</f>
        <v>1</v>
      </c>
      <c r="GR115" t="e">
        <f>AND(DATA!W651,"AAAAAHvP+8c=")</f>
        <v>#VALUE!</v>
      </c>
      <c r="GS115" t="e">
        <f>AND(DATA!X651,"AAAAAHvP+8g=")</f>
        <v>#VALUE!</v>
      </c>
      <c r="GT115" t="e">
        <f>AND(DATA!Y651,"AAAAAHvP+8k=")</f>
        <v>#VALUE!</v>
      </c>
      <c r="GU115">
        <f>IF(DATA!652:652,"AAAAAHvP+8o=",0)</f>
        <v>0</v>
      </c>
      <c r="GV115" t="e">
        <f>AND(DATA!A652,"AAAAAHvP+8s=")</f>
        <v>#VALUE!</v>
      </c>
      <c r="GW115" t="e">
        <f>AND(DATA!B652,"AAAAAHvP+8w=")</f>
        <v>#VALUE!</v>
      </c>
      <c r="GX115" t="e">
        <f>AND(DATA!C652,"AAAAAHvP+80=")</f>
        <v>#VALUE!</v>
      </c>
      <c r="GY115" t="e">
        <f>AND(DATA!D652,"AAAAAHvP+84=")</f>
        <v>#VALUE!</v>
      </c>
      <c r="GZ115" t="e">
        <f>AND(DATA!E652,"AAAAAHvP+88=")</f>
        <v>#VALUE!</v>
      </c>
      <c r="HA115" t="e">
        <f>AND(DATA!F652,"AAAAAHvP+9A=")</f>
        <v>#VALUE!</v>
      </c>
      <c r="HB115" t="e">
        <f>AND(DATA!G652,"AAAAAHvP+9E=")</f>
        <v>#VALUE!</v>
      </c>
      <c r="HC115" t="e">
        <f>AND(DATA!H652,"AAAAAHvP+9I=")</f>
        <v>#VALUE!</v>
      </c>
      <c r="HD115" t="e">
        <f>AND(DATA!I652,"AAAAAHvP+9M=")</f>
        <v>#VALUE!</v>
      </c>
      <c r="HE115" t="e">
        <f>AND(DATA!J652,"AAAAAHvP+9Q=")</f>
        <v>#VALUE!</v>
      </c>
      <c r="HF115" t="e">
        <f>AND(DATA!K652,"AAAAAHvP+9U=")</f>
        <v>#VALUE!</v>
      </c>
      <c r="HG115" t="b">
        <f>AND(DATA!L653,"AAAAAHvP+9Y=")</f>
        <v>1</v>
      </c>
      <c r="HH115" t="b">
        <f>AND(DATA!M653,"AAAAAHvP+9c=")</f>
        <v>1</v>
      </c>
      <c r="HI115" t="b">
        <f>AND(DATA!N653,"AAAAAHvP+9g=")</f>
        <v>1</v>
      </c>
      <c r="HJ115" t="b">
        <f>AND(DATA!O653,"AAAAAHvP+9k=")</f>
        <v>1</v>
      </c>
      <c r="HK115" t="b">
        <f>AND(DATA!P653,"AAAAAHvP+9o=")</f>
        <v>1</v>
      </c>
      <c r="HL115" t="b">
        <f>AND(DATA!Q653,"AAAAAHvP+9s=")</f>
        <v>1</v>
      </c>
      <c r="HM115" t="b">
        <f>AND(DATA!R653,"AAAAAHvP+9w=")</f>
        <v>1</v>
      </c>
      <c r="HN115" t="b">
        <f>AND(DATA!S653,"AAAAAHvP+90=")</f>
        <v>1</v>
      </c>
      <c r="HO115" t="b">
        <f>AND(DATA!T653,"AAAAAHvP+94=")</f>
        <v>1</v>
      </c>
      <c r="HP115" t="b">
        <f>AND(DATA!U653,"AAAAAHvP+98=")</f>
        <v>1</v>
      </c>
      <c r="HQ115" t="b">
        <f>AND(DATA!V653,"AAAAAHvP++A=")</f>
        <v>1</v>
      </c>
      <c r="HR115" t="e">
        <f>AND(DATA!W652,"AAAAAHvP++E=")</f>
        <v>#VALUE!</v>
      </c>
      <c r="HS115" t="e">
        <f>AND(DATA!X652,"AAAAAHvP++I=")</f>
        <v>#VALUE!</v>
      </c>
      <c r="HT115" t="e">
        <f>AND(DATA!Y652,"AAAAAHvP++M=")</f>
        <v>#VALUE!</v>
      </c>
      <c r="HU115">
        <f>IF(DATA!653:653,"AAAAAHvP++Q=",0)</f>
        <v>0</v>
      </c>
      <c r="HV115" t="e">
        <f>AND(DATA!A653,"AAAAAHvP++U=")</f>
        <v>#VALUE!</v>
      </c>
      <c r="HW115" t="e">
        <f>AND(DATA!B653,"AAAAAHvP++Y=")</f>
        <v>#VALUE!</v>
      </c>
      <c r="HX115" t="e">
        <f>AND(DATA!C653,"AAAAAHvP++c=")</f>
        <v>#VALUE!</v>
      </c>
      <c r="HY115" t="e">
        <f>AND(DATA!D653,"AAAAAHvP++g=")</f>
        <v>#VALUE!</v>
      </c>
      <c r="HZ115" t="e">
        <f>AND(DATA!E653,"AAAAAHvP++k=")</f>
        <v>#VALUE!</v>
      </c>
      <c r="IA115" t="e">
        <f>AND(DATA!F653,"AAAAAHvP++o=")</f>
        <v>#VALUE!</v>
      </c>
      <c r="IB115" t="e">
        <f>AND(DATA!G653,"AAAAAHvP++s=")</f>
        <v>#VALUE!</v>
      </c>
      <c r="IC115" t="e">
        <f>AND(DATA!H653,"AAAAAHvP++w=")</f>
        <v>#VALUE!</v>
      </c>
      <c r="ID115" t="e">
        <f>AND(DATA!I653,"AAAAAHvP++0=")</f>
        <v>#VALUE!</v>
      </c>
      <c r="IE115" t="e">
        <f>AND(DATA!J653,"AAAAAHvP++4=")</f>
        <v>#VALUE!</v>
      </c>
      <c r="IF115" t="e">
        <f>AND(DATA!K653,"AAAAAHvP++8=")</f>
        <v>#VALUE!</v>
      </c>
      <c r="IG115" t="b">
        <f>AND(DATA!L654,"AAAAAHvP+/A=")</f>
        <v>1</v>
      </c>
      <c r="IH115" t="b">
        <f>AND(DATA!M654,"AAAAAHvP+/E=")</f>
        <v>1</v>
      </c>
      <c r="II115" t="b">
        <f>AND(DATA!N654,"AAAAAHvP+/I=")</f>
        <v>1</v>
      </c>
      <c r="IJ115" t="b">
        <f>AND(DATA!O654,"AAAAAHvP+/M=")</f>
        <v>1</v>
      </c>
      <c r="IK115" t="b">
        <f>AND(DATA!P654,"AAAAAHvP+/Q=")</f>
        <v>1</v>
      </c>
      <c r="IL115" t="b">
        <f>AND(DATA!Q654,"AAAAAHvP+/U=")</f>
        <v>1</v>
      </c>
      <c r="IM115" t="b">
        <f>AND(DATA!R654,"AAAAAHvP+/Y=")</f>
        <v>1</v>
      </c>
      <c r="IN115" t="b">
        <f>AND(DATA!S654,"AAAAAHvP+/c=")</f>
        <v>1</v>
      </c>
      <c r="IO115" t="b">
        <f>AND(DATA!T654,"AAAAAHvP+/g=")</f>
        <v>1</v>
      </c>
      <c r="IP115" t="b">
        <f>AND(DATA!U654,"AAAAAHvP+/k=")</f>
        <v>1</v>
      </c>
      <c r="IQ115" t="b">
        <f>AND(DATA!V654,"AAAAAHvP+/o=")</f>
        <v>1</v>
      </c>
      <c r="IR115" t="e">
        <f>AND(DATA!W653,"AAAAAHvP+/s=")</f>
        <v>#VALUE!</v>
      </c>
      <c r="IS115" t="e">
        <f>AND(DATA!X653,"AAAAAHvP+/w=")</f>
        <v>#VALUE!</v>
      </c>
      <c r="IT115" t="e">
        <f>AND(DATA!Y653,"AAAAAHvP+/0=")</f>
        <v>#VALUE!</v>
      </c>
      <c r="IU115">
        <f>IF(DATA!654:654,"AAAAAHvP+/4=",0)</f>
        <v>0</v>
      </c>
      <c r="IV115" t="e">
        <f>AND(DATA!A654,"AAAAAHvP+/8=")</f>
        <v>#VALUE!</v>
      </c>
    </row>
    <row r="116" spans="1:256" x14ac:dyDescent="0.25">
      <c r="A116" t="e">
        <f>AND(DATA!B654,"AAAAAC/72QA=")</f>
        <v>#VALUE!</v>
      </c>
      <c r="B116" t="e">
        <f>AND(DATA!C654,"AAAAAC/72QE=")</f>
        <v>#VALUE!</v>
      </c>
      <c r="C116" t="e">
        <f>AND(DATA!D654,"AAAAAC/72QI=")</f>
        <v>#VALUE!</v>
      </c>
      <c r="D116" t="e">
        <f>AND(DATA!E654,"AAAAAC/72QM=")</f>
        <v>#VALUE!</v>
      </c>
      <c r="E116" t="e">
        <f>AND(DATA!F654,"AAAAAC/72QQ=")</f>
        <v>#VALUE!</v>
      </c>
      <c r="F116" t="e">
        <f>AND(DATA!G654,"AAAAAC/72QU=")</f>
        <v>#VALUE!</v>
      </c>
      <c r="G116" t="e">
        <f>AND(DATA!H654,"AAAAAC/72QY=")</f>
        <v>#VALUE!</v>
      </c>
      <c r="H116" t="e">
        <f>AND(DATA!I654,"AAAAAC/72Qc=")</f>
        <v>#VALUE!</v>
      </c>
      <c r="I116" t="e">
        <f>AND(DATA!J654,"AAAAAC/72Qg=")</f>
        <v>#VALUE!</v>
      </c>
      <c r="J116" t="e">
        <f>AND(DATA!K654,"AAAAAC/72Qk=")</f>
        <v>#VALUE!</v>
      </c>
      <c r="K116" t="b">
        <f>AND(DATA!L655,"AAAAAC/72Qo=")</f>
        <v>1</v>
      </c>
      <c r="L116" t="b">
        <f>AND(DATA!M655,"AAAAAC/72Qs=")</f>
        <v>1</v>
      </c>
      <c r="M116" t="b">
        <f>AND(DATA!N655,"AAAAAC/72Qw=")</f>
        <v>1</v>
      </c>
      <c r="N116" t="b">
        <f>AND(DATA!O655,"AAAAAC/72Q0=")</f>
        <v>1</v>
      </c>
      <c r="O116" t="b">
        <f>AND(DATA!P655,"AAAAAC/72Q4=")</f>
        <v>1</v>
      </c>
      <c r="P116" t="b">
        <f>AND(DATA!Q655,"AAAAAC/72Q8=")</f>
        <v>1</v>
      </c>
      <c r="Q116" t="b">
        <f>AND(DATA!R655,"AAAAAC/72RA=")</f>
        <v>1</v>
      </c>
      <c r="R116" t="b">
        <f>AND(DATA!S655,"AAAAAC/72RE=")</f>
        <v>1</v>
      </c>
      <c r="S116" t="b">
        <f>AND(DATA!T655,"AAAAAC/72RI=")</f>
        <v>1</v>
      </c>
      <c r="T116" t="b">
        <f>AND(DATA!U655,"AAAAAC/72RM=")</f>
        <v>1</v>
      </c>
      <c r="U116" t="b">
        <f>AND(DATA!V655,"AAAAAC/72RQ=")</f>
        <v>1</v>
      </c>
      <c r="V116" t="e">
        <f>AND(DATA!W654,"AAAAAC/72RU=")</f>
        <v>#VALUE!</v>
      </c>
      <c r="W116" t="e">
        <f>AND(DATA!X654,"AAAAAC/72RY=")</f>
        <v>#VALUE!</v>
      </c>
      <c r="X116" t="e">
        <f>AND(DATA!Y654,"AAAAAC/72Rc=")</f>
        <v>#VALUE!</v>
      </c>
      <c r="Y116">
        <f>IF(DATA!655:655,"AAAAAC/72Rg=",0)</f>
        <v>0</v>
      </c>
      <c r="Z116" t="e">
        <f>AND(DATA!A655,"AAAAAC/72Rk=")</f>
        <v>#VALUE!</v>
      </c>
      <c r="AA116" t="e">
        <f>AND(DATA!B655,"AAAAAC/72Ro=")</f>
        <v>#VALUE!</v>
      </c>
      <c r="AB116" t="e">
        <f>AND(DATA!C655,"AAAAAC/72Rs=")</f>
        <v>#VALUE!</v>
      </c>
      <c r="AC116" t="e">
        <f>AND(DATA!D655,"AAAAAC/72Rw=")</f>
        <v>#VALUE!</v>
      </c>
      <c r="AD116" t="e">
        <f>AND(DATA!E655,"AAAAAC/72R0=")</f>
        <v>#VALUE!</v>
      </c>
      <c r="AE116" t="e">
        <f>AND(DATA!F655,"AAAAAC/72R4=")</f>
        <v>#VALUE!</v>
      </c>
      <c r="AF116" t="e">
        <f>AND(DATA!G655,"AAAAAC/72R8=")</f>
        <v>#VALUE!</v>
      </c>
      <c r="AG116" t="e">
        <f>AND(DATA!H655,"AAAAAC/72SA=")</f>
        <v>#VALUE!</v>
      </c>
      <c r="AH116" t="e">
        <f>AND(DATA!I655,"AAAAAC/72SE=")</f>
        <v>#VALUE!</v>
      </c>
      <c r="AI116" t="e">
        <f>AND(DATA!J655,"AAAAAC/72SI=")</f>
        <v>#VALUE!</v>
      </c>
      <c r="AJ116" t="e">
        <f>AND(DATA!K655,"AAAAAC/72SM=")</f>
        <v>#VALUE!</v>
      </c>
      <c r="AK116" t="b">
        <f>AND(DATA!L656,"AAAAAC/72SQ=")</f>
        <v>1</v>
      </c>
      <c r="AL116" t="b">
        <f>AND(DATA!M656,"AAAAAC/72SU=")</f>
        <v>1</v>
      </c>
      <c r="AM116" t="b">
        <f>AND(DATA!N656,"AAAAAC/72SY=")</f>
        <v>1</v>
      </c>
      <c r="AN116" t="b">
        <f>AND(DATA!O656,"AAAAAC/72Sc=")</f>
        <v>1</v>
      </c>
      <c r="AO116" t="b">
        <f>AND(DATA!P656,"AAAAAC/72Sg=")</f>
        <v>1</v>
      </c>
      <c r="AP116" t="b">
        <f>AND(DATA!Q656,"AAAAAC/72Sk=")</f>
        <v>1</v>
      </c>
      <c r="AQ116" t="b">
        <f>AND(DATA!R656,"AAAAAC/72So=")</f>
        <v>1</v>
      </c>
      <c r="AR116" t="b">
        <f>AND(DATA!S656,"AAAAAC/72Ss=")</f>
        <v>1</v>
      </c>
      <c r="AS116" t="b">
        <f>AND(DATA!T656,"AAAAAC/72Sw=")</f>
        <v>1</v>
      </c>
      <c r="AT116" t="b">
        <f>AND(DATA!U656,"AAAAAC/72S0=")</f>
        <v>1</v>
      </c>
      <c r="AU116" t="b">
        <f>AND(DATA!V656,"AAAAAC/72S4=")</f>
        <v>1</v>
      </c>
      <c r="AV116" t="e">
        <f>AND(DATA!W655,"AAAAAC/72S8=")</f>
        <v>#VALUE!</v>
      </c>
      <c r="AW116" t="e">
        <f>AND(DATA!X655,"AAAAAC/72TA=")</f>
        <v>#VALUE!</v>
      </c>
      <c r="AX116" t="e">
        <f>AND(DATA!Y655,"AAAAAC/72TE=")</f>
        <v>#VALUE!</v>
      </c>
      <c r="AY116">
        <f>IF(DATA!656:656,"AAAAAC/72TI=",0)</f>
        <v>0</v>
      </c>
      <c r="AZ116" t="e">
        <f>AND(DATA!A656,"AAAAAC/72TM=")</f>
        <v>#VALUE!</v>
      </c>
      <c r="BA116" t="e">
        <f>AND(DATA!B656,"AAAAAC/72TQ=")</f>
        <v>#VALUE!</v>
      </c>
      <c r="BB116" t="e">
        <f>AND(DATA!C656,"AAAAAC/72TU=")</f>
        <v>#VALUE!</v>
      </c>
      <c r="BC116" t="e">
        <f>AND(DATA!D656,"AAAAAC/72TY=")</f>
        <v>#VALUE!</v>
      </c>
      <c r="BD116" t="e">
        <f>AND(DATA!E656,"AAAAAC/72Tc=")</f>
        <v>#VALUE!</v>
      </c>
      <c r="BE116" t="e">
        <f>AND(DATA!F656,"AAAAAC/72Tg=")</f>
        <v>#VALUE!</v>
      </c>
      <c r="BF116" t="e">
        <f>AND(DATA!G656,"AAAAAC/72Tk=")</f>
        <v>#VALUE!</v>
      </c>
      <c r="BG116" t="e">
        <f>AND(DATA!H656,"AAAAAC/72To=")</f>
        <v>#VALUE!</v>
      </c>
      <c r="BH116" t="e">
        <f>AND(DATA!I656,"AAAAAC/72Ts=")</f>
        <v>#VALUE!</v>
      </c>
      <c r="BI116" t="e">
        <f>AND(DATA!J656,"AAAAAC/72Tw=")</f>
        <v>#VALUE!</v>
      </c>
      <c r="BJ116" t="e">
        <f>AND(DATA!K656,"AAAAAC/72T0=")</f>
        <v>#VALUE!</v>
      </c>
      <c r="BK116" t="b">
        <f>AND(DATA!L657,"AAAAAC/72T4=")</f>
        <v>1</v>
      </c>
      <c r="BL116" t="b">
        <f>AND(DATA!M657,"AAAAAC/72T8=")</f>
        <v>1</v>
      </c>
      <c r="BM116" t="b">
        <f>AND(DATA!N657,"AAAAAC/72UA=")</f>
        <v>1</v>
      </c>
      <c r="BN116" t="b">
        <f>AND(DATA!O657,"AAAAAC/72UE=")</f>
        <v>1</v>
      </c>
      <c r="BO116" t="b">
        <f>AND(DATA!P657,"AAAAAC/72UI=")</f>
        <v>1</v>
      </c>
      <c r="BP116" t="b">
        <f>AND(DATA!Q657,"AAAAAC/72UM=")</f>
        <v>1</v>
      </c>
      <c r="BQ116" t="b">
        <f>AND(DATA!R657,"AAAAAC/72UQ=")</f>
        <v>1</v>
      </c>
      <c r="BR116" t="b">
        <f>AND(DATA!S657,"AAAAAC/72UU=")</f>
        <v>1</v>
      </c>
      <c r="BS116" t="b">
        <f>AND(DATA!T657,"AAAAAC/72UY=")</f>
        <v>1</v>
      </c>
      <c r="BT116" t="b">
        <f>AND(DATA!U657,"AAAAAC/72Uc=")</f>
        <v>1</v>
      </c>
      <c r="BU116" t="b">
        <f>AND(DATA!V657,"AAAAAC/72Ug=")</f>
        <v>1</v>
      </c>
      <c r="BV116" t="e">
        <f>AND(DATA!W656,"AAAAAC/72Uk=")</f>
        <v>#VALUE!</v>
      </c>
      <c r="BW116" t="e">
        <f>AND(DATA!X656,"AAAAAC/72Uo=")</f>
        <v>#VALUE!</v>
      </c>
      <c r="BX116" t="e">
        <f>AND(DATA!Y656,"AAAAAC/72Us=")</f>
        <v>#VALUE!</v>
      </c>
      <c r="BY116">
        <f>IF(DATA!657:657,"AAAAAC/72Uw=",0)</f>
        <v>0</v>
      </c>
      <c r="BZ116" t="e">
        <f>AND(DATA!A657,"AAAAAC/72U0=")</f>
        <v>#VALUE!</v>
      </c>
      <c r="CA116" t="e">
        <f>AND(DATA!B657,"AAAAAC/72U4=")</f>
        <v>#VALUE!</v>
      </c>
      <c r="CB116" t="e">
        <f>AND(DATA!C657,"AAAAAC/72U8=")</f>
        <v>#VALUE!</v>
      </c>
      <c r="CC116" t="e">
        <f>AND(DATA!D657,"AAAAAC/72VA=")</f>
        <v>#VALUE!</v>
      </c>
      <c r="CD116" t="e">
        <f>AND(DATA!E657,"AAAAAC/72VE=")</f>
        <v>#VALUE!</v>
      </c>
      <c r="CE116" t="e">
        <f>AND(DATA!F657,"AAAAAC/72VI=")</f>
        <v>#VALUE!</v>
      </c>
      <c r="CF116" t="e">
        <f>AND(DATA!G657,"AAAAAC/72VM=")</f>
        <v>#VALUE!</v>
      </c>
      <c r="CG116" t="e">
        <f>AND(DATA!H657,"AAAAAC/72VQ=")</f>
        <v>#VALUE!</v>
      </c>
      <c r="CH116" t="e">
        <f>AND(DATA!I657,"AAAAAC/72VU=")</f>
        <v>#VALUE!</v>
      </c>
      <c r="CI116" t="e">
        <f>AND(DATA!J657,"AAAAAC/72VY=")</f>
        <v>#VALUE!</v>
      </c>
      <c r="CJ116" t="e">
        <f>AND(DATA!K657,"AAAAAC/72Vc=")</f>
        <v>#VALUE!</v>
      </c>
      <c r="CK116" t="b">
        <f>AND(DATA!L658,"AAAAAC/72Vg=")</f>
        <v>1</v>
      </c>
      <c r="CL116" t="b">
        <f>AND(DATA!M658,"AAAAAC/72Vk=")</f>
        <v>1</v>
      </c>
      <c r="CM116" t="b">
        <f>AND(DATA!N658,"AAAAAC/72Vo=")</f>
        <v>1</v>
      </c>
      <c r="CN116" t="b">
        <f>AND(DATA!O658,"AAAAAC/72Vs=")</f>
        <v>1</v>
      </c>
      <c r="CO116" t="b">
        <f>AND(DATA!P658,"AAAAAC/72Vw=")</f>
        <v>1</v>
      </c>
      <c r="CP116" t="b">
        <f>AND(DATA!Q658,"AAAAAC/72V0=")</f>
        <v>1</v>
      </c>
      <c r="CQ116" t="b">
        <f>AND(DATA!R658,"AAAAAC/72V4=")</f>
        <v>1</v>
      </c>
      <c r="CR116" t="b">
        <f>AND(DATA!S658,"AAAAAC/72V8=")</f>
        <v>1</v>
      </c>
      <c r="CS116" t="b">
        <f>AND(DATA!T658,"AAAAAC/72WA=")</f>
        <v>1</v>
      </c>
      <c r="CT116" t="b">
        <f>AND(DATA!U658,"AAAAAC/72WE=")</f>
        <v>1</v>
      </c>
      <c r="CU116" t="b">
        <f>AND(DATA!V658,"AAAAAC/72WI=")</f>
        <v>1</v>
      </c>
      <c r="CV116" t="e">
        <f>AND(DATA!W657,"AAAAAC/72WM=")</f>
        <v>#VALUE!</v>
      </c>
      <c r="CW116" t="e">
        <f>AND(DATA!X657,"AAAAAC/72WQ=")</f>
        <v>#VALUE!</v>
      </c>
      <c r="CX116" t="e">
        <f>AND(DATA!Y657,"AAAAAC/72WU=")</f>
        <v>#VALUE!</v>
      </c>
      <c r="CY116">
        <f>IF(DATA!658:658,"AAAAAC/72WY=",0)</f>
        <v>0</v>
      </c>
      <c r="CZ116" t="e">
        <f>AND(DATA!A658,"AAAAAC/72Wc=")</f>
        <v>#VALUE!</v>
      </c>
      <c r="DA116" t="e">
        <f>AND(DATA!B658,"AAAAAC/72Wg=")</f>
        <v>#VALUE!</v>
      </c>
      <c r="DB116" t="e">
        <f>AND(DATA!C658,"AAAAAC/72Wk=")</f>
        <v>#VALUE!</v>
      </c>
      <c r="DC116" t="e">
        <f>AND(DATA!D658,"AAAAAC/72Wo=")</f>
        <v>#VALUE!</v>
      </c>
      <c r="DD116" t="e">
        <f>AND(DATA!E658,"AAAAAC/72Ws=")</f>
        <v>#VALUE!</v>
      </c>
      <c r="DE116" t="e">
        <f>AND(DATA!F658,"AAAAAC/72Ww=")</f>
        <v>#VALUE!</v>
      </c>
      <c r="DF116" t="e">
        <f>AND(DATA!G658,"AAAAAC/72W0=")</f>
        <v>#VALUE!</v>
      </c>
      <c r="DG116" t="e">
        <f>AND(DATA!H658,"AAAAAC/72W4=")</f>
        <v>#VALUE!</v>
      </c>
      <c r="DH116" t="e">
        <f>AND(DATA!I658,"AAAAAC/72W8=")</f>
        <v>#VALUE!</v>
      </c>
      <c r="DI116" t="e">
        <f>AND(DATA!J658,"AAAAAC/72XA=")</f>
        <v>#VALUE!</v>
      </c>
      <c r="DJ116" t="e">
        <f>AND(DATA!K658,"AAAAAC/72XE=")</f>
        <v>#VALUE!</v>
      </c>
      <c r="DK116" t="b">
        <f>AND(DATA!L659,"AAAAAC/72XI=")</f>
        <v>1</v>
      </c>
      <c r="DL116" t="b">
        <f>AND(DATA!M659,"AAAAAC/72XM=")</f>
        <v>1</v>
      </c>
      <c r="DM116" t="b">
        <f>AND(DATA!N659,"AAAAAC/72XQ=")</f>
        <v>1</v>
      </c>
      <c r="DN116" t="b">
        <f>AND(DATA!O659,"AAAAAC/72XU=")</f>
        <v>1</v>
      </c>
      <c r="DO116" t="b">
        <f>AND(DATA!P659,"AAAAAC/72XY=")</f>
        <v>1</v>
      </c>
      <c r="DP116" t="b">
        <f>AND(DATA!Q659,"AAAAAC/72Xc=")</f>
        <v>1</v>
      </c>
      <c r="DQ116" t="b">
        <f>AND(DATA!R659,"AAAAAC/72Xg=")</f>
        <v>1</v>
      </c>
      <c r="DR116" t="b">
        <f>AND(DATA!S659,"AAAAAC/72Xk=")</f>
        <v>1</v>
      </c>
      <c r="DS116" t="b">
        <f>AND(DATA!T659,"AAAAAC/72Xo=")</f>
        <v>1</v>
      </c>
      <c r="DT116" t="b">
        <f>AND(DATA!U659,"AAAAAC/72Xs=")</f>
        <v>1</v>
      </c>
      <c r="DU116" t="b">
        <f>AND(DATA!V659,"AAAAAC/72Xw=")</f>
        <v>1</v>
      </c>
      <c r="DV116" t="e">
        <f>AND(DATA!W658,"AAAAAC/72X0=")</f>
        <v>#VALUE!</v>
      </c>
      <c r="DW116" t="e">
        <f>AND(DATA!X658,"AAAAAC/72X4=")</f>
        <v>#VALUE!</v>
      </c>
      <c r="DX116" t="e">
        <f>AND(DATA!Y658,"AAAAAC/72X8=")</f>
        <v>#VALUE!</v>
      </c>
      <c r="DY116">
        <f>IF(DATA!659:659,"AAAAAC/72YA=",0)</f>
        <v>0</v>
      </c>
      <c r="DZ116" t="e">
        <f>AND(DATA!A659,"AAAAAC/72YE=")</f>
        <v>#VALUE!</v>
      </c>
      <c r="EA116" t="e">
        <f>AND(DATA!B659,"AAAAAC/72YI=")</f>
        <v>#VALUE!</v>
      </c>
      <c r="EB116" t="e">
        <f>AND(DATA!C659,"AAAAAC/72YM=")</f>
        <v>#VALUE!</v>
      </c>
      <c r="EC116" t="e">
        <f>AND(DATA!D659,"AAAAAC/72YQ=")</f>
        <v>#VALUE!</v>
      </c>
      <c r="ED116" t="e">
        <f>AND(DATA!E659,"AAAAAC/72YU=")</f>
        <v>#VALUE!</v>
      </c>
      <c r="EE116" t="e">
        <f>AND(DATA!F659,"AAAAAC/72YY=")</f>
        <v>#VALUE!</v>
      </c>
      <c r="EF116" t="e">
        <f>AND(DATA!G659,"AAAAAC/72Yc=")</f>
        <v>#VALUE!</v>
      </c>
      <c r="EG116" t="e">
        <f>AND(DATA!H659,"AAAAAC/72Yg=")</f>
        <v>#VALUE!</v>
      </c>
      <c r="EH116" t="e">
        <f>AND(DATA!I659,"AAAAAC/72Yk=")</f>
        <v>#VALUE!</v>
      </c>
      <c r="EI116" t="e">
        <f>AND(DATA!J659,"AAAAAC/72Yo=")</f>
        <v>#VALUE!</v>
      </c>
      <c r="EJ116" t="e">
        <f>AND(DATA!K659,"AAAAAC/72Ys=")</f>
        <v>#VALUE!</v>
      </c>
      <c r="EK116" t="b">
        <f>AND(DATA!L660,"AAAAAC/72Yw=")</f>
        <v>1</v>
      </c>
      <c r="EL116" t="b">
        <f>AND(DATA!M660,"AAAAAC/72Y0=")</f>
        <v>1</v>
      </c>
      <c r="EM116" t="b">
        <f>AND(DATA!N660,"AAAAAC/72Y4=")</f>
        <v>1</v>
      </c>
      <c r="EN116" t="b">
        <f>AND(DATA!O660,"AAAAAC/72Y8=")</f>
        <v>1</v>
      </c>
      <c r="EO116" t="b">
        <f>AND(DATA!P660,"AAAAAC/72ZA=")</f>
        <v>1</v>
      </c>
      <c r="EP116" t="b">
        <f>AND(DATA!Q660,"AAAAAC/72ZE=")</f>
        <v>1</v>
      </c>
      <c r="EQ116" t="b">
        <f>AND(DATA!R660,"AAAAAC/72ZI=")</f>
        <v>1</v>
      </c>
      <c r="ER116" t="b">
        <f>AND(DATA!S660,"AAAAAC/72ZM=")</f>
        <v>1</v>
      </c>
      <c r="ES116" t="b">
        <f>AND(DATA!T660,"AAAAAC/72ZQ=")</f>
        <v>1</v>
      </c>
      <c r="ET116" t="b">
        <f>AND(DATA!U660,"AAAAAC/72ZU=")</f>
        <v>1</v>
      </c>
      <c r="EU116" t="b">
        <f>AND(DATA!V660,"AAAAAC/72ZY=")</f>
        <v>1</v>
      </c>
      <c r="EV116" t="e">
        <f>AND(DATA!W659,"AAAAAC/72Zc=")</f>
        <v>#VALUE!</v>
      </c>
      <c r="EW116" t="e">
        <f>AND(DATA!X659,"AAAAAC/72Zg=")</f>
        <v>#VALUE!</v>
      </c>
      <c r="EX116" t="e">
        <f>AND(DATA!Y659,"AAAAAC/72Zk=")</f>
        <v>#VALUE!</v>
      </c>
      <c r="EY116">
        <f>IF(DATA!660:660,"AAAAAC/72Zo=",0)</f>
        <v>0</v>
      </c>
      <c r="EZ116" t="e">
        <f>AND(DATA!A660,"AAAAAC/72Zs=")</f>
        <v>#VALUE!</v>
      </c>
      <c r="FA116" t="e">
        <f>AND(DATA!B660,"AAAAAC/72Zw=")</f>
        <v>#VALUE!</v>
      </c>
      <c r="FB116" t="e">
        <f>AND(DATA!C660,"AAAAAC/72Z0=")</f>
        <v>#VALUE!</v>
      </c>
      <c r="FC116" t="e">
        <f>AND(DATA!D660,"AAAAAC/72Z4=")</f>
        <v>#VALUE!</v>
      </c>
      <c r="FD116" t="e">
        <f>AND(DATA!E660,"AAAAAC/72Z8=")</f>
        <v>#VALUE!</v>
      </c>
      <c r="FE116" t="e">
        <f>AND(DATA!F660,"AAAAAC/72aA=")</f>
        <v>#VALUE!</v>
      </c>
      <c r="FF116" t="e">
        <f>AND(DATA!G660,"AAAAAC/72aE=")</f>
        <v>#VALUE!</v>
      </c>
      <c r="FG116" t="e">
        <f>AND(DATA!H660,"AAAAAC/72aI=")</f>
        <v>#VALUE!</v>
      </c>
      <c r="FH116" t="e">
        <f>AND(DATA!I660,"AAAAAC/72aM=")</f>
        <v>#VALUE!</v>
      </c>
      <c r="FI116" t="e">
        <f>AND(DATA!J660,"AAAAAC/72aQ=")</f>
        <v>#VALUE!</v>
      </c>
      <c r="FJ116" t="e">
        <f>AND(DATA!K660,"AAAAAC/72aU=")</f>
        <v>#VALUE!</v>
      </c>
      <c r="FK116" t="b">
        <f>AND(DATA!L661,"AAAAAC/72aY=")</f>
        <v>1</v>
      </c>
      <c r="FL116" t="b">
        <f>AND(DATA!M661,"AAAAAC/72ac=")</f>
        <v>1</v>
      </c>
      <c r="FM116" t="b">
        <f>AND(DATA!N661,"AAAAAC/72ag=")</f>
        <v>1</v>
      </c>
      <c r="FN116" t="b">
        <f>AND(DATA!O661,"AAAAAC/72ak=")</f>
        <v>1</v>
      </c>
      <c r="FO116" t="b">
        <f>AND(DATA!P661,"AAAAAC/72ao=")</f>
        <v>1</v>
      </c>
      <c r="FP116" t="b">
        <f>AND(DATA!Q661,"AAAAAC/72as=")</f>
        <v>1</v>
      </c>
      <c r="FQ116" t="b">
        <f>AND(DATA!R661,"AAAAAC/72aw=")</f>
        <v>1</v>
      </c>
      <c r="FR116" t="b">
        <f>AND(DATA!S661,"AAAAAC/72a0=")</f>
        <v>1</v>
      </c>
      <c r="FS116" t="b">
        <f>AND(DATA!T661,"AAAAAC/72a4=")</f>
        <v>1</v>
      </c>
      <c r="FT116" t="b">
        <f>AND(DATA!U661,"AAAAAC/72a8=")</f>
        <v>1</v>
      </c>
      <c r="FU116" t="b">
        <f>AND(DATA!V661,"AAAAAC/72bA=")</f>
        <v>1</v>
      </c>
      <c r="FV116" t="e">
        <f>AND(DATA!W660,"AAAAAC/72bE=")</f>
        <v>#VALUE!</v>
      </c>
      <c r="FW116" t="e">
        <f>AND(DATA!X660,"AAAAAC/72bI=")</f>
        <v>#VALUE!</v>
      </c>
      <c r="FX116" t="e">
        <f>AND(DATA!Y660,"AAAAAC/72bM=")</f>
        <v>#VALUE!</v>
      </c>
      <c r="FY116">
        <f>IF(DATA!661:661,"AAAAAC/72bQ=",0)</f>
        <v>0</v>
      </c>
      <c r="FZ116" t="e">
        <f>AND(DATA!A661,"AAAAAC/72bU=")</f>
        <v>#VALUE!</v>
      </c>
      <c r="GA116" t="e">
        <f>AND(DATA!B661,"AAAAAC/72bY=")</f>
        <v>#VALUE!</v>
      </c>
      <c r="GB116" t="e">
        <f>AND(DATA!C661,"AAAAAC/72bc=")</f>
        <v>#VALUE!</v>
      </c>
      <c r="GC116" t="e">
        <f>AND(DATA!D661,"AAAAAC/72bg=")</f>
        <v>#VALUE!</v>
      </c>
      <c r="GD116" t="e">
        <f>AND(DATA!E661,"AAAAAC/72bk=")</f>
        <v>#VALUE!</v>
      </c>
      <c r="GE116" t="e">
        <f>AND(DATA!F661,"AAAAAC/72bo=")</f>
        <v>#VALUE!</v>
      </c>
      <c r="GF116" t="e">
        <f>AND(DATA!G661,"AAAAAC/72bs=")</f>
        <v>#VALUE!</v>
      </c>
      <c r="GG116" t="e">
        <f>AND(DATA!H661,"AAAAAC/72bw=")</f>
        <v>#VALUE!</v>
      </c>
      <c r="GH116" t="e">
        <f>AND(DATA!I661,"AAAAAC/72b0=")</f>
        <v>#VALUE!</v>
      </c>
      <c r="GI116" t="e">
        <f>AND(DATA!J661,"AAAAAC/72b4=")</f>
        <v>#VALUE!</v>
      </c>
      <c r="GJ116" t="e">
        <f>AND(DATA!K661,"AAAAAC/72b8=")</f>
        <v>#VALUE!</v>
      </c>
      <c r="GK116" t="b">
        <f>AND(DATA!L662,"AAAAAC/72cA=")</f>
        <v>1</v>
      </c>
      <c r="GL116" t="b">
        <f>AND(DATA!M662,"AAAAAC/72cE=")</f>
        <v>1</v>
      </c>
      <c r="GM116" t="b">
        <f>AND(DATA!N662,"AAAAAC/72cI=")</f>
        <v>1</v>
      </c>
      <c r="GN116" t="b">
        <f>AND(DATA!O662,"AAAAAC/72cM=")</f>
        <v>1</v>
      </c>
      <c r="GO116" t="b">
        <f>AND(DATA!P662,"AAAAAC/72cQ=")</f>
        <v>1</v>
      </c>
      <c r="GP116" t="b">
        <f>AND(DATA!Q662,"AAAAAC/72cU=")</f>
        <v>1</v>
      </c>
      <c r="GQ116" t="b">
        <f>AND(DATA!R662,"AAAAAC/72cY=")</f>
        <v>1</v>
      </c>
      <c r="GR116" t="b">
        <f>AND(DATA!S662,"AAAAAC/72cc=")</f>
        <v>1</v>
      </c>
      <c r="GS116" t="b">
        <f>AND(DATA!T662,"AAAAAC/72cg=")</f>
        <v>1</v>
      </c>
      <c r="GT116" t="b">
        <f>AND(DATA!U662,"AAAAAC/72ck=")</f>
        <v>1</v>
      </c>
      <c r="GU116" t="b">
        <f>AND(DATA!V662,"AAAAAC/72co=")</f>
        <v>1</v>
      </c>
      <c r="GV116" t="e">
        <f>AND(DATA!W661,"AAAAAC/72cs=")</f>
        <v>#VALUE!</v>
      </c>
      <c r="GW116" t="e">
        <f>AND(DATA!X661,"AAAAAC/72cw=")</f>
        <v>#VALUE!</v>
      </c>
      <c r="GX116" t="e">
        <f>AND(DATA!Y661,"AAAAAC/72c0=")</f>
        <v>#VALUE!</v>
      </c>
      <c r="GY116">
        <f>IF(DATA!662:662,"AAAAAC/72c4=",0)</f>
        <v>0</v>
      </c>
      <c r="GZ116" t="e">
        <f>AND(DATA!A662,"AAAAAC/72c8=")</f>
        <v>#VALUE!</v>
      </c>
      <c r="HA116" t="e">
        <f>AND(DATA!B662,"AAAAAC/72dA=")</f>
        <v>#VALUE!</v>
      </c>
      <c r="HB116" t="e">
        <f>AND(DATA!C662,"AAAAAC/72dE=")</f>
        <v>#VALUE!</v>
      </c>
      <c r="HC116" t="e">
        <f>AND(DATA!D662,"AAAAAC/72dI=")</f>
        <v>#VALUE!</v>
      </c>
      <c r="HD116" t="e">
        <f>AND(DATA!E662,"AAAAAC/72dM=")</f>
        <v>#VALUE!</v>
      </c>
      <c r="HE116" t="e">
        <f>AND(DATA!F662,"AAAAAC/72dQ=")</f>
        <v>#VALUE!</v>
      </c>
      <c r="HF116" t="e">
        <f>AND(DATA!G662,"AAAAAC/72dU=")</f>
        <v>#VALUE!</v>
      </c>
      <c r="HG116" t="e">
        <f>AND(DATA!H662,"AAAAAC/72dY=")</f>
        <v>#VALUE!</v>
      </c>
      <c r="HH116" t="e">
        <f>AND(DATA!I662,"AAAAAC/72dc=")</f>
        <v>#VALUE!</v>
      </c>
      <c r="HI116" t="e">
        <f>AND(DATA!J662,"AAAAAC/72dg=")</f>
        <v>#VALUE!</v>
      </c>
      <c r="HJ116" t="e">
        <f>AND(DATA!K662,"AAAAAC/72dk=")</f>
        <v>#VALUE!</v>
      </c>
      <c r="HK116" t="b">
        <f>AND(DATA!L663,"AAAAAC/72do=")</f>
        <v>1</v>
      </c>
      <c r="HL116" t="b">
        <f>AND(DATA!M663,"AAAAAC/72ds=")</f>
        <v>1</v>
      </c>
      <c r="HM116" t="b">
        <f>AND(DATA!N663,"AAAAAC/72dw=")</f>
        <v>1</v>
      </c>
      <c r="HN116" t="b">
        <f>AND(DATA!O663,"AAAAAC/72d0=")</f>
        <v>1</v>
      </c>
      <c r="HO116" t="b">
        <f>AND(DATA!P663,"AAAAAC/72d4=")</f>
        <v>1</v>
      </c>
      <c r="HP116" t="b">
        <f>AND(DATA!Q663,"AAAAAC/72d8=")</f>
        <v>1</v>
      </c>
      <c r="HQ116" t="b">
        <f>AND(DATA!R663,"AAAAAC/72eA=")</f>
        <v>1</v>
      </c>
      <c r="HR116" t="b">
        <f>AND(DATA!S663,"AAAAAC/72eE=")</f>
        <v>1</v>
      </c>
      <c r="HS116" t="b">
        <f>AND(DATA!T663,"AAAAAC/72eI=")</f>
        <v>1</v>
      </c>
      <c r="HT116" t="b">
        <f>AND(DATA!U663,"AAAAAC/72eM=")</f>
        <v>1</v>
      </c>
      <c r="HU116" t="b">
        <f>AND(DATA!V663,"AAAAAC/72eQ=")</f>
        <v>1</v>
      </c>
      <c r="HV116" t="e">
        <f>AND(DATA!W662,"AAAAAC/72eU=")</f>
        <v>#VALUE!</v>
      </c>
      <c r="HW116" t="e">
        <f>AND(DATA!X662,"AAAAAC/72eY=")</f>
        <v>#VALUE!</v>
      </c>
      <c r="HX116" t="e">
        <f>AND(DATA!Y662,"AAAAAC/72ec=")</f>
        <v>#VALUE!</v>
      </c>
      <c r="HY116">
        <f>IF(DATA!663:663,"AAAAAC/72eg=",0)</f>
        <v>0</v>
      </c>
      <c r="HZ116" t="e">
        <f>AND(DATA!A663,"AAAAAC/72ek=")</f>
        <v>#VALUE!</v>
      </c>
      <c r="IA116" t="e">
        <f>AND(DATA!B663,"AAAAAC/72eo=")</f>
        <v>#VALUE!</v>
      </c>
      <c r="IB116" t="e">
        <f>AND(DATA!C663,"AAAAAC/72es=")</f>
        <v>#VALUE!</v>
      </c>
      <c r="IC116" t="e">
        <f>AND(DATA!D663,"AAAAAC/72ew=")</f>
        <v>#VALUE!</v>
      </c>
      <c r="ID116" t="e">
        <f>AND(DATA!E663,"AAAAAC/72e0=")</f>
        <v>#VALUE!</v>
      </c>
      <c r="IE116" t="e">
        <f>AND(DATA!F663,"AAAAAC/72e4=")</f>
        <v>#VALUE!</v>
      </c>
      <c r="IF116" t="e">
        <f>AND(DATA!G663,"AAAAAC/72e8=")</f>
        <v>#VALUE!</v>
      </c>
      <c r="IG116" t="e">
        <f>AND(DATA!H663,"AAAAAC/72fA=")</f>
        <v>#VALUE!</v>
      </c>
      <c r="IH116" t="e">
        <f>AND(DATA!I663,"AAAAAC/72fE=")</f>
        <v>#VALUE!</v>
      </c>
      <c r="II116" t="e">
        <f>AND(DATA!J663,"AAAAAC/72fI=")</f>
        <v>#VALUE!</v>
      </c>
      <c r="IJ116" t="e">
        <f>AND(DATA!K663,"AAAAAC/72fM=")</f>
        <v>#VALUE!</v>
      </c>
      <c r="IK116" t="b">
        <f>AND(DATA!L664,"AAAAAC/72fQ=")</f>
        <v>1</v>
      </c>
      <c r="IL116" t="b">
        <f>AND(DATA!M664,"AAAAAC/72fU=")</f>
        <v>1</v>
      </c>
      <c r="IM116" t="b">
        <f>AND(DATA!N664,"AAAAAC/72fY=")</f>
        <v>1</v>
      </c>
      <c r="IN116" t="b">
        <f>AND(DATA!O664,"AAAAAC/72fc=")</f>
        <v>1</v>
      </c>
      <c r="IO116" t="b">
        <f>AND(DATA!P664,"AAAAAC/72fg=")</f>
        <v>1</v>
      </c>
      <c r="IP116" t="b">
        <f>AND(DATA!Q664,"AAAAAC/72fk=")</f>
        <v>1</v>
      </c>
      <c r="IQ116" t="b">
        <f>AND(DATA!R664,"AAAAAC/72fo=")</f>
        <v>1</v>
      </c>
      <c r="IR116" t="b">
        <f>AND(DATA!S664,"AAAAAC/72fs=")</f>
        <v>1</v>
      </c>
      <c r="IS116" t="b">
        <f>AND(DATA!T664,"AAAAAC/72fw=")</f>
        <v>1</v>
      </c>
      <c r="IT116" t="b">
        <f>AND(DATA!U664,"AAAAAC/72f0=")</f>
        <v>1</v>
      </c>
      <c r="IU116" t="b">
        <f>AND(DATA!V664,"AAAAAC/72f4=")</f>
        <v>1</v>
      </c>
      <c r="IV116" t="e">
        <f>AND(DATA!W663,"AAAAAC/72f8=")</f>
        <v>#VALUE!</v>
      </c>
    </row>
    <row r="117" spans="1:256" x14ac:dyDescent="0.25">
      <c r="A117" t="e">
        <f>AND(DATA!X663,"AAAAAG/v/gA=")</f>
        <v>#VALUE!</v>
      </c>
      <c r="B117" t="e">
        <f>AND(DATA!Y663,"AAAAAG/v/gE=")</f>
        <v>#VALUE!</v>
      </c>
      <c r="C117">
        <f>IF(DATA!664:664,"AAAAAG/v/gI=",0)</f>
        <v>0</v>
      </c>
      <c r="D117" t="e">
        <f>AND(DATA!A664,"AAAAAG/v/gM=")</f>
        <v>#VALUE!</v>
      </c>
      <c r="E117" t="e">
        <f>AND(DATA!B664,"AAAAAG/v/gQ=")</f>
        <v>#VALUE!</v>
      </c>
      <c r="F117" t="e">
        <f>AND(DATA!C664,"AAAAAG/v/gU=")</f>
        <v>#VALUE!</v>
      </c>
      <c r="G117" t="e">
        <f>AND(DATA!D664,"AAAAAG/v/gY=")</f>
        <v>#VALUE!</v>
      </c>
      <c r="H117" t="e">
        <f>AND(DATA!E664,"AAAAAG/v/gc=")</f>
        <v>#VALUE!</v>
      </c>
      <c r="I117" t="e">
        <f>AND(DATA!F664,"AAAAAG/v/gg=")</f>
        <v>#VALUE!</v>
      </c>
      <c r="J117" t="e">
        <f>AND(DATA!G664,"AAAAAG/v/gk=")</f>
        <v>#VALUE!</v>
      </c>
      <c r="K117" t="e">
        <f>AND(DATA!H664,"AAAAAG/v/go=")</f>
        <v>#VALUE!</v>
      </c>
      <c r="L117" t="e">
        <f>AND(DATA!I664,"AAAAAG/v/gs=")</f>
        <v>#VALUE!</v>
      </c>
      <c r="M117" t="e">
        <f>AND(DATA!J664,"AAAAAG/v/gw=")</f>
        <v>#VALUE!</v>
      </c>
      <c r="N117" t="e">
        <f>AND(DATA!K664,"AAAAAG/v/g0=")</f>
        <v>#VALUE!</v>
      </c>
      <c r="O117" t="b">
        <f>AND(DATA!L665,"AAAAAG/v/g4=")</f>
        <v>1</v>
      </c>
      <c r="P117" t="b">
        <f>AND(DATA!M665,"AAAAAG/v/g8=")</f>
        <v>1</v>
      </c>
      <c r="Q117" t="b">
        <f>AND(DATA!N665,"AAAAAG/v/hA=")</f>
        <v>1</v>
      </c>
      <c r="R117" t="b">
        <f>AND(DATA!O665,"AAAAAG/v/hE=")</f>
        <v>1</v>
      </c>
      <c r="S117" t="b">
        <f>AND(DATA!P665,"AAAAAG/v/hI=")</f>
        <v>1</v>
      </c>
      <c r="T117" t="b">
        <f>AND(DATA!Q665,"AAAAAG/v/hM=")</f>
        <v>1</v>
      </c>
      <c r="U117" t="b">
        <f>AND(DATA!R665,"AAAAAG/v/hQ=")</f>
        <v>1</v>
      </c>
      <c r="V117" t="b">
        <f>AND(DATA!S665,"AAAAAG/v/hU=")</f>
        <v>1</v>
      </c>
      <c r="W117" t="b">
        <f>AND(DATA!T665,"AAAAAG/v/hY=")</f>
        <v>1</v>
      </c>
      <c r="X117" t="b">
        <f>AND(DATA!U665,"AAAAAG/v/hc=")</f>
        <v>1</v>
      </c>
      <c r="Y117" t="b">
        <f>AND(DATA!V665,"AAAAAG/v/hg=")</f>
        <v>1</v>
      </c>
      <c r="Z117" t="e">
        <f>AND(DATA!W664,"AAAAAG/v/hk=")</f>
        <v>#VALUE!</v>
      </c>
      <c r="AA117" t="e">
        <f>AND(DATA!X664,"AAAAAG/v/ho=")</f>
        <v>#VALUE!</v>
      </c>
      <c r="AB117" t="e">
        <f>AND(DATA!Y664,"AAAAAG/v/hs=")</f>
        <v>#VALUE!</v>
      </c>
      <c r="AC117">
        <f>IF(DATA!665:665,"AAAAAG/v/hw=",0)</f>
        <v>0</v>
      </c>
      <c r="AD117" t="e">
        <f>AND(DATA!A665,"AAAAAG/v/h0=")</f>
        <v>#VALUE!</v>
      </c>
      <c r="AE117" t="e">
        <f>AND(DATA!B665,"AAAAAG/v/h4=")</f>
        <v>#VALUE!</v>
      </c>
      <c r="AF117" t="e">
        <f>AND(DATA!C665,"AAAAAG/v/h8=")</f>
        <v>#VALUE!</v>
      </c>
      <c r="AG117" t="e">
        <f>AND(DATA!D665,"AAAAAG/v/iA=")</f>
        <v>#VALUE!</v>
      </c>
      <c r="AH117" t="e">
        <f>AND(DATA!E665,"AAAAAG/v/iE=")</f>
        <v>#VALUE!</v>
      </c>
      <c r="AI117" t="e">
        <f>AND(DATA!F665,"AAAAAG/v/iI=")</f>
        <v>#VALUE!</v>
      </c>
      <c r="AJ117" t="e">
        <f>AND(DATA!G665,"AAAAAG/v/iM=")</f>
        <v>#VALUE!</v>
      </c>
      <c r="AK117" t="e">
        <f>AND(DATA!H665,"AAAAAG/v/iQ=")</f>
        <v>#VALUE!</v>
      </c>
      <c r="AL117" t="e">
        <f>AND(DATA!I665,"AAAAAG/v/iU=")</f>
        <v>#VALUE!</v>
      </c>
      <c r="AM117" t="e">
        <f>AND(DATA!J665,"AAAAAG/v/iY=")</f>
        <v>#VALUE!</v>
      </c>
      <c r="AN117" t="e">
        <f>AND(DATA!K665,"AAAAAG/v/ic=")</f>
        <v>#VALUE!</v>
      </c>
      <c r="AO117" t="b">
        <f>AND(DATA!L666,"AAAAAG/v/ig=")</f>
        <v>1</v>
      </c>
      <c r="AP117" t="b">
        <f>AND(DATA!M666,"AAAAAG/v/ik=")</f>
        <v>1</v>
      </c>
      <c r="AQ117" t="b">
        <f>AND(DATA!N666,"AAAAAG/v/io=")</f>
        <v>1</v>
      </c>
      <c r="AR117" t="b">
        <f>AND(DATA!O666,"AAAAAG/v/is=")</f>
        <v>1</v>
      </c>
      <c r="AS117" t="b">
        <f>AND(DATA!P666,"AAAAAG/v/iw=")</f>
        <v>1</v>
      </c>
      <c r="AT117" t="b">
        <f>AND(DATA!Q666,"AAAAAG/v/i0=")</f>
        <v>1</v>
      </c>
      <c r="AU117" t="b">
        <f>AND(DATA!R666,"AAAAAG/v/i4=")</f>
        <v>1</v>
      </c>
      <c r="AV117" t="b">
        <f>AND(DATA!S666,"AAAAAG/v/i8=")</f>
        <v>1</v>
      </c>
      <c r="AW117" t="b">
        <f>AND(DATA!T666,"AAAAAG/v/jA=")</f>
        <v>1</v>
      </c>
      <c r="AX117" t="b">
        <f>AND(DATA!U666,"AAAAAG/v/jE=")</f>
        <v>1</v>
      </c>
      <c r="AY117" t="b">
        <f>AND(DATA!V666,"AAAAAG/v/jI=")</f>
        <v>1</v>
      </c>
      <c r="AZ117" t="e">
        <f>AND(DATA!W665,"AAAAAG/v/jM=")</f>
        <v>#VALUE!</v>
      </c>
      <c r="BA117" t="e">
        <f>AND(DATA!X665,"AAAAAG/v/jQ=")</f>
        <v>#VALUE!</v>
      </c>
      <c r="BB117" t="e">
        <f>AND(DATA!Y665,"AAAAAG/v/jU=")</f>
        <v>#VALUE!</v>
      </c>
      <c r="BC117">
        <f>IF(DATA!666:666,"AAAAAG/v/jY=",0)</f>
        <v>0</v>
      </c>
      <c r="BD117" t="e">
        <f>AND(DATA!A666,"AAAAAG/v/jc=")</f>
        <v>#VALUE!</v>
      </c>
      <c r="BE117" t="e">
        <f>AND(DATA!B666,"AAAAAG/v/jg=")</f>
        <v>#VALUE!</v>
      </c>
      <c r="BF117" t="e">
        <f>AND(DATA!C666,"AAAAAG/v/jk=")</f>
        <v>#VALUE!</v>
      </c>
      <c r="BG117" t="e">
        <f>AND(DATA!D666,"AAAAAG/v/jo=")</f>
        <v>#VALUE!</v>
      </c>
      <c r="BH117" t="e">
        <f>AND(DATA!E666,"AAAAAG/v/js=")</f>
        <v>#VALUE!</v>
      </c>
      <c r="BI117" t="e">
        <f>AND(DATA!F666,"AAAAAG/v/jw=")</f>
        <v>#VALUE!</v>
      </c>
      <c r="BJ117" t="e">
        <f>AND(DATA!G666,"AAAAAG/v/j0=")</f>
        <v>#VALUE!</v>
      </c>
      <c r="BK117" t="e">
        <f>AND(DATA!H666,"AAAAAG/v/j4=")</f>
        <v>#VALUE!</v>
      </c>
      <c r="BL117" t="e">
        <f>AND(DATA!I666,"AAAAAG/v/j8=")</f>
        <v>#VALUE!</v>
      </c>
      <c r="BM117" t="e">
        <f>AND(DATA!J666,"AAAAAG/v/kA=")</f>
        <v>#VALUE!</v>
      </c>
      <c r="BN117" t="e">
        <f>AND(DATA!K666,"AAAAAG/v/kE=")</f>
        <v>#VALUE!</v>
      </c>
      <c r="BO117" t="b">
        <f>AND(DATA!L667,"AAAAAG/v/kI=")</f>
        <v>1</v>
      </c>
      <c r="BP117" t="b">
        <f>AND(DATA!M667,"AAAAAG/v/kM=")</f>
        <v>1</v>
      </c>
      <c r="BQ117" t="b">
        <f>AND(DATA!N667,"AAAAAG/v/kQ=")</f>
        <v>1</v>
      </c>
      <c r="BR117" t="b">
        <f>AND(DATA!O667,"AAAAAG/v/kU=")</f>
        <v>1</v>
      </c>
      <c r="BS117" t="b">
        <f>AND(DATA!P667,"AAAAAG/v/kY=")</f>
        <v>1</v>
      </c>
      <c r="BT117" t="b">
        <f>AND(DATA!Q667,"AAAAAG/v/kc=")</f>
        <v>1</v>
      </c>
      <c r="BU117" t="b">
        <f>AND(DATA!R667,"AAAAAG/v/kg=")</f>
        <v>1</v>
      </c>
      <c r="BV117" t="b">
        <f>AND(DATA!S667,"AAAAAG/v/kk=")</f>
        <v>1</v>
      </c>
      <c r="BW117" t="b">
        <f>AND(DATA!T667,"AAAAAG/v/ko=")</f>
        <v>1</v>
      </c>
      <c r="BX117" t="b">
        <f>AND(DATA!U667,"AAAAAG/v/ks=")</f>
        <v>1</v>
      </c>
      <c r="BY117" t="b">
        <f>AND(DATA!V667,"AAAAAG/v/kw=")</f>
        <v>1</v>
      </c>
      <c r="BZ117" t="e">
        <f>AND(DATA!W666,"AAAAAG/v/k0=")</f>
        <v>#VALUE!</v>
      </c>
      <c r="CA117" t="e">
        <f>AND(DATA!X666,"AAAAAG/v/k4=")</f>
        <v>#VALUE!</v>
      </c>
      <c r="CB117" t="e">
        <f>AND(DATA!Y666,"AAAAAG/v/k8=")</f>
        <v>#VALUE!</v>
      </c>
      <c r="CC117">
        <f>IF(DATA!667:667,"AAAAAG/v/lA=",0)</f>
        <v>0</v>
      </c>
      <c r="CD117" t="e">
        <f>AND(DATA!A667,"AAAAAG/v/lE=")</f>
        <v>#VALUE!</v>
      </c>
      <c r="CE117" t="e">
        <f>AND(DATA!B667,"AAAAAG/v/lI=")</f>
        <v>#VALUE!</v>
      </c>
      <c r="CF117" t="e">
        <f>AND(DATA!C667,"AAAAAG/v/lM=")</f>
        <v>#VALUE!</v>
      </c>
      <c r="CG117" t="e">
        <f>AND(DATA!D667,"AAAAAG/v/lQ=")</f>
        <v>#VALUE!</v>
      </c>
      <c r="CH117" t="e">
        <f>AND(DATA!E667,"AAAAAG/v/lU=")</f>
        <v>#VALUE!</v>
      </c>
      <c r="CI117" t="e">
        <f>AND(DATA!F667,"AAAAAG/v/lY=")</f>
        <v>#VALUE!</v>
      </c>
      <c r="CJ117" t="e">
        <f>AND(DATA!G667,"AAAAAG/v/lc=")</f>
        <v>#VALUE!</v>
      </c>
      <c r="CK117" t="e">
        <f>AND(DATA!H667,"AAAAAG/v/lg=")</f>
        <v>#VALUE!</v>
      </c>
      <c r="CL117" t="e">
        <f>AND(DATA!I667,"AAAAAG/v/lk=")</f>
        <v>#VALUE!</v>
      </c>
      <c r="CM117" t="e">
        <f>AND(DATA!J667,"AAAAAG/v/lo=")</f>
        <v>#VALUE!</v>
      </c>
      <c r="CN117" t="e">
        <f>AND(DATA!K667,"AAAAAG/v/ls=")</f>
        <v>#VALUE!</v>
      </c>
      <c r="CO117" t="b">
        <f>AND(DATA!L668,"AAAAAG/v/lw=")</f>
        <v>1</v>
      </c>
      <c r="CP117" t="b">
        <f>AND(DATA!M668,"AAAAAG/v/l0=")</f>
        <v>1</v>
      </c>
      <c r="CQ117" t="b">
        <f>AND(DATA!N668,"AAAAAG/v/l4=")</f>
        <v>1</v>
      </c>
      <c r="CR117" t="b">
        <f>AND(DATA!O668,"AAAAAG/v/l8=")</f>
        <v>1</v>
      </c>
      <c r="CS117" t="b">
        <f>AND(DATA!P668,"AAAAAG/v/mA=")</f>
        <v>1</v>
      </c>
      <c r="CT117" t="b">
        <f>AND(DATA!Q668,"AAAAAG/v/mE=")</f>
        <v>1</v>
      </c>
      <c r="CU117" t="b">
        <f>AND(DATA!R668,"AAAAAG/v/mI=")</f>
        <v>1</v>
      </c>
      <c r="CV117" t="b">
        <f>AND(DATA!S668,"AAAAAG/v/mM=")</f>
        <v>1</v>
      </c>
      <c r="CW117" t="b">
        <f>AND(DATA!T668,"AAAAAG/v/mQ=")</f>
        <v>1</v>
      </c>
      <c r="CX117" t="b">
        <f>AND(DATA!U668,"AAAAAG/v/mU=")</f>
        <v>1</v>
      </c>
      <c r="CY117" t="b">
        <f>AND(DATA!V668,"AAAAAG/v/mY=")</f>
        <v>1</v>
      </c>
      <c r="CZ117" t="e">
        <f>AND(DATA!W667,"AAAAAG/v/mc=")</f>
        <v>#VALUE!</v>
      </c>
      <c r="DA117" t="e">
        <f>AND(DATA!X667,"AAAAAG/v/mg=")</f>
        <v>#VALUE!</v>
      </c>
      <c r="DB117" t="e">
        <f>AND(DATA!Y667,"AAAAAG/v/mk=")</f>
        <v>#VALUE!</v>
      </c>
      <c r="DC117">
        <f>IF(DATA!668:668,"AAAAAG/v/mo=",0)</f>
        <v>0</v>
      </c>
      <c r="DD117" t="e">
        <f>AND(DATA!A668,"AAAAAG/v/ms=")</f>
        <v>#VALUE!</v>
      </c>
      <c r="DE117" t="e">
        <f>AND(DATA!B668,"AAAAAG/v/mw=")</f>
        <v>#VALUE!</v>
      </c>
      <c r="DF117" t="e">
        <f>AND(DATA!C668,"AAAAAG/v/m0=")</f>
        <v>#VALUE!</v>
      </c>
      <c r="DG117" t="e">
        <f>AND(DATA!D668,"AAAAAG/v/m4=")</f>
        <v>#VALUE!</v>
      </c>
      <c r="DH117" t="e">
        <f>AND(DATA!E668,"AAAAAG/v/m8=")</f>
        <v>#VALUE!</v>
      </c>
      <c r="DI117" t="e">
        <f>AND(DATA!F668,"AAAAAG/v/nA=")</f>
        <v>#VALUE!</v>
      </c>
      <c r="DJ117" t="e">
        <f>AND(DATA!G668,"AAAAAG/v/nE=")</f>
        <v>#VALUE!</v>
      </c>
      <c r="DK117" t="e">
        <f>AND(DATA!H668,"AAAAAG/v/nI=")</f>
        <v>#VALUE!</v>
      </c>
      <c r="DL117" t="e">
        <f>AND(DATA!I668,"AAAAAG/v/nM=")</f>
        <v>#VALUE!</v>
      </c>
      <c r="DM117" t="e">
        <f>AND(DATA!J668,"AAAAAG/v/nQ=")</f>
        <v>#VALUE!</v>
      </c>
      <c r="DN117" t="e">
        <f>AND(DATA!K668,"AAAAAG/v/nU=")</f>
        <v>#VALUE!</v>
      </c>
      <c r="DO117" t="b">
        <f>AND(DATA!L669,"AAAAAG/v/nY=")</f>
        <v>1</v>
      </c>
      <c r="DP117" t="b">
        <f>AND(DATA!M669,"AAAAAG/v/nc=")</f>
        <v>1</v>
      </c>
      <c r="DQ117" t="b">
        <f>AND(DATA!N669,"AAAAAG/v/ng=")</f>
        <v>1</v>
      </c>
      <c r="DR117" t="b">
        <f>AND(DATA!O669,"AAAAAG/v/nk=")</f>
        <v>1</v>
      </c>
      <c r="DS117" t="b">
        <f>AND(DATA!P669,"AAAAAG/v/no=")</f>
        <v>1</v>
      </c>
      <c r="DT117" t="b">
        <f>AND(DATA!Q669,"AAAAAG/v/ns=")</f>
        <v>1</v>
      </c>
      <c r="DU117" t="b">
        <f>AND(DATA!R669,"AAAAAG/v/nw=")</f>
        <v>1</v>
      </c>
      <c r="DV117" t="b">
        <f>AND(DATA!S669,"AAAAAG/v/n0=")</f>
        <v>1</v>
      </c>
      <c r="DW117" t="b">
        <f>AND(DATA!T669,"AAAAAG/v/n4=")</f>
        <v>1</v>
      </c>
      <c r="DX117" t="b">
        <f>AND(DATA!U669,"AAAAAG/v/n8=")</f>
        <v>1</v>
      </c>
      <c r="DY117" t="b">
        <f>AND(DATA!V669,"AAAAAG/v/oA=")</f>
        <v>1</v>
      </c>
      <c r="DZ117" t="e">
        <f>AND(DATA!W668,"AAAAAG/v/oE=")</f>
        <v>#VALUE!</v>
      </c>
      <c r="EA117" t="e">
        <f>AND(DATA!X668,"AAAAAG/v/oI=")</f>
        <v>#VALUE!</v>
      </c>
      <c r="EB117" t="e">
        <f>AND(DATA!Y668,"AAAAAG/v/oM=")</f>
        <v>#VALUE!</v>
      </c>
      <c r="EC117">
        <f>IF(DATA!669:669,"AAAAAG/v/oQ=",0)</f>
        <v>0</v>
      </c>
      <c r="ED117" t="e">
        <f>AND(DATA!A669,"AAAAAG/v/oU=")</f>
        <v>#VALUE!</v>
      </c>
      <c r="EE117" t="e">
        <f>AND(DATA!B669,"AAAAAG/v/oY=")</f>
        <v>#VALUE!</v>
      </c>
      <c r="EF117" t="e">
        <f>AND(DATA!C669,"AAAAAG/v/oc=")</f>
        <v>#VALUE!</v>
      </c>
      <c r="EG117" t="e">
        <f>AND(DATA!D669,"AAAAAG/v/og=")</f>
        <v>#VALUE!</v>
      </c>
      <c r="EH117" t="e">
        <f>AND(DATA!E669,"AAAAAG/v/ok=")</f>
        <v>#VALUE!</v>
      </c>
      <c r="EI117" t="e">
        <f>AND(DATA!F669,"AAAAAG/v/oo=")</f>
        <v>#VALUE!</v>
      </c>
      <c r="EJ117" t="e">
        <f>AND(DATA!G669,"AAAAAG/v/os=")</f>
        <v>#VALUE!</v>
      </c>
      <c r="EK117" t="e">
        <f>AND(DATA!H669,"AAAAAG/v/ow=")</f>
        <v>#VALUE!</v>
      </c>
      <c r="EL117" t="e">
        <f>AND(DATA!I669,"AAAAAG/v/o0=")</f>
        <v>#VALUE!</v>
      </c>
      <c r="EM117" t="e">
        <f>AND(DATA!J669,"AAAAAG/v/o4=")</f>
        <v>#VALUE!</v>
      </c>
      <c r="EN117" t="e">
        <f>AND(DATA!K669,"AAAAAG/v/o8=")</f>
        <v>#VALUE!</v>
      </c>
      <c r="EO117" t="b">
        <f>AND(DATA!L670,"AAAAAG/v/pA=")</f>
        <v>1</v>
      </c>
      <c r="EP117" t="b">
        <f>AND(DATA!M670,"AAAAAG/v/pE=")</f>
        <v>1</v>
      </c>
      <c r="EQ117" t="b">
        <f>AND(DATA!N670,"AAAAAG/v/pI=")</f>
        <v>1</v>
      </c>
      <c r="ER117" t="b">
        <f>AND(DATA!O670,"AAAAAG/v/pM=")</f>
        <v>1</v>
      </c>
      <c r="ES117" t="b">
        <f>AND(DATA!P670,"AAAAAG/v/pQ=")</f>
        <v>1</v>
      </c>
      <c r="ET117" t="b">
        <f>AND(DATA!Q670,"AAAAAG/v/pU=")</f>
        <v>1</v>
      </c>
      <c r="EU117" t="b">
        <f>AND(DATA!R670,"AAAAAG/v/pY=")</f>
        <v>1</v>
      </c>
      <c r="EV117" t="b">
        <f>AND(DATA!S670,"AAAAAG/v/pc=")</f>
        <v>1</v>
      </c>
      <c r="EW117" t="b">
        <f>AND(DATA!T670,"AAAAAG/v/pg=")</f>
        <v>1</v>
      </c>
      <c r="EX117" t="b">
        <f>AND(DATA!U670,"AAAAAG/v/pk=")</f>
        <v>1</v>
      </c>
      <c r="EY117" t="b">
        <f>AND(DATA!V670,"AAAAAG/v/po=")</f>
        <v>1</v>
      </c>
      <c r="EZ117" t="e">
        <f>AND(DATA!W669,"AAAAAG/v/ps=")</f>
        <v>#VALUE!</v>
      </c>
      <c r="FA117" t="e">
        <f>AND(DATA!X669,"AAAAAG/v/pw=")</f>
        <v>#VALUE!</v>
      </c>
      <c r="FB117" t="e">
        <f>AND(DATA!Y669,"AAAAAG/v/p0=")</f>
        <v>#VALUE!</v>
      </c>
      <c r="FC117">
        <f>IF(DATA!670:670,"AAAAAG/v/p4=",0)</f>
        <v>0</v>
      </c>
      <c r="FD117" t="e">
        <f>AND(DATA!A670,"AAAAAG/v/p8=")</f>
        <v>#VALUE!</v>
      </c>
      <c r="FE117" t="e">
        <f>AND(DATA!B670,"AAAAAG/v/qA=")</f>
        <v>#VALUE!</v>
      </c>
      <c r="FF117" t="e">
        <f>AND(DATA!C670,"AAAAAG/v/qE=")</f>
        <v>#VALUE!</v>
      </c>
      <c r="FG117" t="e">
        <f>AND(DATA!D670,"AAAAAG/v/qI=")</f>
        <v>#VALUE!</v>
      </c>
      <c r="FH117" t="e">
        <f>AND(DATA!E670,"AAAAAG/v/qM=")</f>
        <v>#VALUE!</v>
      </c>
      <c r="FI117" t="e">
        <f>AND(DATA!F670,"AAAAAG/v/qQ=")</f>
        <v>#VALUE!</v>
      </c>
      <c r="FJ117" t="e">
        <f>AND(DATA!G670,"AAAAAG/v/qU=")</f>
        <v>#VALUE!</v>
      </c>
      <c r="FK117" t="e">
        <f>AND(DATA!H670,"AAAAAG/v/qY=")</f>
        <v>#VALUE!</v>
      </c>
      <c r="FL117" t="e">
        <f>AND(DATA!I670,"AAAAAG/v/qc=")</f>
        <v>#VALUE!</v>
      </c>
      <c r="FM117" t="e">
        <f>AND(DATA!J670,"AAAAAG/v/qg=")</f>
        <v>#VALUE!</v>
      </c>
      <c r="FN117" t="e">
        <f>AND(DATA!K670,"AAAAAG/v/qk=")</f>
        <v>#VALUE!</v>
      </c>
      <c r="FO117" t="b">
        <f>AND(DATA!L671,"AAAAAG/v/qo=")</f>
        <v>1</v>
      </c>
      <c r="FP117" t="b">
        <f>AND(DATA!M671,"AAAAAG/v/qs=")</f>
        <v>1</v>
      </c>
      <c r="FQ117" t="b">
        <f>AND(DATA!N671,"AAAAAG/v/qw=")</f>
        <v>1</v>
      </c>
      <c r="FR117" t="b">
        <f>AND(DATA!O671,"AAAAAG/v/q0=")</f>
        <v>1</v>
      </c>
      <c r="FS117" t="b">
        <f>AND(DATA!P671,"AAAAAG/v/q4=")</f>
        <v>1</v>
      </c>
      <c r="FT117" t="b">
        <f>AND(DATA!Q671,"AAAAAG/v/q8=")</f>
        <v>1</v>
      </c>
      <c r="FU117" t="b">
        <f>AND(DATA!R671,"AAAAAG/v/rA=")</f>
        <v>1</v>
      </c>
      <c r="FV117" t="b">
        <f>AND(DATA!S671,"AAAAAG/v/rE=")</f>
        <v>1</v>
      </c>
      <c r="FW117" t="b">
        <f>AND(DATA!T671,"AAAAAG/v/rI=")</f>
        <v>1</v>
      </c>
      <c r="FX117" t="b">
        <f>AND(DATA!U671,"AAAAAG/v/rM=")</f>
        <v>1</v>
      </c>
      <c r="FY117" t="b">
        <f>AND(DATA!V671,"AAAAAG/v/rQ=")</f>
        <v>1</v>
      </c>
      <c r="FZ117" t="e">
        <f>AND(DATA!W670,"AAAAAG/v/rU=")</f>
        <v>#VALUE!</v>
      </c>
      <c r="GA117" t="e">
        <f>AND(DATA!X670,"AAAAAG/v/rY=")</f>
        <v>#VALUE!</v>
      </c>
      <c r="GB117" t="e">
        <f>AND(DATA!Y670,"AAAAAG/v/rc=")</f>
        <v>#VALUE!</v>
      </c>
      <c r="GC117">
        <f>IF(DATA!671:671,"AAAAAG/v/rg=",0)</f>
        <v>0</v>
      </c>
      <c r="GD117" t="e">
        <f>AND(DATA!A671,"AAAAAG/v/rk=")</f>
        <v>#VALUE!</v>
      </c>
      <c r="GE117" t="e">
        <f>AND(DATA!B671,"AAAAAG/v/ro=")</f>
        <v>#VALUE!</v>
      </c>
      <c r="GF117" t="e">
        <f>AND(DATA!C671,"AAAAAG/v/rs=")</f>
        <v>#VALUE!</v>
      </c>
      <c r="GG117" t="e">
        <f>AND(DATA!D671,"AAAAAG/v/rw=")</f>
        <v>#VALUE!</v>
      </c>
      <c r="GH117" t="e">
        <f>AND(DATA!E671,"AAAAAG/v/r0=")</f>
        <v>#VALUE!</v>
      </c>
      <c r="GI117" t="e">
        <f>AND(DATA!F671,"AAAAAG/v/r4=")</f>
        <v>#VALUE!</v>
      </c>
      <c r="GJ117" t="e">
        <f>AND(DATA!G671,"AAAAAG/v/r8=")</f>
        <v>#VALUE!</v>
      </c>
      <c r="GK117" t="e">
        <f>AND(DATA!H671,"AAAAAG/v/sA=")</f>
        <v>#VALUE!</v>
      </c>
      <c r="GL117" t="e">
        <f>AND(DATA!I671,"AAAAAG/v/sE=")</f>
        <v>#VALUE!</v>
      </c>
      <c r="GM117" t="e">
        <f>AND(DATA!J671,"AAAAAG/v/sI=")</f>
        <v>#VALUE!</v>
      </c>
      <c r="GN117" t="e">
        <f>AND(DATA!K671,"AAAAAG/v/sM=")</f>
        <v>#VALUE!</v>
      </c>
      <c r="GO117" t="b">
        <f>AND(DATA!L672,"AAAAAG/v/sQ=")</f>
        <v>1</v>
      </c>
      <c r="GP117" t="b">
        <f>AND(DATA!M672,"AAAAAG/v/sU=")</f>
        <v>1</v>
      </c>
      <c r="GQ117" t="b">
        <f>AND(DATA!N672,"AAAAAG/v/sY=")</f>
        <v>1</v>
      </c>
      <c r="GR117" t="b">
        <f>AND(DATA!O672,"AAAAAG/v/sc=")</f>
        <v>1</v>
      </c>
      <c r="GS117" t="b">
        <f>AND(DATA!P672,"AAAAAG/v/sg=")</f>
        <v>1</v>
      </c>
      <c r="GT117" t="b">
        <f>AND(DATA!Q672,"AAAAAG/v/sk=")</f>
        <v>1</v>
      </c>
      <c r="GU117" t="b">
        <f>AND(DATA!R672,"AAAAAG/v/so=")</f>
        <v>1</v>
      </c>
      <c r="GV117" t="b">
        <f>AND(DATA!S672,"AAAAAG/v/ss=")</f>
        <v>1</v>
      </c>
      <c r="GW117" t="b">
        <f>AND(DATA!T672,"AAAAAG/v/sw=")</f>
        <v>1</v>
      </c>
      <c r="GX117" t="b">
        <f>AND(DATA!U672,"AAAAAG/v/s0=")</f>
        <v>1</v>
      </c>
      <c r="GY117" t="b">
        <f>AND(DATA!V672,"AAAAAG/v/s4=")</f>
        <v>1</v>
      </c>
      <c r="GZ117" t="e">
        <f>AND(DATA!W671,"AAAAAG/v/s8=")</f>
        <v>#VALUE!</v>
      </c>
      <c r="HA117" t="e">
        <f>AND(DATA!X671,"AAAAAG/v/tA=")</f>
        <v>#VALUE!</v>
      </c>
      <c r="HB117" t="e">
        <f>AND(DATA!Y671,"AAAAAG/v/tE=")</f>
        <v>#VALUE!</v>
      </c>
      <c r="HC117">
        <f>IF(DATA!672:672,"AAAAAG/v/tI=",0)</f>
        <v>0</v>
      </c>
      <c r="HD117" t="e">
        <f>AND(DATA!A672,"AAAAAG/v/tM=")</f>
        <v>#VALUE!</v>
      </c>
      <c r="HE117" t="e">
        <f>AND(DATA!B672,"AAAAAG/v/tQ=")</f>
        <v>#VALUE!</v>
      </c>
      <c r="HF117" t="e">
        <f>AND(DATA!C672,"AAAAAG/v/tU=")</f>
        <v>#VALUE!</v>
      </c>
      <c r="HG117" t="e">
        <f>AND(DATA!D672,"AAAAAG/v/tY=")</f>
        <v>#VALUE!</v>
      </c>
      <c r="HH117" t="e">
        <f>AND(DATA!E672,"AAAAAG/v/tc=")</f>
        <v>#VALUE!</v>
      </c>
      <c r="HI117" t="e">
        <f>AND(DATA!F672,"AAAAAG/v/tg=")</f>
        <v>#VALUE!</v>
      </c>
      <c r="HJ117" t="e">
        <f>AND(DATA!G672,"AAAAAG/v/tk=")</f>
        <v>#VALUE!</v>
      </c>
      <c r="HK117" t="e">
        <f>AND(DATA!H672,"AAAAAG/v/to=")</f>
        <v>#VALUE!</v>
      </c>
      <c r="HL117" t="e">
        <f>AND(DATA!I672,"AAAAAG/v/ts=")</f>
        <v>#VALUE!</v>
      </c>
      <c r="HM117" t="e">
        <f>AND(DATA!J672,"AAAAAG/v/tw=")</f>
        <v>#VALUE!</v>
      </c>
      <c r="HN117" t="e">
        <f>AND(DATA!K672,"AAAAAG/v/t0=")</f>
        <v>#VALUE!</v>
      </c>
      <c r="HO117" t="b">
        <f>AND(DATA!L673,"AAAAAG/v/t4=")</f>
        <v>1</v>
      </c>
      <c r="HP117" t="b">
        <f>AND(DATA!M673,"AAAAAG/v/t8=")</f>
        <v>1</v>
      </c>
      <c r="HQ117" t="b">
        <f>AND(DATA!N673,"AAAAAG/v/uA=")</f>
        <v>1</v>
      </c>
      <c r="HR117" t="b">
        <f>AND(DATA!O673,"AAAAAG/v/uE=")</f>
        <v>1</v>
      </c>
      <c r="HS117" t="b">
        <f>AND(DATA!P673,"AAAAAG/v/uI=")</f>
        <v>1</v>
      </c>
      <c r="HT117" t="b">
        <f>AND(DATA!Q673,"AAAAAG/v/uM=")</f>
        <v>1</v>
      </c>
      <c r="HU117" t="b">
        <f>AND(DATA!R673,"AAAAAG/v/uQ=")</f>
        <v>1</v>
      </c>
      <c r="HV117" t="b">
        <f>AND(DATA!S673,"AAAAAG/v/uU=")</f>
        <v>1</v>
      </c>
      <c r="HW117" t="b">
        <f>AND(DATA!T673,"AAAAAG/v/uY=")</f>
        <v>1</v>
      </c>
      <c r="HX117" t="b">
        <f>AND(DATA!U673,"AAAAAG/v/uc=")</f>
        <v>1</v>
      </c>
      <c r="HY117" t="b">
        <f>AND(DATA!V673,"AAAAAG/v/ug=")</f>
        <v>1</v>
      </c>
      <c r="HZ117" t="e">
        <f>AND(DATA!W672,"AAAAAG/v/uk=")</f>
        <v>#VALUE!</v>
      </c>
      <c r="IA117" t="e">
        <f>AND(DATA!X672,"AAAAAG/v/uo=")</f>
        <v>#VALUE!</v>
      </c>
      <c r="IB117" t="e">
        <f>AND(DATA!Y672,"AAAAAG/v/us=")</f>
        <v>#VALUE!</v>
      </c>
      <c r="IC117">
        <f>IF(DATA!673:673,"AAAAAG/v/uw=",0)</f>
        <v>0</v>
      </c>
      <c r="ID117" t="e">
        <f>AND(DATA!A673,"AAAAAG/v/u0=")</f>
        <v>#VALUE!</v>
      </c>
      <c r="IE117" t="e">
        <f>AND(DATA!B673,"AAAAAG/v/u4=")</f>
        <v>#VALUE!</v>
      </c>
      <c r="IF117" t="e">
        <f>AND(DATA!C673,"AAAAAG/v/u8=")</f>
        <v>#VALUE!</v>
      </c>
      <c r="IG117" t="e">
        <f>AND(DATA!D673,"AAAAAG/v/vA=")</f>
        <v>#VALUE!</v>
      </c>
      <c r="IH117" t="e">
        <f>AND(DATA!E673,"AAAAAG/v/vE=")</f>
        <v>#VALUE!</v>
      </c>
      <c r="II117" t="e">
        <f>AND(DATA!F673,"AAAAAG/v/vI=")</f>
        <v>#VALUE!</v>
      </c>
      <c r="IJ117" t="e">
        <f>AND(DATA!G673,"AAAAAG/v/vM=")</f>
        <v>#VALUE!</v>
      </c>
      <c r="IK117" t="e">
        <f>AND(DATA!H673,"AAAAAG/v/vQ=")</f>
        <v>#VALUE!</v>
      </c>
      <c r="IL117" t="e">
        <f>AND(DATA!I673,"AAAAAG/v/vU=")</f>
        <v>#VALUE!</v>
      </c>
      <c r="IM117" t="e">
        <f>AND(DATA!J673,"AAAAAG/v/vY=")</f>
        <v>#VALUE!</v>
      </c>
      <c r="IN117" t="e">
        <f>AND(DATA!K673,"AAAAAG/v/vc=")</f>
        <v>#VALUE!</v>
      </c>
      <c r="IO117" t="b">
        <f>AND(DATA!L674,"AAAAAG/v/vg=")</f>
        <v>1</v>
      </c>
      <c r="IP117" t="b">
        <f>AND(DATA!M674,"AAAAAG/v/vk=")</f>
        <v>1</v>
      </c>
      <c r="IQ117" t="b">
        <f>AND(DATA!N674,"AAAAAG/v/vo=")</f>
        <v>1</v>
      </c>
      <c r="IR117" t="b">
        <f>AND(DATA!O674,"AAAAAG/v/vs=")</f>
        <v>1</v>
      </c>
      <c r="IS117" t="b">
        <f>AND(DATA!P674,"AAAAAG/v/vw=")</f>
        <v>1</v>
      </c>
      <c r="IT117" t="b">
        <f>AND(DATA!Q674,"AAAAAG/v/v0=")</f>
        <v>1</v>
      </c>
      <c r="IU117" t="b">
        <f>AND(DATA!R674,"AAAAAG/v/v4=")</f>
        <v>1</v>
      </c>
      <c r="IV117" t="b">
        <f>AND(DATA!S674,"AAAAAG/v/v8=")</f>
        <v>1</v>
      </c>
    </row>
    <row r="118" spans="1:256" x14ac:dyDescent="0.25">
      <c r="A118" t="b">
        <f>AND(DATA!T674,"AAAAAGW/XwA=")</f>
        <v>1</v>
      </c>
      <c r="B118" t="b">
        <f>AND(DATA!U674,"AAAAAGW/XwE=")</f>
        <v>1</v>
      </c>
      <c r="C118" t="b">
        <f>AND(DATA!V674,"AAAAAGW/XwI=")</f>
        <v>1</v>
      </c>
      <c r="D118" t="e">
        <f>AND(DATA!W673,"AAAAAGW/XwM=")</f>
        <v>#VALUE!</v>
      </c>
      <c r="E118" t="e">
        <f>AND(DATA!X673,"AAAAAGW/XwQ=")</f>
        <v>#VALUE!</v>
      </c>
      <c r="F118" t="e">
        <f>AND(DATA!Y673,"AAAAAGW/XwU=")</f>
        <v>#VALUE!</v>
      </c>
      <c r="G118">
        <f>IF(DATA!674:674,"AAAAAGW/XwY=",0)</f>
        <v>0</v>
      </c>
      <c r="H118" t="e">
        <f>AND(DATA!A674,"AAAAAGW/Xwc=")</f>
        <v>#VALUE!</v>
      </c>
      <c r="I118" t="e">
        <f>AND(DATA!B674,"AAAAAGW/Xwg=")</f>
        <v>#VALUE!</v>
      </c>
      <c r="J118" t="e">
        <f>AND(DATA!C674,"AAAAAGW/Xwk=")</f>
        <v>#VALUE!</v>
      </c>
      <c r="K118" t="e">
        <f>AND(DATA!D674,"AAAAAGW/Xwo=")</f>
        <v>#VALUE!</v>
      </c>
      <c r="L118" t="e">
        <f>AND(DATA!E674,"AAAAAGW/Xws=")</f>
        <v>#VALUE!</v>
      </c>
      <c r="M118" t="e">
        <f>AND(DATA!F674,"AAAAAGW/Xww=")</f>
        <v>#VALUE!</v>
      </c>
      <c r="N118" t="e">
        <f>AND(DATA!G674,"AAAAAGW/Xw0=")</f>
        <v>#VALUE!</v>
      </c>
      <c r="O118" t="e">
        <f>AND(DATA!H674,"AAAAAGW/Xw4=")</f>
        <v>#VALUE!</v>
      </c>
      <c r="P118" t="e">
        <f>AND(DATA!I674,"AAAAAGW/Xw8=")</f>
        <v>#VALUE!</v>
      </c>
      <c r="Q118" t="e">
        <f>AND(DATA!J674,"AAAAAGW/XxA=")</f>
        <v>#VALUE!</v>
      </c>
      <c r="R118" t="e">
        <f>AND(DATA!K674,"AAAAAGW/XxE=")</f>
        <v>#VALUE!</v>
      </c>
      <c r="S118" t="b">
        <f>AND(DATA!L675,"AAAAAGW/XxI=")</f>
        <v>1</v>
      </c>
      <c r="T118" t="b">
        <f>AND(DATA!M675,"AAAAAGW/XxM=")</f>
        <v>1</v>
      </c>
      <c r="U118" t="b">
        <f>AND(DATA!N675,"AAAAAGW/XxQ=")</f>
        <v>1</v>
      </c>
      <c r="V118" t="b">
        <f>AND(DATA!O675,"AAAAAGW/XxU=")</f>
        <v>1</v>
      </c>
      <c r="W118" t="b">
        <f>AND(DATA!P675,"AAAAAGW/XxY=")</f>
        <v>1</v>
      </c>
      <c r="X118" t="b">
        <f>AND(DATA!Q675,"AAAAAGW/Xxc=")</f>
        <v>1</v>
      </c>
      <c r="Y118" t="b">
        <f>AND(DATA!R675,"AAAAAGW/Xxg=")</f>
        <v>1</v>
      </c>
      <c r="Z118" t="b">
        <f>AND(DATA!S675,"AAAAAGW/Xxk=")</f>
        <v>1</v>
      </c>
      <c r="AA118" t="b">
        <f>AND(DATA!T675,"AAAAAGW/Xxo=")</f>
        <v>1</v>
      </c>
      <c r="AB118" t="b">
        <f>AND(DATA!U675,"AAAAAGW/Xxs=")</f>
        <v>1</v>
      </c>
      <c r="AC118" t="b">
        <f>AND(DATA!V675,"AAAAAGW/Xxw=")</f>
        <v>1</v>
      </c>
      <c r="AD118" t="e">
        <f>AND(DATA!W674,"AAAAAGW/Xx0=")</f>
        <v>#VALUE!</v>
      </c>
      <c r="AE118" t="e">
        <f>AND(DATA!X674,"AAAAAGW/Xx4=")</f>
        <v>#VALUE!</v>
      </c>
      <c r="AF118" t="e">
        <f>AND(DATA!Y674,"AAAAAGW/Xx8=")</f>
        <v>#VALUE!</v>
      </c>
      <c r="AG118">
        <f>IF(DATA!675:675,"AAAAAGW/XyA=",0)</f>
        <v>0</v>
      </c>
      <c r="AH118" t="e">
        <f>AND(DATA!A675,"AAAAAGW/XyE=")</f>
        <v>#VALUE!</v>
      </c>
      <c r="AI118" t="e">
        <f>AND(DATA!B675,"AAAAAGW/XyI=")</f>
        <v>#VALUE!</v>
      </c>
      <c r="AJ118" t="e">
        <f>AND(DATA!C675,"AAAAAGW/XyM=")</f>
        <v>#VALUE!</v>
      </c>
      <c r="AK118" t="e">
        <f>AND(DATA!D675,"AAAAAGW/XyQ=")</f>
        <v>#VALUE!</v>
      </c>
      <c r="AL118" t="e">
        <f>AND(DATA!E675,"AAAAAGW/XyU=")</f>
        <v>#VALUE!</v>
      </c>
      <c r="AM118" t="e">
        <f>AND(DATA!F675,"AAAAAGW/XyY=")</f>
        <v>#VALUE!</v>
      </c>
      <c r="AN118" t="e">
        <f>AND(DATA!G675,"AAAAAGW/Xyc=")</f>
        <v>#VALUE!</v>
      </c>
      <c r="AO118" t="e">
        <f>AND(DATA!H675,"AAAAAGW/Xyg=")</f>
        <v>#VALUE!</v>
      </c>
      <c r="AP118" t="e">
        <f>AND(DATA!I675,"AAAAAGW/Xyk=")</f>
        <v>#VALUE!</v>
      </c>
      <c r="AQ118" t="e">
        <f>AND(DATA!J675,"AAAAAGW/Xyo=")</f>
        <v>#VALUE!</v>
      </c>
      <c r="AR118" t="e">
        <f>AND(DATA!K675,"AAAAAGW/Xys=")</f>
        <v>#VALUE!</v>
      </c>
      <c r="AS118" t="b">
        <f>AND(DATA!L676,"AAAAAGW/Xyw=")</f>
        <v>1</v>
      </c>
      <c r="AT118" t="b">
        <f>AND(DATA!M676,"AAAAAGW/Xy0=")</f>
        <v>1</v>
      </c>
      <c r="AU118" t="b">
        <f>AND(DATA!N676,"AAAAAGW/Xy4=")</f>
        <v>1</v>
      </c>
      <c r="AV118" t="b">
        <f>AND(DATA!O676,"AAAAAGW/Xy8=")</f>
        <v>1</v>
      </c>
      <c r="AW118" t="b">
        <f>AND(DATA!P676,"AAAAAGW/XzA=")</f>
        <v>1</v>
      </c>
      <c r="AX118" t="b">
        <f>AND(DATA!Q676,"AAAAAGW/XzE=")</f>
        <v>1</v>
      </c>
      <c r="AY118" t="b">
        <f>AND(DATA!R676,"AAAAAGW/XzI=")</f>
        <v>1</v>
      </c>
      <c r="AZ118" t="b">
        <f>AND(DATA!S676,"AAAAAGW/XzM=")</f>
        <v>1</v>
      </c>
      <c r="BA118" t="b">
        <f>AND(DATA!T676,"AAAAAGW/XzQ=")</f>
        <v>1</v>
      </c>
      <c r="BB118" t="b">
        <f>AND(DATA!U676,"AAAAAGW/XzU=")</f>
        <v>1</v>
      </c>
      <c r="BC118" t="b">
        <f>AND(DATA!V676,"AAAAAGW/XzY=")</f>
        <v>1</v>
      </c>
      <c r="BD118" t="e">
        <f>AND(DATA!W675,"AAAAAGW/Xzc=")</f>
        <v>#VALUE!</v>
      </c>
      <c r="BE118" t="e">
        <f>AND(DATA!X675,"AAAAAGW/Xzg=")</f>
        <v>#VALUE!</v>
      </c>
      <c r="BF118" t="e">
        <f>AND(DATA!Y675,"AAAAAGW/Xzk=")</f>
        <v>#VALUE!</v>
      </c>
      <c r="BG118">
        <f>IF(DATA!676:676,"AAAAAGW/Xzo=",0)</f>
        <v>0</v>
      </c>
      <c r="BH118" t="e">
        <f>AND(DATA!A676,"AAAAAGW/Xzs=")</f>
        <v>#VALUE!</v>
      </c>
      <c r="BI118" t="e">
        <f>AND(DATA!B676,"AAAAAGW/Xzw=")</f>
        <v>#VALUE!</v>
      </c>
      <c r="BJ118" t="e">
        <f>AND(DATA!C676,"AAAAAGW/Xz0=")</f>
        <v>#VALUE!</v>
      </c>
      <c r="BK118" t="e">
        <f>AND(DATA!D676,"AAAAAGW/Xz4=")</f>
        <v>#VALUE!</v>
      </c>
      <c r="BL118" t="e">
        <f>AND(DATA!E676,"AAAAAGW/Xz8=")</f>
        <v>#VALUE!</v>
      </c>
      <c r="BM118" t="e">
        <f>AND(DATA!F676,"AAAAAGW/X0A=")</f>
        <v>#VALUE!</v>
      </c>
      <c r="BN118" t="e">
        <f>AND(DATA!G676,"AAAAAGW/X0E=")</f>
        <v>#VALUE!</v>
      </c>
      <c r="BO118" t="e">
        <f>AND(DATA!H676,"AAAAAGW/X0I=")</f>
        <v>#VALUE!</v>
      </c>
      <c r="BP118" t="e">
        <f>AND(DATA!I676,"AAAAAGW/X0M=")</f>
        <v>#VALUE!</v>
      </c>
      <c r="BQ118" t="e">
        <f>AND(DATA!J676,"AAAAAGW/X0Q=")</f>
        <v>#VALUE!</v>
      </c>
      <c r="BR118" t="e">
        <f>AND(DATA!K676,"AAAAAGW/X0U=")</f>
        <v>#VALUE!</v>
      </c>
      <c r="BS118" t="b">
        <f>AND(DATA!L677,"AAAAAGW/X0Y=")</f>
        <v>1</v>
      </c>
      <c r="BT118" t="b">
        <f>AND(DATA!M677,"AAAAAGW/X0c=")</f>
        <v>1</v>
      </c>
      <c r="BU118" t="b">
        <f>AND(DATA!N677,"AAAAAGW/X0g=")</f>
        <v>1</v>
      </c>
      <c r="BV118" t="b">
        <f>AND(DATA!O677,"AAAAAGW/X0k=")</f>
        <v>1</v>
      </c>
      <c r="BW118" t="b">
        <f>AND(DATA!P677,"AAAAAGW/X0o=")</f>
        <v>1</v>
      </c>
      <c r="BX118" t="b">
        <f>AND(DATA!Q677,"AAAAAGW/X0s=")</f>
        <v>1</v>
      </c>
      <c r="BY118" t="b">
        <f>AND(DATA!R677,"AAAAAGW/X0w=")</f>
        <v>1</v>
      </c>
      <c r="BZ118" t="b">
        <f>AND(DATA!S677,"AAAAAGW/X00=")</f>
        <v>1</v>
      </c>
      <c r="CA118" t="b">
        <f>AND(DATA!T677,"AAAAAGW/X04=")</f>
        <v>1</v>
      </c>
      <c r="CB118" t="b">
        <f>AND(DATA!U677,"AAAAAGW/X08=")</f>
        <v>1</v>
      </c>
      <c r="CC118" t="b">
        <f>AND(DATA!V677,"AAAAAGW/X1A=")</f>
        <v>1</v>
      </c>
      <c r="CD118" t="e">
        <f>AND(DATA!W676,"AAAAAGW/X1E=")</f>
        <v>#VALUE!</v>
      </c>
      <c r="CE118" t="e">
        <f>AND(DATA!X676,"AAAAAGW/X1I=")</f>
        <v>#VALUE!</v>
      </c>
      <c r="CF118" t="e">
        <f>AND(DATA!Y676,"AAAAAGW/X1M=")</f>
        <v>#VALUE!</v>
      </c>
      <c r="CG118">
        <f>IF(DATA!677:677,"AAAAAGW/X1Q=",0)</f>
        <v>0</v>
      </c>
      <c r="CH118" t="e">
        <f>AND(DATA!A677,"AAAAAGW/X1U=")</f>
        <v>#VALUE!</v>
      </c>
      <c r="CI118" t="e">
        <f>AND(DATA!B677,"AAAAAGW/X1Y=")</f>
        <v>#VALUE!</v>
      </c>
      <c r="CJ118" t="e">
        <f>AND(DATA!C677,"AAAAAGW/X1c=")</f>
        <v>#VALUE!</v>
      </c>
      <c r="CK118" t="e">
        <f>AND(DATA!D677,"AAAAAGW/X1g=")</f>
        <v>#VALUE!</v>
      </c>
      <c r="CL118" t="e">
        <f>AND(DATA!E677,"AAAAAGW/X1k=")</f>
        <v>#VALUE!</v>
      </c>
      <c r="CM118" t="e">
        <f>AND(DATA!F677,"AAAAAGW/X1o=")</f>
        <v>#VALUE!</v>
      </c>
      <c r="CN118" t="e">
        <f>AND(DATA!G677,"AAAAAGW/X1s=")</f>
        <v>#VALUE!</v>
      </c>
      <c r="CO118" t="e">
        <f>AND(DATA!H677,"AAAAAGW/X1w=")</f>
        <v>#VALUE!</v>
      </c>
      <c r="CP118" t="e">
        <f>AND(DATA!I677,"AAAAAGW/X10=")</f>
        <v>#VALUE!</v>
      </c>
      <c r="CQ118" t="e">
        <f>AND(DATA!J677,"AAAAAGW/X14=")</f>
        <v>#VALUE!</v>
      </c>
      <c r="CR118" t="e">
        <f>AND(DATA!K677,"AAAAAGW/X18=")</f>
        <v>#VALUE!</v>
      </c>
      <c r="CS118" t="b">
        <f>AND(DATA!L678,"AAAAAGW/X2A=")</f>
        <v>1</v>
      </c>
      <c r="CT118" t="b">
        <f>AND(DATA!M678,"AAAAAGW/X2E=")</f>
        <v>1</v>
      </c>
      <c r="CU118" t="b">
        <f>AND(DATA!N678,"AAAAAGW/X2I=")</f>
        <v>1</v>
      </c>
      <c r="CV118" t="b">
        <f>AND(DATA!O678,"AAAAAGW/X2M=")</f>
        <v>1</v>
      </c>
      <c r="CW118" t="b">
        <f>AND(DATA!P678,"AAAAAGW/X2Q=")</f>
        <v>1</v>
      </c>
      <c r="CX118" t="b">
        <f>AND(DATA!Q678,"AAAAAGW/X2U=")</f>
        <v>1</v>
      </c>
      <c r="CY118" t="b">
        <f>AND(DATA!R678,"AAAAAGW/X2Y=")</f>
        <v>1</v>
      </c>
      <c r="CZ118" t="b">
        <f>AND(DATA!S678,"AAAAAGW/X2c=")</f>
        <v>1</v>
      </c>
      <c r="DA118" t="b">
        <f>AND(DATA!T678,"AAAAAGW/X2g=")</f>
        <v>1</v>
      </c>
      <c r="DB118" t="b">
        <f>AND(DATA!U678,"AAAAAGW/X2k=")</f>
        <v>1</v>
      </c>
      <c r="DC118" t="b">
        <f>AND(DATA!V678,"AAAAAGW/X2o=")</f>
        <v>1</v>
      </c>
      <c r="DD118" t="e">
        <f>AND(DATA!W677,"AAAAAGW/X2s=")</f>
        <v>#VALUE!</v>
      </c>
      <c r="DE118" t="e">
        <f>AND(DATA!X677,"AAAAAGW/X2w=")</f>
        <v>#VALUE!</v>
      </c>
      <c r="DF118" t="e">
        <f>AND(DATA!Y677,"AAAAAGW/X20=")</f>
        <v>#VALUE!</v>
      </c>
      <c r="DG118">
        <f>IF(DATA!678:678,"AAAAAGW/X24=",0)</f>
        <v>0</v>
      </c>
      <c r="DH118" t="e">
        <f>AND(DATA!A678,"AAAAAGW/X28=")</f>
        <v>#VALUE!</v>
      </c>
      <c r="DI118" t="e">
        <f>AND(DATA!B678,"AAAAAGW/X3A=")</f>
        <v>#VALUE!</v>
      </c>
      <c r="DJ118" t="e">
        <f>AND(DATA!C678,"AAAAAGW/X3E=")</f>
        <v>#VALUE!</v>
      </c>
      <c r="DK118" t="e">
        <f>AND(DATA!D678,"AAAAAGW/X3I=")</f>
        <v>#VALUE!</v>
      </c>
      <c r="DL118" t="e">
        <f>AND(DATA!E678,"AAAAAGW/X3M=")</f>
        <v>#VALUE!</v>
      </c>
      <c r="DM118" t="e">
        <f>AND(DATA!F678,"AAAAAGW/X3Q=")</f>
        <v>#VALUE!</v>
      </c>
      <c r="DN118" t="e">
        <f>AND(DATA!G678,"AAAAAGW/X3U=")</f>
        <v>#VALUE!</v>
      </c>
      <c r="DO118" t="e">
        <f>AND(DATA!H678,"AAAAAGW/X3Y=")</f>
        <v>#VALUE!</v>
      </c>
      <c r="DP118" t="e">
        <f>AND(DATA!I678,"AAAAAGW/X3c=")</f>
        <v>#VALUE!</v>
      </c>
      <c r="DQ118" t="e">
        <f>AND(DATA!J678,"AAAAAGW/X3g=")</f>
        <v>#VALUE!</v>
      </c>
      <c r="DR118" t="e">
        <f>AND(DATA!K678,"AAAAAGW/X3k=")</f>
        <v>#VALUE!</v>
      </c>
      <c r="DS118" t="b">
        <f>AND(DATA!L679,"AAAAAGW/X3o=")</f>
        <v>1</v>
      </c>
      <c r="DT118" t="b">
        <f>AND(DATA!M679,"AAAAAGW/X3s=")</f>
        <v>1</v>
      </c>
      <c r="DU118" t="b">
        <f>AND(DATA!N679,"AAAAAGW/X3w=")</f>
        <v>1</v>
      </c>
      <c r="DV118" t="b">
        <f>AND(DATA!O679,"AAAAAGW/X30=")</f>
        <v>1</v>
      </c>
      <c r="DW118" t="b">
        <f>AND(DATA!P679,"AAAAAGW/X34=")</f>
        <v>1</v>
      </c>
      <c r="DX118" t="b">
        <f>AND(DATA!Q679,"AAAAAGW/X38=")</f>
        <v>1</v>
      </c>
      <c r="DY118" t="b">
        <f>AND(DATA!R679,"AAAAAGW/X4A=")</f>
        <v>1</v>
      </c>
      <c r="DZ118" t="b">
        <f>AND(DATA!S679,"AAAAAGW/X4E=")</f>
        <v>1</v>
      </c>
      <c r="EA118" t="b">
        <f>AND(DATA!T679,"AAAAAGW/X4I=")</f>
        <v>1</v>
      </c>
      <c r="EB118" t="b">
        <f>AND(DATA!U679,"AAAAAGW/X4M=")</f>
        <v>1</v>
      </c>
      <c r="EC118" t="b">
        <f>AND(DATA!V679,"AAAAAGW/X4Q=")</f>
        <v>1</v>
      </c>
      <c r="ED118" t="e">
        <f>AND(DATA!W678,"AAAAAGW/X4U=")</f>
        <v>#VALUE!</v>
      </c>
      <c r="EE118" t="e">
        <f>AND(DATA!X678,"AAAAAGW/X4Y=")</f>
        <v>#VALUE!</v>
      </c>
      <c r="EF118" t="e">
        <f>AND(DATA!Y678,"AAAAAGW/X4c=")</f>
        <v>#VALUE!</v>
      </c>
      <c r="EG118">
        <f>IF(DATA!679:679,"AAAAAGW/X4g=",0)</f>
        <v>0</v>
      </c>
      <c r="EH118" t="e">
        <f>AND(DATA!A679,"AAAAAGW/X4k=")</f>
        <v>#VALUE!</v>
      </c>
      <c r="EI118" t="e">
        <f>AND(DATA!B679,"AAAAAGW/X4o=")</f>
        <v>#VALUE!</v>
      </c>
      <c r="EJ118" t="e">
        <f>AND(DATA!C679,"AAAAAGW/X4s=")</f>
        <v>#VALUE!</v>
      </c>
      <c r="EK118" t="e">
        <f>AND(DATA!D679,"AAAAAGW/X4w=")</f>
        <v>#VALUE!</v>
      </c>
      <c r="EL118" t="e">
        <f>AND(DATA!E679,"AAAAAGW/X40=")</f>
        <v>#VALUE!</v>
      </c>
      <c r="EM118" t="e">
        <f>AND(DATA!F679,"AAAAAGW/X44=")</f>
        <v>#VALUE!</v>
      </c>
      <c r="EN118" t="e">
        <f>AND(DATA!G679,"AAAAAGW/X48=")</f>
        <v>#VALUE!</v>
      </c>
      <c r="EO118" t="e">
        <f>AND(DATA!H679,"AAAAAGW/X5A=")</f>
        <v>#VALUE!</v>
      </c>
      <c r="EP118" t="e">
        <f>AND(DATA!I679,"AAAAAGW/X5E=")</f>
        <v>#VALUE!</v>
      </c>
      <c r="EQ118" t="e">
        <f>AND(DATA!J679,"AAAAAGW/X5I=")</f>
        <v>#VALUE!</v>
      </c>
      <c r="ER118" t="e">
        <f>AND(DATA!K679,"AAAAAGW/X5M=")</f>
        <v>#VALUE!</v>
      </c>
      <c r="ES118" t="b">
        <f>AND(DATA!L680,"AAAAAGW/X5Q=")</f>
        <v>1</v>
      </c>
      <c r="ET118" t="b">
        <f>AND(DATA!M680,"AAAAAGW/X5U=")</f>
        <v>1</v>
      </c>
      <c r="EU118" t="b">
        <f>AND(DATA!N680,"AAAAAGW/X5Y=")</f>
        <v>1</v>
      </c>
      <c r="EV118" t="b">
        <f>AND(DATA!O680,"AAAAAGW/X5c=")</f>
        <v>1</v>
      </c>
      <c r="EW118" t="b">
        <f>AND(DATA!P680,"AAAAAGW/X5g=")</f>
        <v>1</v>
      </c>
      <c r="EX118" t="b">
        <f>AND(DATA!Q680,"AAAAAGW/X5k=")</f>
        <v>1</v>
      </c>
      <c r="EY118" t="b">
        <f>AND(DATA!R680,"AAAAAGW/X5o=")</f>
        <v>1</v>
      </c>
      <c r="EZ118" t="b">
        <f>AND(DATA!S680,"AAAAAGW/X5s=")</f>
        <v>1</v>
      </c>
      <c r="FA118" t="b">
        <f>AND(DATA!T680,"AAAAAGW/X5w=")</f>
        <v>1</v>
      </c>
      <c r="FB118" t="b">
        <f>AND(DATA!U680,"AAAAAGW/X50=")</f>
        <v>1</v>
      </c>
      <c r="FC118" t="b">
        <f>AND(DATA!V680,"AAAAAGW/X54=")</f>
        <v>1</v>
      </c>
      <c r="FD118" t="e">
        <f>AND(DATA!W679,"AAAAAGW/X58=")</f>
        <v>#VALUE!</v>
      </c>
      <c r="FE118" t="e">
        <f>AND(DATA!X679,"AAAAAGW/X6A=")</f>
        <v>#VALUE!</v>
      </c>
      <c r="FF118" t="e">
        <f>AND(DATA!Y679,"AAAAAGW/X6E=")</f>
        <v>#VALUE!</v>
      </c>
      <c r="FG118">
        <f>IF(DATA!680:680,"AAAAAGW/X6I=",0)</f>
        <v>0</v>
      </c>
      <c r="FH118" t="e">
        <f>AND(DATA!A680,"AAAAAGW/X6M=")</f>
        <v>#VALUE!</v>
      </c>
      <c r="FI118" t="e">
        <f>AND(DATA!B680,"AAAAAGW/X6Q=")</f>
        <v>#VALUE!</v>
      </c>
      <c r="FJ118" t="e">
        <f>AND(DATA!C680,"AAAAAGW/X6U=")</f>
        <v>#VALUE!</v>
      </c>
      <c r="FK118" t="e">
        <f>AND(DATA!D680,"AAAAAGW/X6Y=")</f>
        <v>#VALUE!</v>
      </c>
      <c r="FL118" t="e">
        <f>AND(DATA!E680,"AAAAAGW/X6c=")</f>
        <v>#VALUE!</v>
      </c>
      <c r="FM118" t="e">
        <f>AND(DATA!F680,"AAAAAGW/X6g=")</f>
        <v>#VALUE!</v>
      </c>
      <c r="FN118" t="e">
        <f>AND(DATA!G680,"AAAAAGW/X6k=")</f>
        <v>#VALUE!</v>
      </c>
      <c r="FO118" t="e">
        <f>AND(DATA!H680,"AAAAAGW/X6o=")</f>
        <v>#VALUE!</v>
      </c>
      <c r="FP118" t="e">
        <f>AND(DATA!I680,"AAAAAGW/X6s=")</f>
        <v>#VALUE!</v>
      </c>
      <c r="FQ118" t="e">
        <f>AND(DATA!J680,"AAAAAGW/X6w=")</f>
        <v>#VALUE!</v>
      </c>
      <c r="FR118" t="e">
        <f>AND(DATA!K680,"AAAAAGW/X60=")</f>
        <v>#VALUE!</v>
      </c>
      <c r="FS118" t="b">
        <f>AND(DATA!L681,"AAAAAGW/X64=")</f>
        <v>1</v>
      </c>
      <c r="FT118" t="b">
        <f>AND(DATA!M681,"AAAAAGW/X68=")</f>
        <v>1</v>
      </c>
      <c r="FU118" t="b">
        <f>AND(DATA!N681,"AAAAAGW/X7A=")</f>
        <v>1</v>
      </c>
      <c r="FV118" t="b">
        <f>AND(DATA!O681,"AAAAAGW/X7E=")</f>
        <v>1</v>
      </c>
      <c r="FW118" t="b">
        <f>AND(DATA!P681,"AAAAAGW/X7I=")</f>
        <v>1</v>
      </c>
      <c r="FX118" t="b">
        <f>AND(DATA!Q681,"AAAAAGW/X7M=")</f>
        <v>1</v>
      </c>
      <c r="FY118" t="b">
        <f>AND(DATA!R681,"AAAAAGW/X7Q=")</f>
        <v>1</v>
      </c>
      <c r="FZ118" t="b">
        <f>AND(DATA!S681,"AAAAAGW/X7U=")</f>
        <v>1</v>
      </c>
      <c r="GA118" t="b">
        <f>AND(DATA!T681,"AAAAAGW/X7Y=")</f>
        <v>1</v>
      </c>
      <c r="GB118" t="b">
        <f>AND(DATA!U681,"AAAAAGW/X7c=")</f>
        <v>1</v>
      </c>
      <c r="GC118" t="b">
        <f>AND(DATA!V681,"AAAAAGW/X7g=")</f>
        <v>1</v>
      </c>
      <c r="GD118" t="e">
        <f>AND(DATA!W680,"AAAAAGW/X7k=")</f>
        <v>#VALUE!</v>
      </c>
      <c r="GE118" t="e">
        <f>AND(DATA!X680,"AAAAAGW/X7o=")</f>
        <v>#VALUE!</v>
      </c>
      <c r="GF118" t="e">
        <f>AND(DATA!Y680,"AAAAAGW/X7s=")</f>
        <v>#VALUE!</v>
      </c>
      <c r="GG118">
        <f>IF(DATA!681:681,"AAAAAGW/X7w=",0)</f>
        <v>0</v>
      </c>
      <c r="GH118" t="e">
        <f>AND(DATA!A681,"AAAAAGW/X70=")</f>
        <v>#VALUE!</v>
      </c>
      <c r="GI118" t="e">
        <f>AND(DATA!B681,"AAAAAGW/X74=")</f>
        <v>#VALUE!</v>
      </c>
      <c r="GJ118" t="e">
        <f>AND(DATA!C681,"AAAAAGW/X78=")</f>
        <v>#VALUE!</v>
      </c>
      <c r="GK118" t="e">
        <f>AND(DATA!D681,"AAAAAGW/X8A=")</f>
        <v>#VALUE!</v>
      </c>
      <c r="GL118" t="e">
        <f>AND(DATA!E681,"AAAAAGW/X8E=")</f>
        <v>#VALUE!</v>
      </c>
      <c r="GM118" t="e">
        <f>AND(DATA!F681,"AAAAAGW/X8I=")</f>
        <v>#VALUE!</v>
      </c>
      <c r="GN118" t="e">
        <f>AND(DATA!G681,"AAAAAGW/X8M=")</f>
        <v>#VALUE!</v>
      </c>
      <c r="GO118" t="e">
        <f>AND(DATA!H681,"AAAAAGW/X8Q=")</f>
        <v>#VALUE!</v>
      </c>
      <c r="GP118" t="e">
        <f>AND(DATA!I681,"AAAAAGW/X8U=")</f>
        <v>#VALUE!</v>
      </c>
      <c r="GQ118" t="e">
        <f>AND(DATA!J681,"AAAAAGW/X8Y=")</f>
        <v>#VALUE!</v>
      </c>
      <c r="GR118" t="e">
        <f>AND(DATA!K681,"AAAAAGW/X8c=")</f>
        <v>#VALUE!</v>
      </c>
      <c r="GS118" t="b">
        <f>AND(DATA!L682,"AAAAAGW/X8g=")</f>
        <v>1</v>
      </c>
      <c r="GT118" t="b">
        <f>AND(DATA!M682,"AAAAAGW/X8k=")</f>
        <v>1</v>
      </c>
      <c r="GU118" t="b">
        <f>AND(DATA!N682,"AAAAAGW/X8o=")</f>
        <v>1</v>
      </c>
      <c r="GV118" t="b">
        <f>AND(DATA!O682,"AAAAAGW/X8s=")</f>
        <v>1</v>
      </c>
      <c r="GW118" t="b">
        <f>AND(DATA!P682,"AAAAAGW/X8w=")</f>
        <v>1</v>
      </c>
      <c r="GX118" t="b">
        <f>AND(DATA!Q682,"AAAAAGW/X80=")</f>
        <v>1</v>
      </c>
      <c r="GY118" t="b">
        <f>AND(DATA!R682,"AAAAAGW/X84=")</f>
        <v>1</v>
      </c>
      <c r="GZ118" t="b">
        <f>AND(DATA!S682,"AAAAAGW/X88=")</f>
        <v>1</v>
      </c>
      <c r="HA118" t="b">
        <f>AND(DATA!T682,"AAAAAGW/X9A=")</f>
        <v>1</v>
      </c>
      <c r="HB118" t="b">
        <f>AND(DATA!U682,"AAAAAGW/X9E=")</f>
        <v>1</v>
      </c>
      <c r="HC118" t="b">
        <f>AND(DATA!V682,"AAAAAGW/X9I=")</f>
        <v>1</v>
      </c>
      <c r="HD118" t="e">
        <f>AND(DATA!W681,"AAAAAGW/X9M=")</f>
        <v>#VALUE!</v>
      </c>
      <c r="HE118" t="e">
        <f>AND(DATA!X681,"AAAAAGW/X9Q=")</f>
        <v>#VALUE!</v>
      </c>
      <c r="HF118" t="e">
        <f>AND(DATA!Y681,"AAAAAGW/X9U=")</f>
        <v>#VALUE!</v>
      </c>
      <c r="HG118">
        <f>IF(DATA!682:682,"AAAAAGW/X9Y=",0)</f>
        <v>0</v>
      </c>
      <c r="HH118" t="e">
        <f>AND(DATA!A682,"AAAAAGW/X9c=")</f>
        <v>#VALUE!</v>
      </c>
      <c r="HI118" t="e">
        <f>AND(DATA!B682,"AAAAAGW/X9g=")</f>
        <v>#VALUE!</v>
      </c>
      <c r="HJ118" t="e">
        <f>AND(DATA!C682,"AAAAAGW/X9k=")</f>
        <v>#VALUE!</v>
      </c>
      <c r="HK118" t="e">
        <f>AND(DATA!D682,"AAAAAGW/X9o=")</f>
        <v>#VALUE!</v>
      </c>
      <c r="HL118" t="e">
        <f>AND(DATA!E682,"AAAAAGW/X9s=")</f>
        <v>#VALUE!</v>
      </c>
      <c r="HM118" t="e">
        <f>AND(DATA!F682,"AAAAAGW/X9w=")</f>
        <v>#VALUE!</v>
      </c>
      <c r="HN118" t="e">
        <f>AND(DATA!G682,"AAAAAGW/X90=")</f>
        <v>#VALUE!</v>
      </c>
      <c r="HO118" t="e">
        <f>AND(DATA!H682,"AAAAAGW/X94=")</f>
        <v>#VALUE!</v>
      </c>
      <c r="HP118" t="e">
        <f>AND(DATA!I682,"AAAAAGW/X98=")</f>
        <v>#VALUE!</v>
      </c>
      <c r="HQ118" t="e">
        <f>AND(DATA!J682,"AAAAAGW/X+A=")</f>
        <v>#VALUE!</v>
      </c>
      <c r="HR118" t="e">
        <f>AND(DATA!K682,"AAAAAGW/X+E=")</f>
        <v>#VALUE!</v>
      </c>
      <c r="HS118" t="b">
        <f>AND(DATA!L683,"AAAAAGW/X+I=")</f>
        <v>1</v>
      </c>
      <c r="HT118" t="b">
        <f>AND(DATA!M683,"AAAAAGW/X+M=")</f>
        <v>1</v>
      </c>
      <c r="HU118" t="b">
        <f>AND(DATA!N683,"AAAAAGW/X+Q=")</f>
        <v>1</v>
      </c>
      <c r="HV118" t="b">
        <f>AND(DATA!O683,"AAAAAGW/X+U=")</f>
        <v>1</v>
      </c>
      <c r="HW118" t="b">
        <f>AND(DATA!P683,"AAAAAGW/X+Y=")</f>
        <v>1</v>
      </c>
      <c r="HX118" t="b">
        <f>AND(DATA!Q683,"AAAAAGW/X+c=")</f>
        <v>1</v>
      </c>
      <c r="HY118" t="b">
        <f>AND(DATA!R683,"AAAAAGW/X+g=")</f>
        <v>1</v>
      </c>
      <c r="HZ118" t="b">
        <f>AND(DATA!S683,"AAAAAGW/X+k=")</f>
        <v>1</v>
      </c>
      <c r="IA118" t="b">
        <f>AND(DATA!T683,"AAAAAGW/X+o=")</f>
        <v>1</v>
      </c>
      <c r="IB118" t="b">
        <f>AND(DATA!U683,"AAAAAGW/X+s=")</f>
        <v>1</v>
      </c>
      <c r="IC118" t="b">
        <f>AND(DATA!V683,"AAAAAGW/X+w=")</f>
        <v>1</v>
      </c>
      <c r="ID118" t="e">
        <f>AND(DATA!W682,"AAAAAGW/X+0=")</f>
        <v>#VALUE!</v>
      </c>
      <c r="IE118" t="e">
        <f>AND(DATA!X682,"AAAAAGW/X+4=")</f>
        <v>#VALUE!</v>
      </c>
      <c r="IF118" t="e">
        <f>AND(DATA!Y682,"AAAAAGW/X+8=")</f>
        <v>#VALUE!</v>
      </c>
      <c r="IG118">
        <f>IF(DATA!683:683,"AAAAAGW/X/A=",0)</f>
        <v>0</v>
      </c>
      <c r="IH118" t="e">
        <f>AND(DATA!A683,"AAAAAGW/X/E=")</f>
        <v>#VALUE!</v>
      </c>
      <c r="II118" t="e">
        <f>AND(DATA!B683,"AAAAAGW/X/I=")</f>
        <v>#VALUE!</v>
      </c>
      <c r="IJ118" t="e">
        <f>AND(DATA!C683,"AAAAAGW/X/M=")</f>
        <v>#VALUE!</v>
      </c>
      <c r="IK118" t="e">
        <f>AND(DATA!D683,"AAAAAGW/X/Q=")</f>
        <v>#VALUE!</v>
      </c>
      <c r="IL118" t="e">
        <f>AND(DATA!E683,"AAAAAGW/X/U=")</f>
        <v>#VALUE!</v>
      </c>
      <c r="IM118" t="e">
        <f>AND(DATA!F683,"AAAAAGW/X/Y=")</f>
        <v>#VALUE!</v>
      </c>
      <c r="IN118" t="e">
        <f>AND(DATA!G683,"AAAAAGW/X/c=")</f>
        <v>#VALUE!</v>
      </c>
      <c r="IO118" t="e">
        <f>AND(DATA!H683,"AAAAAGW/X/g=")</f>
        <v>#VALUE!</v>
      </c>
      <c r="IP118" t="e">
        <f>AND(DATA!I683,"AAAAAGW/X/k=")</f>
        <v>#VALUE!</v>
      </c>
      <c r="IQ118" t="e">
        <f>AND(DATA!J683,"AAAAAGW/X/o=")</f>
        <v>#VALUE!</v>
      </c>
      <c r="IR118" t="e">
        <f>AND(DATA!K683,"AAAAAGW/X/s=")</f>
        <v>#VALUE!</v>
      </c>
      <c r="IS118" t="b">
        <f>AND(DATA!L684,"AAAAAGW/X/w=")</f>
        <v>1</v>
      </c>
      <c r="IT118" t="b">
        <f>AND(DATA!M684,"AAAAAGW/X/0=")</f>
        <v>1</v>
      </c>
      <c r="IU118" t="b">
        <f>AND(DATA!N684,"AAAAAGW/X/4=")</f>
        <v>1</v>
      </c>
      <c r="IV118" t="b">
        <f>AND(DATA!O684,"AAAAAGW/X/8=")</f>
        <v>1</v>
      </c>
    </row>
    <row r="119" spans="1:256" x14ac:dyDescent="0.25">
      <c r="A119" t="b">
        <f>AND(DATA!P684,"AAAAAF+dvwA=")</f>
        <v>1</v>
      </c>
      <c r="B119" t="b">
        <f>AND(DATA!Q684,"AAAAAF+dvwE=")</f>
        <v>1</v>
      </c>
      <c r="C119" t="b">
        <f>AND(DATA!R684,"AAAAAF+dvwI=")</f>
        <v>1</v>
      </c>
      <c r="D119" t="b">
        <f>AND(DATA!S684,"AAAAAF+dvwM=")</f>
        <v>1</v>
      </c>
      <c r="E119" t="b">
        <f>AND(DATA!T684,"AAAAAF+dvwQ=")</f>
        <v>1</v>
      </c>
      <c r="F119" t="b">
        <f>AND(DATA!U684,"AAAAAF+dvwU=")</f>
        <v>1</v>
      </c>
      <c r="G119" t="b">
        <f>AND(DATA!V684,"AAAAAF+dvwY=")</f>
        <v>1</v>
      </c>
      <c r="H119" t="e">
        <f>AND(DATA!W683,"AAAAAF+dvwc=")</f>
        <v>#VALUE!</v>
      </c>
      <c r="I119" t="e">
        <f>AND(DATA!X683,"AAAAAF+dvwg=")</f>
        <v>#VALUE!</v>
      </c>
      <c r="J119" t="e">
        <f>AND(DATA!Y683,"AAAAAF+dvwk=")</f>
        <v>#VALUE!</v>
      </c>
      <c r="K119">
        <f>IF(DATA!684:684,"AAAAAF+dvwo=",0)</f>
        <v>0</v>
      </c>
      <c r="L119" t="e">
        <f>AND(DATA!A684,"AAAAAF+dvws=")</f>
        <v>#VALUE!</v>
      </c>
      <c r="M119" t="e">
        <f>AND(DATA!B684,"AAAAAF+dvww=")</f>
        <v>#VALUE!</v>
      </c>
      <c r="N119" t="e">
        <f>AND(DATA!C684,"AAAAAF+dvw0=")</f>
        <v>#VALUE!</v>
      </c>
      <c r="O119" t="e">
        <f>AND(DATA!D684,"AAAAAF+dvw4=")</f>
        <v>#VALUE!</v>
      </c>
      <c r="P119" t="e">
        <f>AND(DATA!E684,"AAAAAF+dvw8=")</f>
        <v>#VALUE!</v>
      </c>
      <c r="Q119" t="e">
        <f>AND(DATA!F684,"AAAAAF+dvxA=")</f>
        <v>#VALUE!</v>
      </c>
      <c r="R119" t="e">
        <f>AND(DATA!G684,"AAAAAF+dvxE=")</f>
        <v>#VALUE!</v>
      </c>
      <c r="S119" t="e">
        <f>AND(DATA!H684,"AAAAAF+dvxI=")</f>
        <v>#VALUE!</v>
      </c>
      <c r="T119" t="e">
        <f>AND(DATA!I684,"AAAAAF+dvxM=")</f>
        <v>#VALUE!</v>
      </c>
      <c r="U119" t="e">
        <f>AND(DATA!J684,"AAAAAF+dvxQ=")</f>
        <v>#VALUE!</v>
      </c>
      <c r="V119" t="e">
        <f>AND(DATA!K684,"AAAAAF+dvxU=")</f>
        <v>#VALUE!</v>
      </c>
      <c r="W119" t="b">
        <f>AND(DATA!L685,"AAAAAF+dvxY=")</f>
        <v>1</v>
      </c>
      <c r="X119" t="b">
        <f>AND(DATA!M685,"AAAAAF+dvxc=")</f>
        <v>1</v>
      </c>
      <c r="Y119" t="b">
        <f>AND(DATA!N685,"AAAAAF+dvxg=")</f>
        <v>1</v>
      </c>
      <c r="Z119" t="b">
        <f>AND(DATA!O685,"AAAAAF+dvxk=")</f>
        <v>1</v>
      </c>
      <c r="AA119" t="b">
        <f>AND(DATA!P685,"AAAAAF+dvxo=")</f>
        <v>1</v>
      </c>
      <c r="AB119" t="b">
        <f>AND(DATA!Q685,"AAAAAF+dvxs=")</f>
        <v>1</v>
      </c>
      <c r="AC119" t="b">
        <f>AND(DATA!R685,"AAAAAF+dvxw=")</f>
        <v>1</v>
      </c>
      <c r="AD119" t="b">
        <f>AND(DATA!S685,"AAAAAF+dvx0=")</f>
        <v>1</v>
      </c>
      <c r="AE119" t="b">
        <f>AND(DATA!T685,"AAAAAF+dvx4=")</f>
        <v>1</v>
      </c>
      <c r="AF119" t="b">
        <f>AND(DATA!U685,"AAAAAF+dvx8=")</f>
        <v>1</v>
      </c>
      <c r="AG119" t="b">
        <f>AND(DATA!V685,"AAAAAF+dvyA=")</f>
        <v>1</v>
      </c>
      <c r="AH119" t="e">
        <f>AND(DATA!W684,"AAAAAF+dvyE=")</f>
        <v>#VALUE!</v>
      </c>
      <c r="AI119" t="e">
        <f>AND(DATA!X684,"AAAAAF+dvyI=")</f>
        <v>#VALUE!</v>
      </c>
      <c r="AJ119" t="e">
        <f>AND(DATA!Y684,"AAAAAF+dvyM=")</f>
        <v>#VALUE!</v>
      </c>
      <c r="AK119">
        <f>IF(DATA!685:685,"AAAAAF+dvyQ=",0)</f>
        <v>0</v>
      </c>
      <c r="AL119" t="e">
        <f>AND(DATA!A685,"AAAAAF+dvyU=")</f>
        <v>#VALUE!</v>
      </c>
      <c r="AM119" t="e">
        <f>AND(DATA!B685,"AAAAAF+dvyY=")</f>
        <v>#VALUE!</v>
      </c>
      <c r="AN119" t="e">
        <f>AND(DATA!C685,"AAAAAF+dvyc=")</f>
        <v>#VALUE!</v>
      </c>
      <c r="AO119" t="e">
        <f>AND(DATA!D685,"AAAAAF+dvyg=")</f>
        <v>#VALUE!</v>
      </c>
      <c r="AP119" t="e">
        <f>AND(DATA!E685,"AAAAAF+dvyk=")</f>
        <v>#VALUE!</v>
      </c>
      <c r="AQ119" t="e">
        <f>AND(DATA!F685,"AAAAAF+dvyo=")</f>
        <v>#VALUE!</v>
      </c>
      <c r="AR119" t="e">
        <f>AND(DATA!G685,"AAAAAF+dvys=")</f>
        <v>#VALUE!</v>
      </c>
      <c r="AS119" t="e">
        <f>AND(DATA!H685,"AAAAAF+dvyw=")</f>
        <v>#VALUE!</v>
      </c>
      <c r="AT119" t="e">
        <f>AND(DATA!I685,"AAAAAF+dvy0=")</f>
        <v>#VALUE!</v>
      </c>
      <c r="AU119" t="e">
        <f>AND(DATA!J685,"AAAAAF+dvy4=")</f>
        <v>#VALUE!</v>
      </c>
      <c r="AV119" t="e">
        <f>AND(DATA!K685,"AAAAAF+dvy8=")</f>
        <v>#VALUE!</v>
      </c>
      <c r="AW119" t="b">
        <f>AND(DATA!L686,"AAAAAF+dvzA=")</f>
        <v>1</v>
      </c>
      <c r="AX119" t="b">
        <f>AND(DATA!M686,"AAAAAF+dvzE=")</f>
        <v>1</v>
      </c>
      <c r="AY119" t="b">
        <f>AND(DATA!N686,"AAAAAF+dvzI=")</f>
        <v>1</v>
      </c>
      <c r="AZ119" t="b">
        <f>AND(DATA!O686,"AAAAAF+dvzM=")</f>
        <v>1</v>
      </c>
      <c r="BA119" t="b">
        <f>AND(DATA!P686,"AAAAAF+dvzQ=")</f>
        <v>1</v>
      </c>
      <c r="BB119" t="b">
        <f>AND(DATA!Q686,"AAAAAF+dvzU=")</f>
        <v>1</v>
      </c>
      <c r="BC119" t="b">
        <f>AND(DATA!R686,"AAAAAF+dvzY=")</f>
        <v>1</v>
      </c>
      <c r="BD119" t="b">
        <f>AND(DATA!S686,"AAAAAF+dvzc=")</f>
        <v>1</v>
      </c>
      <c r="BE119" t="b">
        <f>AND(DATA!T686,"AAAAAF+dvzg=")</f>
        <v>1</v>
      </c>
      <c r="BF119" t="b">
        <f>AND(DATA!U686,"AAAAAF+dvzk=")</f>
        <v>1</v>
      </c>
      <c r="BG119" t="b">
        <f>AND(DATA!V686,"AAAAAF+dvzo=")</f>
        <v>1</v>
      </c>
      <c r="BH119" t="e">
        <f>AND(DATA!W685,"AAAAAF+dvzs=")</f>
        <v>#VALUE!</v>
      </c>
      <c r="BI119" t="e">
        <f>AND(DATA!X685,"AAAAAF+dvzw=")</f>
        <v>#VALUE!</v>
      </c>
      <c r="BJ119" t="e">
        <f>AND(DATA!Y685,"AAAAAF+dvz0=")</f>
        <v>#VALUE!</v>
      </c>
      <c r="BK119">
        <f>IF(DATA!686:686,"AAAAAF+dvz4=",0)</f>
        <v>0</v>
      </c>
      <c r="BL119" t="e">
        <f>AND(DATA!A686,"AAAAAF+dvz8=")</f>
        <v>#VALUE!</v>
      </c>
      <c r="BM119" t="e">
        <f>AND(DATA!B686,"AAAAAF+dv0A=")</f>
        <v>#VALUE!</v>
      </c>
      <c r="BN119" t="e">
        <f>AND(DATA!C686,"AAAAAF+dv0E=")</f>
        <v>#VALUE!</v>
      </c>
      <c r="BO119" t="e">
        <f>AND(DATA!D686,"AAAAAF+dv0I=")</f>
        <v>#VALUE!</v>
      </c>
      <c r="BP119" t="e">
        <f>AND(DATA!E686,"AAAAAF+dv0M=")</f>
        <v>#VALUE!</v>
      </c>
      <c r="BQ119" t="e">
        <f>AND(DATA!F686,"AAAAAF+dv0Q=")</f>
        <v>#VALUE!</v>
      </c>
      <c r="BR119" t="e">
        <f>AND(DATA!G686,"AAAAAF+dv0U=")</f>
        <v>#VALUE!</v>
      </c>
      <c r="BS119" t="e">
        <f>AND(DATA!H686,"AAAAAF+dv0Y=")</f>
        <v>#VALUE!</v>
      </c>
      <c r="BT119" t="e">
        <f>AND(DATA!I686,"AAAAAF+dv0c=")</f>
        <v>#VALUE!</v>
      </c>
      <c r="BU119" t="e">
        <f>AND(DATA!J686,"AAAAAF+dv0g=")</f>
        <v>#VALUE!</v>
      </c>
      <c r="BV119" t="e">
        <f>AND(DATA!K686,"AAAAAF+dv0k=")</f>
        <v>#VALUE!</v>
      </c>
      <c r="BW119" t="b">
        <f>AND(DATA!L687,"AAAAAF+dv0o=")</f>
        <v>1</v>
      </c>
      <c r="BX119" t="b">
        <f>AND(DATA!M687,"AAAAAF+dv0s=")</f>
        <v>1</v>
      </c>
      <c r="BY119" t="b">
        <f>AND(DATA!N687,"AAAAAF+dv0w=")</f>
        <v>1</v>
      </c>
      <c r="BZ119" t="b">
        <f>AND(DATA!O687,"AAAAAF+dv00=")</f>
        <v>1</v>
      </c>
      <c r="CA119" t="b">
        <f>AND(DATA!P687,"AAAAAF+dv04=")</f>
        <v>1</v>
      </c>
      <c r="CB119" t="b">
        <f>AND(DATA!Q687,"AAAAAF+dv08=")</f>
        <v>1</v>
      </c>
      <c r="CC119" t="b">
        <f>AND(DATA!R687,"AAAAAF+dv1A=")</f>
        <v>1</v>
      </c>
      <c r="CD119" t="b">
        <f>AND(DATA!S687,"AAAAAF+dv1E=")</f>
        <v>1</v>
      </c>
      <c r="CE119" t="b">
        <f>AND(DATA!T687,"AAAAAF+dv1I=")</f>
        <v>1</v>
      </c>
      <c r="CF119" t="b">
        <f>AND(DATA!U687,"AAAAAF+dv1M=")</f>
        <v>1</v>
      </c>
      <c r="CG119" t="b">
        <f>AND(DATA!V687,"AAAAAF+dv1Q=")</f>
        <v>1</v>
      </c>
      <c r="CH119" t="e">
        <f>AND(DATA!W686,"AAAAAF+dv1U=")</f>
        <v>#VALUE!</v>
      </c>
      <c r="CI119" t="e">
        <f>AND(DATA!X686,"AAAAAF+dv1Y=")</f>
        <v>#VALUE!</v>
      </c>
      <c r="CJ119" t="e">
        <f>AND(DATA!Y686,"AAAAAF+dv1c=")</f>
        <v>#VALUE!</v>
      </c>
      <c r="CK119">
        <f>IF(DATA!687:687,"AAAAAF+dv1g=",0)</f>
        <v>0</v>
      </c>
      <c r="CL119" t="e">
        <f>AND(DATA!A687,"AAAAAF+dv1k=")</f>
        <v>#VALUE!</v>
      </c>
      <c r="CM119" t="e">
        <f>AND(DATA!B687,"AAAAAF+dv1o=")</f>
        <v>#VALUE!</v>
      </c>
      <c r="CN119" t="e">
        <f>AND(DATA!C687,"AAAAAF+dv1s=")</f>
        <v>#VALUE!</v>
      </c>
      <c r="CO119" t="e">
        <f>AND(DATA!D687,"AAAAAF+dv1w=")</f>
        <v>#VALUE!</v>
      </c>
      <c r="CP119" t="e">
        <f>AND(DATA!E687,"AAAAAF+dv10=")</f>
        <v>#VALUE!</v>
      </c>
      <c r="CQ119" t="e">
        <f>AND(DATA!F687,"AAAAAF+dv14=")</f>
        <v>#VALUE!</v>
      </c>
      <c r="CR119" t="e">
        <f>AND(DATA!G687,"AAAAAF+dv18=")</f>
        <v>#VALUE!</v>
      </c>
      <c r="CS119" t="e">
        <f>AND(DATA!H687,"AAAAAF+dv2A=")</f>
        <v>#VALUE!</v>
      </c>
      <c r="CT119" t="e">
        <f>AND(DATA!I687,"AAAAAF+dv2E=")</f>
        <v>#VALUE!</v>
      </c>
      <c r="CU119" t="e">
        <f>AND(DATA!J687,"AAAAAF+dv2I=")</f>
        <v>#VALUE!</v>
      </c>
      <c r="CV119" t="e">
        <f>AND(DATA!K687,"AAAAAF+dv2M=")</f>
        <v>#VALUE!</v>
      </c>
      <c r="CW119" t="b">
        <f>AND(DATA!L688,"AAAAAF+dv2Q=")</f>
        <v>1</v>
      </c>
      <c r="CX119" t="b">
        <f>AND(DATA!M688,"AAAAAF+dv2U=")</f>
        <v>1</v>
      </c>
      <c r="CY119" t="b">
        <f>AND(DATA!N688,"AAAAAF+dv2Y=")</f>
        <v>1</v>
      </c>
      <c r="CZ119" t="b">
        <f>AND(DATA!O688,"AAAAAF+dv2c=")</f>
        <v>1</v>
      </c>
      <c r="DA119" t="b">
        <f>AND(DATA!P688,"AAAAAF+dv2g=")</f>
        <v>1</v>
      </c>
      <c r="DB119" t="b">
        <f>AND(DATA!Q688,"AAAAAF+dv2k=")</f>
        <v>1</v>
      </c>
      <c r="DC119" t="b">
        <f>AND(DATA!R688,"AAAAAF+dv2o=")</f>
        <v>1</v>
      </c>
      <c r="DD119" t="b">
        <f>AND(DATA!S688,"AAAAAF+dv2s=")</f>
        <v>1</v>
      </c>
      <c r="DE119" t="b">
        <f>AND(DATA!T688,"AAAAAF+dv2w=")</f>
        <v>1</v>
      </c>
      <c r="DF119" t="b">
        <f>AND(DATA!U688,"AAAAAF+dv20=")</f>
        <v>1</v>
      </c>
      <c r="DG119" t="b">
        <f>AND(DATA!V688,"AAAAAF+dv24=")</f>
        <v>1</v>
      </c>
      <c r="DH119" t="e">
        <f>AND(DATA!W687,"AAAAAF+dv28=")</f>
        <v>#VALUE!</v>
      </c>
      <c r="DI119" t="e">
        <f>AND(DATA!X687,"AAAAAF+dv3A=")</f>
        <v>#VALUE!</v>
      </c>
      <c r="DJ119" t="e">
        <f>AND(DATA!Y687,"AAAAAF+dv3E=")</f>
        <v>#VALUE!</v>
      </c>
      <c r="DK119">
        <f>IF(DATA!688:688,"AAAAAF+dv3I=",0)</f>
        <v>0</v>
      </c>
      <c r="DL119" t="e">
        <f>AND(DATA!A688,"AAAAAF+dv3M=")</f>
        <v>#VALUE!</v>
      </c>
      <c r="DM119" t="e">
        <f>AND(DATA!B688,"AAAAAF+dv3Q=")</f>
        <v>#VALUE!</v>
      </c>
      <c r="DN119" t="e">
        <f>AND(DATA!C688,"AAAAAF+dv3U=")</f>
        <v>#VALUE!</v>
      </c>
      <c r="DO119" t="e">
        <f>AND(DATA!D688,"AAAAAF+dv3Y=")</f>
        <v>#VALUE!</v>
      </c>
      <c r="DP119" t="e">
        <f>AND(DATA!E688,"AAAAAF+dv3c=")</f>
        <v>#VALUE!</v>
      </c>
      <c r="DQ119" t="e">
        <f>AND(DATA!F688,"AAAAAF+dv3g=")</f>
        <v>#VALUE!</v>
      </c>
      <c r="DR119" t="e">
        <f>AND(DATA!G688,"AAAAAF+dv3k=")</f>
        <v>#VALUE!</v>
      </c>
      <c r="DS119" t="e">
        <f>AND(DATA!H688,"AAAAAF+dv3o=")</f>
        <v>#VALUE!</v>
      </c>
      <c r="DT119" t="e">
        <f>AND(DATA!I688,"AAAAAF+dv3s=")</f>
        <v>#VALUE!</v>
      </c>
      <c r="DU119" t="e">
        <f>AND(DATA!J688,"AAAAAF+dv3w=")</f>
        <v>#VALUE!</v>
      </c>
      <c r="DV119" t="e">
        <f>AND(DATA!K688,"AAAAAF+dv30=")</f>
        <v>#VALUE!</v>
      </c>
      <c r="DW119" t="b">
        <f>AND(DATA!L689,"AAAAAF+dv34=")</f>
        <v>1</v>
      </c>
      <c r="DX119" t="b">
        <f>AND(DATA!M689,"AAAAAF+dv38=")</f>
        <v>1</v>
      </c>
      <c r="DY119" t="b">
        <f>AND(DATA!N689,"AAAAAF+dv4A=")</f>
        <v>1</v>
      </c>
      <c r="DZ119" t="b">
        <f>AND(DATA!O689,"AAAAAF+dv4E=")</f>
        <v>1</v>
      </c>
      <c r="EA119" t="b">
        <f>AND(DATA!P689,"AAAAAF+dv4I=")</f>
        <v>1</v>
      </c>
      <c r="EB119" t="b">
        <f>AND(DATA!Q689,"AAAAAF+dv4M=")</f>
        <v>1</v>
      </c>
      <c r="EC119" t="b">
        <f>AND(DATA!R689,"AAAAAF+dv4Q=")</f>
        <v>1</v>
      </c>
      <c r="ED119" t="b">
        <f>AND(DATA!S689,"AAAAAF+dv4U=")</f>
        <v>1</v>
      </c>
      <c r="EE119" t="b">
        <f>AND(DATA!T689,"AAAAAF+dv4Y=")</f>
        <v>1</v>
      </c>
      <c r="EF119" t="b">
        <f>AND(DATA!U689,"AAAAAF+dv4c=")</f>
        <v>1</v>
      </c>
      <c r="EG119" t="b">
        <f>AND(DATA!V689,"AAAAAF+dv4g=")</f>
        <v>1</v>
      </c>
      <c r="EH119" t="e">
        <f>AND(DATA!W688,"AAAAAF+dv4k=")</f>
        <v>#VALUE!</v>
      </c>
      <c r="EI119" t="e">
        <f>AND(DATA!X688,"AAAAAF+dv4o=")</f>
        <v>#VALUE!</v>
      </c>
      <c r="EJ119" t="e">
        <f>AND(DATA!Y688,"AAAAAF+dv4s=")</f>
        <v>#VALUE!</v>
      </c>
      <c r="EK119">
        <f>IF(DATA!689:689,"AAAAAF+dv4w=",0)</f>
        <v>0</v>
      </c>
      <c r="EL119" t="e">
        <f>AND(DATA!A689,"AAAAAF+dv40=")</f>
        <v>#VALUE!</v>
      </c>
      <c r="EM119" t="e">
        <f>AND(DATA!B689,"AAAAAF+dv44=")</f>
        <v>#VALUE!</v>
      </c>
      <c r="EN119" t="e">
        <f>AND(DATA!C689,"AAAAAF+dv48=")</f>
        <v>#VALUE!</v>
      </c>
      <c r="EO119" t="e">
        <f>AND(DATA!D689,"AAAAAF+dv5A=")</f>
        <v>#VALUE!</v>
      </c>
      <c r="EP119" t="e">
        <f>AND(DATA!E689,"AAAAAF+dv5E=")</f>
        <v>#VALUE!</v>
      </c>
      <c r="EQ119" t="e">
        <f>AND(DATA!F689,"AAAAAF+dv5I=")</f>
        <v>#VALUE!</v>
      </c>
      <c r="ER119" t="e">
        <f>AND(DATA!G689,"AAAAAF+dv5M=")</f>
        <v>#VALUE!</v>
      </c>
      <c r="ES119" t="e">
        <f>AND(DATA!H689,"AAAAAF+dv5Q=")</f>
        <v>#VALUE!</v>
      </c>
      <c r="ET119" t="e">
        <f>AND(DATA!I689,"AAAAAF+dv5U=")</f>
        <v>#VALUE!</v>
      </c>
      <c r="EU119" t="e">
        <f>AND(DATA!J689,"AAAAAF+dv5Y=")</f>
        <v>#VALUE!</v>
      </c>
      <c r="EV119" t="e">
        <f>AND(DATA!K689,"AAAAAF+dv5c=")</f>
        <v>#VALUE!</v>
      </c>
      <c r="EW119" t="b">
        <f>AND(DATA!L690,"AAAAAF+dv5g=")</f>
        <v>1</v>
      </c>
      <c r="EX119" t="b">
        <f>AND(DATA!M690,"AAAAAF+dv5k=")</f>
        <v>1</v>
      </c>
      <c r="EY119" t="b">
        <f>AND(DATA!N690,"AAAAAF+dv5o=")</f>
        <v>1</v>
      </c>
      <c r="EZ119" t="b">
        <f>AND(DATA!O690,"AAAAAF+dv5s=")</f>
        <v>1</v>
      </c>
      <c r="FA119" t="b">
        <f>AND(DATA!P690,"AAAAAF+dv5w=")</f>
        <v>1</v>
      </c>
      <c r="FB119" t="b">
        <f>AND(DATA!Q690,"AAAAAF+dv50=")</f>
        <v>1</v>
      </c>
      <c r="FC119" t="b">
        <f>AND(DATA!R690,"AAAAAF+dv54=")</f>
        <v>1</v>
      </c>
      <c r="FD119" t="b">
        <f>AND(DATA!S690,"AAAAAF+dv58=")</f>
        <v>1</v>
      </c>
      <c r="FE119" t="b">
        <f>AND(DATA!T690,"AAAAAF+dv6A=")</f>
        <v>1</v>
      </c>
      <c r="FF119" t="b">
        <f>AND(DATA!U690,"AAAAAF+dv6E=")</f>
        <v>1</v>
      </c>
      <c r="FG119" t="b">
        <f>AND(DATA!V690,"AAAAAF+dv6I=")</f>
        <v>1</v>
      </c>
      <c r="FH119" t="e">
        <f>AND(DATA!W689,"AAAAAF+dv6M=")</f>
        <v>#VALUE!</v>
      </c>
      <c r="FI119" t="e">
        <f>AND(DATA!X689,"AAAAAF+dv6Q=")</f>
        <v>#VALUE!</v>
      </c>
      <c r="FJ119" t="e">
        <f>AND(DATA!Y689,"AAAAAF+dv6U=")</f>
        <v>#VALUE!</v>
      </c>
      <c r="FK119">
        <f>IF(DATA!690:690,"AAAAAF+dv6Y=",0)</f>
        <v>0</v>
      </c>
      <c r="FL119" t="e">
        <f>AND(DATA!A690,"AAAAAF+dv6c=")</f>
        <v>#VALUE!</v>
      </c>
      <c r="FM119" t="e">
        <f>AND(DATA!B690,"AAAAAF+dv6g=")</f>
        <v>#VALUE!</v>
      </c>
      <c r="FN119" t="e">
        <f>AND(DATA!C690,"AAAAAF+dv6k=")</f>
        <v>#VALUE!</v>
      </c>
      <c r="FO119" t="e">
        <f>AND(DATA!D690,"AAAAAF+dv6o=")</f>
        <v>#VALUE!</v>
      </c>
      <c r="FP119" t="e">
        <f>AND(DATA!E690,"AAAAAF+dv6s=")</f>
        <v>#VALUE!</v>
      </c>
      <c r="FQ119" t="e">
        <f>AND(DATA!F690,"AAAAAF+dv6w=")</f>
        <v>#VALUE!</v>
      </c>
      <c r="FR119" t="e">
        <f>AND(DATA!G690,"AAAAAF+dv60=")</f>
        <v>#VALUE!</v>
      </c>
      <c r="FS119" t="e">
        <f>AND(DATA!H690,"AAAAAF+dv64=")</f>
        <v>#VALUE!</v>
      </c>
      <c r="FT119" t="e">
        <f>AND(DATA!I690,"AAAAAF+dv68=")</f>
        <v>#VALUE!</v>
      </c>
      <c r="FU119" t="e">
        <f>AND(DATA!J690,"AAAAAF+dv7A=")</f>
        <v>#VALUE!</v>
      </c>
      <c r="FV119" t="e">
        <f>AND(DATA!K690,"AAAAAF+dv7E=")</f>
        <v>#VALUE!</v>
      </c>
      <c r="FW119" t="b">
        <f>AND(DATA!L691,"AAAAAF+dv7I=")</f>
        <v>1</v>
      </c>
      <c r="FX119" t="b">
        <f>AND(DATA!M691,"AAAAAF+dv7M=")</f>
        <v>1</v>
      </c>
      <c r="FY119" t="b">
        <f>AND(DATA!N691,"AAAAAF+dv7Q=")</f>
        <v>1</v>
      </c>
      <c r="FZ119" t="b">
        <f>AND(DATA!O691,"AAAAAF+dv7U=")</f>
        <v>1</v>
      </c>
      <c r="GA119" t="b">
        <f>AND(DATA!P691,"AAAAAF+dv7Y=")</f>
        <v>1</v>
      </c>
      <c r="GB119" t="b">
        <f>AND(DATA!Q691,"AAAAAF+dv7c=")</f>
        <v>1</v>
      </c>
      <c r="GC119" t="b">
        <f>AND(DATA!R691,"AAAAAF+dv7g=")</f>
        <v>1</v>
      </c>
      <c r="GD119" t="b">
        <f>AND(DATA!S691,"AAAAAF+dv7k=")</f>
        <v>1</v>
      </c>
      <c r="GE119" t="b">
        <f>AND(DATA!T691,"AAAAAF+dv7o=")</f>
        <v>1</v>
      </c>
      <c r="GF119" t="b">
        <f>AND(DATA!U691,"AAAAAF+dv7s=")</f>
        <v>1</v>
      </c>
      <c r="GG119" t="b">
        <f>AND(DATA!V691,"AAAAAF+dv7w=")</f>
        <v>1</v>
      </c>
      <c r="GH119" t="e">
        <f>AND(DATA!W690,"AAAAAF+dv70=")</f>
        <v>#VALUE!</v>
      </c>
      <c r="GI119" t="e">
        <f>AND(DATA!X690,"AAAAAF+dv74=")</f>
        <v>#VALUE!</v>
      </c>
      <c r="GJ119" t="e">
        <f>AND(DATA!Y690,"AAAAAF+dv78=")</f>
        <v>#VALUE!</v>
      </c>
      <c r="GK119">
        <f>IF(DATA!691:691,"AAAAAF+dv8A=",0)</f>
        <v>0</v>
      </c>
      <c r="GL119" t="e">
        <f>AND(DATA!A691,"AAAAAF+dv8E=")</f>
        <v>#VALUE!</v>
      </c>
      <c r="GM119" t="e">
        <f>AND(DATA!B691,"AAAAAF+dv8I=")</f>
        <v>#VALUE!</v>
      </c>
      <c r="GN119" t="e">
        <f>AND(DATA!C691,"AAAAAF+dv8M=")</f>
        <v>#VALUE!</v>
      </c>
      <c r="GO119" t="e">
        <f>AND(DATA!D691,"AAAAAF+dv8Q=")</f>
        <v>#VALUE!</v>
      </c>
      <c r="GP119" t="e">
        <f>AND(DATA!E691,"AAAAAF+dv8U=")</f>
        <v>#VALUE!</v>
      </c>
      <c r="GQ119" t="e">
        <f>AND(DATA!F691,"AAAAAF+dv8Y=")</f>
        <v>#VALUE!</v>
      </c>
      <c r="GR119" t="e">
        <f>AND(DATA!G691,"AAAAAF+dv8c=")</f>
        <v>#VALUE!</v>
      </c>
      <c r="GS119" t="e">
        <f>AND(DATA!H691,"AAAAAF+dv8g=")</f>
        <v>#VALUE!</v>
      </c>
      <c r="GT119" t="e">
        <f>AND(DATA!I691,"AAAAAF+dv8k=")</f>
        <v>#VALUE!</v>
      </c>
      <c r="GU119" t="e">
        <f>AND(DATA!J691,"AAAAAF+dv8o=")</f>
        <v>#VALUE!</v>
      </c>
      <c r="GV119" t="e">
        <f>AND(DATA!K691,"AAAAAF+dv8s=")</f>
        <v>#VALUE!</v>
      </c>
      <c r="GW119" t="b">
        <f>AND(DATA!L692,"AAAAAF+dv8w=")</f>
        <v>1</v>
      </c>
      <c r="GX119" t="b">
        <f>AND(DATA!M692,"AAAAAF+dv80=")</f>
        <v>1</v>
      </c>
      <c r="GY119" t="b">
        <f>AND(DATA!N692,"AAAAAF+dv84=")</f>
        <v>1</v>
      </c>
      <c r="GZ119" t="b">
        <f>AND(DATA!O692,"AAAAAF+dv88=")</f>
        <v>1</v>
      </c>
      <c r="HA119" t="b">
        <f>AND(DATA!P692,"AAAAAF+dv9A=")</f>
        <v>1</v>
      </c>
      <c r="HB119" t="b">
        <f>AND(DATA!Q692,"AAAAAF+dv9E=")</f>
        <v>1</v>
      </c>
      <c r="HC119" t="b">
        <f>AND(DATA!R692,"AAAAAF+dv9I=")</f>
        <v>1</v>
      </c>
      <c r="HD119" t="b">
        <f>AND(DATA!S692,"AAAAAF+dv9M=")</f>
        <v>1</v>
      </c>
      <c r="HE119" t="b">
        <f>AND(DATA!T692,"AAAAAF+dv9Q=")</f>
        <v>1</v>
      </c>
      <c r="HF119" t="b">
        <f>AND(DATA!U692,"AAAAAF+dv9U=")</f>
        <v>1</v>
      </c>
      <c r="HG119" t="b">
        <f>AND(DATA!V692,"AAAAAF+dv9Y=")</f>
        <v>1</v>
      </c>
      <c r="HH119" t="e">
        <f>AND(DATA!W691,"AAAAAF+dv9c=")</f>
        <v>#VALUE!</v>
      </c>
      <c r="HI119" t="e">
        <f>AND(DATA!X691,"AAAAAF+dv9g=")</f>
        <v>#VALUE!</v>
      </c>
      <c r="HJ119" t="e">
        <f>AND(DATA!Y691,"AAAAAF+dv9k=")</f>
        <v>#VALUE!</v>
      </c>
      <c r="HK119">
        <f>IF(DATA!692:692,"AAAAAF+dv9o=",0)</f>
        <v>0</v>
      </c>
      <c r="HL119" t="e">
        <f>AND(DATA!A692,"AAAAAF+dv9s=")</f>
        <v>#VALUE!</v>
      </c>
      <c r="HM119" t="e">
        <f>AND(DATA!B692,"AAAAAF+dv9w=")</f>
        <v>#VALUE!</v>
      </c>
      <c r="HN119" t="e">
        <f>AND(DATA!C692,"AAAAAF+dv90=")</f>
        <v>#VALUE!</v>
      </c>
      <c r="HO119" t="e">
        <f>AND(DATA!D692,"AAAAAF+dv94=")</f>
        <v>#VALUE!</v>
      </c>
      <c r="HP119" t="e">
        <f>AND(DATA!E692,"AAAAAF+dv98=")</f>
        <v>#VALUE!</v>
      </c>
      <c r="HQ119" t="e">
        <f>AND(DATA!F692,"AAAAAF+dv+A=")</f>
        <v>#VALUE!</v>
      </c>
      <c r="HR119" t="e">
        <f>AND(DATA!G692,"AAAAAF+dv+E=")</f>
        <v>#VALUE!</v>
      </c>
      <c r="HS119" t="e">
        <f>AND(DATA!H692,"AAAAAF+dv+I=")</f>
        <v>#VALUE!</v>
      </c>
      <c r="HT119" t="e">
        <f>AND(DATA!I692,"AAAAAF+dv+M=")</f>
        <v>#VALUE!</v>
      </c>
      <c r="HU119" t="e">
        <f>AND(DATA!J692,"AAAAAF+dv+Q=")</f>
        <v>#VALUE!</v>
      </c>
      <c r="HV119" t="e">
        <f>AND(DATA!K692,"AAAAAF+dv+U=")</f>
        <v>#VALUE!</v>
      </c>
      <c r="HW119" t="b">
        <f>AND(DATA!L693,"AAAAAF+dv+Y=")</f>
        <v>1</v>
      </c>
      <c r="HX119" t="b">
        <f>AND(DATA!M693,"AAAAAF+dv+c=")</f>
        <v>1</v>
      </c>
      <c r="HY119" t="b">
        <f>AND(DATA!N693,"AAAAAF+dv+g=")</f>
        <v>1</v>
      </c>
      <c r="HZ119" t="b">
        <f>AND(DATA!O693,"AAAAAF+dv+k=")</f>
        <v>1</v>
      </c>
      <c r="IA119" t="b">
        <f>AND(DATA!P693,"AAAAAF+dv+o=")</f>
        <v>1</v>
      </c>
      <c r="IB119" t="b">
        <f>AND(DATA!Q693,"AAAAAF+dv+s=")</f>
        <v>1</v>
      </c>
      <c r="IC119" t="b">
        <f>AND(DATA!R693,"AAAAAF+dv+w=")</f>
        <v>1</v>
      </c>
      <c r="ID119" t="b">
        <f>AND(DATA!S693,"AAAAAF+dv+0=")</f>
        <v>1</v>
      </c>
      <c r="IE119" t="b">
        <f>AND(DATA!T693,"AAAAAF+dv+4=")</f>
        <v>1</v>
      </c>
      <c r="IF119" t="b">
        <f>AND(DATA!U693,"AAAAAF+dv+8=")</f>
        <v>1</v>
      </c>
      <c r="IG119" t="b">
        <f>AND(DATA!V693,"AAAAAF+dv/A=")</f>
        <v>1</v>
      </c>
      <c r="IH119" t="e">
        <f>AND(DATA!W692,"AAAAAF+dv/E=")</f>
        <v>#VALUE!</v>
      </c>
      <c r="II119" t="e">
        <f>AND(DATA!X692,"AAAAAF+dv/I=")</f>
        <v>#VALUE!</v>
      </c>
      <c r="IJ119" t="e">
        <f>AND(DATA!Y692,"AAAAAF+dv/M=")</f>
        <v>#VALUE!</v>
      </c>
      <c r="IK119">
        <f>IF(DATA!693:693,"AAAAAF+dv/Q=",0)</f>
        <v>0</v>
      </c>
      <c r="IL119" t="e">
        <f>AND(DATA!A693,"AAAAAF+dv/U=")</f>
        <v>#VALUE!</v>
      </c>
      <c r="IM119" t="e">
        <f>AND(DATA!B693,"AAAAAF+dv/Y=")</f>
        <v>#VALUE!</v>
      </c>
      <c r="IN119" t="e">
        <f>AND(DATA!C693,"AAAAAF+dv/c=")</f>
        <v>#VALUE!</v>
      </c>
      <c r="IO119" t="e">
        <f>AND(DATA!D693,"AAAAAF+dv/g=")</f>
        <v>#VALUE!</v>
      </c>
      <c r="IP119" t="e">
        <f>AND(DATA!E693,"AAAAAF+dv/k=")</f>
        <v>#VALUE!</v>
      </c>
      <c r="IQ119" t="e">
        <f>AND(DATA!F693,"AAAAAF+dv/o=")</f>
        <v>#VALUE!</v>
      </c>
      <c r="IR119" t="e">
        <f>AND(DATA!G693,"AAAAAF+dv/s=")</f>
        <v>#VALUE!</v>
      </c>
      <c r="IS119" t="e">
        <f>AND(DATA!H693,"AAAAAF+dv/w=")</f>
        <v>#VALUE!</v>
      </c>
      <c r="IT119" t="e">
        <f>AND(DATA!I693,"AAAAAF+dv/0=")</f>
        <v>#VALUE!</v>
      </c>
      <c r="IU119" t="e">
        <f>AND(DATA!J693,"AAAAAF+dv/4=")</f>
        <v>#VALUE!</v>
      </c>
      <c r="IV119" t="e">
        <f>AND(DATA!K693,"AAAAAF+dv/8=")</f>
        <v>#VALUE!</v>
      </c>
    </row>
    <row r="120" spans="1:256" x14ac:dyDescent="0.25">
      <c r="A120" t="b">
        <f>AND(DATA!L694,"AAAAAC/f+gA=")</f>
        <v>1</v>
      </c>
      <c r="B120" t="b">
        <f>AND(DATA!M694,"AAAAAC/f+gE=")</f>
        <v>1</v>
      </c>
      <c r="C120" t="b">
        <f>AND(DATA!N694,"AAAAAC/f+gI=")</f>
        <v>1</v>
      </c>
      <c r="D120" t="b">
        <f>AND(DATA!O694,"AAAAAC/f+gM=")</f>
        <v>1</v>
      </c>
      <c r="E120" t="b">
        <f>AND(DATA!P694,"AAAAAC/f+gQ=")</f>
        <v>1</v>
      </c>
      <c r="F120" t="b">
        <f>AND(DATA!Q694,"AAAAAC/f+gU=")</f>
        <v>1</v>
      </c>
      <c r="G120" t="b">
        <f>AND(DATA!R694,"AAAAAC/f+gY=")</f>
        <v>1</v>
      </c>
      <c r="H120" t="b">
        <f>AND(DATA!S694,"AAAAAC/f+gc=")</f>
        <v>1</v>
      </c>
      <c r="I120" t="b">
        <f>AND(DATA!T694,"AAAAAC/f+gg=")</f>
        <v>1</v>
      </c>
      <c r="J120" t="b">
        <f>AND(DATA!U694,"AAAAAC/f+gk=")</f>
        <v>1</v>
      </c>
      <c r="K120" t="b">
        <f>AND(DATA!V694,"AAAAAC/f+go=")</f>
        <v>1</v>
      </c>
      <c r="L120" t="e">
        <f>AND(DATA!W693,"AAAAAC/f+gs=")</f>
        <v>#VALUE!</v>
      </c>
      <c r="M120" t="e">
        <f>AND(DATA!X693,"AAAAAC/f+gw=")</f>
        <v>#VALUE!</v>
      </c>
      <c r="N120" t="e">
        <f>AND(DATA!Y693,"AAAAAC/f+g0=")</f>
        <v>#VALUE!</v>
      </c>
      <c r="O120" t="str">
        <f>IF(DATA!694:694,"AAAAAC/f+g4=",0)</f>
        <v>AAAAAC/f+g4=</v>
      </c>
      <c r="P120" t="e">
        <f>AND(DATA!A694,"AAAAAC/f+g8=")</f>
        <v>#VALUE!</v>
      </c>
      <c r="Q120" t="e">
        <f>AND(DATA!B694,"AAAAAC/f+hA=")</f>
        <v>#VALUE!</v>
      </c>
      <c r="R120" t="e">
        <f>AND(DATA!C694,"AAAAAC/f+hE=")</f>
        <v>#VALUE!</v>
      </c>
      <c r="S120" t="e">
        <f>AND(DATA!D694,"AAAAAC/f+hI=")</f>
        <v>#VALUE!</v>
      </c>
      <c r="T120" t="e">
        <f>AND(DATA!E694,"AAAAAC/f+hM=")</f>
        <v>#VALUE!</v>
      </c>
      <c r="U120" t="e">
        <f>AND(DATA!F694,"AAAAAC/f+hQ=")</f>
        <v>#VALUE!</v>
      </c>
      <c r="V120" t="e">
        <f>AND(DATA!G694,"AAAAAC/f+hU=")</f>
        <v>#VALUE!</v>
      </c>
      <c r="W120" t="e">
        <f>AND(DATA!H694,"AAAAAC/f+hY=")</f>
        <v>#VALUE!</v>
      </c>
      <c r="X120" t="e">
        <f>AND(DATA!I694,"AAAAAC/f+hc=")</f>
        <v>#VALUE!</v>
      </c>
      <c r="Y120" t="e">
        <f>AND(DATA!J694,"AAAAAC/f+hg=")</f>
        <v>#VALUE!</v>
      </c>
      <c r="Z120" t="e">
        <f>AND(DATA!K694,"AAAAAC/f+hk=")</f>
        <v>#VALUE!</v>
      </c>
      <c r="AA120" t="b">
        <f>AND(DATA!L695,"AAAAAC/f+ho=")</f>
        <v>1</v>
      </c>
      <c r="AB120" t="b">
        <f>AND(DATA!M695,"AAAAAC/f+hs=")</f>
        <v>1</v>
      </c>
      <c r="AC120" t="b">
        <f>AND(DATA!N695,"AAAAAC/f+hw=")</f>
        <v>1</v>
      </c>
      <c r="AD120" t="b">
        <f>AND(DATA!O695,"AAAAAC/f+h0=")</f>
        <v>1</v>
      </c>
      <c r="AE120" t="b">
        <f>AND(DATA!P695,"AAAAAC/f+h4=")</f>
        <v>1</v>
      </c>
      <c r="AF120" t="b">
        <f>AND(DATA!Q695,"AAAAAC/f+h8=")</f>
        <v>1</v>
      </c>
      <c r="AG120" t="b">
        <f>AND(DATA!R695,"AAAAAC/f+iA=")</f>
        <v>1</v>
      </c>
      <c r="AH120" t="b">
        <f>AND(DATA!S695,"AAAAAC/f+iE=")</f>
        <v>1</v>
      </c>
      <c r="AI120" t="b">
        <f>AND(DATA!T695,"AAAAAC/f+iI=")</f>
        <v>1</v>
      </c>
      <c r="AJ120" t="b">
        <f>AND(DATA!U695,"AAAAAC/f+iM=")</f>
        <v>1</v>
      </c>
      <c r="AK120" t="b">
        <f>AND(DATA!V695,"AAAAAC/f+iQ=")</f>
        <v>1</v>
      </c>
      <c r="AL120" t="e">
        <f>AND(DATA!W694,"AAAAAC/f+iU=")</f>
        <v>#VALUE!</v>
      </c>
      <c r="AM120" t="e">
        <f>AND(DATA!X694,"AAAAAC/f+iY=")</f>
        <v>#VALUE!</v>
      </c>
      <c r="AN120" t="e">
        <f>AND(DATA!Y694,"AAAAAC/f+ic=")</f>
        <v>#VALUE!</v>
      </c>
      <c r="AO120">
        <f>IF(DATA!695:695,"AAAAAC/f+ig=",0)</f>
        <v>0</v>
      </c>
      <c r="AP120" t="e">
        <f>AND(DATA!A695,"AAAAAC/f+ik=")</f>
        <v>#VALUE!</v>
      </c>
      <c r="AQ120" t="e">
        <f>AND(DATA!B695,"AAAAAC/f+io=")</f>
        <v>#VALUE!</v>
      </c>
      <c r="AR120" t="e">
        <f>AND(DATA!C695,"AAAAAC/f+is=")</f>
        <v>#VALUE!</v>
      </c>
      <c r="AS120" t="e">
        <f>AND(DATA!D695,"AAAAAC/f+iw=")</f>
        <v>#VALUE!</v>
      </c>
      <c r="AT120" t="e">
        <f>AND(DATA!E695,"AAAAAC/f+i0=")</f>
        <v>#VALUE!</v>
      </c>
      <c r="AU120" t="e">
        <f>AND(DATA!F695,"AAAAAC/f+i4=")</f>
        <v>#VALUE!</v>
      </c>
      <c r="AV120" t="e">
        <f>AND(DATA!G695,"AAAAAC/f+i8=")</f>
        <v>#VALUE!</v>
      </c>
      <c r="AW120" t="e">
        <f>AND(DATA!H695,"AAAAAC/f+jA=")</f>
        <v>#VALUE!</v>
      </c>
      <c r="AX120" t="e">
        <f>AND(DATA!I695,"AAAAAC/f+jE=")</f>
        <v>#VALUE!</v>
      </c>
      <c r="AY120" t="e">
        <f>AND(DATA!J695,"AAAAAC/f+jI=")</f>
        <v>#VALUE!</v>
      </c>
      <c r="AZ120" t="e">
        <f>AND(DATA!K695,"AAAAAC/f+jM=")</f>
        <v>#VALUE!</v>
      </c>
      <c r="BA120" t="b">
        <f>AND(DATA!L696,"AAAAAC/f+jQ=")</f>
        <v>1</v>
      </c>
      <c r="BB120" t="b">
        <f>AND(DATA!M696,"AAAAAC/f+jU=")</f>
        <v>1</v>
      </c>
      <c r="BC120" t="b">
        <f>AND(DATA!N696,"AAAAAC/f+jY=")</f>
        <v>1</v>
      </c>
      <c r="BD120" t="b">
        <f>AND(DATA!O696,"AAAAAC/f+jc=")</f>
        <v>1</v>
      </c>
      <c r="BE120" t="b">
        <f>AND(DATA!P696,"AAAAAC/f+jg=")</f>
        <v>1</v>
      </c>
      <c r="BF120" t="b">
        <f>AND(DATA!Q696,"AAAAAC/f+jk=")</f>
        <v>1</v>
      </c>
      <c r="BG120" t="b">
        <f>AND(DATA!R696,"AAAAAC/f+jo=")</f>
        <v>1</v>
      </c>
      <c r="BH120" t="b">
        <f>AND(DATA!S696,"AAAAAC/f+js=")</f>
        <v>1</v>
      </c>
      <c r="BI120" t="b">
        <f>AND(DATA!T696,"AAAAAC/f+jw=")</f>
        <v>1</v>
      </c>
      <c r="BJ120" t="b">
        <f>AND(DATA!U696,"AAAAAC/f+j0=")</f>
        <v>1</v>
      </c>
      <c r="BK120" t="b">
        <f>AND(DATA!V696,"AAAAAC/f+j4=")</f>
        <v>1</v>
      </c>
      <c r="BL120" t="e">
        <f>AND(DATA!W695,"AAAAAC/f+j8=")</f>
        <v>#VALUE!</v>
      </c>
      <c r="BM120" t="e">
        <f>AND(DATA!X695,"AAAAAC/f+kA=")</f>
        <v>#VALUE!</v>
      </c>
      <c r="BN120" t="e">
        <f>AND(DATA!Y695,"AAAAAC/f+kE=")</f>
        <v>#VALUE!</v>
      </c>
      <c r="BO120">
        <f>IF(DATA!696:696,"AAAAAC/f+kI=",0)</f>
        <v>0</v>
      </c>
      <c r="BP120" t="e">
        <f>AND(DATA!A696,"AAAAAC/f+kM=")</f>
        <v>#VALUE!</v>
      </c>
      <c r="BQ120" t="e">
        <f>AND(DATA!B696,"AAAAAC/f+kQ=")</f>
        <v>#VALUE!</v>
      </c>
      <c r="BR120" t="e">
        <f>AND(DATA!C696,"AAAAAC/f+kU=")</f>
        <v>#VALUE!</v>
      </c>
      <c r="BS120" t="e">
        <f>AND(DATA!D696,"AAAAAC/f+kY=")</f>
        <v>#VALUE!</v>
      </c>
      <c r="BT120" t="e">
        <f>AND(DATA!E696,"AAAAAC/f+kc=")</f>
        <v>#VALUE!</v>
      </c>
      <c r="BU120" t="e">
        <f>AND(DATA!F696,"AAAAAC/f+kg=")</f>
        <v>#VALUE!</v>
      </c>
      <c r="BV120" t="e">
        <f>AND(DATA!G696,"AAAAAC/f+kk=")</f>
        <v>#VALUE!</v>
      </c>
      <c r="BW120" t="e">
        <f>AND(DATA!H696,"AAAAAC/f+ko=")</f>
        <v>#VALUE!</v>
      </c>
      <c r="BX120" t="e">
        <f>AND(DATA!I696,"AAAAAC/f+ks=")</f>
        <v>#VALUE!</v>
      </c>
      <c r="BY120" t="e">
        <f>AND(DATA!J696,"AAAAAC/f+kw=")</f>
        <v>#VALUE!</v>
      </c>
      <c r="BZ120" t="e">
        <f>AND(DATA!K696,"AAAAAC/f+k0=")</f>
        <v>#VALUE!</v>
      </c>
      <c r="CA120" t="b">
        <f>AND(DATA!L697,"AAAAAC/f+k4=")</f>
        <v>1</v>
      </c>
      <c r="CB120" t="b">
        <f>AND(DATA!M697,"AAAAAC/f+k8=")</f>
        <v>1</v>
      </c>
      <c r="CC120" t="b">
        <f>AND(DATA!N697,"AAAAAC/f+lA=")</f>
        <v>1</v>
      </c>
      <c r="CD120" t="b">
        <f>AND(DATA!O697,"AAAAAC/f+lE=")</f>
        <v>1</v>
      </c>
      <c r="CE120" t="b">
        <f>AND(DATA!P697,"AAAAAC/f+lI=")</f>
        <v>1</v>
      </c>
      <c r="CF120" t="b">
        <f>AND(DATA!Q697,"AAAAAC/f+lM=")</f>
        <v>1</v>
      </c>
      <c r="CG120" t="b">
        <f>AND(DATA!R697,"AAAAAC/f+lQ=")</f>
        <v>1</v>
      </c>
      <c r="CH120" t="b">
        <f>AND(DATA!S697,"AAAAAC/f+lU=")</f>
        <v>1</v>
      </c>
      <c r="CI120" t="b">
        <f>AND(DATA!T697,"AAAAAC/f+lY=")</f>
        <v>1</v>
      </c>
      <c r="CJ120" t="b">
        <f>AND(DATA!U697,"AAAAAC/f+lc=")</f>
        <v>1</v>
      </c>
      <c r="CK120" t="b">
        <f>AND(DATA!V697,"AAAAAC/f+lg=")</f>
        <v>1</v>
      </c>
      <c r="CL120" t="e">
        <f>AND(DATA!W696,"AAAAAC/f+lk=")</f>
        <v>#VALUE!</v>
      </c>
      <c r="CM120" t="e">
        <f>AND(DATA!X696,"AAAAAC/f+lo=")</f>
        <v>#VALUE!</v>
      </c>
      <c r="CN120" t="e">
        <f>AND(DATA!Y696,"AAAAAC/f+ls=")</f>
        <v>#VALUE!</v>
      </c>
      <c r="CO120">
        <f>IF(DATA!697:697,"AAAAAC/f+lw=",0)</f>
        <v>0</v>
      </c>
      <c r="CP120" t="e">
        <f>AND(DATA!A697,"AAAAAC/f+l0=")</f>
        <v>#VALUE!</v>
      </c>
      <c r="CQ120" t="e">
        <f>AND(DATA!B697,"AAAAAC/f+l4=")</f>
        <v>#VALUE!</v>
      </c>
      <c r="CR120" t="e">
        <f>AND(DATA!C697,"AAAAAC/f+l8=")</f>
        <v>#VALUE!</v>
      </c>
      <c r="CS120" t="e">
        <f>AND(DATA!D697,"AAAAAC/f+mA=")</f>
        <v>#VALUE!</v>
      </c>
      <c r="CT120" t="e">
        <f>AND(DATA!E697,"AAAAAC/f+mE=")</f>
        <v>#VALUE!</v>
      </c>
      <c r="CU120" t="e">
        <f>AND(DATA!F697,"AAAAAC/f+mI=")</f>
        <v>#VALUE!</v>
      </c>
      <c r="CV120" t="e">
        <f>AND(DATA!G697,"AAAAAC/f+mM=")</f>
        <v>#VALUE!</v>
      </c>
      <c r="CW120" t="e">
        <f>AND(DATA!H697,"AAAAAC/f+mQ=")</f>
        <v>#VALUE!</v>
      </c>
      <c r="CX120" t="e">
        <f>AND(DATA!I697,"AAAAAC/f+mU=")</f>
        <v>#VALUE!</v>
      </c>
      <c r="CY120" t="e">
        <f>AND(DATA!J697,"AAAAAC/f+mY=")</f>
        <v>#VALUE!</v>
      </c>
      <c r="CZ120" t="e">
        <f>AND(DATA!K697,"AAAAAC/f+mc=")</f>
        <v>#VALUE!</v>
      </c>
      <c r="DA120" t="b">
        <f>AND(DATA!L698,"AAAAAC/f+mg=")</f>
        <v>1</v>
      </c>
      <c r="DB120" t="b">
        <f>AND(DATA!M698,"AAAAAC/f+mk=")</f>
        <v>1</v>
      </c>
      <c r="DC120" t="b">
        <f>AND(DATA!N698,"AAAAAC/f+mo=")</f>
        <v>1</v>
      </c>
      <c r="DD120" t="b">
        <f>AND(DATA!O698,"AAAAAC/f+ms=")</f>
        <v>1</v>
      </c>
      <c r="DE120" t="b">
        <f>AND(DATA!P698,"AAAAAC/f+mw=")</f>
        <v>1</v>
      </c>
      <c r="DF120" t="b">
        <f>AND(DATA!Q698,"AAAAAC/f+m0=")</f>
        <v>1</v>
      </c>
      <c r="DG120" t="b">
        <f>AND(DATA!R698,"AAAAAC/f+m4=")</f>
        <v>1</v>
      </c>
      <c r="DH120" t="b">
        <f>AND(DATA!S698,"AAAAAC/f+m8=")</f>
        <v>1</v>
      </c>
      <c r="DI120" t="b">
        <f>AND(DATA!T698,"AAAAAC/f+nA=")</f>
        <v>1</v>
      </c>
      <c r="DJ120" t="b">
        <f>AND(DATA!U698,"AAAAAC/f+nE=")</f>
        <v>1</v>
      </c>
      <c r="DK120" t="b">
        <f>AND(DATA!V698,"AAAAAC/f+nI=")</f>
        <v>1</v>
      </c>
      <c r="DL120" t="e">
        <f>AND(DATA!W697,"AAAAAC/f+nM=")</f>
        <v>#VALUE!</v>
      </c>
      <c r="DM120" t="e">
        <f>AND(DATA!X697,"AAAAAC/f+nQ=")</f>
        <v>#VALUE!</v>
      </c>
      <c r="DN120" t="e">
        <f>AND(DATA!Y697,"AAAAAC/f+nU=")</f>
        <v>#VALUE!</v>
      </c>
      <c r="DO120">
        <f>IF(DATA!698:698,"AAAAAC/f+nY=",0)</f>
        <v>0</v>
      </c>
      <c r="DP120" t="e">
        <f>AND(DATA!A698,"AAAAAC/f+nc=")</f>
        <v>#VALUE!</v>
      </c>
      <c r="DQ120" t="e">
        <f>AND(DATA!B698,"AAAAAC/f+ng=")</f>
        <v>#VALUE!</v>
      </c>
      <c r="DR120" t="e">
        <f>AND(DATA!C698,"AAAAAC/f+nk=")</f>
        <v>#VALUE!</v>
      </c>
      <c r="DS120" t="e">
        <f>AND(DATA!D698,"AAAAAC/f+no=")</f>
        <v>#VALUE!</v>
      </c>
      <c r="DT120" t="e">
        <f>AND(DATA!E698,"AAAAAC/f+ns=")</f>
        <v>#VALUE!</v>
      </c>
      <c r="DU120" t="e">
        <f>AND(DATA!F698,"AAAAAC/f+nw=")</f>
        <v>#VALUE!</v>
      </c>
      <c r="DV120" t="e">
        <f>AND(DATA!G698,"AAAAAC/f+n0=")</f>
        <v>#VALUE!</v>
      </c>
      <c r="DW120" t="e">
        <f>AND(DATA!H698,"AAAAAC/f+n4=")</f>
        <v>#VALUE!</v>
      </c>
      <c r="DX120" t="e">
        <f>AND(DATA!I698,"AAAAAC/f+n8=")</f>
        <v>#VALUE!</v>
      </c>
      <c r="DY120" t="e">
        <f>AND(DATA!J698,"AAAAAC/f+oA=")</f>
        <v>#VALUE!</v>
      </c>
      <c r="DZ120" t="e">
        <f>AND(DATA!K698,"AAAAAC/f+oE=")</f>
        <v>#VALUE!</v>
      </c>
      <c r="EA120" t="b">
        <f>AND(DATA!L699,"AAAAAC/f+oI=")</f>
        <v>1</v>
      </c>
      <c r="EB120" t="b">
        <f>AND(DATA!M699,"AAAAAC/f+oM=")</f>
        <v>1</v>
      </c>
      <c r="EC120" t="b">
        <f>AND(DATA!N699,"AAAAAC/f+oQ=")</f>
        <v>1</v>
      </c>
      <c r="ED120" t="b">
        <f>AND(DATA!O699,"AAAAAC/f+oU=")</f>
        <v>1</v>
      </c>
      <c r="EE120" t="b">
        <f>AND(DATA!P699,"AAAAAC/f+oY=")</f>
        <v>1</v>
      </c>
      <c r="EF120" t="b">
        <f>AND(DATA!Q699,"AAAAAC/f+oc=")</f>
        <v>1</v>
      </c>
      <c r="EG120" t="b">
        <f>AND(DATA!R699,"AAAAAC/f+og=")</f>
        <v>1</v>
      </c>
      <c r="EH120" t="b">
        <f>AND(DATA!S699,"AAAAAC/f+ok=")</f>
        <v>1</v>
      </c>
      <c r="EI120" t="b">
        <f>AND(DATA!T699,"AAAAAC/f+oo=")</f>
        <v>1</v>
      </c>
      <c r="EJ120" t="b">
        <f>AND(DATA!U699,"AAAAAC/f+os=")</f>
        <v>1</v>
      </c>
      <c r="EK120" t="b">
        <f>AND(DATA!V699,"AAAAAC/f+ow=")</f>
        <v>1</v>
      </c>
      <c r="EL120" t="e">
        <f>AND(DATA!W698,"AAAAAC/f+o0=")</f>
        <v>#VALUE!</v>
      </c>
      <c r="EM120" t="e">
        <f>AND(DATA!X698,"AAAAAC/f+o4=")</f>
        <v>#VALUE!</v>
      </c>
      <c r="EN120" t="e">
        <f>AND(DATA!Y698,"AAAAAC/f+o8=")</f>
        <v>#VALUE!</v>
      </c>
      <c r="EO120">
        <f>IF(DATA!699:699,"AAAAAC/f+pA=",0)</f>
        <v>0</v>
      </c>
      <c r="EP120" t="e">
        <f>AND(DATA!A699,"AAAAAC/f+pE=")</f>
        <v>#VALUE!</v>
      </c>
      <c r="EQ120" t="e">
        <f>AND(DATA!B699,"AAAAAC/f+pI=")</f>
        <v>#VALUE!</v>
      </c>
      <c r="ER120" t="e">
        <f>AND(DATA!C699,"AAAAAC/f+pM=")</f>
        <v>#VALUE!</v>
      </c>
      <c r="ES120" t="e">
        <f>AND(DATA!D699,"AAAAAC/f+pQ=")</f>
        <v>#VALUE!</v>
      </c>
      <c r="ET120" t="e">
        <f>AND(DATA!E699,"AAAAAC/f+pU=")</f>
        <v>#VALUE!</v>
      </c>
      <c r="EU120" t="e">
        <f>AND(DATA!F699,"AAAAAC/f+pY=")</f>
        <v>#VALUE!</v>
      </c>
      <c r="EV120" t="e">
        <f>AND(DATA!G699,"AAAAAC/f+pc=")</f>
        <v>#VALUE!</v>
      </c>
      <c r="EW120" t="e">
        <f>AND(DATA!H699,"AAAAAC/f+pg=")</f>
        <v>#VALUE!</v>
      </c>
      <c r="EX120" t="e">
        <f>AND(DATA!I699,"AAAAAC/f+pk=")</f>
        <v>#VALUE!</v>
      </c>
      <c r="EY120" t="e">
        <f>AND(DATA!J699,"AAAAAC/f+po=")</f>
        <v>#VALUE!</v>
      </c>
      <c r="EZ120" t="e">
        <f>AND(DATA!K699,"AAAAAC/f+ps=")</f>
        <v>#VALUE!</v>
      </c>
      <c r="FA120" t="b">
        <f>AND(DATA!L700,"AAAAAC/f+pw=")</f>
        <v>1</v>
      </c>
      <c r="FB120" t="b">
        <f>AND(DATA!M700,"AAAAAC/f+p0=")</f>
        <v>1</v>
      </c>
      <c r="FC120" t="b">
        <f>AND(DATA!N700,"AAAAAC/f+p4=")</f>
        <v>1</v>
      </c>
      <c r="FD120" t="b">
        <f>AND(DATA!O700,"AAAAAC/f+p8=")</f>
        <v>1</v>
      </c>
      <c r="FE120" t="b">
        <f>AND(DATA!P700,"AAAAAC/f+qA=")</f>
        <v>1</v>
      </c>
      <c r="FF120" t="b">
        <f>AND(DATA!Q700,"AAAAAC/f+qE=")</f>
        <v>1</v>
      </c>
      <c r="FG120" t="b">
        <f>AND(DATA!R700,"AAAAAC/f+qI=")</f>
        <v>1</v>
      </c>
      <c r="FH120" t="b">
        <f>AND(DATA!S700,"AAAAAC/f+qM=")</f>
        <v>1</v>
      </c>
      <c r="FI120" t="b">
        <f>AND(DATA!T700,"AAAAAC/f+qQ=")</f>
        <v>1</v>
      </c>
      <c r="FJ120" t="b">
        <f>AND(DATA!U700,"AAAAAC/f+qU=")</f>
        <v>1</v>
      </c>
      <c r="FK120" t="b">
        <f>AND(DATA!V700,"AAAAAC/f+qY=")</f>
        <v>1</v>
      </c>
      <c r="FL120" t="e">
        <f>AND(DATA!W699,"AAAAAC/f+qc=")</f>
        <v>#VALUE!</v>
      </c>
      <c r="FM120" t="e">
        <f>AND(DATA!X699,"AAAAAC/f+qg=")</f>
        <v>#VALUE!</v>
      </c>
      <c r="FN120" t="e">
        <f>AND(DATA!Y699,"AAAAAC/f+qk=")</f>
        <v>#VALUE!</v>
      </c>
      <c r="FO120">
        <f>IF(DATA!700:700,"AAAAAC/f+qo=",0)</f>
        <v>0</v>
      </c>
      <c r="FP120" t="e">
        <f>AND(DATA!A700,"AAAAAC/f+qs=")</f>
        <v>#VALUE!</v>
      </c>
      <c r="FQ120" t="e">
        <f>AND(DATA!B700,"AAAAAC/f+qw=")</f>
        <v>#VALUE!</v>
      </c>
      <c r="FR120" t="e">
        <f>AND(DATA!C700,"AAAAAC/f+q0=")</f>
        <v>#VALUE!</v>
      </c>
      <c r="FS120" t="e">
        <f>AND(DATA!D700,"AAAAAC/f+q4=")</f>
        <v>#VALUE!</v>
      </c>
      <c r="FT120" t="e">
        <f>AND(DATA!E700,"AAAAAC/f+q8=")</f>
        <v>#VALUE!</v>
      </c>
      <c r="FU120" t="e">
        <f>AND(DATA!F700,"AAAAAC/f+rA=")</f>
        <v>#VALUE!</v>
      </c>
      <c r="FV120" t="e">
        <f>AND(DATA!G700,"AAAAAC/f+rE=")</f>
        <v>#VALUE!</v>
      </c>
      <c r="FW120" t="e">
        <f>AND(DATA!H700,"AAAAAC/f+rI=")</f>
        <v>#VALUE!</v>
      </c>
      <c r="FX120" t="e">
        <f>AND(DATA!I700,"AAAAAC/f+rM=")</f>
        <v>#VALUE!</v>
      </c>
      <c r="FY120" t="e">
        <f>AND(DATA!J700,"AAAAAC/f+rQ=")</f>
        <v>#VALUE!</v>
      </c>
      <c r="FZ120" t="e">
        <f>AND(DATA!K700,"AAAAAC/f+rU=")</f>
        <v>#VALUE!</v>
      </c>
      <c r="GA120" t="b">
        <f>AND(DATA!L701,"AAAAAC/f+rY=")</f>
        <v>1</v>
      </c>
      <c r="GB120" t="b">
        <f>AND(DATA!M701,"AAAAAC/f+rc=")</f>
        <v>1</v>
      </c>
      <c r="GC120" t="b">
        <f>AND(DATA!N701,"AAAAAC/f+rg=")</f>
        <v>1</v>
      </c>
      <c r="GD120" t="b">
        <f>AND(DATA!O701,"AAAAAC/f+rk=")</f>
        <v>1</v>
      </c>
      <c r="GE120" t="b">
        <f>AND(DATA!P701,"AAAAAC/f+ro=")</f>
        <v>1</v>
      </c>
      <c r="GF120" t="b">
        <f>AND(DATA!Q701,"AAAAAC/f+rs=")</f>
        <v>1</v>
      </c>
      <c r="GG120" t="b">
        <f>AND(DATA!R701,"AAAAAC/f+rw=")</f>
        <v>1</v>
      </c>
      <c r="GH120" t="b">
        <f>AND(DATA!S701,"AAAAAC/f+r0=")</f>
        <v>1</v>
      </c>
      <c r="GI120" t="b">
        <f>AND(DATA!T701,"AAAAAC/f+r4=")</f>
        <v>1</v>
      </c>
      <c r="GJ120" t="b">
        <f>AND(DATA!U701,"AAAAAC/f+r8=")</f>
        <v>1</v>
      </c>
      <c r="GK120" t="b">
        <f>AND(DATA!V701,"AAAAAC/f+sA=")</f>
        <v>1</v>
      </c>
      <c r="GL120" t="e">
        <f>AND(DATA!W700,"AAAAAC/f+sE=")</f>
        <v>#VALUE!</v>
      </c>
      <c r="GM120" t="e">
        <f>AND(DATA!X700,"AAAAAC/f+sI=")</f>
        <v>#VALUE!</v>
      </c>
      <c r="GN120" t="e">
        <f>AND(DATA!Y700,"AAAAAC/f+sM=")</f>
        <v>#VALUE!</v>
      </c>
      <c r="GO120">
        <f>IF(DATA!701:701,"AAAAAC/f+sQ=",0)</f>
        <v>0</v>
      </c>
      <c r="GP120" t="e">
        <f>AND(DATA!A701,"AAAAAC/f+sU=")</f>
        <v>#VALUE!</v>
      </c>
      <c r="GQ120" t="e">
        <f>AND(DATA!B701,"AAAAAC/f+sY=")</f>
        <v>#VALUE!</v>
      </c>
      <c r="GR120" t="e">
        <f>AND(DATA!C701,"AAAAAC/f+sc=")</f>
        <v>#VALUE!</v>
      </c>
      <c r="GS120" t="e">
        <f>AND(DATA!D701,"AAAAAC/f+sg=")</f>
        <v>#VALUE!</v>
      </c>
      <c r="GT120" t="e">
        <f>AND(DATA!E701,"AAAAAC/f+sk=")</f>
        <v>#VALUE!</v>
      </c>
      <c r="GU120" t="e">
        <f>AND(DATA!F701,"AAAAAC/f+so=")</f>
        <v>#VALUE!</v>
      </c>
      <c r="GV120" t="e">
        <f>AND(DATA!G701,"AAAAAC/f+ss=")</f>
        <v>#VALUE!</v>
      </c>
      <c r="GW120" t="e">
        <f>AND(DATA!H701,"AAAAAC/f+sw=")</f>
        <v>#VALUE!</v>
      </c>
      <c r="GX120" t="e">
        <f>AND(DATA!I701,"AAAAAC/f+s0=")</f>
        <v>#VALUE!</v>
      </c>
      <c r="GY120" t="e">
        <f>AND(DATA!J701,"AAAAAC/f+s4=")</f>
        <v>#VALUE!</v>
      </c>
      <c r="GZ120" t="e">
        <f>AND(DATA!K701,"AAAAAC/f+s8=")</f>
        <v>#VALUE!</v>
      </c>
      <c r="HA120" t="b">
        <f>AND(DATA!L702,"AAAAAC/f+tA=")</f>
        <v>1</v>
      </c>
      <c r="HB120" t="b">
        <f>AND(DATA!M702,"AAAAAC/f+tE=")</f>
        <v>1</v>
      </c>
      <c r="HC120" t="b">
        <f>AND(DATA!N702,"AAAAAC/f+tI=")</f>
        <v>1</v>
      </c>
      <c r="HD120" t="b">
        <f>AND(DATA!O702,"AAAAAC/f+tM=")</f>
        <v>1</v>
      </c>
      <c r="HE120" t="b">
        <f>AND(DATA!P702,"AAAAAC/f+tQ=")</f>
        <v>1</v>
      </c>
      <c r="HF120" t="b">
        <f>AND(DATA!Q702,"AAAAAC/f+tU=")</f>
        <v>1</v>
      </c>
      <c r="HG120" t="b">
        <f>AND(DATA!R702,"AAAAAC/f+tY=")</f>
        <v>1</v>
      </c>
      <c r="HH120" t="b">
        <f>AND(DATA!S702,"AAAAAC/f+tc=")</f>
        <v>1</v>
      </c>
      <c r="HI120" t="b">
        <f>AND(DATA!T702,"AAAAAC/f+tg=")</f>
        <v>1</v>
      </c>
      <c r="HJ120" t="b">
        <f>AND(DATA!U702,"AAAAAC/f+tk=")</f>
        <v>1</v>
      </c>
      <c r="HK120" t="b">
        <f>AND(DATA!V702,"AAAAAC/f+to=")</f>
        <v>1</v>
      </c>
      <c r="HL120" t="e">
        <f>AND(DATA!W701,"AAAAAC/f+ts=")</f>
        <v>#VALUE!</v>
      </c>
      <c r="HM120" t="e">
        <f>AND(DATA!X701,"AAAAAC/f+tw=")</f>
        <v>#VALUE!</v>
      </c>
      <c r="HN120" t="e">
        <f>AND(DATA!Y701,"AAAAAC/f+t0=")</f>
        <v>#VALUE!</v>
      </c>
      <c r="HO120">
        <f>IF(DATA!702:702,"AAAAAC/f+t4=",0)</f>
        <v>0</v>
      </c>
      <c r="HP120" t="e">
        <f>AND(DATA!A702,"AAAAAC/f+t8=")</f>
        <v>#VALUE!</v>
      </c>
      <c r="HQ120" t="e">
        <f>AND(DATA!B702,"AAAAAC/f+uA=")</f>
        <v>#VALUE!</v>
      </c>
      <c r="HR120" t="e">
        <f>AND(DATA!C702,"AAAAAC/f+uE=")</f>
        <v>#VALUE!</v>
      </c>
      <c r="HS120" t="e">
        <f>AND(DATA!D702,"AAAAAC/f+uI=")</f>
        <v>#VALUE!</v>
      </c>
      <c r="HT120" t="e">
        <f>AND(DATA!E702,"AAAAAC/f+uM=")</f>
        <v>#VALUE!</v>
      </c>
      <c r="HU120" t="e">
        <f>AND(DATA!F702,"AAAAAC/f+uQ=")</f>
        <v>#VALUE!</v>
      </c>
      <c r="HV120" t="e">
        <f>AND(DATA!G702,"AAAAAC/f+uU=")</f>
        <v>#VALUE!</v>
      </c>
      <c r="HW120" t="e">
        <f>AND(DATA!H702,"AAAAAC/f+uY=")</f>
        <v>#VALUE!</v>
      </c>
      <c r="HX120" t="e">
        <f>AND(DATA!I702,"AAAAAC/f+uc=")</f>
        <v>#VALUE!</v>
      </c>
      <c r="HY120" t="e">
        <f>AND(DATA!J702,"AAAAAC/f+ug=")</f>
        <v>#VALUE!</v>
      </c>
      <c r="HZ120" t="e">
        <f>AND(DATA!K702,"AAAAAC/f+uk=")</f>
        <v>#VALUE!</v>
      </c>
      <c r="IA120" t="b">
        <f>AND(DATA!L703,"AAAAAC/f+uo=")</f>
        <v>1</v>
      </c>
      <c r="IB120" t="b">
        <f>AND(DATA!M703,"AAAAAC/f+us=")</f>
        <v>1</v>
      </c>
      <c r="IC120" t="b">
        <f>AND(DATA!N703,"AAAAAC/f+uw=")</f>
        <v>1</v>
      </c>
      <c r="ID120" t="b">
        <f>AND(DATA!O703,"AAAAAC/f+u0=")</f>
        <v>1</v>
      </c>
      <c r="IE120" t="b">
        <f>AND(DATA!P703,"AAAAAC/f+u4=")</f>
        <v>1</v>
      </c>
      <c r="IF120" t="b">
        <f>AND(DATA!Q703,"AAAAAC/f+u8=")</f>
        <v>1</v>
      </c>
      <c r="IG120" t="b">
        <f>AND(DATA!R703,"AAAAAC/f+vA=")</f>
        <v>1</v>
      </c>
      <c r="IH120" t="b">
        <f>AND(DATA!S703,"AAAAAC/f+vE=")</f>
        <v>1</v>
      </c>
      <c r="II120" t="b">
        <f>AND(DATA!T703,"AAAAAC/f+vI=")</f>
        <v>1</v>
      </c>
      <c r="IJ120" t="b">
        <f>AND(DATA!U703,"AAAAAC/f+vM=")</f>
        <v>1</v>
      </c>
      <c r="IK120" t="b">
        <f>AND(DATA!V703,"AAAAAC/f+vQ=")</f>
        <v>1</v>
      </c>
      <c r="IL120" t="e">
        <f>AND(DATA!W702,"AAAAAC/f+vU=")</f>
        <v>#VALUE!</v>
      </c>
      <c r="IM120" t="e">
        <f>AND(DATA!X702,"AAAAAC/f+vY=")</f>
        <v>#VALUE!</v>
      </c>
      <c r="IN120" t="e">
        <f>AND(DATA!Y702,"AAAAAC/f+vc=")</f>
        <v>#VALUE!</v>
      </c>
      <c r="IO120">
        <f>IF(DATA!703:703,"AAAAAC/f+vg=",0)</f>
        <v>0</v>
      </c>
      <c r="IP120" t="e">
        <f>AND(DATA!A703,"AAAAAC/f+vk=")</f>
        <v>#VALUE!</v>
      </c>
      <c r="IQ120" t="e">
        <f>AND(DATA!B703,"AAAAAC/f+vo=")</f>
        <v>#VALUE!</v>
      </c>
      <c r="IR120" t="e">
        <f>AND(DATA!C703,"AAAAAC/f+vs=")</f>
        <v>#VALUE!</v>
      </c>
      <c r="IS120" t="e">
        <f>AND(DATA!D703,"AAAAAC/f+vw=")</f>
        <v>#VALUE!</v>
      </c>
      <c r="IT120" t="e">
        <f>AND(DATA!E703,"AAAAAC/f+v0=")</f>
        <v>#VALUE!</v>
      </c>
      <c r="IU120" t="e">
        <f>AND(DATA!F703,"AAAAAC/f+v4=")</f>
        <v>#VALUE!</v>
      </c>
      <c r="IV120" t="e">
        <f>AND(DATA!G703,"AAAAAC/f+v8=")</f>
        <v>#VALUE!</v>
      </c>
    </row>
    <row r="121" spans="1:256" x14ac:dyDescent="0.25">
      <c r="A121" t="e">
        <f>AND(DATA!H703,"AAAAAE50NQA=")</f>
        <v>#VALUE!</v>
      </c>
      <c r="B121" t="e">
        <f>AND(DATA!I703,"AAAAAE50NQE=")</f>
        <v>#VALUE!</v>
      </c>
      <c r="C121" t="e">
        <f>AND(DATA!J703,"AAAAAE50NQI=")</f>
        <v>#VALUE!</v>
      </c>
      <c r="D121" t="e">
        <f>AND(DATA!K703,"AAAAAE50NQM=")</f>
        <v>#VALUE!</v>
      </c>
      <c r="E121" t="b">
        <f>AND(DATA!L704,"AAAAAE50NQQ=")</f>
        <v>1</v>
      </c>
      <c r="F121" t="b">
        <f>AND(DATA!M704,"AAAAAE50NQU=")</f>
        <v>1</v>
      </c>
      <c r="G121" t="b">
        <f>AND(DATA!N704,"AAAAAE50NQY=")</f>
        <v>1</v>
      </c>
      <c r="H121" t="b">
        <f>AND(DATA!O704,"AAAAAE50NQc=")</f>
        <v>1</v>
      </c>
      <c r="I121" t="b">
        <f>AND(DATA!P704,"AAAAAE50NQg=")</f>
        <v>1</v>
      </c>
      <c r="J121" t="b">
        <f>AND(DATA!Q704,"AAAAAE50NQk=")</f>
        <v>1</v>
      </c>
      <c r="K121" t="b">
        <f>AND(DATA!R704,"AAAAAE50NQo=")</f>
        <v>1</v>
      </c>
      <c r="L121" t="b">
        <f>AND(DATA!S704,"AAAAAE50NQs=")</f>
        <v>1</v>
      </c>
      <c r="M121" t="b">
        <f>AND(DATA!T704,"AAAAAE50NQw=")</f>
        <v>1</v>
      </c>
      <c r="N121" t="b">
        <f>AND(DATA!U704,"AAAAAE50NQ0=")</f>
        <v>1</v>
      </c>
      <c r="O121" t="b">
        <f>AND(DATA!V704,"AAAAAE50NQ4=")</f>
        <v>1</v>
      </c>
      <c r="P121" t="e">
        <f>AND(DATA!W703,"AAAAAE50NQ8=")</f>
        <v>#VALUE!</v>
      </c>
      <c r="Q121" t="e">
        <f>AND(DATA!X703,"AAAAAE50NRA=")</f>
        <v>#VALUE!</v>
      </c>
      <c r="R121" t="e">
        <f>AND(DATA!Y703,"AAAAAE50NRE=")</f>
        <v>#VALUE!</v>
      </c>
      <c r="S121" t="str">
        <f>IF(DATA!704:704,"AAAAAE50NRI=",0)</f>
        <v>AAAAAE50NRI=</v>
      </c>
      <c r="T121" t="e">
        <f>AND(DATA!A704,"AAAAAE50NRM=")</f>
        <v>#VALUE!</v>
      </c>
      <c r="U121" t="e">
        <f>AND(DATA!B704,"AAAAAE50NRQ=")</f>
        <v>#VALUE!</v>
      </c>
      <c r="V121" t="e">
        <f>AND(DATA!C704,"AAAAAE50NRU=")</f>
        <v>#VALUE!</v>
      </c>
      <c r="W121" t="e">
        <f>AND(DATA!D704,"AAAAAE50NRY=")</f>
        <v>#VALUE!</v>
      </c>
      <c r="X121" t="e">
        <f>AND(DATA!E704,"AAAAAE50NRc=")</f>
        <v>#VALUE!</v>
      </c>
      <c r="Y121" t="e">
        <f>AND(DATA!F704,"AAAAAE50NRg=")</f>
        <v>#VALUE!</v>
      </c>
      <c r="Z121" t="e">
        <f>AND(DATA!G704,"AAAAAE50NRk=")</f>
        <v>#VALUE!</v>
      </c>
      <c r="AA121" t="e">
        <f>AND(DATA!H704,"AAAAAE50NRo=")</f>
        <v>#VALUE!</v>
      </c>
      <c r="AB121" t="e">
        <f>AND(DATA!I704,"AAAAAE50NRs=")</f>
        <v>#VALUE!</v>
      </c>
      <c r="AC121" t="e">
        <f>AND(DATA!J704,"AAAAAE50NRw=")</f>
        <v>#VALUE!</v>
      </c>
      <c r="AD121" t="e">
        <f>AND(DATA!K704,"AAAAAE50NR0=")</f>
        <v>#VALUE!</v>
      </c>
      <c r="AE121" t="b">
        <f>AND(DATA!L705,"AAAAAE50NR4=")</f>
        <v>1</v>
      </c>
      <c r="AF121" t="b">
        <f>AND(DATA!M705,"AAAAAE50NR8=")</f>
        <v>1</v>
      </c>
      <c r="AG121" t="b">
        <f>AND(DATA!N705,"AAAAAE50NSA=")</f>
        <v>1</v>
      </c>
      <c r="AH121" t="b">
        <f>AND(DATA!O705,"AAAAAE50NSE=")</f>
        <v>1</v>
      </c>
      <c r="AI121" t="b">
        <f>AND(DATA!P705,"AAAAAE50NSI=")</f>
        <v>1</v>
      </c>
      <c r="AJ121" t="b">
        <f>AND(DATA!Q705,"AAAAAE50NSM=")</f>
        <v>1</v>
      </c>
      <c r="AK121" t="b">
        <f>AND(DATA!R705,"AAAAAE50NSQ=")</f>
        <v>1</v>
      </c>
      <c r="AL121" t="b">
        <f>AND(DATA!S705,"AAAAAE50NSU=")</f>
        <v>1</v>
      </c>
      <c r="AM121" t="b">
        <f>AND(DATA!T705,"AAAAAE50NSY=")</f>
        <v>1</v>
      </c>
      <c r="AN121" t="b">
        <f>AND(DATA!U705,"AAAAAE50NSc=")</f>
        <v>1</v>
      </c>
      <c r="AO121" t="b">
        <f>AND(DATA!V705,"AAAAAE50NSg=")</f>
        <v>1</v>
      </c>
      <c r="AP121" t="e">
        <f>AND(DATA!W704,"AAAAAE50NSk=")</f>
        <v>#VALUE!</v>
      </c>
      <c r="AQ121" t="e">
        <f>AND(DATA!X704,"AAAAAE50NSo=")</f>
        <v>#VALUE!</v>
      </c>
      <c r="AR121" t="e">
        <f>AND(DATA!Y704,"AAAAAE50NSs=")</f>
        <v>#VALUE!</v>
      </c>
      <c r="AS121">
        <f>IF(DATA!705:705,"AAAAAE50NSw=",0)</f>
        <v>0</v>
      </c>
      <c r="AT121" t="e">
        <f>AND(DATA!A705,"AAAAAE50NS0=")</f>
        <v>#VALUE!</v>
      </c>
      <c r="AU121" t="e">
        <f>AND(DATA!B705,"AAAAAE50NS4=")</f>
        <v>#VALUE!</v>
      </c>
      <c r="AV121" t="e">
        <f>AND(DATA!C705,"AAAAAE50NS8=")</f>
        <v>#VALUE!</v>
      </c>
      <c r="AW121" t="e">
        <f>AND(DATA!D705,"AAAAAE50NTA=")</f>
        <v>#VALUE!</v>
      </c>
      <c r="AX121" t="e">
        <f>AND(DATA!E705,"AAAAAE50NTE=")</f>
        <v>#VALUE!</v>
      </c>
      <c r="AY121" t="e">
        <f>AND(DATA!F705,"AAAAAE50NTI=")</f>
        <v>#VALUE!</v>
      </c>
      <c r="AZ121" t="e">
        <f>AND(DATA!G705,"AAAAAE50NTM=")</f>
        <v>#VALUE!</v>
      </c>
      <c r="BA121" t="e">
        <f>AND(DATA!H705,"AAAAAE50NTQ=")</f>
        <v>#VALUE!</v>
      </c>
      <c r="BB121" t="e">
        <f>AND(DATA!I705,"AAAAAE50NTU=")</f>
        <v>#VALUE!</v>
      </c>
      <c r="BC121" t="e">
        <f>AND(DATA!J705,"AAAAAE50NTY=")</f>
        <v>#VALUE!</v>
      </c>
      <c r="BD121" t="e">
        <f>AND(DATA!K705,"AAAAAE50NTc=")</f>
        <v>#VALUE!</v>
      </c>
      <c r="BE121" t="b">
        <f>AND(DATA!L706,"AAAAAE50NTg=")</f>
        <v>1</v>
      </c>
      <c r="BF121" t="b">
        <f>AND(DATA!M706,"AAAAAE50NTk=")</f>
        <v>1</v>
      </c>
      <c r="BG121" t="b">
        <f>AND(DATA!N706,"AAAAAE50NTo=")</f>
        <v>1</v>
      </c>
      <c r="BH121" t="b">
        <f>AND(DATA!O706,"AAAAAE50NTs=")</f>
        <v>1</v>
      </c>
      <c r="BI121" t="b">
        <f>AND(DATA!P706,"AAAAAE50NTw=")</f>
        <v>1</v>
      </c>
      <c r="BJ121" t="b">
        <f>AND(DATA!Q706,"AAAAAE50NT0=")</f>
        <v>1</v>
      </c>
      <c r="BK121" t="b">
        <f>AND(DATA!R706,"AAAAAE50NT4=")</f>
        <v>1</v>
      </c>
      <c r="BL121" t="b">
        <f>AND(DATA!S706,"AAAAAE50NT8=")</f>
        <v>1</v>
      </c>
      <c r="BM121" t="b">
        <f>AND(DATA!T706,"AAAAAE50NUA=")</f>
        <v>1</v>
      </c>
      <c r="BN121" t="b">
        <f>AND(DATA!U706,"AAAAAE50NUE=")</f>
        <v>1</v>
      </c>
      <c r="BO121" t="b">
        <f>AND(DATA!V706,"AAAAAE50NUI=")</f>
        <v>1</v>
      </c>
      <c r="BP121" t="e">
        <f>AND(DATA!W705,"AAAAAE50NUM=")</f>
        <v>#VALUE!</v>
      </c>
      <c r="BQ121" t="e">
        <f>AND(DATA!X705,"AAAAAE50NUQ=")</f>
        <v>#VALUE!</v>
      </c>
      <c r="BR121" t="e">
        <f>AND(DATA!Y705,"AAAAAE50NUU=")</f>
        <v>#VALUE!</v>
      </c>
      <c r="BS121">
        <f>IF(DATA!706:706,"AAAAAE50NUY=",0)</f>
        <v>0</v>
      </c>
      <c r="BT121" t="e">
        <f>AND(DATA!A706,"AAAAAE50NUc=")</f>
        <v>#VALUE!</v>
      </c>
      <c r="BU121" t="e">
        <f>AND(DATA!B706,"AAAAAE50NUg=")</f>
        <v>#VALUE!</v>
      </c>
      <c r="BV121" t="e">
        <f>AND(DATA!C706,"AAAAAE50NUk=")</f>
        <v>#VALUE!</v>
      </c>
      <c r="BW121" t="e">
        <f>AND(DATA!D706,"AAAAAE50NUo=")</f>
        <v>#VALUE!</v>
      </c>
      <c r="BX121" t="e">
        <f>AND(DATA!E706,"AAAAAE50NUs=")</f>
        <v>#VALUE!</v>
      </c>
      <c r="BY121" t="e">
        <f>AND(DATA!F706,"AAAAAE50NUw=")</f>
        <v>#VALUE!</v>
      </c>
      <c r="BZ121" t="e">
        <f>AND(DATA!G706,"AAAAAE50NU0=")</f>
        <v>#VALUE!</v>
      </c>
      <c r="CA121" t="e">
        <f>AND(DATA!H706,"AAAAAE50NU4=")</f>
        <v>#VALUE!</v>
      </c>
      <c r="CB121" t="e">
        <f>AND(DATA!I706,"AAAAAE50NU8=")</f>
        <v>#VALUE!</v>
      </c>
      <c r="CC121" t="e">
        <f>AND(DATA!J706,"AAAAAE50NVA=")</f>
        <v>#VALUE!</v>
      </c>
      <c r="CD121" t="e">
        <f>AND(DATA!K706,"AAAAAE50NVE=")</f>
        <v>#VALUE!</v>
      </c>
      <c r="CE121" t="b">
        <f>AND(DATA!L707,"AAAAAE50NVI=")</f>
        <v>1</v>
      </c>
      <c r="CF121" t="b">
        <f>AND(DATA!M707,"AAAAAE50NVM=")</f>
        <v>1</v>
      </c>
      <c r="CG121" t="b">
        <f>AND(DATA!N707,"AAAAAE50NVQ=")</f>
        <v>1</v>
      </c>
      <c r="CH121" t="b">
        <f>AND(DATA!O707,"AAAAAE50NVU=")</f>
        <v>1</v>
      </c>
      <c r="CI121" t="b">
        <f>AND(DATA!P707,"AAAAAE50NVY=")</f>
        <v>1</v>
      </c>
      <c r="CJ121" t="b">
        <f>AND(DATA!Q707,"AAAAAE50NVc=")</f>
        <v>1</v>
      </c>
      <c r="CK121" t="b">
        <f>AND(DATA!R707,"AAAAAE50NVg=")</f>
        <v>1</v>
      </c>
      <c r="CL121" t="b">
        <f>AND(DATA!S707,"AAAAAE50NVk=")</f>
        <v>1</v>
      </c>
      <c r="CM121" t="b">
        <f>AND(DATA!T707,"AAAAAE50NVo=")</f>
        <v>1</v>
      </c>
      <c r="CN121" t="b">
        <f>AND(DATA!U707,"AAAAAE50NVs=")</f>
        <v>1</v>
      </c>
      <c r="CO121" t="b">
        <f>AND(DATA!V707,"AAAAAE50NVw=")</f>
        <v>1</v>
      </c>
      <c r="CP121" t="e">
        <f>AND(DATA!W706,"AAAAAE50NV0=")</f>
        <v>#VALUE!</v>
      </c>
      <c r="CQ121" t="e">
        <f>AND(DATA!X706,"AAAAAE50NV4=")</f>
        <v>#VALUE!</v>
      </c>
      <c r="CR121" t="e">
        <f>AND(DATA!Y706,"AAAAAE50NV8=")</f>
        <v>#VALUE!</v>
      </c>
      <c r="CS121">
        <f>IF(DATA!707:707,"AAAAAE50NWA=",0)</f>
        <v>0</v>
      </c>
      <c r="CT121" t="e">
        <f>AND(DATA!A707,"AAAAAE50NWE=")</f>
        <v>#VALUE!</v>
      </c>
      <c r="CU121" t="e">
        <f>AND(DATA!B707,"AAAAAE50NWI=")</f>
        <v>#VALUE!</v>
      </c>
      <c r="CV121" t="e">
        <f>AND(DATA!C707,"AAAAAE50NWM=")</f>
        <v>#VALUE!</v>
      </c>
      <c r="CW121" t="e">
        <f>AND(DATA!D707,"AAAAAE50NWQ=")</f>
        <v>#VALUE!</v>
      </c>
      <c r="CX121" t="e">
        <f>AND(DATA!E707,"AAAAAE50NWU=")</f>
        <v>#VALUE!</v>
      </c>
      <c r="CY121" t="e">
        <f>AND(DATA!F707,"AAAAAE50NWY=")</f>
        <v>#VALUE!</v>
      </c>
      <c r="CZ121" t="e">
        <f>AND(DATA!G707,"AAAAAE50NWc=")</f>
        <v>#VALUE!</v>
      </c>
      <c r="DA121" t="e">
        <f>AND(DATA!H707,"AAAAAE50NWg=")</f>
        <v>#VALUE!</v>
      </c>
      <c r="DB121" t="e">
        <f>AND(DATA!I707,"AAAAAE50NWk=")</f>
        <v>#VALUE!</v>
      </c>
      <c r="DC121" t="e">
        <f>AND(DATA!J707,"AAAAAE50NWo=")</f>
        <v>#VALUE!</v>
      </c>
      <c r="DD121" t="e">
        <f>AND(DATA!K707,"AAAAAE50NWs=")</f>
        <v>#VALUE!</v>
      </c>
      <c r="DE121" t="b">
        <f>AND(DATA!L708,"AAAAAE50NWw=")</f>
        <v>1</v>
      </c>
      <c r="DF121" t="b">
        <f>AND(DATA!M708,"AAAAAE50NW0=")</f>
        <v>1</v>
      </c>
      <c r="DG121" t="b">
        <f>AND(DATA!N708,"AAAAAE50NW4=")</f>
        <v>1</v>
      </c>
      <c r="DH121" t="b">
        <f>AND(DATA!O708,"AAAAAE50NW8=")</f>
        <v>1</v>
      </c>
      <c r="DI121" t="b">
        <f>AND(DATA!P708,"AAAAAE50NXA=")</f>
        <v>1</v>
      </c>
      <c r="DJ121" t="b">
        <f>AND(DATA!Q708,"AAAAAE50NXE=")</f>
        <v>1</v>
      </c>
      <c r="DK121" t="b">
        <f>AND(DATA!R708,"AAAAAE50NXI=")</f>
        <v>1</v>
      </c>
      <c r="DL121" t="b">
        <f>AND(DATA!S708,"AAAAAE50NXM=")</f>
        <v>1</v>
      </c>
      <c r="DM121" t="b">
        <f>AND(DATA!T708,"AAAAAE50NXQ=")</f>
        <v>1</v>
      </c>
      <c r="DN121" t="b">
        <f>AND(DATA!U708,"AAAAAE50NXU=")</f>
        <v>1</v>
      </c>
      <c r="DO121" t="b">
        <f>AND(DATA!V708,"AAAAAE50NXY=")</f>
        <v>1</v>
      </c>
      <c r="DP121" t="e">
        <f>AND(DATA!W707,"AAAAAE50NXc=")</f>
        <v>#VALUE!</v>
      </c>
      <c r="DQ121" t="e">
        <f>AND(DATA!X707,"AAAAAE50NXg=")</f>
        <v>#VALUE!</v>
      </c>
      <c r="DR121" t="e">
        <f>AND(DATA!Y707,"AAAAAE50NXk=")</f>
        <v>#VALUE!</v>
      </c>
      <c r="DS121">
        <f>IF(DATA!708:708,"AAAAAE50NXo=",0)</f>
        <v>0</v>
      </c>
      <c r="DT121" t="e">
        <f>AND(DATA!A708,"AAAAAE50NXs=")</f>
        <v>#VALUE!</v>
      </c>
      <c r="DU121" t="e">
        <f>AND(DATA!B708,"AAAAAE50NXw=")</f>
        <v>#VALUE!</v>
      </c>
      <c r="DV121" t="e">
        <f>AND(DATA!C708,"AAAAAE50NX0=")</f>
        <v>#VALUE!</v>
      </c>
      <c r="DW121" t="e">
        <f>AND(DATA!D708,"AAAAAE50NX4=")</f>
        <v>#VALUE!</v>
      </c>
      <c r="DX121" t="e">
        <f>AND(DATA!E708,"AAAAAE50NX8=")</f>
        <v>#VALUE!</v>
      </c>
      <c r="DY121" t="e">
        <f>AND(DATA!F708,"AAAAAE50NYA=")</f>
        <v>#VALUE!</v>
      </c>
      <c r="DZ121" t="e">
        <f>AND(DATA!G708,"AAAAAE50NYE=")</f>
        <v>#VALUE!</v>
      </c>
      <c r="EA121" t="e">
        <f>AND(DATA!H708,"AAAAAE50NYI=")</f>
        <v>#VALUE!</v>
      </c>
      <c r="EB121" t="e">
        <f>AND(DATA!I708,"AAAAAE50NYM=")</f>
        <v>#VALUE!</v>
      </c>
      <c r="EC121" t="e">
        <f>AND(DATA!J708,"AAAAAE50NYQ=")</f>
        <v>#VALUE!</v>
      </c>
      <c r="ED121" t="e">
        <f>AND(DATA!K708,"AAAAAE50NYU=")</f>
        <v>#VALUE!</v>
      </c>
      <c r="EE121" t="b">
        <f>AND(DATA!L709,"AAAAAE50NYY=")</f>
        <v>1</v>
      </c>
      <c r="EF121" t="b">
        <f>AND(DATA!M709,"AAAAAE50NYc=")</f>
        <v>1</v>
      </c>
      <c r="EG121" t="b">
        <f>AND(DATA!N709,"AAAAAE50NYg=")</f>
        <v>1</v>
      </c>
      <c r="EH121" t="b">
        <f>AND(DATA!O709,"AAAAAE50NYk=")</f>
        <v>1</v>
      </c>
      <c r="EI121" t="b">
        <f>AND(DATA!P709,"AAAAAE50NYo=")</f>
        <v>1</v>
      </c>
      <c r="EJ121" t="b">
        <f>AND(DATA!Q709,"AAAAAE50NYs=")</f>
        <v>1</v>
      </c>
      <c r="EK121" t="b">
        <f>AND(DATA!R709,"AAAAAE50NYw=")</f>
        <v>1</v>
      </c>
      <c r="EL121" t="b">
        <f>AND(DATA!S709,"AAAAAE50NY0=")</f>
        <v>1</v>
      </c>
      <c r="EM121" t="b">
        <f>AND(DATA!T709,"AAAAAE50NY4=")</f>
        <v>1</v>
      </c>
      <c r="EN121" t="b">
        <f>AND(DATA!U709,"AAAAAE50NY8=")</f>
        <v>1</v>
      </c>
      <c r="EO121" t="b">
        <f>AND(DATA!V709,"AAAAAE50NZA=")</f>
        <v>1</v>
      </c>
      <c r="EP121" t="e">
        <f>AND(DATA!W708,"AAAAAE50NZE=")</f>
        <v>#VALUE!</v>
      </c>
      <c r="EQ121" t="e">
        <f>AND(DATA!X708,"AAAAAE50NZI=")</f>
        <v>#VALUE!</v>
      </c>
      <c r="ER121" t="e">
        <f>AND(DATA!Y708,"AAAAAE50NZM=")</f>
        <v>#VALUE!</v>
      </c>
      <c r="ES121">
        <f>IF(DATA!709:709,"AAAAAE50NZQ=",0)</f>
        <v>0</v>
      </c>
      <c r="ET121" t="e">
        <f>AND(DATA!A709,"AAAAAE50NZU=")</f>
        <v>#VALUE!</v>
      </c>
      <c r="EU121" t="e">
        <f>AND(DATA!B709,"AAAAAE50NZY=")</f>
        <v>#VALUE!</v>
      </c>
      <c r="EV121" t="e">
        <f>AND(DATA!C709,"AAAAAE50NZc=")</f>
        <v>#VALUE!</v>
      </c>
      <c r="EW121" t="e">
        <f>AND(DATA!D709,"AAAAAE50NZg=")</f>
        <v>#VALUE!</v>
      </c>
      <c r="EX121" t="e">
        <f>AND(DATA!E709,"AAAAAE50NZk=")</f>
        <v>#VALUE!</v>
      </c>
      <c r="EY121" t="e">
        <f>AND(DATA!F709,"AAAAAE50NZo=")</f>
        <v>#VALUE!</v>
      </c>
      <c r="EZ121" t="e">
        <f>AND(DATA!G709,"AAAAAE50NZs=")</f>
        <v>#VALUE!</v>
      </c>
      <c r="FA121" t="e">
        <f>AND(DATA!H709,"AAAAAE50NZw=")</f>
        <v>#VALUE!</v>
      </c>
      <c r="FB121" t="e">
        <f>AND(DATA!I709,"AAAAAE50NZ0=")</f>
        <v>#VALUE!</v>
      </c>
      <c r="FC121" t="e">
        <f>AND(DATA!J709,"AAAAAE50NZ4=")</f>
        <v>#VALUE!</v>
      </c>
      <c r="FD121" t="e">
        <f>AND(DATA!K709,"AAAAAE50NZ8=")</f>
        <v>#VALUE!</v>
      </c>
      <c r="FE121" t="b">
        <f>AND(DATA!L710,"AAAAAE50NaA=")</f>
        <v>1</v>
      </c>
      <c r="FF121" t="b">
        <f>AND(DATA!M710,"AAAAAE50NaE=")</f>
        <v>1</v>
      </c>
      <c r="FG121" t="b">
        <f>AND(DATA!N710,"AAAAAE50NaI=")</f>
        <v>1</v>
      </c>
      <c r="FH121" t="b">
        <f>AND(DATA!O710,"AAAAAE50NaM=")</f>
        <v>1</v>
      </c>
      <c r="FI121" t="b">
        <f>AND(DATA!P710,"AAAAAE50NaQ=")</f>
        <v>1</v>
      </c>
      <c r="FJ121" t="b">
        <f>AND(DATA!Q710,"AAAAAE50NaU=")</f>
        <v>1</v>
      </c>
      <c r="FK121" t="b">
        <f>AND(DATA!R710,"AAAAAE50NaY=")</f>
        <v>1</v>
      </c>
      <c r="FL121" t="b">
        <f>AND(DATA!S710,"AAAAAE50Nac=")</f>
        <v>1</v>
      </c>
      <c r="FM121" t="b">
        <f>AND(DATA!T710,"AAAAAE50Nag=")</f>
        <v>1</v>
      </c>
      <c r="FN121" t="b">
        <f>AND(DATA!U710,"AAAAAE50Nak=")</f>
        <v>1</v>
      </c>
      <c r="FO121" t="b">
        <f>AND(DATA!V710,"AAAAAE50Nao=")</f>
        <v>1</v>
      </c>
      <c r="FP121" t="e">
        <f>AND(DATA!W709,"AAAAAE50Nas=")</f>
        <v>#VALUE!</v>
      </c>
      <c r="FQ121" t="e">
        <f>AND(DATA!X709,"AAAAAE50Naw=")</f>
        <v>#VALUE!</v>
      </c>
      <c r="FR121" t="e">
        <f>AND(DATA!Y709,"AAAAAE50Na0=")</f>
        <v>#VALUE!</v>
      </c>
      <c r="FS121">
        <f>IF(DATA!710:710,"AAAAAE50Na4=",0)</f>
        <v>0</v>
      </c>
      <c r="FT121" t="e">
        <f>AND(DATA!A710,"AAAAAE50Na8=")</f>
        <v>#VALUE!</v>
      </c>
      <c r="FU121" t="e">
        <f>AND(DATA!B710,"AAAAAE50NbA=")</f>
        <v>#VALUE!</v>
      </c>
      <c r="FV121" t="e">
        <f>AND(DATA!C710,"AAAAAE50NbE=")</f>
        <v>#VALUE!</v>
      </c>
      <c r="FW121" t="e">
        <f>AND(DATA!D710,"AAAAAE50NbI=")</f>
        <v>#VALUE!</v>
      </c>
      <c r="FX121" t="e">
        <f>AND(DATA!E710,"AAAAAE50NbM=")</f>
        <v>#VALUE!</v>
      </c>
      <c r="FY121" t="e">
        <f>AND(DATA!F710,"AAAAAE50NbQ=")</f>
        <v>#VALUE!</v>
      </c>
      <c r="FZ121" t="e">
        <f>AND(DATA!G710,"AAAAAE50NbU=")</f>
        <v>#VALUE!</v>
      </c>
      <c r="GA121" t="e">
        <f>AND(DATA!H710,"AAAAAE50NbY=")</f>
        <v>#VALUE!</v>
      </c>
      <c r="GB121" t="e">
        <f>AND(DATA!I710,"AAAAAE50Nbc=")</f>
        <v>#VALUE!</v>
      </c>
      <c r="GC121" t="e">
        <f>AND(DATA!J710,"AAAAAE50Nbg=")</f>
        <v>#VALUE!</v>
      </c>
      <c r="GD121" t="e">
        <f>AND(DATA!K710,"AAAAAE50Nbk=")</f>
        <v>#VALUE!</v>
      </c>
      <c r="GE121" t="b">
        <f>AND(DATA!L711,"AAAAAE50Nbo=")</f>
        <v>1</v>
      </c>
      <c r="GF121" t="b">
        <f>AND(DATA!M711,"AAAAAE50Nbs=")</f>
        <v>1</v>
      </c>
      <c r="GG121" t="b">
        <f>AND(DATA!N711,"AAAAAE50Nbw=")</f>
        <v>1</v>
      </c>
      <c r="GH121" t="b">
        <f>AND(DATA!O711,"AAAAAE50Nb0=")</f>
        <v>1</v>
      </c>
      <c r="GI121" t="b">
        <f>AND(DATA!P711,"AAAAAE50Nb4=")</f>
        <v>1</v>
      </c>
      <c r="GJ121" t="b">
        <f>AND(DATA!Q711,"AAAAAE50Nb8=")</f>
        <v>1</v>
      </c>
      <c r="GK121" t="b">
        <f>AND(DATA!R711,"AAAAAE50NcA=")</f>
        <v>1</v>
      </c>
      <c r="GL121" t="b">
        <f>AND(DATA!S711,"AAAAAE50NcE=")</f>
        <v>1</v>
      </c>
      <c r="GM121" t="b">
        <f>AND(DATA!T711,"AAAAAE50NcI=")</f>
        <v>1</v>
      </c>
      <c r="GN121" t="b">
        <f>AND(DATA!U711,"AAAAAE50NcM=")</f>
        <v>1</v>
      </c>
      <c r="GO121" t="b">
        <f>AND(DATA!V711,"AAAAAE50NcQ=")</f>
        <v>1</v>
      </c>
      <c r="GP121" t="e">
        <f>AND(DATA!W710,"AAAAAE50NcU=")</f>
        <v>#VALUE!</v>
      </c>
      <c r="GQ121" t="e">
        <f>AND(DATA!X710,"AAAAAE50NcY=")</f>
        <v>#VALUE!</v>
      </c>
      <c r="GR121" t="e">
        <f>AND(DATA!Y710,"AAAAAE50Ncc=")</f>
        <v>#VALUE!</v>
      </c>
      <c r="GS121">
        <f>IF(DATA!711:711,"AAAAAE50Ncg=",0)</f>
        <v>0</v>
      </c>
      <c r="GT121" t="e">
        <f>AND(DATA!A711,"AAAAAE50Nck=")</f>
        <v>#VALUE!</v>
      </c>
      <c r="GU121" t="e">
        <f>AND(DATA!B711,"AAAAAE50Nco=")</f>
        <v>#VALUE!</v>
      </c>
      <c r="GV121" t="e">
        <f>AND(DATA!C711,"AAAAAE50Ncs=")</f>
        <v>#VALUE!</v>
      </c>
      <c r="GW121" t="e">
        <f>AND(DATA!D711,"AAAAAE50Ncw=")</f>
        <v>#VALUE!</v>
      </c>
      <c r="GX121" t="e">
        <f>AND(DATA!E711,"AAAAAE50Nc0=")</f>
        <v>#VALUE!</v>
      </c>
      <c r="GY121" t="e">
        <f>AND(DATA!F711,"AAAAAE50Nc4=")</f>
        <v>#VALUE!</v>
      </c>
      <c r="GZ121" t="e">
        <f>AND(DATA!G711,"AAAAAE50Nc8=")</f>
        <v>#VALUE!</v>
      </c>
      <c r="HA121" t="e">
        <f>AND(DATA!H711,"AAAAAE50NdA=")</f>
        <v>#VALUE!</v>
      </c>
      <c r="HB121" t="e">
        <f>AND(DATA!I711,"AAAAAE50NdE=")</f>
        <v>#VALUE!</v>
      </c>
      <c r="HC121" t="e">
        <f>AND(DATA!J711,"AAAAAE50NdI=")</f>
        <v>#VALUE!</v>
      </c>
      <c r="HD121" t="e">
        <f>AND(DATA!K711,"AAAAAE50NdM=")</f>
        <v>#VALUE!</v>
      </c>
      <c r="HE121" t="b">
        <f>AND(DATA!L712,"AAAAAE50NdQ=")</f>
        <v>1</v>
      </c>
      <c r="HF121" t="b">
        <f>AND(DATA!M712,"AAAAAE50NdU=")</f>
        <v>1</v>
      </c>
      <c r="HG121" t="b">
        <f>AND(DATA!N712,"AAAAAE50NdY=")</f>
        <v>1</v>
      </c>
      <c r="HH121" t="b">
        <f>AND(DATA!O712,"AAAAAE50Ndc=")</f>
        <v>1</v>
      </c>
      <c r="HI121" t="b">
        <f>AND(DATA!P712,"AAAAAE50Ndg=")</f>
        <v>1</v>
      </c>
      <c r="HJ121" t="b">
        <f>AND(DATA!Q712,"AAAAAE50Ndk=")</f>
        <v>1</v>
      </c>
      <c r="HK121" t="b">
        <f>AND(DATA!R712,"AAAAAE50Ndo=")</f>
        <v>1</v>
      </c>
      <c r="HL121" t="b">
        <f>AND(DATA!S712,"AAAAAE50Nds=")</f>
        <v>1</v>
      </c>
      <c r="HM121" t="b">
        <f>AND(DATA!T712,"AAAAAE50Ndw=")</f>
        <v>1</v>
      </c>
      <c r="HN121" t="b">
        <f>AND(DATA!U712,"AAAAAE50Nd0=")</f>
        <v>1</v>
      </c>
      <c r="HO121" t="b">
        <f>AND(DATA!V712,"AAAAAE50Nd4=")</f>
        <v>1</v>
      </c>
      <c r="HP121" t="e">
        <f>AND(DATA!W711,"AAAAAE50Nd8=")</f>
        <v>#VALUE!</v>
      </c>
      <c r="HQ121" t="e">
        <f>AND(DATA!X711,"AAAAAE50NeA=")</f>
        <v>#VALUE!</v>
      </c>
      <c r="HR121" t="e">
        <f>AND(DATA!Y711,"AAAAAE50NeE=")</f>
        <v>#VALUE!</v>
      </c>
      <c r="HS121">
        <f>IF(DATA!712:712,"AAAAAE50NeI=",0)</f>
        <v>0</v>
      </c>
      <c r="HT121" t="e">
        <f>AND(DATA!A712,"AAAAAE50NeM=")</f>
        <v>#VALUE!</v>
      </c>
      <c r="HU121" t="e">
        <f>AND(DATA!B712,"AAAAAE50NeQ=")</f>
        <v>#VALUE!</v>
      </c>
      <c r="HV121" t="e">
        <f>AND(DATA!C712,"AAAAAE50NeU=")</f>
        <v>#VALUE!</v>
      </c>
      <c r="HW121" t="e">
        <f>AND(DATA!D712,"AAAAAE50NeY=")</f>
        <v>#VALUE!</v>
      </c>
      <c r="HX121" t="e">
        <f>AND(DATA!E712,"AAAAAE50Nec=")</f>
        <v>#VALUE!</v>
      </c>
      <c r="HY121" t="e">
        <f>AND(DATA!F712,"AAAAAE50Neg=")</f>
        <v>#VALUE!</v>
      </c>
      <c r="HZ121" t="e">
        <f>AND(DATA!G712,"AAAAAE50Nek=")</f>
        <v>#VALUE!</v>
      </c>
      <c r="IA121" t="e">
        <f>AND(DATA!H712,"AAAAAE50Neo=")</f>
        <v>#VALUE!</v>
      </c>
      <c r="IB121" t="e">
        <f>AND(DATA!I712,"AAAAAE50Nes=")</f>
        <v>#VALUE!</v>
      </c>
      <c r="IC121" t="e">
        <f>AND(DATA!J712,"AAAAAE50New=")</f>
        <v>#VALUE!</v>
      </c>
      <c r="ID121" t="e">
        <f>AND(DATA!K712,"AAAAAE50Ne0=")</f>
        <v>#VALUE!</v>
      </c>
      <c r="IE121" t="b">
        <f>AND(DATA!L713,"AAAAAE50Ne4=")</f>
        <v>1</v>
      </c>
      <c r="IF121" t="b">
        <f>AND(DATA!M713,"AAAAAE50Ne8=")</f>
        <v>1</v>
      </c>
      <c r="IG121" t="b">
        <f>AND(DATA!N713,"AAAAAE50NfA=")</f>
        <v>1</v>
      </c>
      <c r="IH121" t="b">
        <f>AND(DATA!O713,"AAAAAE50NfE=")</f>
        <v>1</v>
      </c>
      <c r="II121" t="b">
        <f>AND(DATA!P713,"AAAAAE50NfI=")</f>
        <v>1</v>
      </c>
      <c r="IJ121" t="b">
        <f>AND(DATA!Q713,"AAAAAE50NfM=")</f>
        <v>1</v>
      </c>
      <c r="IK121" t="b">
        <f>AND(DATA!R713,"AAAAAE50NfQ=")</f>
        <v>1</v>
      </c>
      <c r="IL121" t="b">
        <f>AND(DATA!S713,"AAAAAE50NfU=")</f>
        <v>1</v>
      </c>
      <c r="IM121" t="b">
        <f>AND(DATA!T713,"AAAAAE50NfY=")</f>
        <v>1</v>
      </c>
      <c r="IN121" t="b">
        <f>AND(DATA!U713,"AAAAAE50Nfc=")</f>
        <v>1</v>
      </c>
      <c r="IO121" t="b">
        <f>AND(DATA!V713,"AAAAAE50Nfg=")</f>
        <v>1</v>
      </c>
      <c r="IP121" t="e">
        <f>AND(DATA!W712,"AAAAAE50Nfk=")</f>
        <v>#VALUE!</v>
      </c>
      <c r="IQ121" t="e">
        <f>AND(DATA!X712,"AAAAAE50Nfo=")</f>
        <v>#VALUE!</v>
      </c>
      <c r="IR121" t="e">
        <f>AND(DATA!Y712,"AAAAAE50Nfs=")</f>
        <v>#VALUE!</v>
      </c>
      <c r="IS121">
        <f>IF(DATA!713:713,"AAAAAE50Nfw=",0)</f>
        <v>0</v>
      </c>
      <c r="IT121" t="e">
        <f>AND(DATA!A713,"AAAAAE50Nf0=")</f>
        <v>#VALUE!</v>
      </c>
      <c r="IU121" t="e">
        <f>AND(DATA!B713,"AAAAAE50Nf4=")</f>
        <v>#VALUE!</v>
      </c>
      <c r="IV121" t="e">
        <f>AND(DATA!C713,"AAAAAE50Nf8=")</f>
        <v>#VALUE!</v>
      </c>
    </row>
    <row r="122" spans="1:256" x14ac:dyDescent="0.25">
      <c r="A122" t="e">
        <f>AND(DATA!D713,"AAAAAH//6gA=")</f>
        <v>#VALUE!</v>
      </c>
      <c r="B122" t="e">
        <f>AND(DATA!E713,"AAAAAH//6gE=")</f>
        <v>#VALUE!</v>
      </c>
      <c r="C122" t="e">
        <f>AND(DATA!F713,"AAAAAH//6gI=")</f>
        <v>#VALUE!</v>
      </c>
      <c r="D122" t="e">
        <f>AND(DATA!G713,"AAAAAH//6gM=")</f>
        <v>#VALUE!</v>
      </c>
      <c r="E122" t="e">
        <f>AND(DATA!H713,"AAAAAH//6gQ=")</f>
        <v>#VALUE!</v>
      </c>
      <c r="F122" t="e">
        <f>AND(DATA!I713,"AAAAAH//6gU=")</f>
        <v>#VALUE!</v>
      </c>
      <c r="G122" t="e">
        <f>AND(DATA!J713,"AAAAAH//6gY=")</f>
        <v>#VALUE!</v>
      </c>
      <c r="H122" t="e">
        <f>AND(DATA!K713,"AAAAAH//6gc=")</f>
        <v>#VALUE!</v>
      </c>
      <c r="I122" t="b">
        <f>AND(DATA!L714,"AAAAAH//6gg=")</f>
        <v>1</v>
      </c>
      <c r="J122" t="b">
        <f>AND(DATA!M714,"AAAAAH//6gk=")</f>
        <v>1</v>
      </c>
      <c r="K122" t="b">
        <f>AND(DATA!N714,"AAAAAH//6go=")</f>
        <v>1</v>
      </c>
      <c r="L122" t="b">
        <f>AND(DATA!O714,"AAAAAH//6gs=")</f>
        <v>1</v>
      </c>
      <c r="M122" t="b">
        <f>AND(DATA!P714,"AAAAAH//6gw=")</f>
        <v>1</v>
      </c>
      <c r="N122" t="b">
        <f>AND(DATA!Q714,"AAAAAH//6g0=")</f>
        <v>1</v>
      </c>
      <c r="O122" t="b">
        <f>AND(DATA!R714,"AAAAAH//6g4=")</f>
        <v>1</v>
      </c>
      <c r="P122" t="b">
        <f>AND(DATA!S714,"AAAAAH//6g8=")</f>
        <v>1</v>
      </c>
      <c r="Q122" t="b">
        <f>AND(DATA!T714,"AAAAAH//6hA=")</f>
        <v>1</v>
      </c>
      <c r="R122" t="b">
        <f>AND(DATA!U714,"AAAAAH//6hE=")</f>
        <v>1</v>
      </c>
      <c r="S122" t="b">
        <f>AND(DATA!V714,"AAAAAH//6hI=")</f>
        <v>1</v>
      </c>
      <c r="T122" t="e">
        <f>AND(DATA!W713,"AAAAAH//6hM=")</f>
        <v>#VALUE!</v>
      </c>
      <c r="U122" t="e">
        <f>AND(DATA!X713,"AAAAAH//6hQ=")</f>
        <v>#VALUE!</v>
      </c>
      <c r="V122" t="e">
        <f>AND(DATA!Y713,"AAAAAH//6hU=")</f>
        <v>#VALUE!</v>
      </c>
      <c r="W122">
        <f>IF(DATA!714:714,"AAAAAH//6hY=",0)</f>
        <v>0</v>
      </c>
      <c r="X122" t="e">
        <f>AND(DATA!A714,"AAAAAH//6hc=")</f>
        <v>#VALUE!</v>
      </c>
      <c r="Y122" t="e">
        <f>AND(DATA!B714,"AAAAAH//6hg=")</f>
        <v>#VALUE!</v>
      </c>
      <c r="Z122" t="e">
        <f>AND(DATA!C714,"AAAAAH//6hk=")</f>
        <v>#VALUE!</v>
      </c>
      <c r="AA122" t="e">
        <f>AND(DATA!D714,"AAAAAH//6ho=")</f>
        <v>#VALUE!</v>
      </c>
      <c r="AB122" t="e">
        <f>AND(DATA!E714,"AAAAAH//6hs=")</f>
        <v>#VALUE!</v>
      </c>
      <c r="AC122" t="e">
        <f>AND(DATA!F714,"AAAAAH//6hw=")</f>
        <v>#VALUE!</v>
      </c>
      <c r="AD122" t="e">
        <f>AND(DATA!G714,"AAAAAH//6h0=")</f>
        <v>#VALUE!</v>
      </c>
      <c r="AE122" t="e">
        <f>AND(DATA!H714,"AAAAAH//6h4=")</f>
        <v>#VALUE!</v>
      </c>
      <c r="AF122" t="e">
        <f>AND(DATA!I714,"AAAAAH//6h8=")</f>
        <v>#VALUE!</v>
      </c>
      <c r="AG122" t="e">
        <f>AND(DATA!J714,"AAAAAH//6iA=")</f>
        <v>#VALUE!</v>
      </c>
      <c r="AH122" t="e">
        <f>AND(DATA!K714,"AAAAAH//6iE=")</f>
        <v>#VALUE!</v>
      </c>
      <c r="AI122" t="b">
        <f>AND(DATA!L715,"AAAAAH//6iI=")</f>
        <v>1</v>
      </c>
      <c r="AJ122" t="b">
        <f>AND(DATA!M715,"AAAAAH//6iM=")</f>
        <v>1</v>
      </c>
      <c r="AK122" t="b">
        <f>AND(DATA!N715,"AAAAAH//6iQ=")</f>
        <v>1</v>
      </c>
      <c r="AL122" t="b">
        <f>AND(DATA!O715,"AAAAAH//6iU=")</f>
        <v>1</v>
      </c>
      <c r="AM122" t="b">
        <f>AND(DATA!P715,"AAAAAH//6iY=")</f>
        <v>1</v>
      </c>
      <c r="AN122" t="b">
        <f>AND(DATA!Q715,"AAAAAH//6ic=")</f>
        <v>1</v>
      </c>
      <c r="AO122" t="b">
        <f>AND(DATA!R715,"AAAAAH//6ig=")</f>
        <v>1</v>
      </c>
      <c r="AP122" t="b">
        <f>AND(DATA!S715,"AAAAAH//6ik=")</f>
        <v>1</v>
      </c>
      <c r="AQ122" t="b">
        <f>AND(DATA!T715,"AAAAAH//6io=")</f>
        <v>1</v>
      </c>
      <c r="AR122" t="b">
        <f>AND(DATA!U715,"AAAAAH//6is=")</f>
        <v>1</v>
      </c>
      <c r="AS122" t="b">
        <f>AND(DATA!V715,"AAAAAH//6iw=")</f>
        <v>1</v>
      </c>
      <c r="AT122" t="e">
        <f>AND(DATA!W714,"AAAAAH//6i0=")</f>
        <v>#VALUE!</v>
      </c>
      <c r="AU122" t="e">
        <f>AND(DATA!X714,"AAAAAH//6i4=")</f>
        <v>#VALUE!</v>
      </c>
      <c r="AV122" t="e">
        <f>AND(DATA!Y714,"AAAAAH//6i8=")</f>
        <v>#VALUE!</v>
      </c>
      <c r="AW122">
        <f>IF(DATA!715:715,"AAAAAH//6jA=",0)</f>
        <v>0</v>
      </c>
      <c r="AX122" t="e">
        <f>AND(DATA!A715,"AAAAAH//6jE=")</f>
        <v>#VALUE!</v>
      </c>
      <c r="AY122" t="e">
        <f>AND(DATA!B715,"AAAAAH//6jI=")</f>
        <v>#VALUE!</v>
      </c>
      <c r="AZ122" t="e">
        <f>AND(DATA!C715,"AAAAAH//6jM=")</f>
        <v>#VALUE!</v>
      </c>
      <c r="BA122" t="e">
        <f>AND(DATA!D715,"AAAAAH//6jQ=")</f>
        <v>#VALUE!</v>
      </c>
      <c r="BB122" t="e">
        <f>AND(DATA!E715,"AAAAAH//6jU=")</f>
        <v>#VALUE!</v>
      </c>
      <c r="BC122" t="e">
        <f>AND(DATA!F715,"AAAAAH//6jY=")</f>
        <v>#VALUE!</v>
      </c>
      <c r="BD122" t="e">
        <f>AND(DATA!G715,"AAAAAH//6jc=")</f>
        <v>#VALUE!</v>
      </c>
      <c r="BE122" t="e">
        <f>AND(DATA!H715,"AAAAAH//6jg=")</f>
        <v>#VALUE!</v>
      </c>
      <c r="BF122" t="e">
        <f>AND(DATA!I715,"AAAAAH//6jk=")</f>
        <v>#VALUE!</v>
      </c>
      <c r="BG122" t="e">
        <f>AND(DATA!J715,"AAAAAH//6jo=")</f>
        <v>#VALUE!</v>
      </c>
      <c r="BH122" t="e">
        <f>AND(DATA!K715,"AAAAAH//6js=")</f>
        <v>#VALUE!</v>
      </c>
      <c r="BI122" t="b">
        <f>AND(DATA!L716,"AAAAAH//6jw=")</f>
        <v>1</v>
      </c>
      <c r="BJ122" t="b">
        <f>AND(DATA!M716,"AAAAAH//6j0=")</f>
        <v>1</v>
      </c>
      <c r="BK122" t="b">
        <f>AND(DATA!N716,"AAAAAH//6j4=")</f>
        <v>1</v>
      </c>
      <c r="BL122" t="b">
        <f>AND(DATA!O716,"AAAAAH//6j8=")</f>
        <v>1</v>
      </c>
      <c r="BM122" t="b">
        <f>AND(DATA!P716,"AAAAAH//6kA=")</f>
        <v>1</v>
      </c>
      <c r="BN122" t="b">
        <f>AND(DATA!Q716,"AAAAAH//6kE=")</f>
        <v>1</v>
      </c>
      <c r="BO122" t="b">
        <f>AND(DATA!R716,"AAAAAH//6kI=")</f>
        <v>1</v>
      </c>
      <c r="BP122" t="b">
        <f>AND(DATA!S716,"AAAAAH//6kM=")</f>
        <v>1</v>
      </c>
      <c r="BQ122" t="b">
        <f>AND(DATA!T716,"AAAAAH//6kQ=")</f>
        <v>1</v>
      </c>
      <c r="BR122" t="b">
        <f>AND(DATA!U716,"AAAAAH//6kU=")</f>
        <v>1</v>
      </c>
      <c r="BS122" t="b">
        <f>AND(DATA!V716,"AAAAAH//6kY=")</f>
        <v>1</v>
      </c>
      <c r="BT122" t="e">
        <f>AND(DATA!W715,"AAAAAH//6kc=")</f>
        <v>#VALUE!</v>
      </c>
      <c r="BU122" t="e">
        <f>AND(DATA!X715,"AAAAAH//6kg=")</f>
        <v>#VALUE!</v>
      </c>
      <c r="BV122" t="e">
        <f>AND(DATA!Y715,"AAAAAH//6kk=")</f>
        <v>#VALUE!</v>
      </c>
      <c r="BW122">
        <f>IF(DATA!716:716,"AAAAAH//6ko=",0)</f>
        <v>0</v>
      </c>
      <c r="BX122" t="e">
        <f>AND(DATA!A716,"AAAAAH//6ks=")</f>
        <v>#VALUE!</v>
      </c>
      <c r="BY122" t="e">
        <f>AND(DATA!B716,"AAAAAH//6kw=")</f>
        <v>#VALUE!</v>
      </c>
      <c r="BZ122" t="e">
        <f>AND(DATA!C716,"AAAAAH//6k0=")</f>
        <v>#VALUE!</v>
      </c>
      <c r="CA122" t="e">
        <f>AND(DATA!D716,"AAAAAH//6k4=")</f>
        <v>#VALUE!</v>
      </c>
      <c r="CB122" t="e">
        <f>AND(DATA!E716,"AAAAAH//6k8=")</f>
        <v>#VALUE!</v>
      </c>
      <c r="CC122" t="e">
        <f>AND(DATA!F716,"AAAAAH//6lA=")</f>
        <v>#VALUE!</v>
      </c>
      <c r="CD122" t="e">
        <f>AND(DATA!G716,"AAAAAH//6lE=")</f>
        <v>#VALUE!</v>
      </c>
      <c r="CE122" t="e">
        <f>AND(DATA!H716,"AAAAAH//6lI=")</f>
        <v>#VALUE!</v>
      </c>
      <c r="CF122" t="e">
        <f>AND(DATA!I716,"AAAAAH//6lM=")</f>
        <v>#VALUE!</v>
      </c>
      <c r="CG122" t="e">
        <f>AND(DATA!J716,"AAAAAH//6lQ=")</f>
        <v>#VALUE!</v>
      </c>
      <c r="CH122" t="e">
        <f>AND(DATA!K716,"AAAAAH//6lU=")</f>
        <v>#VALUE!</v>
      </c>
      <c r="CI122" t="b">
        <f>AND(DATA!L717,"AAAAAH//6lY=")</f>
        <v>1</v>
      </c>
      <c r="CJ122" t="b">
        <f>AND(DATA!M717,"AAAAAH//6lc=")</f>
        <v>1</v>
      </c>
      <c r="CK122" t="b">
        <f>AND(DATA!N717,"AAAAAH//6lg=")</f>
        <v>1</v>
      </c>
      <c r="CL122" t="b">
        <f>AND(DATA!O717,"AAAAAH//6lk=")</f>
        <v>1</v>
      </c>
      <c r="CM122" t="b">
        <f>AND(DATA!P717,"AAAAAH//6lo=")</f>
        <v>1</v>
      </c>
      <c r="CN122" t="b">
        <f>AND(DATA!Q717,"AAAAAH//6ls=")</f>
        <v>1</v>
      </c>
      <c r="CO122" t="b">
        <f>AND(DATA!R717,"AAAAAH//6lw=")</f>
        <v>1</v>
      </c>
      <c r="CP122" t="b">
        <f>AND(DATA!S717,"AAAAAH//6l0=")</f>
        <v>1</v>
      </c>
      <c r="CQ122" t="b">
        <f>AND(DATA!T717,"AAAAAH//6l4=")</f>
        <v>1</v>
      </c>
      <c r="CR122" t="b">
        <f>AND(DATA!U717,"AAAAAH//6l8=")</f>
        <v>1</v>
      </c>
      <c r="CS122" t="b">
        <f>AND(DATA!V717,"AAAAAH//6mA=")</f>
        <v>1</v>
      </c>
      <c r="CT122" t="e">
        <f>AND(DATA!W716,"AAAAAH//6mE=")</f>
        <v>#VALUE!</v>
      </c>
      <c r="CU122" t="e">
        <f>AND(DATA!X716,"AAAAAH//6mI=")</f>
        <v>#VALUE!</v>
      </c>
      <c r="CV122" t="e">
        <f>AND(DATA!Y716,"AAAAAH//6mM=")</f>
        <v>#VALUE!</v>
      </c>
      <c r="CW122">
        <f>IF(DATA!717:717,"AAAAAH//6mQ=",0)</f>
        <v>0</v>
      </c>
      <c r="CX122" t="e">
        <f>AND(DATA!A717,"AAAAAH//6mU=")</f>
        <v>#VALUE!</v>
      </c>
      <c r="CY122" t="e">
        <f>AND(DATA!B717,"AAAAAH//6mY=")</f>
        <v>#VALUE!</v>
      </c>
      <c r="CZ122" t="e">
        <f>AND(DATA!C717,"AAAAAH//6mc=")</f>
        <v>#VALUE!</v>
      </c>
      <c r="DA122" t="e">
        <f>AND(DATA!D717,"AAAAAH//6mg=")</f>
        <v>#VALUE!</v>
      </c>
      <c r="DB122" t="e">
        <f>AND(DATA!E717,"AAAAAH//6mk=")</f>
        <v>#VALUE!</v>
      </c>
      <c r="DC122" t="e">
        <f>AND(DATA!F717,"AAAAAH//6mo=")</f>
        <v>#VALUE!</v>
      </c>
      <c r="DD122" t="e">
        <f>AND(DATA!G717,"AAAAAH//6ms=")</f>
        <v>#VALUE!</v>
      </c>
      <c r="DE122" t="e">
        <f>AND(DATA!H717,"AAAAAH//6mw=")</f>
        <v>#VALUE!</v>
      </c>
      <c r="DF122" t="e">
        <f>AND(DATA!I717,"AAAAAH//6m0=")</f>
        <v>#VALUE!</v>
      </c>
      <c r="DG122" t="e">
        <f>AND(DATA!J717,"AAAAAH//6m4=")</f>
        <v>#VALUE!</v>
      </c>
      <c r="DH122" t="e">
        <f>AND(DATA!K717,"AAAAAH//6m8=")</f>
        <v>#VALUE!</v>
      </c>
      <c r="DI122" t="b">
        <f>AND(DATA!L718,"AAAAAH//6nA=")</f>
        <v>1</v>
      </c>
      <c r="DJ122" t="b">
        <f>AND(DATA!M718,"AAAAAH//6nE=")</f>
        <v>1</v>
      </c>
      <c r="DK122" t="b">
        <f>AND(DATA!N718,"AAAAAH//6nI=")</f>
        <v>1</v>
      </c>
      <c r="DL122" t="b">
        <f>AND(DATA!O718,"AAAAAH//6nM=")</f>
        <v>1</v>
      </c>
      <c r="DM122" t="b">
        <f>AND(DATA!P718,"AAAAAH//6nQ=")</f>
        <v>1</v>
      </c>
      <c r="DN122" t="b">
        <f>AND(DATA!Q718,"AAAAAH//6nU=")</f>
        <v>1</v>
      </c>
      <c r="DO122" t="b">
        <f>AND(DATA!R718,"AAAAAH//6nY=")</f>
        <v>1</v>
      </c>
      <c r="DP122" t="b">
        <f>AND(DATA!S718,"AAAAAH//6nc=")</f>
        <v>1</v>
      </c>
      <c r="DQ122" t="b">
        <f>AND(DATA!T718,"AAAAAH//6ng=")</f>
        <v>1</v>
      </c>
      <c r="DR122" t="b">
        <f>AND(DATA!U718,"AAAAAH//6nk=")</f>
        <v>1</v>
      </c>
      <c r="DS122" t="b">
        <f>AND(DATA!V718,"AAAAAH//6no=")</f>
        <v>1</v>
      </c>
      <c r="DT122" t="e">
        <f>AND(DATA!W717,"AAAAAH//6ns=")</f>
        <v>#VALUE!</v>
      </c>
      <c r="DU122" t="e">
        <f>AND(DATA!X717,"AAAAAH//6nw=")</f>
        <v>#VALUE!</v>
      </c>
      <c r="DV122" t="e">
        <f>AND(DATA!Y717,"AAAAAH//6n0=")</f>
        <v>#VALUE!</v>
      </c>
      <c r="DW122">
        <f>IF(DATA!718:718,"AAAAAH//6n4=",0)</f>
        <v>0</v>
      </c>
      <c r="DX122" t="e">
        <f>AND(DATA!A718,"AAAAAH//6n8=")</f>
        <v>#VALUE!</v>
      </c>
      <c r="DY122" t="e">
        <f>AND(DATA!B718,"AAAAAH//6oA=")</f>
        <v>#VALUE!</v>
      </c>
      <c r="DZ122" t="e">
        <f>AND(DATA!C718,"AAAAAH//6oE=")</f>
        <v>#VALUE!</v>
      </c>
      <c r="EA122" t="e">
        <f>AND(DATA!D718,"AAAAAH//6oI=")</f>
        <v>#VALUE!</v>
      </c>
      <c r="EB122" t="e">
        <f>AND(DATA!E718,"AAAAAH//6oM=")</f>
        <v>#VALUE!</v>
      </c>
      <c r="EC122" t="e">
        <f>AND(DATA!F718,"AAAAAH//6oQ=")</f>
        <v>#VALUE!</v>
      </c>
      <c r="ED122" t="e">
        <f>AND(DATA!G718,"AAAAAH//6oU=")</f>
        <v>#VALUE!</v>
      </c>
      <c r="EE122" t="e">
        <f>AND(DATA!H718,"AAAAAH//6oY=")</f>
        <v>#VALUE!</v>
      </c>
      <c r="EF122" t="e">
        <f>AND(DATA!I718,"AAAAAH//6oc=")</f>
        <v>#VALUE!</v>
      </c>
      <c r="EG122" t="e">
        <f>AND(DATA!J718,"AAAAAH//6og=")</f>
        <v>#VALUE!</v>
      </c>
      <c r="EH122" t="e">
        <f>AND(DATA!K718,"AAAAAH//6ok=")</f>
        <v>#VALUE!</v>
      </c>
      <c r="EI122" t="b">
        <f>AND(DATA!L719,"AAAAAH//6oo=")</f>
        <v>1</v>
      </c>
      <c r="EJ122" t="b">
        <f>AND(DATA!M719,"AAAAAH//6os=")</f>
        <v>1</v>
      </c>
      <c r="EK122" t="b">
        <f>AND(DATA!N719,"AAAAAH//6ow=")</f>
        <v>1</v>
      </c>
      <c r="EL122" t="b">
        <f>AND(DATA!O719,"AAAAAH//6o0=")</f>
        <v>1</v>
      </c>
      <c r="EM122" t="b">
        <f>AND(DATA!P719,"AAAAAH//6o4=")</f>
        <v>1</v>
      </c>
      <c r="EN122" t="b">
        <f>AND(DATA!Q719,"AAAAAH//6o8=")</f>
        <v>1</v>
      </c>
      <c r="EO122" t="b">
        <f>AND(DATA!R719,"AAAAAH//6pA=")</f>
        <v>1</v>
      </c>
      <c r="EP122" t="b">
        <f>AND(DATA!S719,"AAAAAH//6pE=")</f>
        <v>1</v>
      </c>
      <c r="EQ122" t="b">
        <f>AND(DATA!T719,"AAAAAH//6pI=")</f>
        <v>1</v>
      </c>
      <c r="ER122" t="b">
        <f>AND(DATA!U719,"AAAAAH//6pM=")</f>
        <v>1</v>
      </c>
      <c r="ES122" t="b">
        <f>AND(DATA!V719,"AAAAAH//6pQ=")</f>
        <v>1</v>
      </c>
      <c r="ET122" t="e">
        <f>AND(DATA!W718,"AAAAAH//6pU=")</f>
        <v>#VALUE!</v>
      </c>
      <c r="EU122" t="e">
        <f>AND(DATA!X718,"AAAAAH//6pY=")</f>
        <v>#VALUE!</v>
      </c>
      <c r="EV122" t="e">
        <f>AND(DATA!Y718,"AAAAAH//6pc=")</f>
        <v>#VALUE!</v>
      </c>
      <c r="EW122">
        <f>IF(DATA!719:719,"AAAAAH//6pg=",0)</f>
        <v>0</v>
      </c>
      <c r="EX122" t="e">
        <f>AND(DATA!A719,"AAAAAH//6pk=")</f>
        <v>#VALUE!</v>
      </c>
      <c r="EY122" t="e">
        <f>AND(DATA!B719,"AAAAAH//6po=")</f>
        <v>#VALUE!</v>
      </c>
      <c r="EZ122" t="e">
        <f>AND(DATA!C719,"AAAAAH//6ps=")</f>
        <v>#VALUE!</v>
      </c>
      <c r="FA122" t="e">
        <f>AND(DATA!D719,"AAAAAH//6pw=")</f>
        <v>#VALUE!</v>
      </c>
      <c r="FB122" t="e">
        <f>AND(DATA!E719,"AAAAAH//6p0=")</f>
        <v>#VALUE!</v>
      </c>
      <c r="FC122" t="e">
        <f>AND(DATA!F719,"AAAAAH//6p4=")</f>
        <v>#VALUE!</v>
      </c>
      <c r="FD122" t="e">
        <f>AND(DATA!G719,"AAAAAH//6p8=")</f>
        <v>#VALUE!</v>
      </c>
      <c r="FE122" t="e">
        <f>AND(DATA!H719,"AAAAAH//6qA=")</f>
        <v>#VALUE!</v>
      </c>
      <c r="FF122" t="e">
        <f>AND(DATA!I719,"AAAAAH//6qE=")</f>
        <v>#VALUE!</v>
      </c>
      <c r="FG122" t="e">
        <f>AND(DATA!J719,"AAAAAH//6qI=")</f>
        <v>#VALUE!</v>
      </c>
      <c r="FH122" t="e">
        <f>AND(DATA!K719,"AAAAAH//6qM=")</f>
        <v>#VALUE!</v>
      </c>
      <c r="FI122" t="b">
        <f>AND(DATA!L720,"AAAAAH//6qQ=")</f>
        <v>1</v>
      </c>
      <c r="FJ122" t="b">
        <f>AND(DATA!M720,"AAAAAH//6qU=")</f>
        <v>1</v>
      </c>
      <c r="FK122" t="b">
        <f>AND(DATA!N720,"AAAAAH//6qY=")</f>
        <v>1</v>
      </c>
      <c r="FL122" t="b">
        <f>AND(DATA!O720,"AAAAAH//6qc=")</f>
        <v>1</v>
      </c>
      <c r="FM122" t="b">
        <f>AND(DATA!P720,"AAAAAH//6qg=")</f>
        <v>1</v>
      </c>
      <c r="FN122" t="b">
        <f>AND(DATA!Q720,"AAAAAH//6qk=")</f>
        <v>1</v>
      </c>
      <c r="FO122" t="b">
        <f>AND(DATA!R720,"AAAAAH//6qo=")</f>
        <v>1</v>
      </c>
      <c r="FP122" t="b">
        <f>AND(DATA!S720,"AAAAAH//6qs=")</f>
        <v>1</v>
      </c>
      <c r="FQ122" t="b">
        <f>AND(DATA!T720,"AAAAAH//6qw=")</f>
        <v>1</v>
      </c>
      <c r="FR122" t="b">
        <f>AND(DATA!U720,"AAAAAH//6q0=")</f>
        <v>1</v>
      </c>
      <c r="FS122" t="b">
        <f>AND(DATA!V720,"AAAAAH//6q4=")</f>
        <v>1</v>
      </c>
      <c r="FT122" t="e">
        <f>AND(DATA!W719,"AAAAAH//6q8=")</f>
        <v>#VALUE!</v>
      </c>
      <c r="FU122" t="e">
        <f>AND(DATA!X719,"AAAAAH//6rA=")</f>
        <v>#VALUE!</v>
      </c>
      <c r="FV122" t="e">
        <f>AND(DATA!Y719,"AAAAAH//6rE=")</f>
        <v>#VALUE!</v>
      </c>
      <c r="FW122">
        <f>IF(DATA!720:720,"AAAAAH//6rI=",0)</f>
        <v>0</v>
      </c>
      <c r="FX122" t="e">
        <f>AND(DATA!A720,"AAAAAH//6rM=")</f>
        <v>#VALUE!</v>
      </c>
      <c r="FY122" t="e">
        <f>AND(DATA!B720,"AAAAAH//6rQ=")</f>
        <v>#VALUE!</v>
      </c>
      <c r="FZ122" t="e">
        <f>AND(DATA!C720,"AAAAAH//6rU=")</f>
        <v>#VALUE!</v>
      </c>
      <c r="GA122" t="e">
        <f>AND(DATA!D720,"AAAAAH//6rY=")</f>
        <v>#VALUE!</v>
      </c>
      <c r="GB122" t="e">
        <f>AND(DATA!E720,"AAAAAH//6rc=")</f>
        <v>#VALUE!</v>
      </c>
      <c r="GC122" t="e">
        <f>AND(DATA!F720,"AAAAAH//6rg=")</f>
        <v>#VALUE!</v>
      </c>
      <c r="GD122" t="e">
        <f>AND(DATA!G720,"AAAAAH//6rk=")</f>
        <v>#VALUE!</v>
      </c>
      <c r="GE122" t="e">
        <f>AND(DATA!H720,"AAAAAH//6ro=")</f>
        <v>#VALUE!</v>
      </c>
      <c r="GF122" t="e">
        <f>AND(DATA!I720,"AAAAAH//6rs=")</f>
        <v>#VALUE!</v>
      </c>
      <c r="GG122" t="e">
        <f>AND(DATA!J720,"AAAAAH//6rw=")</f>
        <v>#VALUE!</v>
      </c>
      <c r="GH122" t="e">
        <f>AND(DATA!K720,"AAAAAH//6r0=")</f>
        <v>#VALUE!</v>
      </c>
      <c r="GI122" t="b">
        <f>AND(DATA!L721,"AAAAAH//6r4=")</f>
        <v>1</v>
      </c>
      <c r="GJ122" t="b">
        <f>AND(DATA!M721,"AAAAAH//6r8=")</f>
        <v>1</v>
      </c>
      <c r="GK122" t="b">
        <f>AND(DATA!N721,"AAAAAH//6sA=")</f>
        <v>1</v>
      </c>
      <c r="GL122" t="b">
        <f>AND(DATA!O721,"AAAAAH//6sE=")</f>
        <v>1</v>
      </c>
      <c r="GM122" t="b">
        <f>AND(DATA!P721,"AAAAAH//6sI=")</f>
        <v>1</v>
      </c>
      <c r="GN122" t="b">
        <f>AND(DATA!Q721,"AAAAAH//6sM=")</f>
        <v>1</v>
      </c>
      <c r="GO122" t="b">
        <f>AND(DATA!R721,"AAAAAH//6sQ=")</f>
        <v>1</v>
      </c>
      <c r="GP122" t="b">
        <f>AND(DATA!S721,"AAAAAH//6sU=")</f>
        <v>1</v>
      </c>
      <c r="GQ122" t="b">
        <f>AND(DATA!T721,"AAAAAH//6sY=")</f>
        <v>1</v>
      </c>
      <c r="GR122" t="b">
        <f>AND(DATA!U721,"AAAAAH//6sc=")</f>
        <v>1</v>
      </c>
      <c r="GS122" t="b">
        <f>AND(DATA!V721,"AAAAAH//6sg=")</f>
        <v>1</v>
      </c>
      <c r="GT122" t="e">
        <f>AND(DATA!W720,"AAAAAH//6sk=")</f>
        <v>#VALUE!</v>
      </c>
      <c r="GU122" t="e">
        <f>AND(DATA!X720,"AAAAAH//6so=")</f>
        <v>#VALUE!</v>
      </c>
      <c r="GV122" t="e">
        <f>AND(DATA!Y720,"AAAAAH//6ss=")</f>
        <v>#VALUE!</v>
      </c>
      <c r="GW122">
        <f>IF(DATA!721:721,"AAAAAH//6sw=",0)</f>
        <v>0</v>
      </c>
      <c r="GX122" t="e">
        <f>AND(DATA!A721,"AAAAAH//6s0=")</f>
        <v>#VALUE!</v>
      </c>
      <c r="GY122" t="e">
        <f>AND(DATA!B721,"AAAAAH//6s4=")</f>
        <v>#VALUE!</v>
      </c>
      <c r="GZ122" t="e">
        <f>AND(DATA!C721,"AAAAAH//6s8=")</f>
        <v>#VALUE!</v>
      </c>
      <c r="HA122" t="e">
        <f>AND(DATA!D721,"AAAAAH//6tA=")</f>
        <v>#VALUE!</v>
      </c>
      <c r="HB122" t="e">
        <f>AND(DATA!E721,"AAAAAH//6tE=")</f>
        <v>#VALUE!</v>
      </c>
      <c r="HC122" t="e">
        <f>AND(DATA!F721,"AAAAAH//6tI=")</f>
        <v>#VALUE!</v>
      </c>
      <c r="HD122" t="e">
        <f>AND(DATA!G721,"AAAAAH//6tM=")</f>
        <v>#VALUE!</v>
      </c>
      <c r="HE122" t="e">
        <f>AND(DATA!H721,"AAAAAH//6tQ=")</f>
        <v>#VALUE!</v>
      </c>
      <c r="HF122" t="e">
        <f>AND(DATA!I721,"AAAAAH//6tU=")</f>
        <v>#VALUE!</v>
      </c>
      <c r="HG122" t="e">
        <f>AND(DATA!J721,"AAAAAH//6tY=")</f>
        <v>#VALUE!</v>
      </c>
      <c r="HH122" t="e">
        <f>AND(DATA!K721,"AAAAAH//6tc=")</f>
        <v>#VALUE!</v>
      </c>
      <c r="HI122" t="b">
        <f>AND(DATA!L722,"AAAAAH//6tg=")</f>
        <v>1</v>
      </c>
      <c r="HJ122" t="b">
        <f>AND(DATA!M722,"AAAAAH//6tk=")</f>
        <v>1</v>
      </c>
      <c r="HK122" t="b">
        <f>AND(DATA!N722,"AAAAAH//6to=")</f>
        <v>1</v>
      </c>
      <c r="HL122" t="b">
        <f>AND(DATA!O722,"AAAAAH//6ts=")</f>
        <v>1</v>
      </c>
      <c r="HM122" t="b">
        <f>AND(DATA!P722,"AAAAAH//6tw=")</f>
        <v>1</v>
      </c>
      <c r="HN122" t="b">
        <f>AND(DATA!Q722,"AAAAAH//6t0=")</f>
        <v>1</v>
      </c>
      <c r="HO122" t="b">
        <f>AND(DATA!R722,"AAAAAH//6t4=")</f>
        <v>1</v>
      </c>
      <c r="HP122" t="b">
        <f>AND(DATA!S722,"AAAAAH//6t8=")</f>
        <v>1</v>
      </c>
      <c r="HQ122" t="b">
        <f>AND(DATA!T722,"AAAAAH//6uA=")</f>
        <v>1</v>
      </c>
      <c r="HR122" t="b">
        <f>AND(DATA!U722,"AAAAAH//6uE=")</f>
        <v>1</v>
      </c>
      <c r="HS122" t="b">
        <f>AND(DATA!V722,"AAAAAH//6uI=")</f>
        <v>1</v>
      </c>
      <c r="HT122" t="e">
        <f>AND(DATA!W721,"AAAAAH//6uM=")</f>
        <v>#VALUE!</v>
      </c>
      <c r="HU122" t="e">
        <f>AND(DATA!X721,"AAAAAH//6uQ=")</f>
        <v>#VALUE!</v>
      </c>
      <c r="HV122" t="e">
        <f>AND(DATA!Y721,"AAAAAH//6uU=")</f>
        <v>#VALUE!</v>
      </c>
      <c r="HW122">
        <f>IF(DATA!722:722,"AAAAAH//6uY=",0)</f>
        <v>0</v>
      </c>
      <c r="HX122" t="e">
        <f>AND(DATA!A722,"AAAAAH//6uc=")</f>
        <v>#VALUE!</v>
      </c>
      <c r="HY122" t="e">
        <f>AND(DATA!B722,"AAAAAH//6ug=")</f>
        <v>#VALUE!</v>
      </c>
      <c r="HZ122" t="e">
        <f>AND(DATA!C722,"AAAAAH//6uk=")</f>
        <v>#VALUE!</v>
      </c>
      <c r="IA122" t="e">
        <f>AND(DATA!D722,"AAAAAH//6uo=")</f>
        <v>#VALUE!</v>
      </c>
      <c r="IB122" t="e">
        <f>AND(DATA!E722,"AAAAAH//6us=")</f>
        <v>#VALUE!</v>
      </c>
      <c r="IC122" t="e">
        <f>AND(DATA!F722,"AAAAAH//6uw=")</f>
        <v>#VALUE!</v>
      </c>
      <c r="ID122" t="e">
        <f>AND(DATA!G722,"AAAAAH//6u0=")</f>
        <v>#VALUE!</v>
      </c>
      <c r="IE122" t="e">
        <f>AND(DATA!H722,"AAAAAH//6u4=")</f>
        <v>#VALUE!</v>
      </c>
      <c r="IF122" t="e">
        <f>AND(DATA!I722,"AAAAAH//6u8=")</f>
        <v>#VALUE!</v>
      </c>
      <c r="IG122" t="e">
        <f>AND(DATA!J722,"AAAAAH//6vA=")</f>
        <v>#VALUE!</v>
      </c>
      <c r="IH122" t="e">
        <f>AND(DATA!K722,"AAAAAH//6vE=")</f>
        <v>#VALUE!</v>
      </c>
      <c r="II122" t="b">
        <f>AND(DATA!L723,"AAAAAH//6vI=")</f>
        <v>1</v>
      </c>
      <c r="IJ122" t="b">
        <f>AND(DATA!M723,"AAAAAH//6vM=")</f>
        <v>1</v>
      </c>
      <c r="IK122" t="b">
        <f>AND(DATA!N723,"AAAAAH//6vQ=")</f>
        <v>1</v>
      </c>
      <c r="IL122" t="b">
        <f>AND(DATA!O723,"AAAAAH//6vU=")</f>
        <v>1</v>
      </c>
      <c r="IM122" t="b">
        <f>AND(DATA!P723,"AAAAAH//6vY=")</f>
        <v>1</v>
      </c>
      <c r="IN122" t="b">
        <f>AND(DATA!Q723,"AAAAAH//6vc=")</f>
        <v>1</v>
      </c>
      <c r="IO122" t="b">
        <f>AND(DATA!R723,"AAAAAH//6vg=")</f>
        <v>1</v>
      </c>
      <c r="IP122" t="b">
        <f>AND(DATA!S723,"AAAAAH//6vk=")</f>
        <v>1</v>
      </c>
      <c r="IQ122" t="b">
        <f>AND(DATA!T723,"AAAAAH//6vo=")</f>
        <v>1</v>
      </c>
      <c r="IR122" t="b">
        <f>AND(DATA!U723,"AAAAAH//6vs=")</f>
        <v>1</v>
      </c>
      <c r="IS122" t="b">
        <f>AND(DATA!V723,"AAAAAH//6vw=")</f>
        <v>1</v>
      </c>
      <c r="IT122" t="e">
        <f>AND(DATA!W722,"AAAAAH//6v0=")</f>
        <v>#VALUE!</v>
      </c>
      <c r="IU122" t="e">
        <f>AND(DATA!X722,"AAAAAH//6v4=")</f>
        <v>#VALUE!</v>
      </c>
      <c r="IV122" t="e">
        <f>AND(DATA!Y722,"AAAAAH//6v8=")</f>
        <v>#VALUE!</v>
      </c>
    </row>
    <row r="123" spans="1:256" x14ac:dyDescent="0.25">
      <c r="A123">
        <f>IF(DATA!723:723,"AAAAAFz2/wA=",0)</f>
        <v>0</v>
      </c>
      <c r="B123" t="e">
        <f>AND(DATA!A723,"AAAAAFz2/wE=")</f>
        <v>#VALUE!</v>
      </c>
      <c r="C123" t="e">
        <f>AND(DATA!B723,"AAAAAFz2/wI=")</f>
        <v>#VALUE!</v>
      </c>
      <c r="D123" t="e">
        <f>AND(DATA!C723,"AAAAAFz2/wM=")</f>
        <v>#VALUE!</v>
      </c>
      <c r="E123" t="e">
        <f>AND(DATA!D723,"AAAAAFz2/wQ=")</f>
        <v>#VALUE!</v>
      </c>
      <c r="F123" t="e">
        <f>AND(DATA!E723,"AAAAAFz2/wU=")</f>
        <v>#VALUE!</v>
      </c>
      <c r="G123" t="e">
        <f>AND(DATA!F723,"AAAAAFz2/wY=")</f>
        <v>#VALUE!</v>
      </c>
      <c r="H123" t="e">
        <f>AND(DATA!G723,"AAAAAFz2/wc=")</f>
        <v>#VALUE!</v>
      </c>
      <c r="I123" t="e">
        <f>AND(DATA!H723,"AAAAAFz2/wg=")</f>
        <v>#VALUE!</v>
      </c>
      <c r="J123" t="e">
        <f>AND(DATA!I723,"AAAAAFz2/wk=")</f>
        <v>#VALUE!</v>
      </c>
      <c r="K123" t="e">
        <f>AND(DATA!J723,"AAAAAFz2/wo=")</f>
        <v>#VALUE!</v>
      </c>
      <c r="L123" t="e">
        <f>AND(DATA!K723,"AAAAAFz2/ws=")</f>
        <v>#VALUE!</v>
      </c>
      <c r="M123" t="b">
        <f>AND(DATA!L724,"AAAAAFz2/ww=")</f>
        <v>1</v>
      </c>
      <c r="N123" t="b">
        <f>AND(DATA!M724,"AAAAAFz2/w0=")</f>
        <v>1</v>
      </c>
      <c r="O123" t="b">
        <f>AND(DATA!N724,"AAAAAFz2/w4=")</f>
        <v>1</v>
      </c>
      <c r="P123" t="b">
        <f>AND(DATA!O724,"AAAAAFz2/w8=")</f>
        <v>1</v>
      </c>
      <c r="Q123" t="b">
        <f>AND(DATA!P724,"AAAAAFz2/xA=")</f>
        <v>1</v>
      </c>
      <c r="R123" t="b">
        <f>AND(DATA!Q724,"AAAAAFz2/xE=")</f>
        <v>1</v>
      </c>
      <c r="S123" t="b">
        <f>AND(DATA!R724,"AAAAAFz2/xI=")</f>
        <v>1</v>
      </c>
      <c r="T123" t="b">
        <f>AND(DATA!S724,"AAAAAFz2/xM=")</f>
        <v>1</v>
      </c>
      <c r="U123" t="b">
        <f>AND(DATA!T724,"AAAAAFz2/xQ=")</f>
        <v>1</v>
      </c>
      <c r="V123" t="b">
        <f>AND(DATA!U724,"AAAAAFz2/xU=")</f>
        <v>1</v>
      </c>
      <c r="W123" t="b">
        <f>AND(DATA!V724,"AAAAAFz2/xY=")</f>
        <v>1</v>
      </c>
      <c r="X123" t="e">
        <f>AND(DATA!W723,"AAAAAFz2/xc=")</f>
        <v>#VALUE!</v>
      </c>
      <c r="Y123" t="e">
        <f>AND(DATA!X723,"AAAAAFz2/xg=")</f>
        <v>#VALUE!</v>
      </c>
      <c r="Z123" t="e">
        <f>AND(DATA!Y723,"AAAAAFz2/xk=")</f>
        <v>#VALUE!</v>
      </c>
      <c r="AA123">
        <f>IF(DATA!724:724,"AAAAAFz2/xo=",0)</f>
        <v>0</v>
      </c>
      <c r="AB123" t="e">
        <f>AND(DATA!A724,"AAAAAFz2/xs=")</f>
        <v>#VALUE!</v>
      </c>
      <c r="AC123" t="e">
        <f>AND(DATA!B724,"AAAAAFz2/xw=")</f>
        <v>#VALUE!</v>
      </c>
      <c r="AD123" t="e">
        <f>AND(DATA!C724,"AAAAAFz2/x0=")</f>
        <v>#VALUE!</v>
      </c>
      <c r="AE123" t="e">
        <f>AND(DATA!D724,"AAAAAFz2/x4=")</f>
        <v>#VALUE!</v>
      </c>
      <c r="AF123" t="e">
        <f>AND(DATA!E724,"AAAAAFz2/x8=")</f>
        <v>#VALUE!</v>
      </c>
      <c r="AG123" t="e">
        <f>AND(DATA!F724,"AAAAAFz2/yA=")</f>
        <v>#VALUE!</v>
      </c>
      <c r="AH123" t="e">
        <f>AND(DATA!G724,"AAAAAFz2/yE=")</f>
        <v>#VALUE!</v>
      </c>
      <c r="AI123" t="e">
        <f>AND(DATA!H724,"AAAAAFz2/yI=")</f>
        <v>#VALUE!</v>
      </c>
      <c r="AJ123" t="e">
        <f>AND(DATA!I724,"AAAAAFz2/yM=")</f>
        <v>#VALUE!</v>
      </c>
      <c r="AK123" t="e">
        <f>AND(DATA!J724,"AAAAAFz2/yQ=")</f>
        <v>#VALUE!</v>
      </c>
      <c r="AL123" t="e">
        <f>AND(DATA!K724,"AAAAAFz2/yU=")</f>
        <v>#VALUE!</v>
      </c>
      <c r="AM123" t="b">
        <f>AND(DATA!L725,"AAAAAFz2/yY=")</f>
        <v>1</v>
      </c>
      <c r="AN123" t="b">
        <f>AND(DATA!M725,"AAAAAFz2/yc=")</f>
        <v>1</v>
      </c>
      <c r="AO123" t="b">
        <f>AND(DATA!N725,"AAAAAFz2/yg=")</f>
        <v>1</v>
      </c>
      <c r="AP123" t="b">
        <f>AND(DATA!O725,"AAAAAFz2/yk=")</f>
        <v>1</v>
      </c>
      <c r="AQ123" t="b">
        <f>AND(DATA!P725,"AAAAAFz2/yo=")</f>
        <v>1</v>
      </c>
      <c r="AR123" t="b">
        <f>AND(DATA!Q725,"AAAAAFz2/ys=")</f>
        <v>1</v>
      </c>
      <c r="AS123" t="b">
        <f>AND(DATA!R725,"AAAAAFz2/yw=")</f>
        <v>1</v>
      </c>
      <c r="AT123" t="b">
        <f>AND(DATA!S725,"AAAAAFz2/y0=")</f>
        <v>1</v>
      </c>
      <c r="AU123" t="b">
        <f>AND(DATA!T725,"AAAAAFz2/y4=")</f>
        <v>1</v>
      </c>
      <c r="AV123" t="b">
        <f>AND(DATA!U725,"AAAAAFz2/y8=")</f>
        <v>1</v>
      </c>
      <c r="AW123" t="b">
        <f>AND(DATA!V725,"AAAAAFz2/zA=")</f>
        <v>1</v>
      </c>
      <c r="AX123" t="e">
        <f>AND(DATA!W724,"AAAAAFz2/zE=")</f>
        <v>#VALUE!</v>
      </c>
      <c r="AY123" t="e">
        <f>AND(DATA!X724,"AAAAAFz2/zI=")</f>
        <v>#VALUE!</v>
      </c>
      <c r="AZ123" t="e">
        <f>AND(DATA!Y724,"AAAAAFz2/zM=")</f>
        <v>#VALUE!</v>
      </c>
      <c r="BA123">
        <f>IF(DATA!725:725,"AAAAAFz2/zQ=",0)</f>
        <v>0</v>
      </c>
      <c r="BB123" t="e">
        <f>AND(DATA!A725,"AAAAAFz2/zU=")</f>
        <v>#VALUE!</v>
      </c>
      <c r="BC123" t="e">
        <f>AND(DATA!B725,"AAAAAFz2/zY=")</f>
        <v>#VALUE!</v>
      </c>
      <c r="BD123" t="e">
        <f>AND(DATA!C725,"AAAAAFz2/zc=")</f>
        <v>#VALUE!</v>
      </c>
      <c r="BE123" t="e">
        <f>AND(DATA!D725,"AAAAAFz2/zg=")</f>
        <v>#VALUE!</v>
      </c>
      <c r="BF123" t="e">
        <f>AND(DATA!E725,"AAAAAFz2/zk=")</f>
        <v>#VALUE!</v>
      </c>
      <c r="BG123" t="e">
        <f>AND(DATA!F725,"AAAAAFz2/zo=")</f>
        <v>#VALUE!</v>
      </c>
      <c r="BH123" t="e">
        <f>AND(DATA!G725,"AAAAAFz2/zs=")</f>
        <v>#VALUE!</v>
      </c>
      <c r="BI123" t="e">
        <f>AND(DATA!H725,"AAAAAFz2/zw=")</f>
        <v>#VALUE!</v>
      </c>
      <c r="BJ123" t="e">
        <f>AND(DATA!I725,"AAAAAFz2/z0=")</f>
        <v>#VALUE!</v>
      </c>
      <c r="BK123" t="e">
        <f>AND(DATA!J725,"AAAAAFz2/z4=")</f>
        <v>#VALUE!</v>
      </c>
      <c r="BL123" t="e">
        <f>AND(DATA!K725,"AAAAAFz2/z8=")</f>
        <v>#VALUE!</v>
      </c>
      <c r="BM123" t="b">
        <f>AND(DATA!L726,"AAAAAFz2/0A=")</f>
        <v>1</v>
      </c>
      <c r="BN123" t="b">
        <f>AND(DATA!M726,"AAAAAFz2/0E=")</f>
        <v>1</v>
      </c>
      <c r="BO123" t="b">
        <f>AND(DATA!N726,"AAAAAFz2/0I=")</f>
        <v>1</v>
      </c>
      <c r="BP123" t="b">
        <f>AND(DATA!O726,"AAAAAFz2/0M=")</f>
        <v>1</v>
      </c>
      <c r="BQ123" t="b">
        <f>AND(DATA!P726,"AAAAAFz2/0Q=")</f>
        <v>1</v>
      </c>
      <c r="BR123" t="b">
        <f>AND(DATA!Q726,"AAAAAFz2/0U=")</f>
        <v>1</v>
      </c>
      <c r="BS123" t="b">
        <f>AND(DATA!R726,"AAAAAFz2/0Y=")</f>
        <v>1</v>
      </c>
      <c r="BT123" t="b">
        <f>AND(DATA!S726,"AAAAAFz2/0c=")</f>
        <v>1</v>
      </c>
      <c r="BU123" t="b">
        <f>AND(DATA!T726,"AAAAAFz2/0g=")</f>
        <v>1</v>
      </c>
      <c r="BV123" t="b">
        <f>AND(DATA!U726,"AAAAAFz2/0k=")</f>
        <v>1</v>
      </c>
      <c r="BW123" t="b">
        <f>AND(DATA!V726,"AAAAAFz2/0o=")</f>
        <v>1</v>
      </c>
      <c r="BX123" t="e">
        <f>AND(DATA!W725,"AAAAAFz2/0s=")</f>
        <v>#VALUE!</v>
      </c>
      <c r="BY123" t="e">
        <f>AND(DATA!X725,"AAAAAFz2/0w=")</f>
        <v>#VALUE!</v>
      </c>
      <c r="BZ123" t="e">
        <f>AND(DATA!Y725,"AAAAAFz2/00=")</f>
        <v>#VALUE!</v>
      </c>
      <c r="CA123">
        <f>IF(DATA!726:726,"AAAAAFz2/04=",0)</f>
        <v>0</v>
      </c>
      <c r="CB123" t="e">
        <f>AND(DATA!A726,"AAAAAFz2/08=")</f>
        <v>#VALUE!</v>
      </c>
      <c r="CC123" t="e">
        <f>AND(DATA!B726,"AAAAAFz2/1A=")</f>
        <v>#VALUE!</v>
      </c>
      <c r="CD123" t="e">
        <f>AND(DATA!C726,"AAAAAFz2/1E=")</f>
        <v>#VALUE!</v>
      </c>
      <c r="CE123" t="e">
        <f>AND(DATA!D726,"AAAAAFz2/1I=")</f>
        <v>#VALUE!</v>
      </c>
      <c r="CF123" t="e">
        <f>AND(DATA!E726,"AAAAAFz2/1M=")</f>
        <v>#VALUE!</v>
      </c>
      <c r="CG123" t="e">
        <f>AND(DATA!F726,"AAAAAFz2/1Q=")</f>
        <v>#VALUE!</v>
      </c>
      <c r="CH123" t="e">
        <f>AND(DATA!G726,"AAAAAFz2/1U=")</f>
        <v>#VALUE!</v>
      </c>
      <c r="CI123" t="e">
        <f>AND(DATA!H726,"AAAAAFz2/1Y=")</f>
        <v>#VALUE!</v>
      </c>
      <c r="CJ123" t="e">
        <f>AND(DATA!I726,"AAAAAFz2/1c=")</f>
        <v>#VALUE!</v>
      </c>
      <c r="CK123" t="e">
        <f>AND(DATA!J726,"AAAAAFz2/1g=")</f>
        <v>#VALUE!</v>
      </c>
      <c r="CL123" t="e">
        <f>AND(DATA!K726,"AAAAAFz2/1k=")</f>
        <v>#VALUE!</v>
      </c>
      <c r="CM123" t="b">
        <f>AND(DATA!L727,"AAAAAFz2/1o=")</f>
        <v>1</v>
      </c>
      <c r="CN123" t="b">
        <f>AND(DATA!M727,"AAAAAFz2/1s=")</f>
        <v>1</v>
      </c>
      <c r="CO123" t="b">
        <f>AND(DATA!N727,"AAAAAFz2/1w=")</f>
        <v>1</v>
      </c>
      <c r="CP123" t="b">
        <f>AND(DATA!O727,"AAAAAFz2/10=")</f>
        <v>1</v>
      </c>
      <c r="CQ123" t="b">
        <f>AND(DATA!P727,"AAAAAFz2/14=")</f>
        <v>1</v>
      </c>
      <c r="CR123" t="b">
        <f>AND(DATA!Q727,"AAAAAFz2/18=")</f>
        <v>1</v>
      </c>
      <c r="CS123" t="b">
        <f>AND(DATA!R727,"AAAAAFz2/2A=")</f>
        <v>1</v>
      </c>
      <c r="CT123" t="b">
        <f>AND(DATA!S727,"AAAAAFz2/2E=")</f>
        <v>1</v>
      </c>
      <c r="CU123" t="b">
        <f>AND(DATA!T727,"AAAAAFz2/2I=")</f>
        <v>1</v>
      </c>
      <c r="CV123" t="b">
        <f>AND(DATA!U727,"AAAAAFz2/2M=")</f>
        <v>1</v>
      </c>
      <c r="CW123" t="b">
        <f>AND(DATA!V727,"AAAAAFz2/2Q=")</f>
        <v>1</v>
      </c>
      <c r="CX123" t="e">
        <f>AND(DATA!W726,"AAAAAFz2/2U=")</f>
        <v>#VALUE!</v>
      </c>
      <c r="CY123" t="e">
        <f>AND(DATA!X726,"AAAAAFz2/2Y=")</f>
        <v>#VALUE!</v>
      </c>
      <c r="CZ123" t="e">
        <f>AND(DATA!Y726,"AAAAAFz2/2c=")</f>
        <v>#VALUE!</v>
      </c>
      <c r="DA123">
        <f>IF(DATA!727:727,"AAAAAFz2/2g=",0)</f>
        <v>0</v>
      </c>
      <c r="DB123" t="e">
        <f>AND(DATA!A727,"AAAAAFz2/2k=")</f>
        <v>#VALUE!</v>
      </c>
      <c r="DC123" t="e">
        <f>AND(DATA!B727,"AAAAAFz2/2o=")</f>
        <v>#VALUE!</v>
      </c>
      <c r="DD123" t="e">
        <f>AND(DATA!C727,"AAAAAFz2/2s=")</f>
        <v>#VALUE!</v>
      </c>
      <c r="DE123" t="e">
        <f>AND(DATA!D727,"AAAAAFz2/2w=")</f>
        <v>#VALUE!</v>
      </c>
      <c r="DF123" t="e">
        <f>AND(DATA!E727,"AAAAAFz2/20=")</f>
        <v>#VALUE!</v>
      </c>
      <c r="DG123" t="e">
        <f>AND(DATA!F727,"AAAAAFz2/24=")</f>
        <v>#VALUE!</v>
      </c>
      <c r="DH123" t="e">
        <f>AND(DATA!G727,"AAAAAFz2/28=")</f>
        <v>#VALUE!</v>
      </c>
      <c r="DI123" t="e">
        <f>AND(DATA!H727,"AAAAAFz2/3A=")</f>
        <v>#VALUE!</v>
      </c>
      <c r="DJ123" t="e">
        <f>AND(DATA!I727,"AAAAAFz2/3E=")</f>
        <v>#VALUE!</v>
      </c>
      <c r="DK123" t="e">
        <f>AND(DATA!J727,"AAAAAFz2/3I=")</f>
        <v>#VALUE!</v>
      </c>
      <c r="DL123" t="e">
        <f>AND(DATA!K727,"AAAAAFz2/3M=")</f>
        <v>#VALUE!</v>
      </c>
      <c r="DM123" t="b">
        <f>AND(DATA!L728,"AAAAAFz2/3Q=")</f>
        <v>1</v>
      </c>
      <c r="DN123" t="b">
        <f>AND(DATA!M728,"AAAAAFz2/3U=")</f>
        <v>1</v>
      </c>
      <c r="DO123" t="b">
        <f>AND(DATA!N728,"AAAAAFz2/3Y=")</f>
        <v>1</v>
      </c>
      <c r="DP123" t="b">
        <f>AND(DATA!O728,"AAAAAFz2/3c=")</f>
        <v>1</v>
      </c>
      <c r="DQ123" t="b">
        <f>AND(DATA!P728,"AAAAAFz2/3g=")</f>
        <v>1</v>
      </c>
      <c r="DR123" t="b">
        <f>AND(DATA!Q728,"AAAAAFz2/3k=")</f>
        <v>1</v>
      </c>
      <c r="DS123" t="b">
        <f>AND(DATA!R728,"AAAAAFz2/3o=")</f>
        <v>1</v>
      </c>
      <c r="DT123" t="b">
        <f>AND(DATA!S728,"AAAAAFz2/3s=")</f>
        <v>1</v>
      </c>
      <c r="DU123" t="b">
        <f>AND(DATA!T728,"AAAAAFz2/3w=")</f>
        <v>1</v>
      </c>
      <c r="DV123" t="b">
        <f>AND(DATA!U728,"AAAAAFz2/30=")</f>
        <v>1</v>
      </c>
      <c r="DW123" t="b">
        <f>AND(DATA!V728,"AAAAAFz2/34=")</f>
        <v>1</v>
      </c>
      <c r="DX123" t="e">
        <f>AND(DATA!W727,"AAAAAFz2/38=")</f>
        <v>#VALUE!</v>
      </c>
      <c r="DY123" t="e">
        <f>AND(DATA!X727,"AAAAAFz2/4A=")</f>
        <v>#VALUE!</v>
      </c>
      <c r="DZ123" t="e">
        <f>AND(DATA!Y727,"AAAAAFz2/4E=")</f>
        <v>#VALUE!</v>
      </c>
      <c r="EA123">
        <f>IF(DATA!728:728,"AAAAAFz2/4I=",0)</f>
        <v>0</v>
      </c>
      <c r="EB123" t="e">
        <f>AND(DATA!A728,"AAAAAFz2/4M=")</f>
        <v>#VALUE!</v>
      </c>
      <c r="EC123" t="e">
        <f>AND(DATA!B728,"AAAAAFz2/4Q=")</f>
        <v>#VALUE!</v>
      </c>
      <c r="ED123" t="e">
        <f>AND(DATA!C728,"AAAAAFz2/4U=")</f>
        <v>#VALUE!</v>
      </c>
      <c r="EE123" t="e">
        <f>AND(DATA!D728,"AAAAAFz2/4Y=")</f>
        <v>#VALUE!</v>
      </c>
      <c r="EF123" t="e">
        <f>AND(DATA!E728,"AAAAAFz2/4c=")</f>
        <v>#VALUE!</v>
      </c>
      <c r="EG123" t="e">
        <f>AND(DATA!F728,"AAAAAFz2/4g=")</f>
        <v>#VALUE!</v>
      </c>
      <c r="EH123" t="e">
        <f>AND(DATA!G728,"AAAAAFz2/4k=")</f>
        <v>#VALUE!</v>
      </c>
      <c r="EI123" t="e">
        <f>AND(DATA!H728,"AAAAAFz2/4o=")</f>
        <v>#VALUE!</v>
      </c>
      <c r="EJ123" t="e">
        <f>AND(DATA!I728,"AAAAAFz2/4s=")</f>
        <v>#VALUE!</v>
      </c>
      <c r="EK123" t="e">
        <f>AND(DATA!J728,"AAAAAFz2/4w=")</f>
        <v>#VALUE!</v>
      </c>
      <c r="EL123" t="e">
        <f>AND(DATA!K728,"AAAAAFz2/40=")</f>
        <v>#VALUE!</v>
      </c>
      <c r="EM123" t="b">
        <f>AND(DATA!L729,"AAAAAFz2/44=")</f>
        <v>1</v>
      </c>
      <c r="EN123" t="b">
        <f>AND(DATA!M729,"AAAAAFz2/48=")</f>
        <v>1</v>
      </c>
      <c r="EO123" t="b">
        <f>AND(DATA!N729,"AAAAAFz2/5A=")</f>
        <v>1</v>
      </c>
      <c r="EP123" t="b">
        <f>AND(DATA!O729,"AAAAAFz2/5E=")</f>
        <v>1</v>
      </c>
      <c r="EQ123" t="b">
        <f>AND(DATA!P729,"AAAAAFz2/5I=")</f>
        <v>1</v>
      </c>
      <c r="ER123" t="b">
        <f>AND(DATA!Q729,"AAAAAFz2/5M=")</f>
        <v>1</v>
      </c>
      <c r="ES123" t="b">
        <f>AND(DATA!R729,"AAAAAFz2/5Q=")</f>
        <v>1</v>
      </c>
      <c r="ET123" t="b">
        <f>AND(DATA!S729,"AAAAAFz2/5U=")</f>
        <v>1</v>
      </c>
      <c r="EU123" t="b">
        <f>AND(DATA!T729,"AAAAAFz2/5Y=")</f>
        <v>1</v>
      </c>
      <c r="EV123" t="b">
        <f>AND(DATA!U729,"AAAAAFz2/5c=")</f>
        <v>1</v>
      </c>
      <c r="EW123" t="b">
        <f>AND(DATA!V729,"AAAAAFz2/5g=")</f>
        <v>1</v>
      </c>
      <c r="EX123" t="e">
        <f>AND(DATA!W728,"AAAAAFz2/5k=")</f>
        <v>#VALUE!</v>
      </c>
      <c r="EY123" t="e">
        <f>AND(DATA!X728,"AAAAAFz2/5o=")</f>
        <v>#VALUE!</v>
      </c>
      <c r="EZ123" t="e">
        <f>AND(DATA!Y728,"AAAAAFz2/5s=")</f>
        <v>#VALUE!</v>
      </c>
      <c r="FA123">
        <f>IF(DATA!729:729,"AAAAAFz2/5w=",0)</f>
        <v>0</v>
      </c>
      <c r="FB123" t="e">
        <f>AND(DATA!A729,"AAAAAFz2/50=")</f>
        <v>#VALUE!</v>
      </c>
      <c r="FC123" t="e">
        <f>AND(DATA!B729,"AAAAAFz2/54=")</f>
        <v>#VALUE!</v>
      </c>
      <c r="FD123" t="e">
        <f>AND(DATA!C729,"AAAAAFz2/58=")</f>
        <v>#VALUE!</v>
      </c>
      <c r="FE123" t="e">
        <f>AND(DATA!D729,"AAAAAFz2/6A=")</f>
        <v>#VALUE!</v>
      </c>
      <c r="FF123" t="e">
        <f>AND(DATA!E729,"AAAAAFz2/6E=")</f>
        <v>#VALUE!</v>
      </c>
      <c r="FG123" t="e">
        <f>AND(DATA!F729,"AAAAAFz2/6I=")</f>
        <v>#VALUE!</v>
      </c>
      <c r="FH123" t="e">
        <f>AND(DATA!G729,"AAAAAFz2/6M=")</f>
        <v>#VALUE!</v>
      </c>
      <c r="FI123" t="e">
        <f>AND(DATA!H729,"AAAAAFz2/6Q=")</f>
        <v>#VALUE!</v>
      </c>
      <c r="FJ123" t="e">
        <f>AND(DATA!I729,"AAAAAFz2/6U=")</f>
        <v>#VALUE!</v>
      </c>
      <c r="FK123" t="e">
        <f>AND(DATA!J729,"AAAAAFz2/6Y=")</f>
        <v>#VALUE!</v>
      </c>
      <c r="FL123" t="e">
        <f>AND(DATA!K729,"AAAAAFz2/6c=")</f>
        <v>#VALUE!</v>
      </c>
      <c r="FM123" t="b">
        <f>AND(DATA!L730,"AAAAAFz2/6g=")</f>
        <v>1</v>
      </c>
      <c r="FN123" t="b">
        <f>AND(DATA!M730,"AAAAAFz2/6k=")</f>
        <v>1</v>
      </c>
      <c r="FO123" t="b">
        <f>AND(DATA!N730,"AAAAAFz2/6o=")</f>
        <v>1</v>
      </c>
      <c r="FP123" t="b">
        <f>AND(DATA!O730,"AAAAAFz2/6s=")</f>
        <v>1</v>
      </c>
      <c r="FQ123" t="b">
        <f>AND(DATA!P730,"AAAAAFz2/6w=")</f>
        <v>1</v>
      </c>
      <c r="FR123" t="b">
        <f>AND(DATA!Q730,"AAAAAFz2/60=")</f>
        <v>1</v>
      </c>
      <c r="FS123" t="b">
        <f>AND(DATA!R730,"AAAAAFz2/64=")</f>
        <v>1</v>
      </c>
      <c r="FT123" t="b">
        <f>AND(DATA!S730,"AAAAAFz2/68=")</f>
        <v>1</v>
      </c>
      <c r="FU123" t="b">
        <f>AND(DATA!T730,"AAAAAFz2/7A=")</f>
        <v>1</v>
      </c>
      <c r="FV123" t="b">
        <f>AND(DATA!U730,"AAAAAFz2/7E=")</f>
        <v>1</v>
      </c>
      <c r="FW123" t="b">
        <f>AND(DATA!V730,"AAAAAFz2/7I=")</f>
        <v>1</v>
      </c>
      <c r="FX123" t="e">
        <f>AND(DATA!W729,"AAAAAFz2/7M=")</f>
        <v>#VALUE!</v>
      </c>
      <c r="FY123" t="e">
        <f>AND(DATA!X729,"AAAAAFz2/7Q=")</f>
        <v>#VALUE!</v>
      </c>
      <c r="FZ123" t="e">
        <f>AND(DATA!Y729,"AAAAAFz2/7U=")</f>
        <v>#VALUE!</v>
      </c>
      <c r="GA123">
        <f>IF(DATA!730:730,"AAAAAFz2/7Y=",0)</f>
        <v>0</v>
      </c>
      <c r="GB123" t="e">
        <f>AND(DATA!A730,"AAAAAFz2/7c=")</f>
        <v>#VALUE!</v>
      </c>
      <c r="GC123" t="e">
        <f>AND(DATA!B730,"AAAAAFz2/7g=")</f>
        <v>#VALUE!</v>
      </c>
      <c r="GD123" t="e">
        <f>AND(DATA!C730,"AAAAAFz2/7k=")</f>
        <v>#VALUE!</v>
      </c>
      <c r="GE123" t="e">
        <f>AND(DATA!D730,"AAAAAFz2/7o=")</f>
        <v>#VALUE!</v>
      </c>
      <c r="GF123" t="e">
        <f>AND(DATA!E730,"AAAAAFz2/7s=")</f>
        <v>#VALUE!</v>
      </c>
      <c r="GG123" t="e">
        <f>AND(DATA!F730,"AAAAAFz2/7w=")</f>
        <v>#VALUE!</v>
      </c>
      <c r="GH123" t="e">
        <f>AND(DATA!G730,"AAAAAFz2/70=")</f>
        <v>#VALUE!</v>
      </c>
      <c r="GI123" t="e">
        <f>AND(DATA!H730,"AAAAAFz2/74=")</f>
        <v>#VALUE!</v>
      </c>
      <c r="GJ123" t="e">
        <f>AND(DATA!I730,"AAAAAFz2/78=")</f>
        <v>#VALUE!</v>
      </c>
      <c r="GK123" t="e">
        <f>AND(DATA!J730,"AAAAAFz2/8A=")</f>
        <v>#VALUE!</v>
      </c>
      <c r="GL123" t="e">
        <f>AND(DATA!K730,"AAAAAFz2/8E=")</f>
        <v>#VALUE!</v>
      </c>
      <c r="GM123" t="b">
        <f>AND(DATA!L731,"AAAAAFz2/8I=")</f>
        <v>1</v>
      </c>
      <c r="GN123" t="b">
        <f>AND(DATA!M731,"AAAAAFz2/8M=")</f>
        <v>1</v>
      </c>
      <c r="GO123" t="b">
        <f>AND(DATA!N731,"AAAAAFz2/8Q=")</f>
        <v>1</v>
      </c>
      <c r="GP123" t="b">
        <f>AND(DATA!O731,"AAAAAFz2/8U=")</f>
        <v>1</v>
      </c>
      <c r="GQ123" t="b">
        <f>AND(DATA!P731,"AAAAAFz2/8Y=")</f>
        <v>1</v>
      </c>
      <c r="GR123" t="b">
        <f>AND(DATA!Q731,"AAAAAFz2/8c=")</f>
        <v>1</v>
      </c>
      <c r="GS123" t="b">
        <f>AND(DATA!R731,"AAAAAFz2/8g=")</f>
        <v>1</v>
      </c>
      <c r="GT123" t="b">
        <f>AND(DATA!S731,"AAAAAFz2/8k=")</f>
        <v>1</v>
      </c>
      <c r="GU123" t="b">
        <f>AND(DATA!T731,"AAAAAFz2/8o=")</f>
        <v>1</v>
      </c>
      <c r="GV123" t="b">
        <f>AND(DATA!U731,"AAAAAFz2/8s=")</f>
        <v>1</v>
      </c>
      <c r="GW123" t="b">
        <f>AND(DATA!V731,"AAAAAFz2/8w=")</f>
        <v>1</v>
      </c>
      <c r="GX123" t="e">
        <f>AND(DATA!W730,"AAAAAFz2/80=")</f>
        <v>#VALUE!</v>
      </c>
      <c r="GY123" t="e">
        <f>AND(DATA!X730,"AAAAAFz2/84=")</f>
        <v>#VALUE!</v>
      </c>
      <c r="GZ123" t="e">
        <f>AND(DATA!Y730,"AAAAAFz2/88=")</f>
        <v>#VALUE!</v>
      </c>
      <c r="HA123">
        <f>IF(DATA!731:731,"AAAAAFz2/9A=",0)</f>
        <v>0</v>
      </c>
      <c r="HB123" t="e">
        <f>AND(DATA!A731,"AAAAAFz2/9E=")</f>
        <v>#VALUE!</v>
      </c>
      <c r="HC123" t="e">
        <f>AND(DATA!B731,"AAAAAFz2/9I=")</f>
        <v>#VALUE!</v>
      </c>
      <c r="HD123" t="e">
        <f>AND(DATA!C731,"AAAAAFz2/9M=")</f>
        <v>#VALUE!</v>
      </c>
      <c r="HE123" t="e">
        <f>AND(DATA!D731,"AAAAAFz2/9Q=")</f>
        <v>#VALUE!</v>
      </c>
      <c r="HF123" t="e">
        <f>AND(DATA!E731,"AAAAAFz2/9U=")</f>
        <v>#VALUE!</v>
      </c>
      <c r="HG123" t="e">
        <f>AND(DATA!F731,"AAAAAFz2/9Y=")</f>
        <v>#VALUE!</v>
      </c>
      <c r="HH123" t="e">
        <f>AND(DATA!G731,"AAAAAFz2/9c=")</f>
        <v>#VALUE!</v>
      </c>
      <c r="HI123" t="e">
        <f>AND(DATA!H731,"AAAAAFz2/9g=")</f>
        <v>#VALUE!</v>
      </c>
      <c r="HJ123" t="e">
        <f>AND(DATA!I731,"AAAAAFz2/9k=")</f>
        <v>#VALUE!</v>
      </c>
      <c r="HK123" t="e">
        <f>AND(DATA!J731,"AAAAAFz2/9o=")</f>
        <v>#VALUE!</v>
      </c>
      <c r="HL123" t="e">
        <f>AND(DATA!K731,"AAAAAFz2/9s=")</f>
        <v>#VALUE!</v>
      </c>
      <c r="HM123" t="b">
        <f>AND(DATA!L732,"AAAAAFz2/9w=")</f>
        <v>1</v>
      </c>
      <c r="HN123" t="b">
        <f>AND(DATA!M732,"AAAAAFz2/90=")</f>
        <v>1</v>
      </c>
      <c r="HO123" t="b">
        <f>AND(DATA!N732,"AAAAAFz2/94=")</f>
        <v>1</v>
      </c>
      <c r="HP123" t="b">
        <f>AND(DATA!O732,"AAAAAFz2/98=")</f>
        <v>1</v>
      </c>
      <c r="HQ123" t="b">
        <f>AND(DATA!P732,"AAAAAFz2/+A=")</f>
        <v>1</v>
      </c>
      <c r="HR123" t="b">
        <f>AND(DATA!Q732,"AAAAAFz2/+E=")</f>
        <v>1</v>
      </c>
      <c r="HS123" t="b">
        <f>AND(DATA!R732,"AAAAAFz2/+I=")</f>
        <v>1</v>
      </c>
      <c r="HT123" t="b">
        <f>AND(DATA!S732,"AAAAAFz2/+M=")</f>
        <v>1</v>
      </c>
      <c r="HU123" t="b">
        <f>AND(DATA!T732,"AAAAAFz2/+Q=")</f>
        <v>1</v>
      </c>
      <c r="HV123" t="b">
        <f>AND(DATA!U732,"AAAAAFz2/+U=")</f>
        <v>1</v>
      </c>
      <c r="HW123" t="b">
        <f>AND(DATA!V732,"AAAAAFz2/+Y=")</f>
        <v>1</v>
      </c>
      <c r="HX123" t="e">
        <f>AND(DATA!W731,"AAAAAFz2/+c=")</f>
        <v>#VALUE!</v>
      </c>
      <c r="HY123" t="e">
        <f>AND(DATA!X731,"AAAAAFz2/+g=")</f>
        <v>#VALUE!</v>
      </c>
      <c r="HZ123" t="e">
        <f>AND(DATA!Y731,"AAAAAFz2/+k=")</f>
        <v>#VALUE!</v>
      </c>
      <c r="IA123">
        <f>IF(DATA!732:732,"AAAAAFz2/+o=",0)</f>
        <v>0</v>
      </c>
      <c r="IB123" t="e">
        <f>AND(DATA!A732,"AAAAAFz2/+s=")</f>
        <v>#VALUE!</v>
      </c>
      <c r="IC123" t="e">
        <f>AND(DATA!B732,"AAAAAFz2/+w=")</f>
        <v>#VALUE!</v>
      </c>
      <c r="ID123" t="e">
        <f>AND(DATA!C732,"AAAAAFz2/+0=")</f>
        <v>#VALUE!</v>
      </c>
      <c r="IE123" t="e">
        <f>AND(DATA!D732,"AAAAAFz2/+4=")</f>
        <v>#VALUE!</v>
      </c>
      <c r="IF123" t="e">
        <f>AND(DATA!E732,"AAAAAFz2/+8=")</f>
        <v>#VALUE!</v>
      </c>
      <c r="IG123" t="e">
        <f>AND(DATA!F732,"AAAAAFz2//A=")</f>
        <v>#VALUE!</v>
      </c>
      <c r="IH123" t="e">
        <f>AND(DATA!G732,"AAAAAFz2//E=")</f>
        <v>#VALUE!</v>
      </c>
      <c r="II123" t="e">
        <f>AND(DATA!H732,"AAAAAFz2//I=")</f>
        <v>#VALUE!</v>
      </c>
      <c r="IJ123" t="e">
        <f>AND(DATA!I732,"AAAAAFz2//M=")</f>
        <v>#VALUE!</v>
      </c>
      <c r="IK123" t="e">
        <f>AND(DATA!J732,"AAAAAFz2//Q=")</f>
        <v>#VALUE!</v>
      </c>
      <c r="IL123" t="e">
        <f>AND(DATA!K732,"AAAAAFz2//U=")</f>
        <v>#VALUE!</v>
      </c>
      <c r="IM123" t="b">
        <f>AND(DATA!L733,"AAAAAFz2//Y=")</f>
        <v>1</v>
      </c>
      <c r="IN123" t="b">
        <f>AND(DATA!M733,"AAAAAFz2//c=")</f>
        <v>1</v>
      </c>
      <c r="IO123" t="b">
        <f>AND(DATA!N733,"AAAAAFz2//g=")</f>
        <v>1</v>
      </c>
      <c r="IP123" t="b">
        <f>AND(DATA!O733,"AAAAAFz2//k=")</f>
        <v>1</v>
      </c>
      <c r="IQ123" t="b">
        <f>AND(DATA!P733,"AAAAAFz2//o=")</f>
        <v>1</v>
      </c>
      <c r="IR123" t="b">
        <f>AND(DATA!Q733,"AAAAAFz2//s=")</f>
        <v>1</v>
      </c>
      <c r="IS123" t="b">
        <f>AND(DATA!R733,"AAAAAFz2//w=")</f>
        <v>1</v>
      </c>
      <c r="IT123" t="b">
        <f>AND(DATA!S733,"AAAAAFz2//0=")</f>
        <v>1</v>
      </c>
      <c r="IU123" t="b">
        <f>AND(DATA!T733,"AAAAAFz2//4=")</f>
        <v>1</v>
      </c>
      <c r="IV123" t="b">
        <f>AND(DATA!U733,"AAAAAFz2//8=")</f>
        <v>1</v>
      </c>
    </row>
    <row r="124" spans="1:256" x14ac:dyDescent="0.25">
      <c r="A124" t="b">
        <f>AND(DATA!V733,"AAAAAEL3MAA=")</f>
        <v>1</v>
      </c>
      <c r="B124" t="e">
        <f>AND(DATA!W732,"AAAAAEL3MAE=")</f>
        <v>#VALUE!</v>
      </c>
      <c r="C124" t="e">
        <f>AND(DATA!X732,"AAAAAEL3MAI=")</f>
        <v>#VALUE!</v>
      </c>
      <c r="D124" t="e">
        <f>AND(DATA!Y732,"AAAAAEL3MAM=")</f>
        <v>#VALUE!</v>
      </c>
      <c r="E124">
        <f>IF(DATA!733:733,"AAAAAEL3MAQ=",0)</f>
        <v>0</v>
      </c>
      <c r="F124" t="e">
        <f>AND(DATA!A733,"AAAAAEL3MAU=")</f>
        <v>#VALUE!</v>
      </c>
      <c r="G124" t="e">
        <f>AND(DATA!B733,"AAAAAEL3MAY=")</f>
        <v>#VALUE!</v>
      </c>
      <c r="H124" t="e">
        <f>AND(DATA!C733,"AAAAAEL3MAc=")</f>
        <v>#VALUE!</v>
      </c>
      <c r="I124" t="e">
        <f>AND(DATA!D733,"AAAAAEL3MAg=")</f>
        <v>#VALUE!</v>
      </c>
      <c r="J124" t="e">
        <f>AND(DATA!E733,"AAAAAEL3MAk=")</f>
        <v>#VALUE!</v>
      </c>
      <c r="K124" t="e">
        <f>AND(DATA!F733,"AAAAAEL3MAo=")</f>
        <v>#VALUE!</v>
      </c>
      <c r="L124" t="e">
        <f>AND(DATA!G733,"AAAAAEL3MAs=")</f>
        <v>#VALUE!</v>
      </c>
      <c r="M124" t="e">
        <f>AND(DATA!H733,"AAAAAEL3MAw=")</f>
        <v>#VALUE!</v>
      </c>
      <c r="N124" t="e">
        <f>AND(DATA!I733,"AAAAAEL3MA0=")</f>
        <v>#VALUE!</v>
      </c>
      <c r="O124" t="e">
        <f>AND(DATA!J733,"AAAAAEL3MA4=")</f>
        <v>#VALUE!</v>
      </c>
      <c r="P124" t="e">
        <f>AND(DATA!K733,"AAAAAEL3MA8=")</f>
        <v>#VALUE!</v>
      </c>
      <c r="Q124" t="b">
        <f>AND(DATA!L734,"AAAAAEL3MBA=")</f>
        <v>1</v>
      </c>
      <c r="R124" t="b">
        <f>AND(DATA!M734,"AAAAAEL3MBE=")</f>
        <v>1</v>
      </c>
      <c r="S124" t="b">
        <f>AND(DATA!N734,"AAAAAEL3MBI=")</f>
        <v>1</v>
      </c>
      <c r="T124" t="b">
        <f>AND(DATA!O734,"AAAAAEL3MBM=")</f>
        <v>1</v>
      </c>
      <c r="U124" t="b">
        <f>AND(DATA!P734,"AAAAAEL3MBQ=")</f>
        <v>1</v>
      </c>
      <c r="V124" t="b">
        <f>AND(DATA!Q734,"AAAAAEL3MBU=")</f>
        <v>1</v>
      </c>
      <c r="W124" t="b">
        <f>AND(DATA!R734,"AAAAAEL3MBY=")</f>
        <v>1</v>
      </c>
      <c r="X124" t="b">
        <f>AND(DATA!S734,"AAAAAEL3MBc=")</f>
        <v>1</v>
      </c>
      <c r="Y124" t="b">
        <f>AND(DATA!T734,"AAAAAEL3MBg=")</f>
        <v>1</v>
      </c>
      <c r="Z124" t="b">
        <f>AND(DATA!U734,"AAAAAEL3MBk=")</f>
        <v>1</v>
      </c>
      <c r="AA124" t="b">
        <f>AND(DATA!V734,"AAAAAEL3MBo=")</f>
        <v>1</v>
      </c>
      <c r="AB124" t="e">
        <f>AND(DATA!W733,"AAAAAEL3MBs=")</f>
        <v>#VALUE!</v>
      </c>
      <c r="AC124" t="e">
        <f>AND(DATA!X733,"AAAAAEL3MBw=")</f>
        <v>#VALUE!</v>
      </c>
      <c r="AD124" t="e">
        <f>AND(DATA!Y733,"AAAAAEL3MB0=")</f>
        <v>#VALUE!</v>
      </c>
      <c r="AE124">
        <f>IF(DATA!734:734,"AAAAAEL3MB4=",0)</f>
        <v>0</v>
      </c>
      <c r="AF124" t="e">
        <f>AND(DATA!A734,"AAAAAEL3MB8=")</f>
        <v>#VALUE!</v>
      </c>
      <c r="AG124" t="e">
        <f>AND(DATA!B734,"AAAAAEL3MCA=")</f>
        <v>#VALUE!</v>
      </c>
      <c r="AH124" t="e">
        <f>AND(DATA!C734,"AAAAAEL3MCE=")</f>
        <v>#VALUE!</v>
      </c>
      <c r="AI124" t="e">
        <f>AND(DATA!D734,"AAAAAEL3MCI=")</f>
        <v>#VALUE!</v>
      </c>
      <c r="AJ124" t="e">
        <f>AND(DATA!E734,"AAAAAEL3MCM=")</f>
        <v>#VALUE!</v>
      </c>
      <c r="AK124" t="e">
        <f>AND(DATA!F734,"AAAAAEL3MCQ=")</f>
        <v>#VALUE!</v>
      </c>
      <c r="AL124" t="e">
        <f>AND(DATA!G734,"AAAAAEL3MCU=")</f>
        <v>#VALUE!</v>
      </c>
      <c r="AM124" t="e">
        <f>AND(DATA!H734,"AAAAAEL3MCY=")</f>
        <v>#VALUE!</v>
      </c>
      <c r="AN124" t="e">
        <f>AND(DATA!I734,"AAAAAEL3MCc=")</f>
        <v>#VALUE!</v>
      </c>
      <c r="AO124" t="e">
        <f>AND(DATA!J734,"AAAAAEL3MCg=")</f>
        <v>#VALUE!</v>
      </c>
      <c r="AP124" t="e">
        <f>AND(DATA!K734,"AAAAAEL3MCk=")</f>
        <v>#VALUE!</v>
      </c>
      <c r="AQ124" t="b">
        <f>AND(DATA!L735,"AAAAAEL3MCo=")</f>
        <v>1</v>
      </c>
      <c r="AR124" t="b">
        <f>AND(DATA!M735,"AAAAAEL3MCs=")</f>
        <v>1</v>
      </c>
      <c r="AS124" t="b">
        <f>AND(DATA!N735,"AAAAAEL3MCw=")</f>
        <v>1</v>
      </c>
      <c r="AT124" t="b">
        <f>AND(DATA!O735,"AAAAAEL3MC0=")</f>
        <v>1</v>
      </c>
      <c r="AU124" t="b">
        <f>AND(DATA!P735,"AAAAAEL3MC4=")</f>
        <v>1</v>
      </c>
      <c r="AV124" t="b">
        <f>AND(DATA!Q735,"AAAAAEL3MC8=")</f>
        <v>1</v>
      </c>
      <c r="AW124" t="b">
        <f>AND(DATA!R735,"AAAAAEL3MDA=")</f>
        <v>1</v>
      </c>
      <c r="AX124" t="b">
        <f>AND(DATA!S735,"AAAAAEL3MDE=")</f>
        <v>1</v>
      </c>
      <c r="AY124" t="b">
        <f>AND(DATA!T735,"AAAAAEL3MDI=")</f>
        <v>1</v>
      </c>
      <c r="AZ124" t="b">
        <f>AND(DATA!U735,"AAAAAEL3MDM=")</f>
        <v>1</v>
      </c>
      <c r="BA124" t="b">
        <f>AND(DATA!V735,"AAAAAEL3MDQ=")</f>
        <v>1</v>
      </c>
      <c r="BB124" t="e">
        <f>AND(DATA!W734,"AAAAAEL3MDU=")</f>
        <v>#VALUE!</v>
      </c>
      <c r="BC124" t="e">
        <f>AND(DATA!X734,"AAAAAEL3MDY=")</f>
        <v>#VALUE!</v>
      </c>
      <c r="BD124" t="e">
        <f>AND(DATA!Y734,"AAAAAEL3MDc=")</f>
        <v>#VALUE!</v>
      </c>
      <c r="BE124">
        <f>IF(DATA!735:735,"AAAAAEL3MDg=",0)</f>
        <v>0</v>
      </c>
      <c r="BF124" t="e">
        <f>AND(DATA!A735,"AAAAAEL3MDk=")</f>
        <v>#VALUE!</v>
      </c>
      <c r="BG124" t="e">
        <f>AND(DATA!B735,"AAAAAEL3MDo=")</f>
        <v>#VALUE!</v>
      </c>
      <c r="BH124" t="e">
        <f>AND(DATA!C735,"AAAAAEL3MDs=")</f>
        <v>#VALUE!</v>
      </c>
      <c r="BI124" t="e">
        <f>AND(DATA!D735,"AAAAAEL3MDw=")</f>
        <v>#VALUE!</v>
      </c>
      <c r="BJ124" t="e">
        <f>AND(DATA!E735,"AAAAAEL3MD0=")</f>
        <v>#VALUE!</v>
      </c>
      <c r="BK124" t="e">
        <f>AND(DATA!F735,"AAAAAEL3MD4=")</f>
        <v>#VALUE!</v>
      </c>
      <c r="BL124" t="e">
        <f>AND(DATA!G735,"AAAAAEL3MD8=")</f>
        <v>#VALUE!</v>
      </c>
      <c r="BM124" t="e">
        <f>AND(DATA!H735,"AAAAAEL3MEA=")</f>
        <v>#VALUE!</v>
      </c>
      <c r="BN124" t="e">
        <f>AND(DATA!I735,"AAAAAEL3MEE=")</f>
        <v>#VALUE!</v>
      </c>
      <c r="BO124" t="e">
        <f>AND(DATA!J735,"AAAAAEL3MEI=")</f>
        <v>#VALUE!</v>
      </c>
      <c r="BP124" t="e">
        <f>AND(DATA!K735,"AAAAAEL3MEM=")</f>
        <v>#VALUE!</v>
      </c>
      <c r="BQ124" t="b">
        <f>AND(DATA!L736,"AAAAAEL3MEQ=")</f>
        <v>1</v>
      </c>
      <c r="BR124" t="b">
        <f>AND(DATA!M736,"AAAAAEL3MEU=")</f>
        <v>1</v>
      </c>
      <c r="BS124" t="b">
        <f>AND(DATA!N736,"AAAAAEL3MEY=")</f>
        <v>1</v>
      </c>
      <c r="BT124" t="b">
        <f>AND(DATA!O736,"AAAAAEL3MEc=")</f>
        <v>1</v>
      </c>
      <c r="BU124" t="b">
        <f>AND(DATA!P736,"AAAAAEL3MEg=")</f>
        <v>1</v>
      </c>
      <c r="BV124" t="b">
        <f>AND(DATA!Q736,"AAAAAEL3MEk=")</f>
        <v>1</v>
      </c>
      <c r="BW124" t="b">
        <f>AND(DATA!R736,"AAAAAEL3MEo=")</f>
        <v>1</v>
      </c>
      <c r="BX124" t="b">
        <f>AND(DATA!S736,"AAAAAEL3MEs=")</f>
        <v>1</v>
      </c>
      <c r="BY124" t="b">
        <f>AND(DATA!T736,"AAAAAEL3MEw=")</f>
        <v>1</v>
      </c>
      <c r="BZ124" t="b">
        <f>AND(DATA!U736,"AAAAAEL3ME0=")</f>
        <v>1</v>
      </c>
      <c r="CA124" t="b">
        <f>AND(DATA!V736,"AAAAAEL3ME4=")</f>
        <v>1</v>
      </c>
      <c r="CB124" t="e">
        <f>AND(DATA!W735,"AAAAAEL3ME8=")</f>
        <v>#VALUE!</v>
      </c>
      <c r="CC124" t="e">
        <f>AND(DATA!X735,"AAAAAEL3MFA=")</f>
        <v>#VALUE!</v>
      </c>
      <c r="CD124" t="e">
        <f>AND(DATA!Y735,"AAAAAEL3MFE=")</f>
        <v>#VALUE!</v>
      </c>
      <c r="CE124">
        <f>IF(DATA!736:736,"AAAAAEL3MFI=",0)</f>
        <v>0</v>
      </c>
      <c r="CF124" t="e">
        <f>AND(DATA!A736,"AAAAAEL3MFM=")</f>
        <v>#VALUE!</v>
      </c>
      <c r="CG124" t="e">
        <f>AND(DATA!B736,"AAAAAEL3MFQ=")</f>
        <v>#VALUE!</v>
      </c>
      <c r="CH124" t="e">
        <f>AND(DATA!C736,"AAAAAEL3MFU=")</f>
        <v>#VALUE!</v>
      </c>
      <c r="CI124" t="e">
        <f>AND(DATA!D736,"AAAAAEL3MFY=")</f>
        <v>#VALUE!</v>
      </c>
      <c r="CJ124" t="e">
        <f>AND(DATA!E736,"AAAAAEL3MFc=")</f>
        <v>#VALUE!</v>
      </c>
      <c r="CK124" t="e">
        <f>AND(DATA!F736,"AAAAAEL3MFg=")</f>
        <v>#VALUE!</v>
      </c>
      <c r="CL124" t="e">
        <f>AND(DATA!G736,"AAAAAEL3MFk=")</f>
        <v>#VALUE!</v>
      </c>
      <c r="CM124" t="e">
        <f>AND(DATA!H736,"AAAAAEL3MFo=")</f>
        <v>#VALUE!</v>
      </c>
      <c r="CN124" t="e">
        <f>AND(DATA!I736,"AAAAAEL3MFs=")</f>
        <v>#VALUE!</v>
      </c>
      <c r="CO124" t="e">
        <f>AND(DATA!J736,"AAAAAEL3MFw=")</f>
        <v>#VALUE!</v>
      </c>
      <c r="CP124" t="e">
        <f>AND(DATA!K736,"AAAAAEL3MF0=")</f>
        <v>#VALUE!</v>
      </c>
      <c r="CQ124" t="b">
        <f>AND(DATA!L737,"AAAAAEL3MF4=")</f>
        <v>1</v>
      </c>
      <c r="CR124" t="b">
        <f>AND(DATA!M737,"AAAAAEL3MF8=")</f>
        <v>1</v>
      </c>
      <c r="CS124" t="b">
        <f>AND(DATA!N737,"AAAAAEL3MGA=")</f>
        <v>1</v>
      </c>
      <c r="CT124" t="b">
        <f>AND(DATA!O737,"AAAAAEL3MGE=")</f>
        <v>1</v>
      </c>
      <c r="CU124" t="b">
        <f>AND(DATA!P737,"AAAAAEL3MGI=")</f>
        <v>1</v>
      </c>
      <c r="CV124" t="b">
        <f>AND(DATA!Q737,"AAAAAEL3MGM=")</f>
        <v>1</v>
      </c>
      <c r="CW124" t="b">
        <f>AND(DATA!R737,"AAAAAEL3MGQ=")</f>
        <v>1</v>
      </c>
      <c r="CX124" t="b">
        <f>AND(DATA!S737,"AAAAAEL3MGU=")</f>
        <v>1</v>
      </c>
      <c r="CY124" t="b">
        <f>AND(DATA!T737,"AAAAAEL3MGY=")</f>
        <v>1</v>
      </c>
      <c r="CZ124" t="b">
        <f>AND(DATA!U737,"AAAAAEL3MGc=")</f>
        <v>1</v>
      </c>
      <c r="DA124" t="b">
        <f>AND(DATA!V737,"AAAAAEL3MGg=")</f>
        <v>1</v>
      </c>
      <c r="DB124" t="e">
        <f>AND(DATA!W736,"AAAAAEL3MGk=")</f>
        <v>#VALUE!</v>
      </c>
      <c r="DC124" t="e">
        <f>AND(DATA!X736,"AAAAAEL3MGo=")</f>
        <v>#VALUE!</v>
      </c>
      <c r="DD124" t="e">
        <f>AND(DATA!Y736,"AAAAAEL3MGs=")</f>
        <v>#VALUE!</v>
      </c>
      <c r="DE124">
        <f>IF(DATA!737:737,"AAAAAEL3MGw=",0)</f>
        <v>0</v>
      </c>
      <c r="DF124" t="e">
        <f>AND(DATA!A737,"AAAAAEL3MG0=")</f>
        <v>#VALUE!</v>
      </c>
      <c r="DG124" t="e">
        <f>AND(DATA!B737,"AAAAAEL3MG4=")</f>
        <v>#VALUE!</v>
      </c>
      <c r="DH124" t="e">
        <f>AND(DATA!C737,"AAAAAEL3MG8=")</f>
        <v>#VALUE!</v>
      </c>
      <c r="DI124" t="e">
        <f>AND(DATA!D737,"AAAAAEL3MHA=")</f>
        <v>#VALUE!</v>
      </c>
      <c r="DJ124" t="e">
        <f>AND(DATA!E737,"AAAAAEL3MHE=")</f>
        <v>#VALUE!</v>
      </c>
      <c r="DK124" t="e">
        <f>AND(DATA!F737,"AAAAAEL3MHI=")</f>
        <v>#VALUE!</v>
      </c>
      <c r="DL124" t="e">
        <f>AND(DATA!G737,"AAAAAEL3MHM=")</f>
        <v>#VALUE!</v>
      </c>
      <c r="DM124" t="e">
        <f>AND(DATA!H737,"AAAAAEL3MHQ=")</f>
        <v>#VALUE!</v>
      </c>
      <c r="DN124" t="e">
        <f>AND(DATA!I737,"AAAAAEL3MHU=")</f>
        <v>#VALUE!</v>
      </c>
      <c r="DO124" t="e">
        <f>AND(DATA!J737,"AAAAAEL3MHY=")</f>
        <v>#VALUE!</v>
      </c>
      <c r="DP124" t="e">
        <f>AND(DATA!K737,"AAAAAEL3MHc=")</f>
        <v>#VALUE!</v>
      </c>
      <c r="DQ124" t="b">
        <f>AND(DATA!L738,"AAAAAEL3MHg=")</f>
        <v>1</v>
      </c>
      <c r="DR124" t="b">
        <f>AND(DATA!M738,"AAAAAEL3MHk=")</f>
        <v>1</v>
      </c>
      <c r="DS124" t="b">
        <f>AND(DATA!N738,"AAAAAEL3MHo=")</f>
        <v>1</v>
      </c>
      <c r="DT124" t="b">
        <f>AND(DATA!O738,"AAAAAEL3MHs=")</f>
        <v>1</v>
      </c>
      <c r="DU124" t="b">
        <f>AND(DATA!P738,"AAAAAEL3MHw=")</f>
        <v>1</v>
      </c>
      <c r="DV124" t="b">
        <f>AND(DATA!Q738,"AAAAAEL3MH0=")</f>
        <v>1</v>
      </c>
      <c r="DW124" t="b">
        <f>AND(DATA!R738,"AAAAAEL3MH4=")</f>
        <v>1</v>
      </c>
      <c r="DX124" t="b">
        <f>AND(DATA!S738,"AAAAAEL3MH8=")</f>
        <v>1</v>
      </c>
      <c r="DY124" t="b">
        <f>AND(DATA!T738,"AAAAAEL3MIA=")</f>
        <v>1</v>
      </c>
      <c r="DZ124" t="b">
        <f>AND(DATA!U738,"AAAAAEL3MIE=")</f>
        <v>1</v>
      </c>
      <c r="EA124" t="b">
        <f>AND(DATA!V738,"AAAAAEL3MII=")</f>
        <v>1</v>
      </c>
      <c r="EB124" t="e">
        <f>AND(DATA!W737,"AAAAAEL3MIM=")</f>
        <v>#VALUE!</v>
      </c>
      <c r="EC124" t="e">
        <f>AND(DATA!X737,"AAAAAEL3MIQ=")</f>
        <v>#VALUE!</v>
      </c>
      <c r="ED124" t="e">
        <f>AND(DATA!Y737,"AAAAAEL3MIU=")</f>
        <v>#VALUE!</v>
      </c>
      <c r="EE124">
        <f>IF(DATA!738:738,"AAAAAEL3MIY=",0)</f>
        <v>0</v>
      </c>
      <c r="EF124" t="e">
        <f>AND(DATA!A738,"AAAAAEL3MIc=")</f>
        <v>#VALUE!</v>
      </c>
      <c r="EG124" t="e">
        <f>AND(DATA!B738,"AAAAAEL3MIg=")</f>
        <v>#VALUE!</v>
      </c>
      <c r="EH124" t="e">
        <f>AND(DATA!C738,"AAAAAEL3MIk=")</f>
        <v>#VALUE!</v>
      </c>
      <c r="EI124" t="e">
        <f>AND(DATA!D738,"AAAAAEL3MIo=")</f>
        <v>#VALUE!</v>
      </c>
      <c r="EJ124" t="e">
        <f>AND(DATA!E738,"AAAAAEL3MIs=")</f>
        <v>#VALUE!</v>
      </c>
      <c r="EK124" t="e">
        <f>AND(DATA!F738,"AAAAAEL3MIw=")</f>
        <v>#VALUE!</v>
      </c>
      <c r="EL124" t="e">
        <f>AND(DATA!G738,"AAAAAEL3MI0=")</f>
        <v>#VALUE!</v>
      </c>
      <c r="EM124" t="e">
        <f>AND(DATA!H738,"AAAAAEL3MI4=")</f>
        <v>#VALUE!</v>
      </c>
      <c r="EN124" t="e">
        <f>AND(DATA!I738,"AAAAAEL3MI8=")</f>
        <v>#VALUE!</v>
      </c>
      <c r="EO124" t="e">
        <f>AND(DATA!J738,"AAAAAEL3MJA=")</f>
        <v>#VALUE!</v>
      </c>
      <c r="EP124" t="e">
        <f>AND(DATA!K738,"AAAAAEL3MJE=")</f>
        <v>#VALUE!</v>
      </c>
      <c r="EQ124" t="b">
        <f>AND(DATA!L739,"AAAAAEL3MJI=")</f>
        <v>1</v>
      </c>
      <c r="ER124" t="b">
        <f>AND(DATA!M739,"AAAAAEL3MJM=")</f>
        <v>1</v>
      </c>
      <c r="ES124" t="b">
        <f>AND(DATA!N739,"AAAAAEL3MJQ=")</f>
        <v>1</v>
      </c>
      <c r="ET124" t="b">
        <f>AND(DATA!O739,"AAAAAEL3MJU=")</f>
        <v>1</v>
      </c>
      <c r="EU124" t="b">
        <f>AND(DATA!P739,"AAAAAEL3MJY=")</f>
        <v>1</v>
      </c>
      <c r="EV124" t="b">
        <f>AND(DATA!Q739,"AAAAAEL3MJc=")</f>
        <v>1</v>
      </c>
      <c r="EW124" t="b">
        <f>AND(DATA!R739,"AAAAAEL3MJg=")</f>
        <v>1</v>
      </c>
      <c r="EX124" t="b">
        <f>AND(DATA!S739,"AAAAAEL3MJk=")</f>
        <v>1</v>
      </c>
      <c r="EY124" t="b">
        <f>AND(DATA!T739,"AAAAAEL3MJo=")</f>
        <v>1</v>
      </c>
      <c r="EZ124" t="b">
        <f>AND(DATA!U739,"AAAAAEL3MJs=")</f>
        <v>1</v>
      </c>
      <c r="FA124" t="b">
        <f>AND(DATA!V739,"AAAAAEL3MJw=")</f>
        <v>1</v>
      </c>
      <c r="FB124" t="e">
        <f>AND(DATA!W738,"AAAAAEL3MJ0=")</f>
        <v>#VALUE!</v>
      </c>
      <c r="FC124" t="e">
        <f>AND(DATA!X738,"AAAAAEL3MJ4=")</f>
        <v>#VALUE!</v>
      </c>
      <c r="FD124" t="e">
        <f>AND(DATA!Y738,"AAAAAEL3MJ8=")</f>
        <v>#VALUE!</v>
      </c>
      <c r="FE124">
        <f>IF(DATA!739:739,"AAAAAEL3MKA=",0)</f>
        <v>0</v>
      </c>
      <c r="FF124" t="e">
        <f>AND(DATA!A739,"AAAAAEL3MKE=")</f>
        <v>#VALUE!</v>
      </c>
      <c r="FG124" t="e">
        <f>AND(DATA!B739,"AAAAAEL3MKI=")</f>
        <v>#VALUE!</v>
      </c>
      <c r="FH124" t="e">
        <f>AND(DATA!C739,"AAAAAEL3MKM=")</f>
        <v>#VALUE!</v>
      </c>
      <c r="FI124" t="e">
        <f>AND(DATA!D739,"AAAAAEL3MKQ=")</f>
        <v>#VALUE!</v>
      </c>
      <c r="FJ124" t="e">
        <f>AND(DATA!E739,"AAAAAEL3MKU=")</f>
        <v>#VALUE!</v>
      </c>
      <c r="FK124" t="e">
        <f>AND(DATA!F739,"AAAAAEL3MKY=")</f>
        <v>#VALUE!</v>
      </c>
      <c r="FL124" t="e">
        <f>AND(DATA!G739,"AAAAAEL3MKc=")</f>
        <v>#VALUE!</v>
      </c>
      <c r="FM124" t="e">
        <f>AND(DATA!H739,"AAAAAEL3MKg=")</f>
        <v>#VALUE!</v>
      </c>
      <c r="FN124" t="e">
        <f>AND(DATA!I739,"AAAAAEL3MKk=")</f>
        <v>#VALUE!</v>
      </c>
      <c r="FO124" t="e">
        <f>AND(DATA!J739,"AAAAAEL3MKo=")</f>
        <v>#VALUE!</v>
      </c>
      <c r="FP124" t="e">
        <f>AND(DATA!K739,"AAAAAEL3MKs=")</f>
        <v>#VALUE!</v>
      </c>
      <c r="FQ124" t="b">
        <f>AND(DATA!L740,"AAAAAEL3MKw=")</f>
        <v>1</v>
      </c>
      <c r="FR124" t="b">
        <f>AND(DATA!M740,"AAAAAEL3MK0=")</f>
        <v>1</v>
      </c>
      <c r="FS124" t="b">
        <f>AND(DATA!N740,"AAAAAEL3MK4=")</f>
        <v>1</v>
      </c>
      <c r="FT124" t="b">
        <f>AND(DATA!O740,"AAAAAEL3MK8=")</f>
        <v>1</v>
      </c>
      <c r="FU124" t="b">
        <f>AND(DATA!P740,"AAAAAEL3MLA=")</f>
        <v>1</v>
      </c>
      <c r="FV124" t="b">
        <f>AND(DATA!Q740,"AAAAAEL3MLE=")</f>
        <v>1</v>
      </c>
      <c r="FW124" t="b">
        <f>AND(DATA!R740,"AAAAAEL3MLI=")</f>
        <v>1</v>
      </c>
      <c r="FX124" t="b">
        <f>AND(DATA!S740,"AAAAAEL3MLM=")</f>
        <v>1</v>
      </c>
      <c r="FY124" t="b">
        <f>AND(DATA!T740,"AAAAAEL3MLQ=")</f>
        <v>1</v>
      </c>
      <c r="FZ124" t="b">
        <f>AND(DATA!U740,"AAAAAEL3MLU=")</f>
        <v>1</v>
      </c>
      <c r="GA124" t="b">
        <f>AND(DATA!V740,"AAAAAEL3MLY=")</f>
        <v>1</v>
      </c>
      <c r="GB124" t="e">
        <f>AND(DATA!W739,"AAAAAEL3MLc=")</f>
        <v>#VALUE!</v>
      </c>
      <c r="GC124" t="e">
        <f>AND(DATA!X739,"AAAAAEL3MLg=")</f>
        <v>#VALUE!</v>
      </c>
      <c r="GD124" t="e">
        <f>AND(DATA!Y739,"AAAAAEL3MLk=")</f>
        <v>#VALUE!</v>
      </c>
      <c r="GE124">
        <f>IF(DATA!740:740,"AAAAAEL3MLo=",0)</f>
        <v>0</v>
      </c>
      <c r="GF124" t="e">
        <f>AND(DATA!A740,"AAAAAEL3MLs=")</f>
        <v>#VALUE!</v>
      </c>
      <c r="GG124" t="e">
        <f>AND(DATA!B740,"AAAAAEL3MLw=")</f>
        <v>#VALUE!</v>
      </c>
      <c r="GH124" t="e">
        <f>AND(DATA!C740,"AAAAAEL3ML0=")</f>
        <v>#VALUE!</v>
      </c>
      <c r="GI124" t="e">
        <f>AND(DATA!D740,"AAAAAEL3ML4=")</f>
        <v>#VALUE!</v>
      </c>
      <c r="GJ124" t="e">
        <f>AND(DATA!E740,"AAAAAEL3ML8=")</f>
        <v>#VALUE!</v>
      </c>
      <c r="GK124" t="e">
        <f>AND(DATA!F740,"AAAAAEL3MMA=")</f>
        <v>#VALUE!</v>
      </c>
      <c r="GL124" t="e">
        <f>AND(DATA!G740,"AAAAAEL3MME=")</f>
        <v>#VALUE!</v>
      </c>
      <c r="GM124" t="e">
        <f>AND(DATA!H740,"AAAAAEL3MMI=")</f>
        <v>#VALUE!</v>
      </c>
      <c r="GN124" t="e">
        <f>AND(DATA!I740,"AAAAAEL3MMM=")</f>
        <v>#VALUE!</v>
      </c>
      <c r="GO124" t="e">
        <f>AND(DATA!J740,"AAAAAEL3MMQ=")</f>
        <v>#VALUE!</v>
      </c>
      <c r="GP124" t="e">
        <f>AND(DATA!K740,"AAAAAEL3MMU=")</f>
        <v>#VALUE!</v>
      </c>
      <c r="GQ124" t="b">
        <f>AND(DATA!L741,"AAAAAEL3MMY=")</f>
        <v>1</v>
      </c>
      <c r="GR124" t="b">
        <f>AND(DATA!M741,"AAAAAEL3MMc=")</f>
        <v>1</v>
      </c>
      <c r="GS124" t="b">
        <f>AND(DATA!N741,"AAAAAEL3MMg=")</f>
        <v>1</v>
      </c>
      <c r="GT124" t="b">
        <f>AND(DATA!O741,"AAAAAEL3MMk=")</f>
        <v>1</v>
      </c>
      <c r="GU124" t="b">
        <f>AND(DATA!P741,"AAAAAEL3MMo=")</f>
        <v>1</v>
      </c>
      <c r="GV124" t="b">
        <f>AND(DATA!Q741,"AAAAAEL3MMs=")</f>
        <v>1</v>
      </c>
      <c r="GW124" t="b">
        <f>AND(DATA!R741,"AAAAAEL3MMw=")</f>
        <v>1</v>
      </c>
      <c r="GX124" t="b">
        <f>AND(DATA!S741,"AAAAAEL3MM0=")</f>
        <v>1</v>
      </c>
      <c r="GY124" t="b">
        <f>AND(DATA!T741,"AAAAAEL3MM4=")</f>
        <v>1</v>
      </c>
      <c r="GZ124" t="b">
        <f>AND(DATA!U741,"AAAAAEL3MM8=")</f>
        <v>1</v>
      </c>
      <c r="HA124" t="b">
        <f>AND(DATA!V741,"AAAAAEL3MNA=")</f>
        <v>1</v>
      </c>
      <c r="HB124" t="e">
        <f>AND(DATA!W740,"AAAAAEL3MNE=")</f>
        <v>#VALUE!</v>
      </c>
      <c r="HC124" t="e">
        <f>AND(DATA!X740,"AAAAAEL3MNI=")</f>
        <v>#VALUE!</v>
      </c>
      <c r="HD124" t="e">
        <f>AND(DATA!Y740,"AAAAAEL3MNM=")</f>
        <v>#VALUE!</v>
      </c>
      <c r="HE124">
        <f>IF(DATA!741:741,"AAAAAEL3MNQ=",0)</f>
        <v>0</v>
      </c>
      <c r="HF124" t="e">
        <f>AND(DATA!A741,"AAAAAEL3MNU=")</f>
        <v>#VALUE!</v>
      </c>
      <c r="HG124" t="e">
        <f>AND(DATA!B741,"AAAAAEL3MNY=")</f>
        <v>#VALUE!</v>
      </c>
      <c r="HH124" t="e">
        <f>AND(DATA!C741,"AAAAAEL3MNc=")</f>
        <v>#VALUE!</v>
      </c>
      <c r="HI124" t="e">
        <f>AND(DATA!D741,"AAAAAEL3MNg=")</f>
        <v>#VALUE!</v>
      </c>
      <c r="HJ124" t="e">
        <f>AND(DATA!E741,"AAAAAEL3MNk=")</f>
        <v>#VALUE!</v>
      </c>
      <c r="HK124" t="e">
        <f>AND(DATA!F741,"AAAAAEL3MNo=")</f>
        <v>#VALUE!</v>
      </c>
      <c r="HL124" t="e">
        <f>AND(DATA!G741,"AAAAAEL3MNs=")</f>
        <v>#VALUE!</v>
      </c>
      <c r="HM124" t="e">
        <f>AND(DATA!H741,"AAAAAEL3MNw=")</f>
        <v>#VALUE!</v>
      </c>
      <c r="HN124" t="e">
        <f>AND(DATA!I741,"AAAAAEL3MN0=")</f>
        <v>#VALUE!</v>
      </c>
      <c r="HO124" t="e">
        <f>AND(DATA!J741,"AAAAAEL3MN4=")</f>
        <v>#VALUE!</v>
      </c>
      <c r="HP124" t="e">
        <f>AND(DATA!K741,"AAAAAEL3MN8=")</f>
        <v>#VALUE!</v>
      </c>
      <c r="HQ124" t="b">
        <f>AND(DATA!L742,"AAAAAEL3MOA=")</f>
        <v>1</v>
      </c>
      <c r="HR124" t="b">
        <f>AND(DATA!M742,"AAAAAEL3MOE=")</f>
        <v>1</v>
      </c>
      <c r="HS124" t="b">
        <f>AND(DATA!N742,"AAAAAEL3MOI=")</f>
        <v>1</v>
      </c>
      <c r="HT124" t="b">
        <f>AND(DATA!O742,"AAAAAEL3MOM=")</f>
        <v>1</v>
      </c>
      <c r="HU124" t="b">
        <f>AND(DATA!P742,"AAAAAEL3MOQ=")</f>
        <v>1</v>
      </c>
      <c r="HV124" t="b">
        <f>AND(DATA!Q742,"AAAAAEL3MOU=")</f>
        <v>1</v>
      </c>
      <c r="HW124" t="b">
        <f>AND(DATA!R742,"AAAAAEL3MOY=")</f>
        <v>1</v>
      </c>
      <c r="HX124" t="b">
        <f>AND(DATA!S742,"AAAAAEL3MOc=")</f>
        <v>1</v>
      </c>
      <c r="HY124" t="b">
        <f>AND(DATA!T742,"AAAAAEL3MOg=")</f>
        <v>1</v>
      </c>
      <c r="HZ124" t="b">
        <f>AND(DATA!U742,"AAAAAEL3MOk=")</f>
        <v>1</v>
      </c>
      <c r="IA124" t="b">
        <f>AND(DATA!V742,"AAAAAEL3MOo=")</f>
        <v>1</v>
      </c>
      <c r="IB124" t="e">
        <f>AND(DATA!W741,"AAAAAEL3MOs=")</f>
        <v>#VALUE!</v>
      </c>
      <c r="IC124" t="e">
        <f>AND(DATA!X741,"AAAAAEL3MOw=")</f>
        <v>#VALUE!</v>
      </c>
      <c r="ID124" t="e">
        <f>AND(DATA!Y741,"AAAAAEL3MO0=")</f>
        <v>#VALUE!</v>
      </c>
      <c r="IE124">
        <f>IF(DATA!742:742,"AAAAAEL3MO4=",0)</f>
        <v>0</v>
      </c>
      <c r="IF124" t="e">
        <f>AND(DATA!A742,"AAAAAEL3MO8=")</f>
        <v>#VALUE!</v>
      </c>
      <c r="IG124" t="e">
        <f>AND(DATA!B742,"AAAAAEL3MPA=")</f>
        <v>#VALUE!</v>
      </c>
      <c r="IH124" t="e">
        <f>AND(DATA!C742,"AAAAAEL3MPE=")</f>
        <v>#VALUE!</v>
      </c>
      <c r="II124" t="e">
        <f>AND(DATA!D742,"AAAAAEL3MPI=")</f>
        <v>#VALUE!</v>
      </c>
      <c r="IJ124" t="e">
        <f>AND(DATA!E742,"AAAAAEL3MPM=")</f>
        <v>#VALUE!</v>
      </c>
      <c r="IK124" t="e">
        <f>AND(DATA!F742,"AAAAAEL3MPQ=")</f>
        <v>#VALUE!</v>
      </c>
      <c r="IL124" t="e">
        <f>AND(DATA!G742,"AAAAAEL3MPU=")</f>
        <v>#VALUE!</v>
      </c>
      <c r="IM124" t="e">
        <f>AND(DATA!H742,"AAAAAEL3MPY=")</f>
        <v>#VALUE!</v>
      </c>
      <c r="IN124" t="e">
        <f>AND(DATA!I742,"AAAAAEL3MPc=")</f>
        <v>#VALUE!</v>
      </c>
      <c r="IO124" t="e">
        <f>AND(DATA!J742,"AAAAAEL3MPg=")</f>
        <v>#VALUE!</v>
      </c>
      <c r="IP124" t="e">
        <f>AND(DATA!K742,"AAAAAEL3MPk=")</f>
        <v>#VALUE!</v>
      </c>
      <c r="IQ124" t="b">
        <f>AND(DATA!L743,"AAAAAEL3MPo=")</f>
        <v>1</v>
      </c>
      <c r="IR124" t="b">
        <f>AND(DATA!M743,"AAAAAEL3MPs=")</f>
        <v>1</v>
      </c>
      <c r="IS124" t="b">
        <f>AND(DATA!N743,"AAAAAEL3MPw=")</f>
        <v>1</v>
      </c>
      <c r="IT124" t="b">
        <f>AND(DATA!O743,"AAAAAEL3MP0=")</f>
        <v>1</v>
      </c>
      <c r="IU124" t="b">
        <f>AND(DATA!P743,"AAAAAEL3MP4=")</f>
        <v>1</v>
      </c>
      <c r="IV124" t="b">
        <f>AND(DATA!Q743,"AAAAAEL3MP8=")</f>
        <v>1</v>
      </c>
    </row>
    <row r="125" spans="1:256" x14ac:dyDescent="0.25">
      <c r="A125" t="b">
        <f>AND(DATA!R743,"AAAAAFru/wA=")</f>
        <v>1</v>
      </c>
      <c r="B125" t="b">
        <f>AND(DATA!S743,"AAAAAFru/wE=")</f>
        <v>1</v>
      </c>
      <c r="C125" t="b">
        <f>AND(DATA!T743,"AAAAAFru/wI=")</f>
        <v>1</v>
      </c>
      <c r="D125" t="b">
        <f>AND(DATA!U743,"AAAAAFru/wM=")</f>
        <v>1</v>
      </c>
      <c r="E125" t="b">
        <f>AND(DATA!V743,"AAAAAFru/wQ=")</f>
        <v>1</v>
      </c>
      <c r="F125" t="e">
        <f>AND(DATA!W742,"AAAAAFru/wU=")</f>
        <v>#VALUE!</v>
      </c>
      <c r="G125" t="e">
        <f>AND(DATA!X742,"AAAAAFru/wY=")</f>
        <v>#VALUE!</v>
      </c>
      <c r="H125" t="e">
        <f>AND(DATA!Y742,"AAAAAFru/wc=")</f>
        <v>#VALUE!</v>
      </c>
      <c r="I125">
        <f>IF(DATA!743:743,"AAAAAFru/wg=",0)</f>
        <v>0</v>
      </c>
      <c r="J125" t="e">
        <f>AND(DATA!A743,"AAAAAFru/wk=")</f>
        <v>#VALUE!</v>
      </c>
      <c r="K125" t="e">
        <f>AND(DATA!B743,"AAAAAFru/wo=")</f>
        <v>#VALUE!</v>
      </c>
      <c r="L125" t="e">
        <f>AND(DATA!C743,"AAAAAFru/ws=")</f>
        <v>#VALUE!</v>
      </c>
      <c r="M125" t="e">
        <f>AND(DATA!D743,"AAAAAFru/ww=")</f>
        <v>#VALUE!</v>
      </c>
      <c r="N125" t="e">
        <f>AND(DATA!E743,"AAAAAFru/w0=")</f>
        <v>#VALUE!</v>
      </c>
      <c r="O125" t="e">
        <f>AND(DATA!F743,"AAAAAFru/w4=")</f>
        <v>#VALUE!</v>
      </c>
      <c r="P125" t="e">
        <f>AND(DATA!G743,"AAAAAFru/w8=")</f>
        <v>#VALUE!</v>
      </c>
      <c r="Q125" t="e">
        <f>AND(DATA!H743,"AAAAAFru/xA=")</f>
        <v>#VALUE!</v>
      </c>
      <c r="R125" t="e">
        <f>AND(DATA!I743,"AAAAAFru/xE=")</f>
        <v>#VALUE!</v>
      </c>
      <c r="S125" t="e">
        <f>AND(DATA!J743,"AAAAAFru/xI=")</f>
        <v>#VALUE!</v>
      </c>
      <c r="T125" t="e">
        <f>AND(DATA!K743,"AAAAAFru/xM=")</f>
        <v>#VALUE!</v>
      </c>
      <c r="U125" t="b">
        <f>AND(DATA!L744,"AAAAAFru/xQ=")</f>
        <v>1</v>
      </c>
      <c r="V125" t="b">
        <f>AND(DATA!M744,"AAAAAFru/xU=")</f>
        <v>1</v>
      </c>
      <c r="W125" t="b">
        <f>AND(DATA!N744,"AAAAAFru/xY=")</f>
        <v>1</v>
      </c>
      <c r="X125" t="b">
        <f>AND(DATA!O744,"AAAAAFru/xc=")</f>
        <v>1</v>
      </c>
      <c r="Y125" t="b">
        <f>AND(DATA!P744,"AAAAAFru/xg=")</f>
        <v>1</v>
      </c>
      <c r="Z125" t="b">
        <f>AND(DATA!Q744,"AAAAAFru/xk=")</f>
        <v>1</v>
      </c>
      <c r="AA125" t="b">
        <f>AND(DATA!R744,"AAAAAFru/xo=")</f>
        <v>1</v>
      </c>
      <c r="AB125" t="b">
        <f>AND(DATA!S744,"AAAAAFru/xs=")</f>
        <v>1</v>
      </c>
      <c r="AC125" t="b">
        <f>AND(DATA!T744,"AAAAAFru/xw=")</f>
        <v>1</v>
      </c>
      <c r="AD125" t="b">
        <f>AND(DATA!U744,"AAAAAFru/x0=")</f>
        <v>1</v>
      </c>
      <c r="AE125" t="b">
        <f>AND(DATA!V744,"AAAAAFru/x4=")</f>
        <v>1</v>
      </c>
      <c r="AF125" t="e">
        <f>AND(DATA!W743,"AAAAAFru/x8=")</f>
        <v>#VALUE!</v>
      </c>
      <c r="AG125" t="e">
        <f>AND(DATA!X743,"AAAAAFru/yA=")</f>
        <v>#VALUE!</v>
      </c>
      <c r="AH125" t="e">
        <f>AND(DATA!Y743,"AAAAAFru/yE=")</f>
        <v>#VALUE!</v>
      </c>
      <c r="AI125">
        <f>IF(DATA!744:744,"AAAAAFru/yI=",0)</f>
        <v>0</v>
      </c>
      <c r="AJ125" t="e">
        <f>AND(DATA!A744,"AAAAAFru/yM=")</f>
        <v>#VALUE!</v>
      </c>
      <c r="AK125" t="e">
        <f>AND(DATA!B744,"AAAAAFru/yQ=")</f>
        <v>#VALUE!</v>
      </c>
      <c r="AL125" t="e">
        <f>AND(DATA!C744,"AAAAAFru/yU=")</f>
        <v>#VALUE!</v>
      </c>
      <c r="AM125" t="e">
        <f>AND(DATA!D744,"AAAAAFru/yY=")</f>
        <v>#VALUE!</v>
      </c>
      <c r="AN125" t="e">
        <f>AND(DATA!E744,"AAAAAFru/yc=")</f>
        <v>#VALUE!</v>
      </c>
      <c r="AO125" t="e">
        <f>AND(DATA!F744,"AAAAAFru/yg=")</f>
        <v>#VALUE!</v>
      </c>
      <c r="AP125" t="e">
        <f>AND(DATA!G744,"AAAAAFru/yk=")</f>
        <v>#VALUE!</v>
      </c>
      <c r="AQ125" t="e">
        <f>AND(DATA!H744,"AAAAAFru/yo=")</f>
        <v>#VALUE!</v>
      </c>
      <c r="AR125" t="e">
        <f>AND(DATA!I744,"AAAAAFru/ys=")</f>
        <v>#VALUE!</v>
      </c>
      <c r="AS125" t="e">
        <f>AND(DATA!J744,"AAAAAFru/yw=")</f>
        <v>#VALUE!</v>
      </c>
      <c r="AT125" t="e">
        <f>AND(DATA!K744,"AAAAAFru/y0=")</f>
        <v>#VALUE!</v>
      </c>
      <c r="AU125" t="b">
        <f>AND(DATA!L745,"AAAAAFru/y4=")</f>
        <v>1</v>
      </c>
      <c r="AV125" t="b">
        <f>AND(DATA!M745,"AAAAAFru/y8=")</f>
        <v>1</v>
      </c>
      <c r="AW125" t="b">
        <f>AND(DATA!N745,"AAAAAFru/zA=")</f>
        <v>1</v>
      </c>
      <c r="AX125" t="b">
        <f>AND(DATA!O745,"AAAAAFru/zE=")</f>
        <v>1</v>
      </c>
      <c r="AY125" t="b">
        <f>AND(DATA!P745,"AAAAAFru/zI=")</f>
        <v>1</v>
      </c>
      <c r="AZ125" t="b">
        <f>AND(DATA!Q745,"AAAAAFru/zM=")</f>
        <v>1</v>
      </c>
      <c r="BA125" t="b">
        <f>AND(DATA!R745,"AAAAAFru/zQ=")</f>
        <v>1</v>
      </c>
      <c r="BB125" t="b">
        <f>AND(DATA!S745,"AAAAAFru/zU=")</f>
        <v>1</v>
      </c>
      <c r="BC125" t="b">
        <f>AND(DATA!T745,"AAAAAFru/zY=")</f>
        <v>1</v>
      </c>
      <c r="BD125" t="b">
        <f>AND(DATA!U745,"AAAAAFru/zc=")</f>
        <v>1</v>
      </c>
      <c r="BE125" t="b">
        <f>AND(DATA!V745,"AAAAAFru/zg=")</f>
        <v>1</v>
      </c>
      <c r="BF125" t="e">
        <f>AND(DATA!W744,"AAAAAFru/zk=")</f>
        <v>#VALUE!</v>
      </c>
      <c r="BG125" t="e">
        <f>AND(DATA!X744,"AAAAAFru/zo=")</f>
        <v>#VALUE!</v>
      </c>
      <c r="BH125" t="e">
        <f>AND(DATA!Y744,"AAAAAFru/zs=")</f>
        <v>#VALUE!</v>
      </c>
      <c r="BI125">
        <f>IF(DATA!745:745,"AAAAAFru/zw=",0)</f>
        <v>0</v>
      </c>
      <c r="BJ125" t="e">
        <f>AND(DATA!A745,"AAAAAFru/z0=")</f>
        <v>#VALUE!</v>
      </c>
      <c r="BK125" t="e">
        <f>AND(DATA!B745,"AAAAAFru/z4=")</f>
        <v>#VALUE!</v>
      </c>
      <c r="BL125" t="e">
        <f>AND(DATA!C745,"AAAAAFru/z8=")</f>
        <v>#VALUE!</v>
      </c>
      <c r="BM125" t="e">
        <f>AND(DATA!D745,"AAAAAFru/0A=")</f>
        <v>#VALUE!</v>
      </c>
      <c r="BN125" t="e">
        <f>AND(DATA!E745,"AAAAAFru/0E=")</f>
        <v>#VALUE!</v>
      </c>
      <c r="BO125" t="e">
        <f>AND(DATA!F745,"AAAAAFru/0I=")</f>
        <v>#VALUE!</v>
      </c>
      <c r="BP125" t="e">
        <f>AND(DATA!G745,"AAAAAFru/0M=")</f>
        <v>#VALUE!</v>
      </c>
      <c r="BQ125" t="e">
        <f>AND(DATA!H745,"AAAAAFru/0Q=")</f>
        <v>#VALUE!</v>
      </c>
      <c r="BR125" t="e">
        <f>AND(DATA!I745,"AAAAAFru/0U=")</f>
        <v>#VALUE!</v>
      </c>
      <c r="BS125" t="e">
        <f>AND(DATA!J745,"AAAAAFru/0Y=")</f>
        <v>#VALUE!</v>
      </c>
      <c r="BT125" t="e">
        <f>AND(DATA!K745,"AAAAAFru/0c=")</f>
        <v>#VALUE!</v>
      </c>
      <c r="BU125" t="b">
        <f>AND(DATA!L746,"AAAAAFru/0g=")</f>
        <v>1</v>
      </c>
      <c r="BV125" t="b">
        <f>AND(DATA!M746,"AAAAAFru/0k=")</f>
        <v>1</v>
      </c>
      <c r="BW125" t="b">
        <f>AND(DATA!N746,"AAAAAFru/0o=")</f>
        <v>1</v>
      </c>
      <c r="BX125" t="b">
        <f>AND(DATA!O746,"AAAAAFru/0s=")</f>
        <v>1</v>
      </c>
      <c r="BY125" t="b">
        <f>AND(DATA!P746,"AAAAAFru/0w=")</f>
        <v>1</v>
      </c>
      <c r="BZ125" t="b">
        <f>AND(DATA!Q746,"AAAAAFru/00=")</f>
        <v>1</v>
      </c>
      <c r="CA125" t="b">
        <f>AND(DATA!R746,"AAAAAFru/04=")</f>
        <v>1</v>
      </c>
      <c r="CB125" t="b">
        <f>AND(DATA!S746,"AAAAAFru/08=")</f>
        <v>1</v>
      </c>
      <c r="CC125" t="b">
        <f>AND(DATA!T746,"AAAAAFru/1A=")</f>
        <v>1</v>
      </c>
      <c r="CD125" t="b">
        <f>AND(DATA!U746,"AAAAAFru/1E=")</f>
        <v>1</v>
      </c>
      <c r="CE125" t="b">
        <f>AND(DATA!V746,"AAAAAFru/1I=")</f>
        <v>1</v>
      </c>
      <c r="CF125" t="e">
        <f>AND(DATA!W745,"AAAAAFru/1M=")</f>
        <v>#VALUE!</v>
      </c>
      <c r="CG125" t="e">
        <f>AND(DATA!X745,"AAAAAFru/1Q=")</f>
        <v>#VALUE!</v>
      </c>
      <c r="CH125" t="e">
        <f>AND(DATA!Y745,"AAAAAFru/1U=")</f>
        <v>#VALUE!</v>
      </c>
      <c r="CI125">
        <f>IF(DATA!746:746,"AAAAAFru/1Y=",0)</f>
        <v>0</v>
      </c>
      <c r="CJ125" t="e">
        <f>AND(DATA!A746,"AAAAAFru/1c=")</f>
        <v>#VALUE!</v>
      </c>
      <c r="CK125" t="e">
        <f>AND(DATA!B746,"AAAAAFru/1g=")</f>
        <v>#VALUE!</v>
      </c>
      <c r="CL125" t="e">
        <f>AND(DATA!C746,"AAAAAFru/1k=")</f>
        <v>#VALUE!</v>
      </c>
      <c r="CM125" t="e">
        <f>AND(DATA!D746,"AAAAAFru/1o=")</f>
        <v>#VALUE!</v>
      </c>
      <c r="CN125" t="e">
        <f>AND(DATA!E746,"AAAAAFru/1s=")</f>
        <v>#VALUE!</v>
      </c>
      <c r="CO125" t="e">
        <f>AND(DATA!F746,"AAAAAFru/1w=")</f>
        <v>#VALUE!</v>
      </c>
      <c r="CP125" t="e">
        <f>AND(DATA!G746,"AAAAAFru/10=")</f>
        <v>#VALUE!</v>
      </c>
      <c r="CQ125" t="e">
        <f>AND(DATA!H746,"AAAAAFru/14=")</f>
        <v>#VALUE!</v>
      </c>
      <c r="CR125" t="e">
        <f>AND(DATA!I746,"AAAAAFru/18=")</f>
        <v>#VALUE!</v>
      </c>
      <c r="CS125" t="e">
        <f>AND(DATA!J746,"AAAAAFru/2A=")</f>
        <v>#VALUE!</v>
      </c>
      <c r="CT125" t="e">
        <f>AND(DATA!K746,"AAAAAFru/2E=")</f>
        <v>#VALUE!</v>
      </c>
      <c r="CU125" t="b">
        <f>AND(DATA!L747,"AAAAAFru/2I=")</f>
        <v>1</v>
      </c>
      <c r="CV125" t="b">
        <f>AND(DATA!M747,"AAAAAFru/2M=")</f>
        <v>1</v>
      </c>
      <c r="CW125" t="b">
        <f>AND(DATA!N747,"AAAAAFru/2Q=")</f>
        <v>1</v>
      </c>
      <c r="CX125" t="b">
        <f>AND(DATA!O747,"AAAAAFru/2U=")</f>
        <v>1</v>
      </c>
      <c r="CY125" t="b">
        <f>AND(DATA!P747,"AAAAAFru/2Y=")</f>
        <v>1</v>
      </c>
      <c r="CZ125" t="b">
        <f>AND(DATA!Q747,"AAAAAFru/2c=")</f>
        <v>1</v>
      </c>
      <c r="DA125" t="b">
        <f>AND(DATA!R747,"AAAAAFru/2g=")</f>
        <v>1</v>
      </c>
      <c r="DB125" t="b">
        <f>AND(DATA!S747,"AAAAAFru/2k=")</f>
        <v>1</v>
      </c>
      <c r="DC125" t="b">
        <f>AND(DATA!T747,"AAAAAFru/2o=")</f>
        <v>1</v>
      </c>
      <c r="DD125" t="b">
        <f>AND(DATA!U747,"AAAAAFru/2s=")</f>
        <v>1</v>
      </c>
      <c r="DE125" t="b">
        <f>AND(DATA!V747,"AAAAAFru/2w=")</f>
        <v>1</v>
      </c>
      <c r="DF125" t="e">
        <f>AND(DATA!W746,"AAAAAFru/20=")</f>
        <v>#VALUE!</v>
      </c>
      <c r="DG125" t="e">
        <f>AND(DATA!X746,"AAAAAFru/24=")</f>
        <v>#VALUE!</v>
      </c>
      <c r="DH125" t="e">
        <f>AND(DATA!Y746,"AAAAAFru/28=")</f>
        <v>#VALUE!</v>
      </c>
      <c r="DI125">
        <f>IF(DATA!747:747,"AAAAAFru/3A=",0)</f>
        <v>0</v>
      </c>
      <c r="DJ125" t="e">
        <f>AND(DATA!A747,"AAAAAFru/3E=")</f>
        <v>#VALUE!</v>
      </c>
      <c r="DK125" t="e">
        <f>AND(DATA!B747,"AAAAAFru/3I=")</f>
        <v>#VALUE!</v>
      </c>
      <c r="DL125" t="e">
        <f>AND(DATA!C747,"AAAAAFru/3M=")</f>
        <v>#VALUE!</v>
      </c>
      <c r="DM125" t="e">
        <f>AND(DATA!D747,"AAAAAFru/3Q=")</f>
        <v>#VALUE!</v>
      </c>
      <c r="DN125" t="e">
        <f>AND(DATA!E747,"AAAAAFru/3U=")</f>
        <v>#VALUE!</v>
      </c>
      <c r="DO125" t="e">
        <f>AND(DATA!F747,"AAAAAFru/3Y=")</f>
        <v>#VALUE!</v>
      </c>
      <c r="DP125" t="e">
        <f>AND(DATA!G747,"AAAAAFru/3c=")</f>
        <v>#VALUE!</v>
      </c>
      <c r="DQ125" t="e">
        <f>AND(DATA!H747,"AAAAAFru/3g=")</f>
        <v>#VALUE!</v>
      </c>
      <c r="DR125" t="e">
        <f>AND(DATA!I747,"AAAAAFru/3k=")</f>
        <v>#VALUE!</v>
      </c>
      <c r="DS125" t="e">
        <f>AND(DATA!J747,"AAAAAFru/3o=")</f>
        <v>#VALUE!</v>
      </c>
      <c r="DT125" t="e">
        <f>AND(DATA!K747,"AAAAAFru/3s=")</f>
        <v>#VALUE!</v>
      </c>
      <c r="DU125" t="b">
        <f>AND(DATA!L748,"AAAAAFru/3w=")</f>
        <v>1</v>
      </c>
      <c r="DV125" t="b">
        <f>AND(DATA!M748,"AAAAAFru/30=")</f>
        <v>1</v>
      </c>
      <c r="DW125" t="b">
        <f>AND(DATA!N748,"AAAAAFru/34=")</f>
        <v>1</v>
      </c>
      <c r="DX125" t="b">
        <f>AND(DATA!O748,"AAAAAFru/38=")</f>
        <v>1</v>
      </c>
      <c r="DY125" t="b">
        <f>AND(DATA!P748,"AAAAAFru/4A=")</f>
        <v>1</v>
      </c>
      <c r="DZ125" t="b">
        <f>AND(DATA!Q748,"AAAAAFru/4E=")</f>
        <v>1</v>
      </c>
      <c r="EA125" t="b">
        <f>AND(DATA!R748,"AAAAAFru/4I=")</f>
        <v>1</v>
      </c>
      <c r="EB125" t="b">
        <f>AND(DATA!S748,"AAAAAFru/4M=")</f>
        <v>1</v>
      </c>
      <c r="EC125" t="b">
        <f>AND(DATA!T748,"AAAAAFru/4Q=")</f>
        <v>1</v>
      </c>
      <c r="ED125" t="b">
        <f>AND(DATA!U748,"AAAAAFru/4U=")</f>
        <v>1</v>
      </c>
      <c r="EE125" t="b">
        <f>AND(DATA!V748,"AAAAAFru/4Y=")</f>
        <v>1</v>
      </c>
      <c r="EF125" t="e">
        <f>AND(DATA!W747,"AAAAAFru/4c=")</f>
        <v>#VALUE!</v>
      </c>
      <c r="EG125" t="e">
        <f>AND(DATA!X747,"AAAAAFru/4g=")</f>
        <v>#VALUE!</v>
      </c>
      <c r="EH125" t="e">
        <f>AND(DATA!Y747,"AAAAAFru/4k=")</f>
        <v>#VALUE!</v>
      </c>
      <c r="EI125">
        <f>IF(DATA!748:748,"AAAAAFru/4o=",0)</f>
        <v>0</v>
      </c>
      <c r="EJ125" t="e">
        <f>AND(DATA!A748,"AAAAAFru/4s=")</f>
        <v>#VALUE!</v>
      </c>
      <c r="EK125" t="e">
        <f>AND(DATA!B748,"AAAAAFru/4w=")</f>
        <v>#VALUE!</v>
      </c>
      <c r="EL125" t="e">
        <f>AND(DATA!C748,"AAAAAFru/40=")</f>
        <v>#VALUE!</v>
      </c>
      <c r="EM125" t="e">
        <f>AND(DATA!D748,"AAAAAFru/44=")</f>
        <v>#VALUE!</v>
      </c>
      <c r="EN125" t="e">
        <f>AND(DATA!E748,"AAAAAFru/48=")</f>
        <v>#VALUE!</v>
      </c>
      <c r="EO125" t="e">
        <f>AND(DATA!F748,"AAAAAFru/5A=")</f>
        <v>#VALUE!</v>
      </c>
      <c r="EP125" t="e">
        <f>AND(DATA!G748,"AAAAAFru/5E=")</f>
        <v>#VALUE!</v>
      </c>
      <c r="EQ125" t="e">
        <f>AND(DATA!H748,"AAAAAFru/5I=")</f>
        <v>#VALUE!</v>
      </c>
      <c r="ER125" t="e">
        <f>AND(DATA!I748,"AAAAAFru/5M=")</f>
        <v>#VALUE!</v>
      </c>
      <c r="ES125" t="e">
        <f>AND(DATA!J748,"AAAAAFru/5Q=")</f>
        <v>#VALUE!</v>
      </c>
      <c r="ET125" t="e">
        <f>AND(DATA!K748,"AAAAAFru/5U=")</f>
        <v>#VALUE!</v>
      </c>
      <c r="EU125" t="b">
        <f>AND(DATA!L749,"AAAAAFru/5Y=")</f>
        <v>1</v>
      </c>
      <c r="EV125" t="b">
        <f>AND(DATA!M749,"AAAAAFru/5c=")</f>
        <v>1</v>
      </c>
      <c r="EW125" t="b">
        <f>AND(DATA!N749,"AAAAAFru/5g=")</f>
        <v>1</v>
      </c>
      <c r="EX125" t="b">
        <f>AND(DATA!O749,"AAAAAFru/5k=")</f>
        <v>1</v>
      </c>
      <c r="EY125" t="b">
        <f>AND(DATA!P749,"AAAAAFru/5o=")</f>
        <v>1</v>
      </c>
      <c r="EZ125" t="b">
        <f>AND(DATA!Q749,"AAAAAFru/5s=")</f>
        <v>1</v>
      </c>
      <c r="FA125" t="b">
        <f>AND(DATA!R749,"AAAAAFru/5w=")</f>
        <v>1</v>
      </c>
      <c r="FB125" t="b">
        <f>AND(DATA!S749,"AAAAAFru/50=")</f>
        <v>1</v>
      </c>
      <c r="FC125" t="b">
        <f>AND(DATA!T749,"AAAAAFru/54=")</f>
        <v>1</v>
      </c>
      <c r="FD125" t="b">
        <f>AND(DATA!U749,"AAAAAFru/58=")</f>
        <v>1</v>
      </c>
      <c r="FE125" t="b">
        <f>AND(DATA!V749,"AAAAAFru/6A=")</f>
        <v>1</v>
      </c>
      <c r="FF125" t="e">
        <f>AND(DATA!W748,"AAAAAFru/6E=")</f>
        <v>#VALUE!</v>
      </c>
      <c r="FG125" t="e">
        <f>AND(DATA!X748,"AAAAAFru/6I=")</f>
        <v>#VALUE!</v>
      </c>
      <c r="FH125" t="e">
        <f>AND(DATA!Y748,"AAAAAFru/6M=")</f>
        <v>#VALUE!</v>
      </c>
      <c r="FI125">
        <f>IF(DATA!749:749,"AAAAAFru/6Q=",0)</f>
        <v>0</v>
      </c>
      <c r="FJ125" t="e">
        <f>AND(DATA!A749,"AAAAAFru/6U=")</f>
        <v>#VALUE!</v>
      </c>
      <c r="FK125" t="e">
        <f>AND(DATA!B749,"AAAAAFru/6Y=")</f>
        <v>#VALUE!</v>
      </c>
      <c r="FL125" t="e">
        <f>AND(DATA!C749,"AAAAAFru/6c=")</f>
        <v>#VALUE!</v>
      </c>
      <c r="FM125" t="e">
        <f>AND(DATA!D749,"AAAAAFru/6g=")</f>
        <v>#VALUE!</v>
      </c>
      <c r="FN125" t="e">
        <f>AND(DATA!E749,"AAAAAFru/6k=")</f>
        <v>#VALUE!</v>
      </c>
      <c r="FO125" t="e">
        <f>AND(DATA!F749,"AAAAAFru/6o=")</f>
        <v>#VALUE!</v>
      </c>
      <c r="FP125" t="e">
        <f>AND(DATA!G749,"AAAAAFru/6s=")</f>
        <v>#VALUE!</v>
      </c>
      <c r="FQ125" t="e">
        <f>AND(DATA!H749,"AAAAAFru/6w=")</f>
        <v>#VALUE!</v>
      </c>
      <c r="FR125" t="e">
        <f>AND(DATA!I749,"AAAAAFru/60=")</f>
        <v>#VALUE!</v>
      </c>
      <c r="FS125" t="e">
        <f>AND(DATA!J749,"AAAAAFru/64=")</f>
        <v>#VALUE!</v>
      </c>
      <c r="FT125" t="e">
        <f>AND(DATA!K749,"AAAAAFru/68=")</f>
        <v>#VALUE!</v>
      </c>
      <c r="FU125" t="b">
        <f>AND(DATA!L750,"AAAAAFru/7A=")</f>
        <v>1</v>
      </c>
      <c r="FV125" t="b">
        <f>AND(DATA!M750,"AAAAAFru/7E=")</f>
        <v>1</v>
      </c>
      <c r="FW125" t="b">
        <f>AND(DATA!N750,"AAAAAFru/7I=")</f>
        <v>1</v>
      </c>
      <c r="FX125" t="b">
        <f>AND(DATA!O750,"AAAAAFru/7M=")</f>
        <v>1</v>
      </c>
      <c r="FY125" t="b">
        <f>AND(DATA!P750,"AAAAAFru/7Q=")</f>
        <v>1</v>
      </c>
      <c r="FZ125" t="b">
        <f>AND(DATA!Q750,"AAAAAFru/7U=")</f>
        <v>1</v>
      </c>
      <c r="GA125" t="b">
        <f>AND(DATA!R750,"AAAAAFru/7Y=")</f>
        <v>1</v>
      </c>
      <c r="GB125" t="b">
        <f>AND(DATA!S750,"AAAAAFru/7c=")</f>
        <v>1</v>
      </c>
      <c r="GC125" t="b">
        <f>AND(DATA!T750,"AAAAAFru/7g=")</f>
        <v>1</v>
      </c>
      <c r="GD125" t="b">
        <f>AND(DATA!U750,"AAAAAFru/7k=")</f>
        <v>1</v>
      </c>
      <c r="GE125" t="b">
        <f>AND(DATA!V750,"AAAAAFru/7o=")</f>
        <v>1</v>
      </c>
      <c r="GF125" t="e">
        <f>AND(DATA!W749,"AAAAAFru/7s=")</f>
        <v>#VALUE!</v>
      </c>
      <c r="GG125" t="e">
        <f>AND(DATA!X749,"AAAAAFru/7w=")</f>
        <v>#VALUE!</v>
      </c>
      <c r="GH125" t="e">
        <f>AND(DATA!Y749,"AAAAAFru/70=")</f>
        <v>#VALUE!</v>
      </c>
      <c r="GI125">
        <f>IF(DATA!750:750,"AAAAAFru/74=",0)</f>
        <v>0</v>
      </c>
      <c r="GJ125" t="e">
        <f>AND(DATA!A750,"AAAAAFru/78=")</f>
        <v>#VALUE!</v>
      </c>
      <c r="GK125" t="e">
        <f>AND(DATA!B750,"AAAAAFru/8A=")</f>
        <v>#VALUE!</v>
      </c>
      <c r="GL125" t="e">
        <f>AND(DATA!C750,"AAAAAFru/8E=")</f>
        <v>#VALUE!</v>
      </c>
      <c r="GM125" t="e">
        <f>AND(DATA!D750,"AAAAAFru/8I=")</f>
        <v>#VALUE!</v>
      </c>
      <c r="GN125" t="e">
        <f>AND(DATA!E750,"AAAAAFru/8M=")</f>
        <v>#VALUE!</v>
      </c>
      <c r="GO125" t="e">
        <f>AND(DATA!F750,"AAAAAFru/8Q=")</f>
        <v>#VALUE!</v>
      </c>
      <c r="GP125" t="e">
        <f>AND(DATA!G750,"AAAAAFru/8U=")</f>
        <v>#VALUE!</v>
      </c>
      <c r="GQ125" t="e">
        <f>AND(DATA!H750,"AAAAAFru/8Y=")</f>
        <v>#VALUE!</v>
      </c>
      <c r="GR125" t="e">
        <f>AND(DATA!I750,"AAAAAFru/8c=")</f>
        <v>#VALUE!</v>
      </c>
      <c r="GS125" t="e">
        <f>AND(DATA!J750,"AAAAAFru/8g=")</f>
        <v>#VALUE!</v>
      </c>
      <c r="GT125" t="e">
        <f>AND(DATA!K750,"AAAAAFru/8k=")</f>
        <v>#VALUE!</v>
      </c>
      <c r="GU125" t="b">
        <f>AND(DATA!L751,"AAAAAFru/8o=")</f>
        <v>1</v>
      </c>
      <c r="GV125" t="b">
        <f>AND(DATA!M751,"AAAAAFru/8s=")</f>
        <v>1</v>
      </c>
      <c r="GW125" t="b">
        <f>AND(DATA!N751,"AAAAAFru/8w=")</f>
        <v>1</v>
      </c>
      <c r="GX125" t="b">
        <f>AND(DATA!O751,"AAAAAFru/80=")</f>
        <v>1</v>
      </c>
      <c r="GY125" t="b">
        <f>AND(DATA!P751,"AAAAAFru/84=")</f>
        <v>1</v>
      </c>
      <c r="GZ125" t="b">
        <f>AND(DATA!Q751,"AAAAAFru/88=")</f>
        <v>1</v>
      </c>
      <c r="HA125" t="b">
        <f>AND(DATA!R751,"AAAAAFru/9A=")</f>
        <v>1</v>
      </c>
      <c r="HB125" t="b">
        <f>AND(DATA!S751,"AAAAAFru/9E=")</f>
        <v>1</v>
      </c>
      <c r="HC125" t="b">
        <f>AND(DATA!T751,"AAAAAFru/9I=")</f>
        <v>1</v>
      </c>
      <c r="HD125" t="b">
        <f>AND(DATA!U751,"AAAAAFru/9M=")</f>
        <v>1</v>
      </c>
      <c r="HE125" t="b">
        <f>AND(DATA!V751,"AAAAAFru/9Q=")</f>
        <v>1</v>
      </c>
      <c r="HF125" t="e">
        <f>AND(DATA!W750,"AAAAAFru/9U=")</f>
        <v>#VALUE!</v>
      </c>
      <c r="HG125" t="e">
        <f>AND(DATA!X750,"AAAAAFru/9Y=")</f>
        <v>#VALUE!</v>
      </c>
      <c r="HH125" t="e">
        <f>AND(DATA!Y750,"AAAAAFru/9c=")</f>
        <v>#VALUE!</v>
      </c>
      <c r="HI125">
        <f>IF(DATA!751:751,"AAAAAFru/9g=",0)</f>
        <v>0</v>
      </c>
      <c r="HJ125" t="e">
        <f>AND(DATA!A751,"AAAAAFru/9k=")</f>
        <v>#VALUE!</v>
      </c>
      <c r="HK125" t="e">
        <f>AND(DATA!B751,"AAAAAFru/9o=")</f>
        <v>#VALUE!</v>
      </c>
      <c r="HL125" t="e">
        <f>AND(DATA!C751,"AAAAAFru/9s=")</f>
        <v>#VALUE!</v>
      </c>
      <c r="HM125" t="e">
        <f>AND(DATA!D751,"AAAAAFru/9w=")</f>
        <v>#VALUE!</v>
      </c>
      <c r="HN125" t="e">
        <f>AND(DATA!E751,"AAAAAFru/90=")</f>
        <v>#VALUE!</v>
      </c>
      <c r="HO125" t="e">
        <f>AND(DATA!F751,"AAAAAFru/94=")</f>
        <v>#VALUE!</v>
      </c>
      <c r="HP125" t="e">
        <f>AND(DATA!G751,"AAAAAFru/98=")</f>
        <v>#VALUE!</v>
      </c>
      <c r="HQ125" t="e">
        <f>AND(DATA!H751,"AAAAAFru/+A=")</f>
        <v>#VALUE!</v>
      </c>
      <c r="HR125" t="e">
        <f>AND(DATA!I751,"AAAAAFru/+E=")</f>
        <v>#VALUE!</v>
      </c>
      <c r="HS125" t="e">
        <f>AND(DATA!J751,"AAAAAFru/+I=")</f>
        <v>#VALUE!</v>
      </c>
      <c r="HT125" t="e">
        <f>AND(DATA!K751,"AAAAAFru/+M=")</f>
        <v>#VALUE!</v>
      </c>
      <c r="HU125" t="b">
        <f>AND(DATA!L752,"AAAAAFru/+Q=")</f>
        <v>1</v>
      </c>
      <c r="HV125" t="b">
        <f>AND(DATA!M752,"AAAAAFru/+U=")</f>
        <v>1</v>
      </c>
      <c r="HW125" t="b">
        <f>AND(DATA!N752,"AAAAAFru/+Y=")</f>
        <v>1</v>
      </c>
      <c r="HX125" t="b">
        <f>AND(DATA!O752,"AAAAAFru/+c=")</f>
        <v>1</v>
      </c>
      <c r="HY125" t="b">
        <f>AND(DATA!P752,"AAAAAFru/+g=")</f>
        <v>1</v>
      </c>
      <c r="HZ125" t="b">
        <f>AND(DATA!Q752,"AAAAAFru/+k=")</f>
        <v>1</v>
      </c>
      <c r="IA125" t="b">
        <f>AND(DATA!R752,"AAAAAFru/+o=")</f>
        <v>1</v>
      </c>
      <c r="IB125" t="b">
        <f>AND(DATA!S752,"AAAAAFru/+s=")</f>
        <v>1</v>
      </c>
      <c r="IC125" t="b">
        <f>AND(DATA!T752,"AAAAAFru/+w=")</f>
        <v>1</v>
      </c>
      <c r="ID125" t="b">
        <f>AND(DATA!U752,"AAAAAFru/+0=")</f>
        <v>1</v>
      </c>
      <c r="IE125" t="b">
        <f>AND(DATA!V752,"AAAAAFru/+4=")</f>
        <v>1</v>
      </c>
      <c r="IF125" t="e">
        <f>AND(DATA!W751,"AAAAAFru/+8=")</f>
        <v>#VALUE!</v>
      </c>
      <c r="IG125" t="e">
        <f>AND(DATA!X751,"AAAAAFru//A=")</f>
        <v>#VALUE!</v>
      </c>
      <c r="IH125" t="e">
        <f>AND(DATA!Y751,"AAAAAFru//E=")</f>
        <v>#VALUE!</v>
      </c>
      <c r="II125">
        <f>IF(DATA!752:752,"AAAAAFru//I=",0)</f>
        <v>0</v>
      </c>
      <c r="IJ125" t="e">
        <f>AND(DATA!A752,"AAAAAFru//M=")</f>
        <v>#VALUE!</v>
      </c>
      <c r="IK125" t="e">
        <f>AND(DATA!B752,"AAAAAFru//Q=")</f>
        <v>#VALUE!</v>
      </c>
      <c r="IL125" t="e">
        <f>AND(DATA!C752,"AAAAAFru//U=")</f>
        <v>#VALUE!</v>
      </c>
      <c r="IM125" t="e">
        <f>AND(DATA!D752,"AAAAAFru//Y=")</f>
        <v>#VALUE!</v>
      </c>
      <c r="IN125" t="e">
        <f>AND(DATA!E752,"AAAAAFru//c=")</f>
        <v>#VALUE!</v>
      </c>
      <c r="IO125" t="e">
        <f>AND(DATA!F752,"AAAAAFru//g=")</f>
        <v>#VALUE!</v>
      </c>
      <c r="IP125" t="e">
        <f>AND(DATA!G752,"AAAAAFru//k=")</f>
        <v>#VALUE!</v>
      </c>
      <c r="IQ125" t="e">
        <f>AND(DATA!H752,"AAAAAFru//o=")</f>
        <v>#VALUE!</v>
      </c>
      <c r="IR125" t="e">
        <f>AND(DATA!I752,"AAAAAFru//s=")</f>
        <v>#VALUE!</v>
      </c>
      <c r="IS125" t="e">
        <f>AND(DATA!J752,"AAAAAFru//w=")</f>
        <v>#VALUE!</v>
      </c>
      <c r="IT125" t="e">
        <f>AND(DATA!K752,"AAAAAFru//0=")</f>
        <v>#VALUE!</v>
      </c>
      <c r="IU125" t="b">
        <f>AND(DATA!L753,"AAAAAFru//4=")</f>
        <v>1</v>
      </c>
      <c r="IV125" t="b">
        <f>AND(DATA!M753,"AAAAAFru//8=")</f>
        <v>1</v>
      </c>
    </row>
    <row r="126" spans="1:256" x14ac:dyDescent="0.25">
      <c r="A126" t="b">
        <f>AND(DATA!N753,"AAAAAHH/fQA=")</f>
        <v>1</v>
      </c>
      <c r="B126" t="b">
        <f>AND(DATA!O753,"AAAAAHH/fQE=")</f>
        <v>1</v>
      </c>
      <c r="C126" t="b">
        <f>AND(DATA!P753,"AAAAAHH/fQI=")</f>
        <v>1</v>
      </c>
      <c r="D126" t="b">
        <f>AND(DATA!Q753,"AAAAAHH/fQM=")</f>
        <v>1</v>
      </c>
      <c r="E126" t="b">
        <f>AND(DATA!R753,"AAAAAHH/fQQ=")</f>
        <v>1</v>
      </c>
      <c r="F126" t="b">
        <f>AND(DATA!S753,"AAAAAHH/fQU=")</f>
        <v>1</v>
      </c>
      <c r="G126" t="b">
        <f>AND(DATA!T753,"AAAAAHH/fQY=")</f>
        <v>1</v>
      </c>
      <c r="H126" t="b">
        <f>AND(DATA!U753,"AAAAAHH/fQc=")</f>
        <v>1</v>
      </c>
      <c r="I126" t="b">
        <f>AND(DATA!V753,"AAAAAHH/fQg=")</f>
        <v>1</v>
      </c>
      <c r="J126" t="e">
        <f>AND(DATA!W752,"AAAAAHH/fQk=")</f>
        <v>#VALUE!</v>
      </c>
      <c r="K126" t="e">
        <f>AND(DATA!X752,"AAAAAHH/fQo=")</f>
        <v>#VALUE!</v>
      </c>
      <c r="L126" t="e">
        <f>AND(DATA!Y752,"AAAAAHH/fQs=")</f>
        <v>#VALUE!</v>
      </c>
      <c r="M126" t="str">
        <f>IF(DATA!753:753,"AAAAAHH/fQw=",0)</f>
        <v>AAAAAHH/fQw=</v>
      </c>
      <c r="N126" t="e">
        <f>AND(DATA!A753,"AAAAAHH/fQ0=")</f>
        <v>#VALUE!</v>
      </c>
      <c r="O126" t="e">
        <f>AND(DATA!B753,"AAAAAHH/fQ4=")</f>
        <v>#VALUE!</v>
      </c>
      <c r="P126" t="e">
        <f>AND(DATA!C753,"AAAAAHH/fQ8=")</f>
        <v>#VALUE!</v>
      </c>
      <c r="Q126" t="e">
        <f>AND(DATA!D753,"AAAAAHH/fRA=")</f>
        <v>#VALUE!</v>
      </c>
      <c r="R126" t="e">
        <f>AND(DATA!E753,"AAAAAHH/fRE=")</f>
        <v>#VALUE!</v>
      </c>
      <c r="S126" t="e">
        <f>AND(DATA!F753,"AAAAAHH/fRI=")</f>
        <v>#VALUE!</v>
      </c>
      <c r="T126" t="e">
        <f>AND(DATA!G753,"AAAAAHH/fRM=")</f>
        <v>#VALUE!</v>
      </c>
      <c r="U126" t="e">
        <f>AND(DATA!H753,"AAAAAHH/fRQ=")</f>
        <v>#VALUE!</v>
      </c>
      <c r="V126" t="e">
        <f>AND(DATA!I753,"AAAAAHH/fRU=")</f>
        <v>#VALUE!</v>
      </c>
      <c r="W126" t="e">
        <f>AND(DATA!J753,"AAAAAHH/fRY=")</f>
        <v>#VALUE!</v>
      </c>
      <c r="X126" t="e">
        <f>AND(DATA!K753,"AAAAAHH/fRc=")</f>
        <v>#VALUE!</v>
      </c>
      <c r="Y126" t="b">
        <f>AND(DATA!L754,"AAAAAHH/fRg=")</f>
        <v>1</v>
      </c>
      <c r="Z126" t="b">
        <f>AND(DATA!M754,"AAAAAHH/fRk=")</f>
        <v>1</v>
      </c>
      <c r="AA126" t="b">
        <f>AND(DATA!N754,"AAAAAHH/fRo=")</f>
        <v>1</v>
      </c>
      <c r="AB126" t="b">
        <f>AND(DATA!O754,"AAAAAHH/fRs=")</f>
        <v>1</v>
      </c>
      <c r="AC126" t="b">
        <f>AND(DATA!P754,"AAAAAHH/fRw=")</f>
        <v>1</v>
      </c>
      <c r="AD126" t="b">
        <f>AND(DATA!Q754,"AAAAAHH/fR0=")</f>
        <v>1</v>
      </c>
      <c r="AE126" t="b">
        <f>AND(DATA!R754,"AAAAAHH/fR4=")</f>
        <v>1</v>
      </c>
      <c r="AF126" t="b">
        <f>AND(DATA!S754,"AAAAAHH/fR8=")</f>
        <v>1</v>
      </c>
      <c r="AG126" t="b">
        <f>AND(DATA!T754,"AAAAAHH/fSA=")</f>
        <v>1</v>
      </c>
      <c r="AH126" t="b">
        <f>AND(DATA!U754,"AAAAAHH/fSE=")</f>
        <v>1</v>
      </c>
      <c r="AI126" t="b">
        <f>AND(DATA!V754,"AAAAAHH/fSI=")</f>
        <v>1</v>
      </c>
      <c r="AJ126" t="e">
        <f>AND(DATA!W753,"AAAAAHH/fSM=")</f>
        <v>#VALUE!</v>
      </c>
      <c r="AK126" t="e">
        <f>AND(DATA!X753,"AAAAAHH/fSQ=")</f>
        <v>#VALUE!</v>
      </c>
      <c r="AL126" t="e">
        <f>AND(DATA!Y753,"AAAAAHH/fSU=")</f>
        <v>#VALUE!</v>
      </c>
      <c r="AM126">
        <f>IF(DATA!754:754,"AAAAAHH/fSY=",0)</f>
        <v>0</v>
      </c>
      <c r="AN126" t="e">
        <f>AND(DATA!A754,"AAAAAHH/fSc=")</f>
        <v>#VALUE!</v>
      </c>
      <c r="AO126" t="e">
        <f>AND(DATA!B754,"AAAAAHH/fSg=")</f>
        <v>#VALUE!</v>
      </c>
      <c r="AP126" t="e">
        <f>AND(DATA!C754,"AAAAAHH/fSk=")</f>
        <v>#VALUE!</v>
      </c>
      <c r="AQ126" t="e">
        <f>AND(DATA!D754,"AAAAAHH/fSo=")</f>
        <v>#VALUE!</v>
      </c>
      <c r="AR126" t="e">
        <f>AND(DATA!E754,"AAAAAHH/fSs=")</f>
        <v>#VALUE!</v>
      </c>
      <c r="AS126" t="e">
        <f>AND(DATA!F754,"AAAAAHH/fSw=")</f>
        <v>#VALUE!</v>
      </c>
      <c r="AT126" t="e">
        <f>AND(DATA!G754,"AAAAAHH/fS0=")</f>
        <v>#VALUE!</v>
      </c>
      <c r="AU126" t="e">
        <f>AND(DATA!H754,"AAAAAHH/fS4=")</f>
        <v>#VALUE!</v>
      </c>
      <c r="AV126" t="e">
        <f>AND(DATA!I754,"AAAAAHH/fS8=")</f>
        <v>#VALUE!</v>
      </c>
      <c r="AW126" t="e">
        <f>AND(DATA!J754,"AAAAAHH/fTA=")</f>
        <v>#VALUE!</v>
      </c>
      <c r="AX126" t="e">
        <f>AND(DATA!K754,"AAAAAHH/fTE=")</f>
        <v>#VALUE!</v>
      </c>
      <c r="AY126" t="b">
        <f>AND(DATA!L755,"AAAAAHH/fTI=")</f>
        <v>1</v>
      </c>
      <c r="AZ126" t="b">
        <f>AND(DATA!M755,"AAAAAHH/fTM=")</f>
        <v>1</v>
      </c>
      <c r="BA126" t="b">
        <f>AND(DATA!N755,"AAAAAHH/fTQ=")</f>
        <v>1</v>
      </c>
      <c r="BB126" t="b">
        <f>AND(DATA!O755,"AAAAAHH/fTU=")</f>
        <v>1</v>
      </c>
      <c r="BC126" t="b">
        <f>AND(DATA!P755,"AAAAAHH/fTY=")</f>
        <v>1</v>
      </c>
      <c r="BD126" t="b">
        <f>AND(DATA!Q755,"AAAAAHH/fTc=")</f>
        <v>1</v>
      </c>
      <c r="BE126" t="b">
        <f>AND(DATA!R755,"AAAAAHH/fTg=")</f>
        <v>1</v>
      </c>
      <c r="BF126" t="b">
        <f>AND(DATA!S755,"AAAAAHH/fTk=")</f>
        <v>1</v>
      </c>
      <c r="BG126" t="b">
        <f>AND(DATA!T755,"AAAAAHH/fTo=")</f>
        <v>1</v>
      </c>
      <c r="BH126" t="b">
        <f>AND(DATA!U755,"AAAAAHH/fTs=")</f>
        <v>1</v>
      </c>
      <c r="BI126" t="b">
        <f>AND(DATA!V755,"AAAAAHH/fTw=")</f>
        <v>1</v>
      </c>
      <c r="BJ126" t="e">
        <f>AND(DATA!W754,"AAAAAHH/fT0=")</f>
        <v>#VALUE!</v>
      </c>
      <c r="BK126" t="e">
        <f>AND(DATA!X754,"AAAAAHH/fT4=")</f>
        <v>#VALUE!</v>
      </c>
      <c r="BL126" t="e">
        <f>AND(DATA!Y754,"AAAAAHH/fT8=")</f>
        <v>#VALUE!</v>
      </c>
      <c r="BM126">
        <f>IF(DATA!755:755,"AAAAAHH/fUA=",0)</f>
        <v>0</v>
      </c>
      <c r="BN126" t="e">
        <f>AND(DATA!A755,"AAAAAHH/fUE=")</f>
        <v>#VALUE!</v>
      </c>
      <c r="BO126" t="e">
        <f>AND(DATA!B755,"AAAAAHH/fUI=")</f>
        <v>#VALUE!</v>
      </c>
      <c r="BP126" t="e">
        <f>AND(DATA!C755,"AAAAAHH/fUM=")</f>
        <v>#VALUE!</v>
      </c>
      <c r="BQ126" t="e">
        <f>AND(DATA!D755,"AAAAAHH/fUQ=")</f>
        <v>#VALUE!</v>
      </c>
      <c r="BR126" t="e">
        <f>AND(DATA!E755,"AAAAAHH/fUU=")</f>
        <v>#VALUE!</v>
      </c>
      <c r="BS126" t="e">
        <f>AND(DATA!F755,"AAAAAHH/fUY=")</f>
        <v>#VALUE!</v>
      </c>
      <c r="BT126" t="e">
        <f>AND(DATA!G755,"AAAAAHH/fUc=")</f>
        <v>#VALUE!</v>
      </c>
      <c r="BU126" t="e">
        <f>AND(DATA!H755,"AAAAAHH/fUg=")</f>
        <v>#VALUE!</v>
      </c>
      <c r="BV126" t="e">
        <f>AND(DATA!I755,"AAAAAHH/fUk=")</f>
        <v>#VALUE!</v>
      </c>
      <c r="BW126" t="e">
        <f>AND(DATA!J755,"AAAAAHH/fUo=")</f>
        <v>#VALUE!</v>
      </c>
      <c r="BX126" t="e">
        <f>AND(DATA!K755,"AAAAAHH/fUs=")</f>
        <v>#VALUE!</v>
      </c>
      <c r="BY126" t="b">
        <f>AND(DATA!L756,"AAAAAHH/fUw=")</f>
        <v>1</v>
      </c>
      <c r="BZ126" t="b">
        <f>AND(DATA!M756,"AAAAAHH/fU0=")</f>
        <v>1</v>
      </c>
      <c r="CA126" t="b">
        <f>AND(DATA!N756,"AAAAAHH/fU4=")</f>
        <v>1</v>
      </c>
      <c r="CB126" t="b">
        <f>AND(DATA!O756,"AAAAAHH/fU8=")</f>
        <v>1</v>
      </c>
      <c r="CC126" t="b">
        <f>AND(DATA!P756,"AAAAAHH/fVA=")</f>
        <v>1</v>
      </c>
      <c r="CD126" t="b">
        <f>AND(DATA!Q756,"AAAAAHH/fVE=")</f>
        <v>1</v>
      </c>
      <c r="CE126" t="b">
        <f>AND(DATA!R756,"AAAAAHH/fVI=")</f>
        <v>1</v>
      </c>
      <c r="CF126" t="b">
        <f>AND(DATA!S756,"AAAAAHH/fVM=")</f>
        <v>1</v>
      </c>
      <c r="CG126" t="b">
        <f>AND(DATA!T756,"AAAAAHH/fVQ=")</f>
        <v>1</v>
      </c>
      <c r="CH126" t="b">
        <f>AND(DATA!U756,"AAAAAHH/fVU=")</f>
        <v>1</v>
      </c>
      <c r="CI126" t="b">
        <f>AND(DATA!V756,"AAAAAHH/fVY=")</f>
        <v>1</v>
      </c>
      <c r="CJ126" t="e">
        <f>AND(DATA!W755,"AAAAAHH/fVc=")</f>
        <v>#VALUE!</v>
      </c>
      <c r="CK126" t="e">
        <f>AND(DATA!X755,"AAAAAHH/fVg=")</f>
        <v>#VALUE!</v>
      </c>
      <c r="CL126" t="e">
        <f>AND(DATA!Y755,"AAAAAHH/fVk=")</f>
        <v>#VALUE!</v>
      </c>
      <c r="CM126">
        <f>IF(DATA!756:756,"AAAAAHH/fVo=",0)</f>
        <v>0</v>
      </c>
      <c r="CN126" t="e">
        <f>AND(DATA!A756,"AAAAAHH/fVs=")</f>
        <v>#VALUE!</v>
      </c>
      <c r="CO126" t="e">
        <f>AND(DATA!B756,"AAAAAHH/fVw=")</f>
        <v>#VALUE!</v>
      </c>
      <c r="CP126" t="e">
        <f>AND(DATA!C756,"AAAAAHH/fV0=")</f>
        <v>#VALUE!</v>
      </c>
      <c r="CQ126" t="e">
        <f>AND(DATA!D756,"AAAAAHH/fV4=")</f>
        <v>#VALUE!</v>
      </c>
      <c r="CR126" t="e">
        <f>AND(DATA!E756,"AAAAAHH/fV8=")</f>
        <v>#VALUE!</v>
      </c>
      <c r="CS126" t="e">
        <f>AND(DATA!F756,"AAAAAHH/fWA=")</f>
        <v>#VALUE!</v>
      </c>
      <c r="CT126" t="e">
        <f>AND(DATA!G756,"AAAAAHH/fWE=")</f>
        <v>#VALUE!</v>
      </c>
      <c r="CU126" t="e">
        <f>AND(DATA!H756,"AAAAAHH/fWI=")</f>
        <v>#VALUE!</v>
      </c>
      <c r="CV126" t="e">
        <f>AND(DATA!I756,"AAAAAHH/fWM=")</f>
        <v>#VALUE!</v>
      </c>
      <c r="CW126" t="e">
        <f>AND(DATA!J756,"AAAAAHH/fWQ=")</f>
        <v>#VALUE!</v>
      </c>
      <c r="CX126" t="e">
        <f>AND(DATA!K756,"AAAAAHH/fWU=")</f>
        <v>#VALUE!</v>
      </c>
      <c r="CY126" t="b">
        <f>AND(DATA!L757,"AAAAAHH/fWY=")</f>
        <v>1</v>
      </c>
      <c r="CZ126" t="b">
        <f>AND(DATA!M757,"AAAAAHH/fWc=")</f>
        <v>1</v>
      </c>
      <c r="DA126" t="b">
        <f>AND(DATA!N757,"AAAAAHH/fWg=")</f>
        <v>1</v>
      </c>
      <c r="DB126" t="b">
        <f>AND(DATA!O757,"AAAAAHH/fWk=")</f>
        <v>1</v>
      </c>
      <c r="DC126" t="b">
        <f>AND(DATA!P757,"AAAAAHH/fWo=")</f>
        <v>1</v>
      </c>
      <c r="DD126" t="b">
        <f>AND(DATA!Q757,"AAAAAHH/fWs=")</f>
        <v>1</v>
      </c>
      <c r="DE126" t="b">
        <f>AND(DATA!R757,"AAAAAHH/fWw=")</f>
        <v>1</v>
      </c>
      <c r="DF126" t="b">
        <f>AND(DATA!S757,"AAAAAHH/fW0=")</f>
        <v>1</v>
      </c>
      <c r="DG126" t="b">
        <f>AND(DATA!T757,"AAAAAHH/fW4=")</f>
        <v>1</v>
      </c>
      <c r="DH126" t="b">
        <f>AND(DATA!U757,"AAAAAHH/fW8=")</f>
        <v>1</v>
      </c>
      <c r="DI126" t="b">
        <f>AND(DATA!V757,"AAAAAHH/fXA=")</f>
        <v>1</v>
      </c>
      <c r="DJ126" t="e">
        <f>AND(DATA!W756,"AAAAAHH/fXE=")</f>
        <v>#VALUE!</v>
      </c>
      <c r="DK126" t="e">
        <f>AND(DATA!X756,"AAAAAHH/fXI=")</f>
        <v>#VALUE!</v>
      </c>
      <c r="DL126" t="e">
        <f>AND(DATA!Y756,"AAAAAHH/fXM=")</f>
        <v>#VALUE!</v>
      </c>
      <c r="DM126">
        <f>IF(DATA!757:757,"AAAAAHH/fXQ=",0)</f>
        <v>0</v>
      </c>
      <c r="DN126" t="e">
        <f>AND(DATA!A757,"AAAAAHH/fXU=")</f>
        <v>#VALUE!</v>
      </c>
      <c r="DO126" t="e">
        <f>AND(DATA!B757,"AAAAAHH/fXY=")</f>
        <v>#VALUE!</v>
      </c>
      <c r="DP126" t="e">
        <f>AND(DATA!C757,"AAAAAHH/fXc=")</f>
        <v>#VALUE!</v>
      </c>
      <c r="DQ126" t="e">
        <f>AND(DATA!D757,"AAAAAHH/fXg=")</f>
        <v>#VALUE!</v>
      </c>
      <c r="DR126" t="e">
        <f>AND(DATA!E757,"AAAAAHH/fXk=")</f>
        <v>#VALUE!</v>
      </c>
      <c r="DS126" t="e">
        <f>AND(DATA!F757,"AAAAAHH/fXo=")</f>
        <v>#VALUE!</v>
      </c>
      <c r="DT126" t="e">
        <f>AND(DATA!G757,"AAAAAHH/fXs=")</f>
        <v>#VALUE!</v>
      </c>
      <c r="DU126" t="e">
        <f>AND(DATA!H757,"AAAAAHH/fXw=")</f>
        <v>#VALUE!</v>
      </c>
      <c r="DV126" t="e">
        <f>AND(DATA!I757,"AAAAAHH/fX0=")</f>
        <v>#VALUE!</v>
      </c>
      <c r="DW126" t="e">
        <f>AND(DATA!J757,"AAAAAHH/fX4=")</f>
        <v>#VALUE!</v>
      </c>
      <c r="DX126" t="e">
        <f>AND(DATA!K757,"AAAAAHH/fX8=")</f>
        <v>#VALUE!</v>
      </c>
      <c r="DY126" t="b">
        <f>AND(DATA!L758,"AAAAAHH/fYA=")</f>
        <v>1</v>
      </c>
      <c r="DZ126" t="b">
        <f>AND(DATA!M758,"AAAAAHH/fYE=")</f>
        <v>1</v>
      </c>
      <c r="EA126" t="b">
        <f>AND(DATA!N758,"AAAAAHH/fYI=")</f>
        <v>1</v>
      </c>
      <c r="EB126" t="b">
        <f>AND(DATA!O758,"AAAAAHH/fYM=")</f>
        <v>1</v>
      </c>
      <c r="EC126" t="b">
        <f>AND(DATA!P758,"AAAAAHH/fYQ=")</f>
        <v>1</v>
      </c>
      <c r="ED126" t="b">
        <f>AND(DATA!Q758,"AAAAAHH/fYU=")</f>
        <v>1</v>
      </c>
      <c r="EE126" t="b">
        <f>AND(DATA!R758,"AAAAAHH/fYY=")</f>
        <v>1</v>
      </c>
      <c r="EF126" t="b">
        <f>AND(DATA!S758,"AAAAAHH/fYc=")</f>
        <v>1</v>
      </c>
      <c r="EG126" t="b">
        <f>AND(DATA!T758,"AAAAAHH/fYg=")</f>
        <v>1</v>
      </c>
      <c r="EH126" t="b">
        <f>AND(DATA!U758,"AAAAAHH/fYk=")</f>
        <v>1</v>
      </c>
      <c r="EI126" t="b">
        <f>AND(DATA!V758,"AAAAAHH/fYo=")</f>
        <v>1</v>
      </c>
      <c r="EJ126" t="e">
        <f>AND(DATA!W757,"AAAAAHH/fYs=")</f>
        <v>#VALUE!</v>
      </c>
      <c r="EK126" t="e">
        <f>AND(DATA!X757,"AAAAAHH/fYw=")</f>
        <v>#VALUE!</v>
      </c>
      <c r="EL126" t="e">
        <f>AND(DATA!Y757,"AAAAAHH/fY0=")</f>
        <v>#VALUE!</v>
      </c>
      <c r="EM126">
        <f>IF(DATA!758:758,"AAAAAHH/fY4=",0)</f>
        <v>0</v>
      </c>
      <c r="EN126" t="e">
        <f>AND(DATA!A758,"AAAAAHH/fY8=")</f>
        <v>#VALUE!</v>
      </c>
      <c r="EO126" t="e">
        <f>AND(DATA!B758,"AAAAAHH/fZA=")</f>
        <v>#VALUE!</v>
      </c>
      <c r="EP126" t="e">
        <f>AND(DATA!C758,"AAAAAHH/fZE=")</f>
        <v>#VALUE!</v>
      </c>
      <c r="EQ126" t="e">
        <f>AND(DATA!D758,"AAAAAHH/fZI=")</f>
        <v>#VALUE!</v>
      </c>
      <c r="ER126" t="e">
        <f>AND(DATA!E758,"AAAAAHH/fZM=")</f>
        <v>#VALUE!</v>
      </c>
      <c r="ES126" t="e">
        <f>AND(DATA!F758,"AAAAAHH/fZQ=")</f>
        <v>#VALUE!</v>
      </c>
      <c r="ET126" t="e">
        <f>AND(DATA!G758,"AAAAAHH/fZU=")</f>
        <v>#VALUE!</v>
      </c>
      <c r="EU126" t="e">
        <f>AND(DATA!H758,"AAAAAHH/fZY=")</f>
        <v>#VALUE!</v>
      </c>
      <c r="EV126" t="e">
        <f>AND(DATA!I758,"AAAAAHH/fZc=")</f>
        <v>#VALUE!</v>
      </c>
      <c r="EW126" t="e">
        <f>AND(DATA!J758,"AAAAAHH/fZg=")</f>
        <v>#VALUE!</v>
      </c>
      <c r="EX126" t="e">
        <f>AND(DATA!K758,"AAAAAHH/fZk=")</f>
        <v>#VALUE!</v>
      </c>
      <c r="EY126" t="b">
        <f>AND(DATA!L759,"AAAAAHH/fZo=")</f>
        <v>1</v>
      </c>
      <c r="EZ126" t="b">
        <f>AND(DATA!M759,"AAAAAHH/fZs=")</f>
        <v>1</v>
      </c>
      <c r="FA126" t="b">
        <f>AND(DATA!N759,"AAAAAHH/fZw=")</f>
        <v>1</v>
      </c>
      <c r="FB126" t="b">
        <f>AND(DATA!O759,"AAAAAHH/fZ0=")</f>
        <v>1</v>
      </c>
      <c r="FC126" t="b">
        <f>AND(DATA!P759,"AAAAAHH/fZ4=")</f>
        <v>1</v>
      </c>
      <c r="FD126" t="b">
        <f>AND(DATA!Q759,"AAAAAHH/fZ8=")</f>
        <v>1</v>
      </c>
      <c r="FE126" t="b">
        <f>AND(DATA!R759,"AAAAAHH/faA=")</f>
        <v>1</v>
      </c>
      <c r="FF126" t="b">
        <f>AND(DATA!S759,"AAAAAHH/faE=")</f>
        <v>1</v>
      </c>
      <c r="FG126" t="b">
        <f>AND(DATA!T759,"AAAAAHH/faI=")</f>
        <v>1</v>
      </c>
      <c r="FH126" t="b">
        <f>AND(DATA!U759,"AAAAAHH/faM=")</f>
        <v>1</v>
      </c>
      <c r="FI126" t="b">
        <f>AND(DATA!V759,"AAAAAHH/faQ=")</f>
        <v>1</v>
      </c>
      <c r="FJ126" t="e">
        <f>AND(DATA!W758,"AAAAAHH/faU=")</f>
        <v>#VALUE!</v>
      </c>
      <c r="FK126" t="e">
        <f>AND(DATA!X758,"AAAAAHH/faY=")</f>
        <v>#VALUE!</v>
      </c>
      <c r="FL126" t="e">
        <f>AND(DATA!Y758,"AAAAAHH/fac=")</f>
        <v>#VALUE!</v>
      </c>
      <c r="FM126">
        <f>IF(DATA!759:759,"AAAAAHH/fag=",0)</f>
        <v>0</v>
      </c>
      <c r="FN126" t="e">
        <f>AND(DATA!A759,"AAAAAHH/fak=")</f>
        <v>#VALUE!</v>
      </c>
      <c r="FO126" t="e">
        <f>AND(DATA!B759,"AAAAAHH/fao=")</f>
        <v>#VALUE!</v>
      </c>
      <c r="FP126" t="e">
        <f>AND(DATA!C759,"AAAAAHH/fas=")</f>
        <v>#VALUE!</v>
      </c>
      <c r="FQ126" t="e">
        <f>AND(DATA!D759,"AAAAAHH/faw=")</f>
        <v>#VALUE!</v>
      </c>
      <c r="FR126" t="e">
        <f>AND(DATA!E759,"AAAAAHH/fa0=")</f>
        <v>#VALUE!</v>
      </c>
      <c r="FS126" t="e">
        <f>AND(DATA!F759,"AAAAAHH/fa4=")</f>
        <v>#VALUE!</v>
      </c>
      <c r="FT126" t="e">
        <f>AND(DATA!G759,"AAAAAHH/fa8=")</f>
        <v>#VALUE!</v>
      </c>
      <c r="FU126" t="e">
        <f>AND(DATA!H759,"AAAAAHH/fbA=")</f>
        <v>#VALUE!</v>
      </c>
      <c r="FV126" t="e">
        <f>AND(DATA!I759,"AAAAAHH/fbE=")</f>
        <v>#VALUE!</v>
      </c>
      <c r="FW126" t="e">
        <f>AND(DATA!J759,"AAAAAHH/fbI=")</f>
        <v>#VALUE!</v>
      </c>
      <c r="FX126" t="e">
        <f>AND(DATA!K759,"AAAAAHH/fbM=")</f>
        <v>#VALUE!</v>
      </c>
      <c r="FY126" t="b">
        <f>AND(DATA!L760,"AAAAAHH/fbQ=")</f>
        <v>1</v>
      </c>
      <c r="FZ126" t="b">
        <f>AND(DATA!M760,"AAAAAHH/fbU=")</f>
        <v>1</v>
      </c>
      <c r="GA126" t="b">
        <f>AND(DATA!N760,"AAAAAHH/fbY=")</f>
        <v>1</v>
      </c>
      <c r="GB126" t="b">
        <f>AND(DATA!O760,"AAAAAHH/fbc=")</f>
        <v>1</v>
      </c>
      <c r="GC126" t="b">
        <f>AND(DATA!P760,"AAAAAHH/fbg=")</f>
        <v>1</v>
      </c>
      <c r="GD126" t="b">
        <f>AND(DATA!Q760,"AAAAAHH/fbk=")</f>
        <v>1</v>
      </c>
      <c r="GE126" t="b">
        <f>AND(DATA!R760,"AAAAAHH/fbo=")</f>
        <v>1</v>
      </c>
      <c r="GF126" t="b">
        <f>AND(DATA!S760,"AAAAAHH/fbs=")</f>
        <v>1</v>
      </c>
      <c r="GG126" t="b">
        <f>AND(DATA!T760,"AAAAAHH/fbw=")</f>
        <v>1</v>
      </c>
      <c r="GH126" t="b">
        <f>AND(DATA!U760,"AAAAAHH/fb0=")</f>
        <v>1</v>
      </c>
      <c r="GI126" t="b">
        <f>AND(DATA!V760,"AAAAAHH/fb4=")</f>
        <v>1</v>
      </c>
      <c r="GJ126" t="e">
        <f>AND(DATA!W759,"AAAAAHH/fb8=")</f>
        <v>#VALUE!</v>
      </c>
      <c r="GK126" t="e">
        <f>AND(DATA!X759,"AAAAAHH/fcA=")</f>
        <v>#VALUE!</v>
      </c>
      <c r="GL126" t="e">
        <f>AND(DATA!Y759,"AAAAAHH/fcE=")</f>
        <v>#VALUE!</v>
      </c>
      <c r="GM126">
        <f>IF(DATA!760:760,"AAAAAHH/fcI=",0)</f>
        <v>0</v>
      </c>
      <c r="GN126" t="e">
        <f>AND(DATA!A760,"AAAAAHH/fcM=")</f>
        <v>#VALUE!</v>
      </c>
      <c r="GO126" t="e">
        <f>AND(DATA!B760,"AAAAAHH/fcQ=")</f>
        <v>#VALUE!</v>
      </c>
      <c r="GP126" t="e">
        <f>AND(DATA!C760,"AAAAAHH/fcU=")</f>
        <v>#VALUE!</v>
      </c>
      <c r="GQ126" t="e">
        <f>AND(DATA!D760,"AAAAAHH/fcY=")</f>
        <v>#VALUE!</v>
      </c>
      <c r="GR126" t="e">
        <f>AND(DATA!E760,"AAAAAHH/fcc=")</f>
        <v>#VALUE!</v>
      </c>
      <c r="GS126" t="e">
        <f>AND(DATA!F760,"AAAAAHH/fcg=")</f>
        <v>#VALUE!</v>
      </c>
      <c r="GT126" t="e">
        <f>AND(DATA!G760,"AAAAAHH/fck=")</f>
        <v>#VALUE!</v>
      </c>
      <c r="GU126" t="e">
        <f>AND(DATA!H760,"AAAAAHH/fco=")</f>
        <v>#VALUE!</v>
      </c>
      <c r="GV126" t="e">
        <f>AND(DATA!I760,"AAAAAHH/fcs=")</f>
        <v>#VALUE!</v>
      </c>
      <c r="GW126" t="e">
        <f>AND(DATA!J760,"AAAAAHH/fcw=")</f>
        <v>#VALUE!</v>
      </c>
      <c r="GX126" t="e">
        <f>AND(DATA!K760,"AAAAAHH/fc0=")</f>
        <v>#VALUE!</v>
      </c>
      <c r="GY126" t="b">
        <f>AND(DATA!L761,"AAAAAHH/fc4=")</f>
        <v>1</v>
      </c>
      <c r="GZ126" t="b">
        <f>AND(DATA!M761,"AAAAAHH/fc8=")</f>
        <v>1</v>
      </c>
      <c r="HA126" t="b">
        <f>AND(DATA!N761,"AAAAAHH/fdA=")</f>
        <v>1</v>
      </c>
      <c r="HB126" t="b">
        <f>AND(DATA!O761,"AAAAAHH/fdE=")</f>
        <v>1</v>
      </c>
      <c r="HC126" t="b">
        <f>AND(DATA!P761,"AAAAAHH/fdI=")</f>
        <v>1</v>
      </c>
      <c r="HD126" t="b">
        <f>AND(DATA!Q761,"AAAAAHH/fdM=")</f>
        <v>1</v>
      </c>
      <c r="HE126" t="b">
        <f>AND(DATA!R761,"AAAAAHH/fdQ=")</f>
        <v>1</v>
      </c>
      <c r="HF126" t="b">
        <f>AND(DATA!S761,"AAAAAHH/fdU=")</f>
        <v>1</v>
      </c>
      <c r="HG126" t="b">
        <f>AND(DATA!T761,"AAAAAHH/fdY=")</f>
        <v>1</v>
      </c>
      <c r="HH126" t="b">
        <f>AND(DATA!U761,"AAAAAHH/fdc=")</f>
        <v>1</v>
      </c>
      <c r="HI126" t="b">
        <f>AND(DATA!V761,"AAAAAHH/fdg=")</f>
        <v>1</v>
      </c>
      <c r="HJ126" t="e">
        <f>AND(DATA!W760,"AAAAAHH/fdk=")</f>
        <v>#VALUE!</v>
      </c>
      <c r="HK126" t="e">
        <f>AND(DATA!X760,"AAAAAHH/fdo=")</f>
        <v>#VALUE!</v>
      </c>
      <c r="HL126" t="e">
        <f>AND(DATA!Y760,"AAAAAHH/fds=")</f>
        <v>#VALUE!</v>
      </c>
      <c r="HM126">
        <f>IF(DATA!761:761,"AAAAAHH/fdw=",0)</f>
        <v>0</v>
      </c>
      <c r="HN126" t="e">
        <f>AND(DATA!A761,"AAAAAHH/fd0=")</f>
        <v>#VALUE!</v>
      </c>
      <c r="HO126" t="e">
        <f>AND(DATA!B761,"AAAAAHH/fd4=")</f>
        <v>#VALUE!</v>
      </c>
      <c r="HP126" t="e">
        <f>AND(DATA!C761,"AAAAAHH/fd8=")</f>
        <v>#VALUE!</v>
      </c>
      <c r="HQ126" t="e">
        <f>AND(DATA!D761,"AAAAAHH/feA=")</f>
        <v>#VALUE!</v>
      </c>
      <c r="HR126" t="e">
        <f>AND(DATA!E761,"AAAAAHH/feE=")</f>
        <v>#VALUE!</v>
      </c>
      <c r="HS126" t="e">
        <f>AND(DATA!F761,"AAAAAHH/feI=")</f>
        <v>#VALUE!</v>
      </c>
      <c r="HT126" t="e">
        <f>AND(DATA!G761,"AAAAAHH/feM=")</f>
        <v>#VALUE!</v>
      </c>
      <c r="HU126" t="e">
        <f>AND(DATA!H761,"AAAAAHH/feQ=")</f>
        <v>#VALUE!</v>
      </c>
      <c r="HV126" t="e">
        <f>AND(DATA!I761,"AAAAAHH/feU=")</f>
        <v>#VALUE!</v>
      </c>
      <c r="HW126" t="e">
        <f>AND(DATA!J761,"AAAAAHH/feY=")</f>
        <v>#VALUE!</v>
      </c>
      <c r="HX126" t="e">
        <f>AND(DATA!K761,"AAAAAHH/fec=")</f>
        <v>#VALUE!</v>
      </c>
      <c r="HY126" t="b">
        <f>AND(DATA!L762,"AAAAAHH/feg=")</f>
        <v>1</v>
      </c>
      <c r="HZ126" t="b">
        <f>AND(DATA!M762,"AAAAAHH/fek=")</f>
        <v>1</v>
      </c>
      <c r="IA126" t="b">
        <f>AND(DATA!N762,"AAAAAHH/feo=")</f>
        <v>1</v>
      </c>
      <c r="IB126" t="b">
        <f>AND(DATA!O762,"AAAAAHH/fes=")</f>
        <v>1</v>
      </c>
      <c r="IC126" t="b">
        <f>AND(DATA!P762,"AAAAAHH/few=")</f>
        <v>1</v>
      </c>
      <c r="ID126" t="b">
        <f>AND(DATA!Q762,"AAAAAHH/fe0=")</f>
        <v>1</v>
      </c>
      <c r="IE126" t="b">
        <f>AND(DATA!R762,"AAAAAHH/fe4=")</f>
        <v>1</v>
      </c>
      <c r="IF126" t="b">
        <f>AND(DATA!S762,"AAAAAHH/fe8=")</f>
        <v>1</v>
      </c>
      <c r="IG126" t="b">
        <f>AND(DATA!T762,"AAAAAHH/ffA=")</f>
        <v>1</v>
      </c>
      <c r="IH126" t="b">
        <f>AND(DATA!U762,"AAAAAHH/ffE=")</f>
        <v>1</v>
      </c>
      <c r="II126" t="b">
        <f>AND(DATA!V762,"AAAAAHH/ffI=")</f>
        <v>1</v>
      </c>
      <c r="IJ126" t="e">
        <f>AND(DATA!W761,"AAAAAHH/ffM=")</f>
        <v>#VALUE!</v>
      </c>
      <c r="IK126" t="e">
        <f>AND(DATA!X761,"AAAAAHH/ffQ=")</f>
        <v>#VALUE!</v>
      </c>
      <c r="IL126" t="e">
        <f>AND(DATA!Y761,"AAAAAHH/ffU=")</f>
        <v>#VALUE!</v>
      </c>
      <c r="IM126">
        <f>IF(DATA!762:762,"AAAAAHH/ffY=",0)</f>
        <v>0</v>
      </c>
      <c r="IN126" t="e">
        <f>AND(DATA!A762,"AAAAAHH/ffc=")</f>
        <v>#VALUE!</v>
      </c>
      <c r="IO126" t="e">
        <f>AND(DATA!B762,"AAAAAHH/ffg=")</f>
        <v>#VALUE!</v>
      </c>
      <c r="IP126" t="e">
        <f>AND(DATA!C762,"AAAAAHH/ffk=")</f>
        <v>#VALUE!</v>
      </c>
      <c r="IQ126" t="e">
        <f>AND(DATA!D762,"AAAAAHH/ffo=")</f>
        <v>#VALUE!</v>
      </c>
      <c r="IR126" t="e">
        <f>AND(DATA!E762,"AAAAAHH/ffs=")</f>
        <v>#VALUE!</v>
      </c>
      <c r="IS126" t="e">
        <f>AND(DATA!F762,"AAAAAHH/ffw=")</f>
        <v>#VALUE!</v>
      </c>
      <c r="IT126" t="e">
        <f>AND(DATA!G762,"AAAAAHH/ff0=")</f>
        <v>#VALUE!</v>
      </c>
      <c r="IU126" t="e">
        <f>AND(DATA!H762,"AAAAAHH/ff4=")</f>
        <v>#VALUE!</v>
      </c>
      <c r="IV126" t="e">
        <f>AND(DATA!I762,"AAAAAHH/ff8=")</f>
        <v>#VALUE!</v>
      </c>
    </row>
    <row r="127" spans="1:256" x14ac:dyDescent="0.25">
      <c r="A127" t="e">
        <f>AND(DATA!J762,"AAAAADn1/wA=")</f>
        <v>#VALUE!</v>
      </c>
      <c r="B127" t="e">
        <f>AND(DATA!K762,"AAAAADn1/wE=")</f>
        <v>#VALUE!</v>
      </c>
      <c r="C127" t="b">
        <f>AND(DATA!L763,"AAAAADn1/wI=")</f>
        <v>1</v>
      </c>
      <c r="D127" t="b">
        <f>AND(DATA!M763,"AAAAADn1/wM=")</f>
        <v>1</v>
      </c>
      <c r="E127" t="b">
        <f>AND(DATA!N763,"AAAAADn1/wQ=")</f>
        <v>1</v>
      </c>
      <c r="F127" t="b">
        <f>AND(DATA!O763,"AAAAADn1/wU=")</f>
        <v>1</v>
      </c>
      <c r="G127" t="b">
        <f>AND(DATA!P763,"AAAAADn1/wY=")</f>
        <v>1</v>
      </c>
      <c r="H127" t="b">
        <f>AND(DATA!Q763,"AAAAADn1/wc=")</f>
        <v>1</v>
      </c>
      <c r="I127" t="b">
        <f>AND(DATA!R763,"AAAAADn1/wg=")</f>
        <v>1</v>
      </c>
      <c r="J127" t="b">
        <f>AND(DATA!S763,"AAAAADn1/wk=")</f>
        <v>1</v>
      </c>
      <c r="K127" t="b">
        <f>AND(DATA!T763,"AAAAADn1/wo=")</f>
        <v>1</v>
      </c>
      <c r="L127" t="b">
        <f>AND(DATA!U763,"AAAAADn1/ws=")</f>
        <v>1</v>
      </c>
      <c r="M127" t="b">
        <f>AND(DATA!V763,"AAAAADn1/ww=")</f>
        <v>1</v>
      </c>
      <c r="N127" t="e">
        <f>AND(DATA!W762,"AAAAADn1/w0=")</f>
        <v>#VALUE!</v>
      </c>
      <c r="O127" t="e">
        <f>AND(DATA!X762,"AAAAADn1/w4=")</f>
        <v>#VALUE!</v>
      </c>
      <c r="P127" t="e">
        <f>AND(DATA!Y762,"AAAAADn1/w8=")</f>
        <v>#VALUE!</v>
      </c>
      <c r="Q127" t="str">
        <f>IF(DATA!763:763,"AAAAADn1/xA=",0)</f>
        <v>AAAAADn1/xA=</v>
      </c>
      <c r="R127" t="e">
        <f>AND(DATA!A763,"AAAAADn1/xE=")</f>
        <v>#VALUE!</v>
      </c>
      <c r="S127" t="e">
        <f>AND(DATA!B763,"AAAAADn1/xI=")</f>
        <v>#VALUE!</v>
      </c>
      <c r="T127" t="e">
        <f>AND(DATA!C763,"AAAAADn1/xM=")</f>
        <v>#VALUE!</v>
      </c>
      <c r="U127" t="e">
        <f>AND(DATA!D763,"AAAAADn1/xQ=")</f>
        <v>#VALUE!</v>
      </c>
      <c r="V127" t="e">
        <f>AND(DATA!E763,"AAAAADn1/xU=")</f>
        <v>#VALUE!</v>
      </c>
      <c r="W127" t="e">
        <f>AND(DATA!F763,"AAAAADn1/xY=")</f>
        <v>#VALUE!</v>
      </c>
      <c r="X127" t="e">
        <f>AND(DATA!G763,"AAAAADn1/xc=")</f>
        <v>#VALUE!</v>
      </c>
      <c r="Y127" t="e">
        <f>AND(DATA!H763,"AAAAADn1/xg=")</f>
        <v>#VALUE!</v>
      </c>
      <c r="Z127" t="e">
        <f>AND(DATA!I763,"AAAAADn1/xk=")</f>
        <v>#VALUE!</v>
      </c>
      <c r="AA127" t="e">
        <f>AND(DATA!J763,"AAAAADn1/xo=")</f>
        <v>#VALUE!</v>
      </c>
      <c r="AB127" t="e">
        <f>AND(DATA!K763,"AAAAADn1/xs=")</f>
        <v>#VALUE!</v>
      </c>
      <c r="AC127" t="b">
        <f>AND(DATA!L764,"AAAAADn1/xw=")</f>
        <v>1</v>
      </c>
      <c r="AD127" t="b">
        <f>AND(DATA!M764,"AAAAADn1/x0=")</f>
        <v>1</v>
      </c>
      <c r="AE127" t="b">
        <f>AND(DATA!N764,"AAAAADn1/x4=")</f>
        <v>1</v>
      </c>
      <c r="AF127" t="b">
        <f>AND(DATA!O764,"AAAAADn1/x8=")</f>
        <v>1</v>
      </c>
      <c r="AG127" t="b">
        <f>AND(DATA!P764,"AAAAADn1/yA=")</f>
        <v>1</v>
      </c>
      <c r="AH127" t="b">
        <f>AND(DATA!Q764,"AAAAADn1/yE=")</f>
        <v>1</v>
      </c>
      <c r="AI127" t="b">
        <f>AND(DATA!R764,"AAAAADn1/yI=")</f>
        <v>1</v>
      </c>
      <c r="AJ127" t="b">
        <f>AND(DATA!S764,"AAAAADn1/yM=")</f>
        <v>1</v>
      </c>
      <c r="AK127" t="b">
        <f>AND(DATA!T764,"AAAAADn1/yQ=")</f>
        <v>1</v>
      </c>
      <c r="AL127" t="b">
        <f>AND(DATA!U764,"AAAAADn1/yU=")</f>
        <v>1</v>
      </c>
      <c r="AM127" t="b">
        <f>AND(DATA!V764,"AAAAADn1/yY=")</f>
        <v>1</v>
      </c>
      <c r="AN127" t="e">
        <f>AND(DATA!W763,"AAAAADn1/yc=")</f>
        <v>#VALUE!</v>
      </c>
      <c r="AO127" t="e">
        <f>AND(DATA!X763,"AAAAADn1/yg=")</f>
        <v>#VALUE!</v>
      </c>
      <c r="AP127" t="e">
        <f>AND(DATA!Y763,"AAAAADn1/yk=")</f>
        <v>#VALUE!</v>
      </c>
      <c r="AQ127">
        <f>IF(DATA!764:764,"AAAAADn1/yo=",0)</f>
        <v>0</v>
      </c>
      <c r="AR127" t="e">
        <f>AND(DATA!A764,"AAAAADn1/ys=")</f>
        <v>#VALUE!</v>
      </c>
      <c r="AS127" t="e">
        <f>AND(DATA!B764,"AAAAADn1/yw=")</f>
        <v>#VALUE!</v>
      </c>
      <c r="AT127" t="e">
        <f>AND(DATA!C764,"AAAAADn1/y0=")</f>
        <v>#VALUE!</v>
      </c>
      <c r="AU127" t="e">
        <f>AND(DATA!D764,"AAAAADn1/y4=")</f>
        <v>#VALUE!</v>
      </c>
      <c r="AV127" t="e">
        <f>AND(DATA!E764,"AAAAADn1/y8=")</f>
        <v>#VALUE!</v>
      </c>
      <c r="AW127" t="e">
        <f>AND(DATA!F764,"AAAAADn1/zA=")</f>
        <v>#VALUE!</v>
      </c>
      <c r="AX127" t="e">
        <f>AND(DATA!G764,"AAAAADn1/zE=")</f>
        <v>#VALUE!</v>
      </c>
      <c r="AY127" t="e">
        <f>AND(DATA!H764,"AAAAADn1/zI=")</f>
        <v>#VALUE!</v>
      </c>
      <c r="AZ127" t="e">
        <f>AND(DATA!I764,"AAAAADn1/zM=")</f>
        <v>#VALUE!</v>
      </c>
      <c r="BA127" t="e">
        <f>AND(DATA!J764,"AAAAADn1/zQ=")</f>
        <v>#VALUE!</v>
      </c>
      <c r="BB127" t="e">
        <f>AND(DATA!K764,"AAAAADn1/zU=")</f>
        <v>#VALUE!</v>
      </c>
      <c r="BC127" t="b">
        <f>AND(DATA!L765,"AAAAADn1/zY=")</f>
        <v>1</v>
      </c>
      <c r="BD127" t="b">
        <f>AND(DATA!M765,"AAAAADn1/zc=")</f>
        <v>1</v>
      </c>
      <c r="BE127" t="b">
        <f>AND(DATA!N765,"AAAAADn1/zg=")</f>
        <v>1</v>
      </c>
      <c r="BF127" t="b">
        <f>AND(DATA!O765,"AAAAADn1/zk=")</f>
        <v>1</v>
      </c>
      <c r="BG127" t="b">
        <f>AND(DATA!P765,"AAAAADn1/zo=")</f>
        <v>1</v>
      </c>
      <c r="BH127" t="b">
        <f>AND(DATA!Q765,"AAAAADn1/zs=")</f>
        <v>1</v>
      </c>
      <c r="BI127" t="b">
        <f>AND(DATA!R765,"AAAAADn1/zw=")</f>
        <v>1</v>
      </c>
      <c r="BJ127" t="b">
        <f>AND(DATA!S765,"AAAAADn1/z0=")</f>
        <v>1</v>
      </c>
      <c r="BK127" t="b">
        <f>AND(DATA!T765,"AAAAADn1/z4=")</f>
        <v>1</v>
      </c>
      <c r="BL127" t="b">
        <f>AND(DATA!U765,"AAAAADn1/z8=")</f>
        <v>1</v>
      </c>
      <c r="BM127" t="b">
        <f>AND(DATA!V765,"AAAAADn1/0A=")</f>
        <v>1</v>
      </c>
      <c r="BN127" t="e">
        <f>AND(DATA!W764,"AAAAADn1/0E=")</f>
        <v>#VALUE!</v>
      </c>
      <c r="BO127" t="e">
        <f>AND(DATA!X764,"AAAAADn1/0I=")</f>
        <v>#VALUE!</v>
      </c>
      <c r="BP127" t="e">
        <f>AND(DATA!Y764,"AAAAADn1/0M=")</f>
        <v>#VALUE!</v>
      </c>
      <c r="BQ127">
        <f>IF(DATA!765:765,"AAAAADn1/0Q=",0)</f>
        <v>0</v>
      </c>
      <c r="BR127" t="e">
        <f>AND(DATA!A765,"AAAAADn1/0U=")</f>
        <v>#VALUE!</v>
      </c>
      <c r="BS127" t="e">
        <f>AND(DATA!B765,"AAAAADn1/0Y=")</f>
        <v>#VALUE!</v>
      </c>
      <c r="BT127" t="e">
        <f>AND(DATA!C765,"AAAAADn1/0c=")</f>
        <v>#VALUE!</v>
      </c>
      <c r="BU127" t="e">
        <f>AND(DATA!D765,"AAAAADn1/0g=")</f>
        <v>#VALUE!</v>
      </c>
      <c r="BV127" t="e">
        <f>AND(DATA!E765,"AAAAADn1/0k=")</f>
        <v>#VALUE!</v>
      </c>
      <c r="BW127" t="e">
        <f>AND(DATA!F765,"AAAAADn1/0o=")</f>
        <v>#VALUE!</v>
      </c>
      <c r="BX127" t="e">
        <f>AND(DATA!G765,"AAAAADn1/0s=")</f>
        <v>#VALUE!</v>
      </c>
      <c r="BY127" t="e">
        <f>AND(DATA!H765,"AAAAADn1/0w=")</f>
        <v>#VALUE!</v>
      </c>
      <c r="BZ127" t="e">
        <f>AND(DATA!I765,"AAAAADn1/00=")</f>
        <v>#VALUE!</v>
      </c>
      <c r="CA127" t="e">
        <f>AND(DATA!J765,"AAAAADn1/04=")</f>
        <v>#VALUE!</v>
      </c>
      <c r="CB127" t="e">
        <f>AND(DATA!K765,"AAAAADn1/08=")</f>
        <v>#VALUE!</v>
      </c>
      <c r="CC127" t="b">
        <f>AND(DATA!L766,"AAAAADn1/1A=")</f>
        <v>1</v>
      </c>
      <c r="CD127" t="b">
        <f>AND(DATA!M766,"AAAAADn1/1E=")</f>
        <v>1</v>
      </c>
      <c r="CE127" t="b">
        <f>AND(DATA!N766,"AAAAADn1/1I=")</f>
        <v>1</v>
      </c>
      <c r="CF127" t="b">
        <f>AND(DATA!O766,"AAAAADn1/1M=")</f>
        <v>1</v>
      </c>
      <c r="CG127" t="b">
        <f>AND(DATA!P766,"AAAAADn1/1Q=")</f>
        <v>1</v>
      </c>
      <c r="CH127" t="b">
        <f>AND(DATA!Q766,"AAAAADn1/1U=")</f>
        <v>1</v>
      </c>
      <c r="CI127" t="b">
        <f>AND(DATA!R766,"AAAAADn1/1Y=")</f>
        <v>1</v>
      </c>
      <c r="CJ127" t="b">
        <f>AND(DATA!S766,"AAAAADn1/1c=")</f>
        <v>1</v>
      </c>
      <c r="CK127" t="b">
        <f>AND(DATA!T766,"AAAAADn1/1g=")</f>
        <v>1</v>
      </c>
      <c r="CL127" t="b">
        <f>AND(DATA!U766,"AAAAADn1/1k=")</f>
        <v>1</v>
      </c>
      <c r="CM127" t="b">
        <f>AND(DATA!V766,"AAAAADn1/1o=")</f>
        <v>1</v>
      </c>
      <c r="CN127" t="e">
        <f>AND(DATA!W765,"AAAAADn1/1s=")</f>
        <v>#VALUE!</v>
      </c>
      <c r="CO127" t="e">
        <f>AND(DATA!X765,"AAAAADn1/1w=")</f>
        <v>#VALUE!</v>
      </c>
      <c r="CP127" t="e">
        <f>AND(DATA!Y765,"AAAAADn1/10=")</f>
        <v>#VALUE!</v>
      </c>
      <c r="CQ127">
        <f>IF(DATA!766:766,"AAAAADn1/14=",0)</f>
        <v>0</v>
      </c>
      <c r="CR127" t="e">
        <f>AND(DATA!A766,"AAAAADn1/18=")</f>
        <v>#VALUE!</v>
      </c>
      <c r="CS127" t="e">
        <f>AND(DATA!B766,"AAAAADn1/2A=")</f>
        <v>#VALUE!</v>
      </c>
      <c r="CT127" t="e">
        <f>AND(DATA!C766,"AAAAADn1/2E=")</f>
        <v>#VALUE!</v>
      </c>
      <c r="CU127" t="e">
        <f>AND(DATA!D766,"AAAAADn1/2I=")</f>
        <v>#VALUE!</v>
      </c>
      <c r="CV127" t="e">
        <f>AND(DATA!E766,"AAAAADn1/2M=")</f>
        <v>#VALUE!</v>
      </c>
      <c r="CW127" t="e">
        <f>AND(DATA!F766,"AAAAADn1/2Q=")</f>
        <v>#VALUE!</v>
      </c>
      <c r="CX127" t="e">
        <f>AND(DATA!G766,"AAAAADn1/2U=")</f>
        <v>#VALUE!</v>
      </c>
      <c r="CY127" t="e">
        <f>AND(DATA!H766,"AAAAADn1/2Y=")</f>
        <v>#VALUE!</v>
      </c>
      <c r="CZ127" t="e">
        <f>AND(DATA!I766,"AAAAADn1/2c=")</f>
        <v>#VALUE!</v>
      </c>
      <c r="DA127" t="e">
        <f>AND(DATA!J766,"AAAAADn1/2g=")</f>
        <v>#VALUE!</v>
      </c>
      <c r="DB127" t="e">
        <f>AND(DATA!K766,"AAAAADn1/2k=")</f>
        <v>#VALUE!</v>
      </c>
      <c r="DC127" t="b">
        <f>AND(DATA!L767,"AAAAADn1/2o=")</f>
        <v>1</v>
      </c>
      <c r="DD127" t="b">
        <f>AND(DATA!M767,"AAAAADn1/2s=")</f>
        <v>1</v>
      </c>
      <c r="DE127" t="b">
        <f>AND(DATA!N767,"AAAAADn1/2w=")</f>
        <v>1</v>
      </c>
      <c r="DF127" t="b">
        <f>AND(DATA!O767,"AAAAADn1/20=")</f>
        <v>1</v>
      </c>
      <c r="DG127" t="b">
        <f>AND(DATA!P767,"AAAAADn1/24=")</f>
        <v>1</v>
      </c>
      <c r="DH127" t="b">
        <f>AND(DATA!Q767,"AAAAADn1/28=")</f>
        <v>1</v>
      </c>
      <c r="DI127" t="b">
        <f>AND(DATA!R767,"AAAAADn1/3A=")</f>
        <v>1</v>
      </c>
      <c r="DJ127" t="b">
        <f>AND(DATA!S767,"AAAAADn1/3E=")</f>
        <v>1</v>
      </c>
      <c r="DK127" t="b">
        <f>AND(DATA!T767,"AAAAADn1/3I=")</f>
        <v>1</v>
      </c>
      <c r="DL127" t="b">
        <f>AND(DATA!U767,"AAAAADn1/3M=")</f>
        <v>1</v>
      </c>
      <c r="DM127" t="b">
        <f>AND(DATA!V767,"AAAAADn1/3Q=")</f>
        <v>1</v>
      </c>
      <c r="DN127" t="e">
        <f>AND(DATA!W766,"AAAAADn1/3U=")</f>
        <v>#VALUE!</v>
      </c>
      <c r="DO127" t="e">
        <f>AND(DATA!X766,"AAAAADn1/3Y=")</f>
        <v>#VALUE!</v>
      </c>
      <c r="DP127" t="e">
        <f>AND(DATA!Y766,"AAAAADn1/3c=")</f>
        <v>#VALUE!</v>
      </c>
      <c r="DQ127">
        <f>IF(DATA!767:767,"AAAAADn1/3g=",0)</f>
        <v>0</v>
      </c>
      <c r="DR127" t="e">
        <f>AND(DATA!A767,"AAAAADn1/3k=")</f>
        <v>#VALUE!</v>
      </c>
      <c r="DS127" t="e">
        <f>AND(DATA!B767,"AAAAADn1/3o=")</f>
        <v>#VALUE!</v>
      </c>
      <c r="DT127" t="e">
        <f>AND(DATA!C767,"AAAAADn1/3s=")</f>
        <v>#VALUE!</v>
      </c>
      <c r="DU127" t="e">
        <f>AND(DATA!D767,"AAAAADn1/3w=")</f>
        <v>#VALUE!</v>
      </c>
      <c r="DV127" t="e">
        <f>AND(DATA!E767,"AAAAADn1/30=")</f>
        <v>#VALUE!</v>
      </c>
      <c r="DW127" t="e">
        <f>AND(DATA!F767,"AAAAADn1/34=")</f>
        <v>#VALUE!</v>
      </c>
      <c r="DX127" t="e">
        <f>AND(DATA!G767,"AAAAADn1/38=")</f>
        <v>#VALUE!</v>
      </c>
      <c r="DY127" t="e">
        <f>AND(DATA!H767,"AAAAADn1/4A=")</f>
        <v>#VALUE!</v>
      </c>
      <c r="DZ127" t="e">
        <f>AND(DATA!I767,"AAAAADn1/4E=")</f>
        <v>#VALUE!</v>
      </c>
      <c r="EA127" t="e">
        <f>AND(DATA!J767,"AAAAADn1/4I=")</f>
        <v>#VALUE!</v>
      </c>
      <c r="EB127" t="e">
        <f>AND(DATA!K767,"AAAAADn1/4M=")</f>
        <v>#VALUE!</v>
      </c>
      <c r="EC127" t="b">
        <f>AND(DATA!L768,"AAAAADn1/4Q=")</f>
        <v>1</v>
      </c>
      <c r="ED127" t="b">
        <f>AND(DATA!M768,"AAAAADn1/4U=")</f>
        <v>1</v>
      </c>
      <c r="EE127" t="b">
        <f>AND(DATA!N768,"AAAAADn1/4Y=")</f>
        <v>1</v>
      </c>
      <c r="EF127" t="b">
        <f>AND(DATA!O768,"AAAAADn1/4c=")</f>
        <v>1</v>
      </c>
      <c r="EG127" t="b">
        <f>AND(DATA!P768,"AAAAADn1/4g=")</f>
        <v>1</v>
      </c>
      <c r="EH127" t="b">
        <f>AND(DATA!Q768,"AAAAADn1/4k=")</f>
        <v>1</v>
      </c>
      <c r="EI127" t="b">
        <f>AND(DATA!R768,"AAAAADn1/4o=")</f>
        <v>1</v>
      </c>
      <c r="EJ127" t="b">
        <f>AND(DATA!S768,"AAAAADn1/4s=")</f>
        <v>1</v>
      </c>
      <c r="EK127" t="b">
        <f>AND(DATA!T768,"AAAAADn1/4w=")</f>
        <v>1</v>
      </c>
      <c r="EL127" t="b">
        <f>AND(DATA!U768,"AAAAADn1/40=")</f>
        <v>1</v>
      </c>
      <c r="EM127" t="b">
        <f>AND(DATA!V768,"AAAAADn1/44=")</f>
        <v>1</v>
      </c>
      <c r="EN127" t="e">
        <f>AND(DATA!W767,"AAAAADn1/48=")</f>
        <v>#VALUE!</v>
      </c>
      <c r="EO127" t="e">
        <f>AND(DATA!X767,"AAAAADn1/5A=")</f>
        <v>#VALUE!</v>
      </c>
      <c r="EP127" t="e">
        <f>AND(DATA!Y767,"AAAAADn1/5E=")</f>
        <v>#VALUE!</v>
      </c>
      <c r="EQ127">
        <f>IF(DATA!768:768,"AAAAADn1/5I=",0)</f>
        <v>0</v>
      </c>
      <c r="ER127" t="e">
        <f>AND(DATA!A768,"AAAAADn1/5M=")</f>
        <v>#VALUE!</v>
      </c>
      <c r="ES127" t="e">
        <f>AND(DATA!B768,"AAAAADn1/5Q=")</f>
        <v>#VALUE!</v>
      </c>
      <c r="ET127" t="e">
        <f>AND(DATA!C768,"AAAAADn1/5U=")</f>
        <v>#VALUE!</v>
      </c>
      <c r="EU127" t="e">
        <f>AND(DATA!D768,"AAAAADn1/5Y=")</f>
        <v>#VALUE!</v>
      </c>
      <c r="EV127" t="e">
        <f>AND(DATA!E768,"AAAAADn1/5c=")</f>
        <v>#VALUE!</v>
      </c>
      <c r="EW127" t="e">
        <f>AND(DATA!F768,"AAAAADn1/5g=")</f>
        <v>#VALUE!</v>
      </c>
      <c r="EX127" t="e">
        <f>AND(DATA!G768,"AAAAADn1/5k=")</f>
        <v>#VALUE!</v>
      </c>
      <c r="EY127" t="e">
        <f>AND(DATA!H768,"AAAAADn1/5o=")</f>
        <v>#VALUE!</v>
      </c>
      <c r="EZ127" t="e">
        <f>AND(DATA!I768,"AAAAADn1/5s=")</f>
        <v>#VALUE!</v>
      </c>
      <c r="FA127" t="e">
        <f>AND(DATA!J768,"AAAAADn1/5w=")</f>
        <v>#VALUE!</v>
      </c>
      <c r="FB127" t="e">
        <f>AND(DATA!K768,"AAAAADn1/50=")</f>
        <v>#VALUE!</v>
      </c>
      <c r="FC127" t="b">
        <f>AND(DATA!L769,"AAAAADn1/54=")</f>
        <v>1</v>
      </c>
      <c r="FD127" t="b">
        <f>AND(DATA!M769,"AAAAADn1/58=")</f>
        <v>1</v>
      </c>
      <c r="FE127" t="b">
        <f>AND(DATA!N769,"AAAAADn1/6A=")</f>
        <v>1</v>
      </c>
      <c r="FF127" t="b">
        <f>AND(DATA!O769,"AAAAADn1/6E=")</f>
        <v>1</v>
      </c>
      <c r="FG127" t="b">
        <f>AND(DATA!P769,"AAAAADn1/6I=")</f>
        <v>1</v>
      </c>
      <c r="FH127" t="b">
        <f>AND(DATA!Q769,"AAAAADn1/6M=")</f>
        <v>1</v>
      </c>
      <c r="FI127" t="b">
        <f>AND(DATA!R769,"AAAAADn1/6Q=")</f>
        <v>1</v>
      </c>
      <c r="FJ127" t="b">
        <f>AND(DATA!S769,"AAAAADn1/6U=")</f>
        <v>1</v>
      </c>
      <c r="FK127" t="b">
        <f>AND(DATA!T769,"AAAAADn1/6Y=")</f>
        <v>1</v>
      </c>
      <c r="FL127" t="b">
        <f>AND(DATA!U769,"AAAAADn1/6c=")</f>
        <v>1</v>
      </c>
      <c r="FM127" t="b">
        <f>AND(DATA!V769,"AAAAADn1/6g=")</f>
        <v>1</v>
      </c>
      <c r="FN127" t="e">
        <f>AND(DATA!W768,"AAAAADn1/6k=")</f>
        <v>#VALUE!</v>
      </c>
      <c r="FO127" t="e">
        <f>AND(DATA!X768,"AAAAADn1/6o=")</f>
        <v>#VALUE!</v>
      </c>
      <c r="FP127" t="e">
        <f>AND(DATA!Y768,"AAAAADn1/6s=")</f>
        <v>#VALUE!</v>
      </c>
      <c r="FQ127">
        <f>IF(DATA!769:769,"AAAAADn1/6w=",0)</f>
        <v>0</v>
      </c>
      <c r="FR127" t="e">
        <f>AND(DATA!A769,"AAAAADn1/60=")</f>
        <v>#VALUE!</v>
      </c>
      <c r="FS127" t="e">
        <f>AND(DATA!B769,"AAAAADn1/64=")</f>
        <v>#VALUE!</v>
      </c>
      <c r="FT127" t="e">
        <f>AND(DATA!C769,"AAAAADn1/68=")</f>
        <v>#VALUE!</v>
      </c>
      <c r="FU127" t="e">
        <f>AND(DATA!D769,"AAAAADn1/7A=")</f>
        <v>#VALUE!</v>
      </c>
      <c r="FV127" t="e">
        <f>AND(DATA!E769,"AAAAADn1/7E=")</f>
        <v>#VALUE!</v>
      </c>
      <c r="FW127" t="e">
        <f>AND(DATA!F769,"AAAAADn1/7I=")</f>
        <v>#VALUE!</v>
      </c>
      <c r="FX127" t="e">
        <f>AND(DATA!G769,"AAAAADn1/7M=")</f>
        <v>#VALUE!</v>
      </c>
      <c r="FY127" t="e">
        <f>AND(DATA!H769,"AAAAADn1/7Q=")</f>
        <v>#VALUE!</v>
      </c>
      <c r="FZ127" t="e">
        <f>AND(DATA!I769,"AAAAADn1/7U=")</f>
        <v>#VALUE!</v>
      </c>
      <c r="GA127" t="e">
        <f>AND(DATA!J769,"AAAAADn1/7Y=")</f>
        <v>#VALUE!</v>
      </c>
      <c r="GB127" t="e">
        <f>AND(DATA!K769,"AAAAADn1/7c=")</f>
        <v>#VALUE!</v>
      </c>
      <c r="GC127" t="b">
        <f>AND(DATA!L770,"AAAAADn1/7g=")</f>
        <v>1</v>
      </c>
      <c r="GD127" t="b">
        <f>AND(DATA!M770,"AAAAADn1/7k=")</f>
        <v>1</v>
      </c>
      <c r="GE127" t="b">
        <f>AND(DATA!N770,"AAAAADn1/7o=")</f>
        <v>1</v>
      </c>
      <c r="GF127" t="b">
        <f>AND(DATA!O770,"AAAAADn1/7s=")</f>
        <v>1</v>
      </c>
      <c r="GG127" t="b">
        <f>AND(DATA!P770,"AAAAADn1/7w=")</f>
        <v>1</v>
      </c>
      <c r="GH127" t="b">
        <f>AND(DATA!Q770,"AAAAADn1/70=")</f>
        <v>1</v>
      </c>
      <c r="GI127" t="b">
        <f>AND(DATA!R770,"AAAAADn1/74=")</f>
        <v>1</v>
      </c>
      <c r="GJ127" t="b">
        <f>AND(DATA!S770,"AAAAADn1/78=")</f>
        <v>1</v>
      </c>
      <c r="GK127" t="b">
        <f>AND(DATA!T770,"AAAAADn1/8A=")</f>
        <v>1</v>
      </c>
      <c r="GL127" t="b">
        <f>AND(DATA!U770,"AAAAADn1/8E=")</f>
        <v>1</v>
      </c>
      <c r="GM127" t="b">
        <f>AND(DATA!V770,"AAAAADn1/8I=")</f>
        <v>1</v>
      </c>
      <c r="GN127" t="e">
        <f>AND(DATA!W769,"AAAAADn1/8M=")</f>
        <v>#VALUE!</v>
      </c>
      <c r="GO127" t="e">
        <f>AND(DATA!X769,"AAAAADn1/8Q=")</f>
        <v>#VALUE!</v>
      </c>
      <c r="GP127" t="e">
        <f>AND(DATA!Y769,"AAAAADn1/8U=")</f>
        <v>#VALUE!</v>
      </c>
      <c r="GQ127">
        <f>IF(DATA!770:770,"AAAAADn1/8Y=",0)</f>
        <v>0</v>
      </c>
      <c r="GR127" t="e">
        <f>AND(DATA!A770,"AAAAADn1/8c=")</f>
        <v>#VALUE!</v>
      </c>
      <c r="GS127" t="e">
        <f>AND(DATA!B770,"AAAAADn1/8g=")</f>
        <v>#VALUE!</v>
      </c>
      <c r="GT127" t="e">
        <f>AND(DATA!C770,"AAAAADn1/8k=")</f>
        <v>#VALUE!</v>
      </c>
      <c r="GU127" t="e">
        <f>AND(DATA!D770,"AAAAADn1/8o=")</f>
        <v>#VALUE!</v>
      </c>
      <c r="GV127" t="e">
        <f>AND(DATA!E770,"AAAAADn1/8s=")</f>
        <v>#VALUE!</v>
      </c>
      <c r="GW127" t="e">
        <f>AND(DATA!F770,"AAAAADn1/8w=")</f>
        <v>#VALUE!</v>
      </c>
      <c r="GX127" t="e">
        <f>AND(DATA!G770,"AAAAADn1/80=")</f>
        <v>#VALUE!</v>
      </c>
      <c r="GY127" t="e">
        <f>AND(DATA!H770,"AAAAADn1/84=")</f>
        <v>#VALUE!</v>
      </c>
      <c r="GZ127" t="e">
        <f>AND(DATA!I770,"AAAAADn1/88=")</f>
        <v>#VALUE!</v>
      </c>
      <c r="HA127" t="e">
        <f>AND(DATA!J770,"AAAAADn1/9A=")</f>
        <v>#VALUE!</v>
      </c>
      <c r="HB127" t="e">
        <f>AND(DATA!K770,"AAAAADn1/9E=")</f>
        <v>#VALUE!</v>
      </c>
      <c r="HC127" t="b">
        <f>AND(DATA!L771,"AAAAADn1/9I=")</f>
        <v>1</v>
      </c>
      <c r="HD127" t="b">
        <f>AND(DATA!M771,"AAAAADn1/9M=")</f>
        <v>1</v>
      </c>
      <c r="HE127" t="b">
        <f>AND(DATA!N771,"AAAAADn1/9Q=")</f>
        <v>1</v>
      </c>
      <c r="HF127" t="b">
        <f>AND(DATA!O771,"AAAAADn1/9U=")</f>
        <v>1</v>
      </c>
      <c r="HG127" t="b">
        <f>AND(DATA!P771,"AAAAADn1/9Y=")</f>
        <v>1</v>
      </c>
      <c r="HH127" t="b">
        <f>AND(DATA!Q771,"AAAAADn1/9c=")</f>
        <v>1</v>
      </c>
      <c r="HI127" t="b">
        <f>AND(DATA!R771,"AAAAADn1/9g=")</f>
        <v>1</v>
      </c>
      <c r="HJ127" t="b">
        <f>AND(DATA!S771,"AAAAADn1/9k=")</f>
        <v>1</v>
      </c>
      <c r="HK127" t="b">
        <f>AND(DATA!T771,"AAAAADn1/9o=")</f>
        <v>1</v>
      </c>
      <c r="HL127" t="b">
        <f>AND(DATA!U771,"AAAAADn1/9s=")</f>
        <v>1</v>
      </c>
      <c r="HM127" t="b">
        <f>AND(DATA!V771,"AAAAADn1/9w=")</f>
        <v>1</v>
      </c>
      <c r="HN127" t="e">
        <f>AND(DATA!W770,"AAAAADn1/90=")</f>
        <v>#VALUE!</v>
      </c>
      <c r="HO127" t="e">
        <f>AND(DATA!X770,"AAAAADn1/94=")</f>
        <v>#VALUE!</v>
      </c>
      <c r="HP127" t="e">
        <f>AND(DATA!Y770,"AAAAADn1/98=")</f>
        <v>#VALUE!</v>
      </c>
      <c r="HQ127">
        <f>IF(DATA!771:771,"AAAAADn1/+A=",0)</f>
        <v>0</v>
      </c>
      <c r="HR127" t="e">
        <f>AND(DATA!A771,"AAAAADn1/+E=")</f>
        <v>#VALUE!</v>
      </c>
      <c r="HS127" t="e">
        <f>AND(DATA!B771,"AAAAADn1/+I=")</f>
        <v>#VALUE!</v>
      </c>
      <c r="HT127" t="e">
        <f>AND(DATA!C771,"AAAAADn1/+M=")</f>
        <v>#VALUE!</v>
      </c>
      <c r="HU127" t="e">
        <f>AND(DATA!D771,"AAAAADn1/+Q=")</f>
        <v>#VALUE!</v>
      </c>
      <c r="HV127" t="e">
        <f>AND(DATA!E771,"AAAAADn1/+U=")</f>
        <v>#VALUE!</v>
      </c>
      <c r="HW127" t="e">
        <f>AND(DATA!F771,"AAAAADn1/+Y=")</f>
        <v>#VALUE!</v>
      </c>
      <c r="HX127" t="e">
        <f>AND(DATA!G771,"AAAAADn1/+c=")</f>
        <v>#VALUE!</v>
      </c>
      <c r="HY127" t="e">
        <f>AND(DATA!H771,"AAAAADn1/+g=")</f>
        <v>#VALUE!</v>
      </c>
      <c r="HZ127" t="e">
        <f>AND(DATA!I771,"AAAAADn1/+k=")</f>
        <v>#VALUE!</v>
      </c>
      <c r="IA127" t="e">
        <f>AND(DATA!J771,"AAAAADn1/+o=")</f>
        <v>#VALUE!</v>
      </c>
      <c r="IB127" t="e">
        <f>AND(DATA!K771,"AAAAADn1/+s=")</f>
        <v>#VALUE!</v>
      </c>
      <c r="IC127" t="b">
        <f>AND(DATA!L772,"AAAAADn1/+w=")</f>
        <v>1</v>
      </c>
      <c r="ID127" t="b">
        <f>AND(DATA!M772,"AAAAADn1/+0=")</f>
        <v>1</v>
      </c>
      <c r="IE127" t="b">
        <f>AND(DATA!N772,"AAAAADn1/+4=")</f>
        <v>1</v>
      </c>
      <c r="IF127" t="b">
        <f>AND(DATA!O772,"AAAAADn1/+8=")</f>
        <v>1</v>
      </c>
      <c r="IG127" t="b">
        <f>AND(DATA!P772,"AAAAADn1//A=")</f>
        <v>1</v>
      </c>
      <c r="IH127" t="b">
        <f>AND(DATA!Q772,"AAAAADn1//E=")</f>
        <v>1</v>
      </c>
      <c r="II127" t="b">
        <f>AND(DATA!R772,"AAAAADn1//I=")</f>
        <v>1</v>
      </c>
      <c r="IJ127" t="b">
        <f>AND(DATA!S772,"AAAAADn1//M=")</f>
        <v>1</v>
      </c>
      <c r="IK127" t="b">
        <f>AND(DATA!T772,"AAAAADn1//Q=")</f>
        <v>1</v>
      </c>
      <c r="IL127" t="b">
        <f>AND(DATA!U772,"AAAAADn1//U=")</f>
        <v>1</v>
      </c>
      <c r="IM127" t="b">
        <f>AND(DATA!V772,"AAAAADn1//Y=")</f>
        <v>1</v>
      </c>
      <c r="IN127" t="e">
        <f>AND(DATA!W771,"AAAAADn1//c=")</f>
        <v>#VALUE!</v>
      </c>
      <c r="IO127" t="e">
        <f>AND(DATA!X771,"AAAAADn1//g=")</f>
        <v>#VALUE!</v>
      </c>
      <c r="IP127" t="e">
        <f>AND(DATA!Y771,"AAAAADn1//k=")</f>
        <v>#VALUE!</v>
      </c>
      <c r="IQ127">
        <f>IF(DATA!772:772,"AAAAADn1//o=",0)</f>
        <v>0</v>
      </c>
      <c r="IR127" t="e">
        <f>AND(DATA!A772,"AAAAADn1//s=")</f>
        <v>#VALUE!</v>
      </c>
      <c r="IS127" t="e">
        <f>AND(DATA!B772,"AAAAADn1//w=")</f>
        <v>#VALUE!</v>
      </c>
      <c r="IT127" t="e">
        <f>AND(DATA!C772,"AAAAADn1//0=")</f>
        <v>#VALUE!</v>
      </c>
      <c r="IU127" t="e">
        <f>AND(DATA!D772,"AAAAADn1//4=")</f>
        <v>#VALUE!</v>
      </c>
      <c r="IV127" t="e">
        <f>AND(DATA!E772,"AAAAADn1//8=")</f>
        <v>#VALUE!</v>
      </c>
    </row>
    <row r="128" spans="1:256" x14ac:dyDescent="0.25">
      <c r="A128" t="e">
        <f>AND(DATA!F772,"AAAAAHw73wA=")</f>
        <v>#VALUE!</v>
      </c>
      <c r="B128" t="e">
        <f>AND(DATA!G772,"AAAAAHw73wE=")</f>
        <v>#VALUE!</v>
      </c>
      <c r="C128" t="e">
        <f>AND(DATA!H772,"AAAAAHw73wI=")</f>
        <v>#VALUE!</v>
      </c>
      <c r="D128" t="e">
        <f>AND(DATA!I772,"AAAAAHw73wM=")</f>
        <v>#VALUE!</v>
      </c>
      <c r="E128" t="e">
        <f>AND(DATA!J772,"AAAAAHw73wQ=")</f>
        <v>#VALUE!</v>
      </c>
      <c r="F128" t="e">
        <f>AND(DATA!K772,"AAAAAHw73wU=")</f>
        <v>#VALUE!</v>
      </c>
      <c r="G128" t="b">
        <f>AND(DATA!L773,"AAAAAHw73wY=")</f>
        <v>1</v>
      </c>
      <c r="H128" t="b">
        <f>AND(DATA!M773,"AAAAAHw73wc=")</f>
        <v>1</v>
      </c>
      <c r="I128" t="b">
        <f>AND(DATA!N773,"AAAAAHw73wg=")</f>
        <v>1</v>
      </c>
      <c r="J128" t="b">
        <f>AND(DATA!O773,"AAAAAHw73wk=")</f>
        <v>1</v>
      </c>
      <c r="K128" t="b">
        <f>AND(DATA!P773,"AAAAAHw73wo=")</f>
        <v>1</v>
      </c>
      <c r="L128" t="b">
        <f>AND(DATA!Q773,"AAAAAHw73ws=")</f>
        <v>1</v>
      </c>
      <c r="M128" t="b">
        <f>AND(DATA!R773,"AAAAAHw73ww=")</f>
        <v>1</v>
      </c>
      <c r="N128" t="b">
        <f>AND(DATA!S773,"AAAAAHw73w0=")</f>
        <v>1</v>
      </c>
      <c r="O128" t="b">
        <f>AND(DATA!T773,"AAAAAHw73w4=")</f>
        <v>1</v>
      </c>
      <c r="P128" t="b">
        <f>AND(DATA!U773,"AAAAAHw73w8=")</f>
        <v>1</v>
      </c>
      <c r="Q128" t="b">
        <f>AND(DATA!V773,"AAAAAHw73xA=")</f>
        <v>1</v>
      </c>
      <c r="R128" t="e">
        <f>AND(DATA!W772,"AAAAAHw73xE=")</f>
        <v>#VALUE!</v>
      </c>
      <c r="S128" t="e">
        <f>AND(DATA!X772,"AAAAAHw73xI=")</f>
        <v>#VALUE!</v>
      </c>
      <c r="T128" t="e">
        <f>AND(DATA!Y772,"AAAAAHw73xM=")</f>
        <v>#VALUE!</v>
      </c>
      <c r="U128" t="str">
        <f>IF(DATA!773:773,"AAAAAHw73xQ=",0)</f>
        <v>AAAAAHw73xQ=</v>
      </c>
      <c r="V128" t="e">
        <f>AND(DATA!A773,"AAAAAHw73xU=")</f>
        <v>#VALUE!</v>
      </c>
      <c r="W128" t="e">
        <f>AND(DATA!B773,"AAAAAHw73xY=")</f>
        <v>#VALUE!</v>
      </c>
      <c r="X128" t="e">
        <f>AND(DATA!C773,"AAAAAHw73xc=")</f>
        <v>#VALUE!</v>
      </c>
      <c r="Y128" t="e">
        <f>AND(DATA!D773,"AAAAAHw73xg=")</f>
        <v>#VALUE!</v>
      </c>
      <c r="Z128" t="e">
        <f>AND(DATA!E773,"AAAAAHw73xk=")</f>
        <v>#VALUE!</v>
      </c>
      <c r="AA128" t="e">
        <f>AND(DATA!F773,"AAAAAHw73xo=")</f>
        <v>#VALUE!</v>
      </c>
      <c r="AB128" t="e">
        <f>AND(DATA!G773,"AAAAAHw73xs=")</f>
        <v>#VALUE!</v>
      </c>
      <c r="AC128" t="e">
        <f>AND(DATA!H773,"AAAAAHw73xw=")</f>
        <v>#VALUE!</v>
      </c>
      <c r="AD128" t="e">
        <f>AND(DATA!I773,"AAAAAHw73x0=")</f>
        <v>#VALUE!</v>
      </c>
      <c r="AE128" t="e">
        <f>AND(DATA!J773,"AAAAAHw73x4=")</f>
        <v>#VALUE!</v>
      </c>
      <c r="AF128" t="e">
        <f>AND(DATA!K773,"AAAAAHw73x8=")</f>
        <v>#VALUE!</v>
      </c>
      <c r="AG128" t="b">
        <f>AND(DATA!L774,"AAAAAHw73yA=")</f>
        <v>1</v>
      </c>
      <c r="AH128" t="b">
        <f>AND(DATA!M774,"AAAAAHw73yE=")</f>
        <v>1</v>
      </c>
      <c r="AI128" t="b">
        <f>AND(DATA!N774,"AAAAAHw73yI=")</f>
        <v>1</v>
      </c>
      <c r="AJ128" t="b">
        <f>AND(DATA!O774,"AAAAAHw73yM=")</f>
        <v>1</v>
      </c>
      <c r="AK128" t="b">
        <f>AND(DATA!P774,"AAAAAHw73yQ=")</f>
        <v>1</v>
      </c>
      <c r="AL128" t="b">
        <f>AND(DATA!Q774,"AAAAAHw73yU=")</f>
        <v>1</v>
      </c>
      <c r="AM128" t="b">
        <f>AND(DATA!R774,"AAAAAHw73yY=")</f>
        <v>1</v>
      </c>
      <c r="AN128" t="b">
        <f>AND(DATA!S774,"AAAAAHw73yc=")</f>
        <v>1</v>
      </c>
      <c r="AO128" t="b">
        <f>AND(DATA!T774,"AAAAAHw73yg=")</f>
        <v>1</v>
      </c>
      <c r="AP128" t="b">
        <f>AND(DATA!U774,"AAAAAHw73yk=")</f>
        <v>1</v>
      </c>
      <c r="AQ128" t="b">
        <f>AND(DATA!V774,"AAAAAHw73yo=")</f>
        <v>1</v>
      </c>
      <c r="AR128" t="e">
        <f>AND(DATA!W773,"AAAAAHw73ys=")</f>
        <v>#VALUE!</v>
      </c>
      <c r="AS128" t="e">
        <f>AND(DATA!X773,"AAAAAHw73yw=")</f>
        <v>#VALUE!</v>
      </c>
      <c r="AT128" t="e">
        <f>AND(DATA!Y773,"AAAAAHw73y0=")</f>
        <v>#VALUE!</v>
      </c>
      <c r="AU128">
        <f>IF(DATA!774:774,"AAAAAHw73y4=",0)</f>
        <v>0</v>
      </c>
      <c r="AV128" t="e">
        <f>AND(DATA!A774,"AAAAAHw73y8=")</f>
        <v>#VALUE!</v>
      </c>
      <c r="AW128" t="e">
        <f>AND(DATA!B774,"AAAAAHw73zA=")</f>
        <v>#VALUE!</v>
      </c>
      <c r="AX128" t="e">
        <f>AND(DATA!C774,"AAAAAHw73zE=")</f>
        <v>#VALUE!</v>
      </c>
      <c r="AY128" t="e">
        <f>AND(DATA!D774,"AAAAAHw73zI=")</f>
        <v>#VALUE!</v>
      </c>
      <c r="AZ128" t="e">
        <f>AND(DATA!E774,"AAAAAHw73zM=")</f>
        <v>#VALUE!</v>
      </c>
      <c r="BA128" t="e">
        <f>AND(DATA!F774,"AAAAAHw73zQ=")</f>
        <v>#VALUE!</v>
      </c>
      <c r="BB128" t="e">
        <f>AND(DATA!G774,"AAAAAHw73zU=")</f>
        <v>#VALUE!</v>
      </c>
      <c r="BC128" t="e">
        <f>AND(DATA!H774,"AAAAAHw73zY=")</f>
        <v>#VALUE!</v>
      </c>
      <c r="BD128" t="e">
        <f>AND(DATA!I774,"AAAAAHw73zc=")</f>
        <v>#VALUE!</v>
      </c>
      <c r="BE128" t="e">
        <f>AND(DATA!J774,"AAAAAHw73zg=")</f>
        <v>#VALUE!</v>
      </c>
      <c r="BF128" t="e">
        <f>AND(DATA!K774,"AAAAAHw73zk=")</f>
        <v>#VALUE!</v>
      </c>
      <c r="BG128" t="b">
        <f>AND(DATA!L775,"AAAAAHw73zo=")</f>
        <v>1</v>
      </c>
      <c r="BH128" t="b">
        <f>AND(DATA!M775,"AAAAAHw73zs=")</f>
        <v>1</v>
      </c>
      <c r="BI128" t="b">
        <f>AND(DATA!N775,"AAAAAHw73zw=")</f>
        <v>1</v>
      </c>
      <c r="BJ128" t="b">
        <f>AND(DATA!O775,"AAAAAHw73z0=")</f>
        <v>1</v>
      </c>
      <c r="BK128" t="b">
        <f>AND(DATA!P775,"AAAAAHw73z4=")</f>
        <v>1</v>
      </c>
      <c r="BL128" t="b">
        <f>AND(DATA!Q775,"AAAAAHw73z8=")</f>
        <v>1</v>
      </c>
      <c r="BM128" t="b">
        <f>AND(DATA!R775,"AAAAAHw730A=")</f>
        <v>1</v>
      </c>
      <c r="BN128" t="b">
        <f>AND(DATA!S775,"AAAAAHw730E=")</f>
        <v>1</v>
      </c>
      <c r="BO128" t="b">
        <f>AND(DATA!T775,"AAAAAHw730I=")</f>
        <v>1</v>
      </c>
      <c r="BP128" t="b">
        <f>AND(DATA!U775,"AAAAAHw730M=")</f>
        <v>1</v>
      </c>
      <c r="BQ128" t="b">
        <f>AND(DATA!V775,"AAAAAHw730Q=")</f>
        <v>1</v>
      </c>
      <c r="BR128" t="e">
        <f>AND(DATA!W774,"AAAAAHw730U=")</f>
        <v>#VALUE!</v>
      </c>
      <c r="BS128" t="e">
        <f>AND(DATA!X774,"AAAAAHw730Y=")</f>
        <v>#VALUE!</v>
      </c>
      <c r="BT128" t="e">
        <f>AND(DATA!Y774,"AAAAAHw730c=")</f>
        <v>#VALUE!</v>
      </c>
      <c r="BU128">
        <f>IF(DATA!775:775,"AAAAAHw730g=",0)</f>
        <v>0</v>
      </c>
      <c r="BV128" t="e">
        <f>AND(DATA!A775,"AAAAAHw730k=")</f>
        <v>#VALUE!</v>
      </c>
      <c r="BW128" t="e">
        <f>AND(DATA!B775,"AAAAAHw730o=")</f>
        <v>#VALUE!</v>
      </c>
      <c r="BX128" t="e">
        <f>AND(DATA!C775,"AAAAAHw730s=")</f>
        <v>#VALUE!</v>
      </c>
      <c r="BY128" t="e">
        <f>AND(DATA!D775,"AAAAAHw730w=")</f>
        <v>#VALUE!</v>
      </c>
      <c r="BZ128" t="e">
        <f>AND(DATA!E775,"AAAAAHw7300=")</f>
        <v>#VALUE!</v>
      </c>
      <c r="CA128" t="e">
        <f>AND(DATA!F775,"AAAAAHw7304=")</f>
        <v>#VALUE!</v>
      </c>
      <c r="CB128" t="e">
        <f>AND(DATA!G775,"AAAAAHw7308=")</f>
        <v>#VALUE!</v>
      </c>
      <c r="CC128" t="e">
        <f>AND(DATA!H775,"AAAAAHw731A=")</f>
        <v>#VALUE!</v>
      </c>
      <c r="CD128" t="e">
        <f>AND(DATA!I775,"AAAAAHw731E=")</f>
        <v>#VALUE!</v>
      </c>
      <c r="CE128" t="e">
        <f>AND(DATA!J775,"AAAAAHw731I=")</f>
        <v>#VALUE!</v>
      </c>
      <c r="CF128" t="e">
        <f>AND(DATA!K775,"AAAAAHw731M=")</f>
        <v>#VALUE!</v>
      </c>
      <c r="CG128" t="b">
        <f>AND(DATA!L776,"AAAAAHw731Q=")</f>
        <v>1</v>
      </c>
      <c r="CH128" t="b">
        <f>AND(DATA!M776,"AAAAAHw731U=")</f>
        <v>1</v>
      </c>
      <c r="CI128" t="b">
        <f>AND(DATA!N776,"AAAAAHw731Y=")</f>
        <v>1</v>
      </c>
      <c r="CJ128" t="b">
        <f>AND(DATA!O776,"AAAAAHw731c=")</f>
        <v>1</v>
      </c>
      <c r="CK128" t="b">
        <f>AND(DATA!P776,"AAAAAHw731g=")</f>
        <v>1</v>
      </c>
      <c r="CL128" t="b">
        <f>AND(DATA!Q776,"AAAAAHw731k=")</f>
        <v>1</v>
      </c>
      <c r="CM128" t="b">
        <f>AND(DATA!R776,"AAAAAHw731o=")</f>
        <v>1</v>
      </c>
      <c r="CN128" t="b">
        <f>AND(DATA!S776,"AAAAAHw731s=")</f>
        <v>1</v>
      </c>
      <c r="CO128" t="b">
        <f>AND(DATA!T776,"AAAAAHw731w=")</f>
        <v>1</v>
      </c>
      <c r="CP128" t="b">
        <f>AND(DATA!U776,"AAAAAHw7310=")</f>
        <v>1</v>
      </c>
      <c r="CQ128" t="b">
        <f>AND(DATA!V776,"AAAAAHw7314=")</f>
        <v>1</v>
      </c>
      <c r="CR128" t="e">
        <f>AND(DATA!W775,"AAAAAHw7318=")</f>
        <v>#VALUE!</v>
      </c>
      <c r="CS128" t="e">
        <f>AND(DATA!X775,"AAAAAHw732A=")</f>
        <v>#VALUE!</v>
      </c>
      <c r="CT128" t="e">
        <f>AND(DATA!Y775,"AAAAAHw732E=")</f>
        <v>#VALUE!</v>
      </c>
      <c r="CU128">
        <f>IF(DATA!776:776,"AAAAAHw732I=",0)</f>
        <v>0</v>
      </c>
      <c r="CV128" t="e">
        <f>AND(DATA!A776,"AAAAAHw732M=")</f>
        <v>#VALUE!</v>
      </c>
      <c r="CW128" t="e">
        <f>AND(DATA!B776,"AAAAAHw732Q=")</f>
        <v>#VALUE!</v>
      </c>
      <c r="CX128" t="e">
        <f>AND(DATA!C776,"AAAAAHw732U=")</f>
        <v>#VALUE!</v>
      </c>
      <c r="CY128" t="e">
        <f>AND(DATA!D776,"AAAAAHw732Y=")</f>
        <v>#VALUE!</v>
      </c>
      <c r="CZ128" t="e">
        <f>AND(DATA!E776,"AAAAAHw732c=")</f>
        <v>#VALUE!</v>
      </c>
      <c r="DA128" t="e">
        <f>AND(DATA!F776,"AAAAAHw732g=")</f>
        <v>#VALUE!</v>
      </c>
      <c r="DB128" t="e">
        <f>AND(DATA!G776,"AAAAAHw732k=")</f>
        <v>#VALUE!</v>
      </c>
      <c r="DC128" t="e">
        <f>AND(DATA!H776,"AAAAAHw732o=")</f>
        <v>#VALUE!</v>
      </c>
      <c r="DD128" t="e">
        <f>AND(DATA!I776,"AAAAAHw732s=")</f>
        <v>#VALUE!</v>
      </c>
      <c r="DE128" t="e">
        <f>AND(DATA!J776,"AAAAAHw732w=")</f>
        <v>#VALUE!</v>
      </c>
      <c r="DF128" t="e">
        <f>AND(DATA!K776,"AAAAAHw7320=")</f>
        <v>#VALUE!</v>
      </c>
      <c r="DG128" t="b">
        <f>AND(DATA!L777,"AAAAAHw7324=")</f>
        <v>1</v>
      </c>
      <c r="DH128" t="b">
        <f>AND(DATA!M777,"AAAAAHw7328=")</f>
        <v>1</v>
      </c>
      <c r="DI128" t="b">
        <f>AND(DATA!N777,"AAAAAHw733A=")</f>
        <v>1</v>
      </c>
      <c r="DJ128" t="b">
        <f>AND(DATA!O777,"AAAAAHw733E=")</f>
        <v>1</v>
      </c>
      <c r="DK128" t="b">
        <f>AND(DATA!P777,"AAAAAHw733I=")</f>
        <v>1</v>
      </c>
      <c r="DL128" t="b">
        <f>AND(DATA!Q777,"AAAAAHw733M=")</f>
        <v>1</v>
      </c>
      <c r="DM128" t="b">
        <f>AND(DATA!R777,"AAAAAHw733Q=")</f>
        <v>1</v>
      </c>
      <c r="DN128" t="b">
        <f>AND(DATA!S777,"AAAAAHw733U=")</f>
        <v>1</v>
      </c>
      <c r="DO128" t="b">
        <f>AND(DATA!T777,"AAAAAHw733Y=")</f>
        <v>1</v>
      </c>
      <c r="DP128" t="b">
        <f>AND(DATA!U777,"AAAAAHw733c=")</f>
        <v>1</v>
      </c>
      <c r="DQ128" t="b">
        <f>AND(DATA!V777,"AAAAAHw733g=")</f>
        <v>1</v>
      </c>
      <c r="DR128" t="e">
        <f>AND(DATA!W776,"AAAAAHw733k=")</f>
        <v>#VALUE!</v>
      </c>
      <c r="DS128" t="e">
        <f>AND(DATA!X776,"AAAAAHw733o=")</f>
        <v>#VALUE!</v>
      </c>
      <c r="DT128" t="e">
        <f>AND(DATA!Y776,"AAAAAHw733s=")</f>
        <v>#VALUE!</v>
      </c>
      <c r="DU128">
        <f>IF(DATA!777:777,"AAAAAHw733w=",0)</f>
        <v>0</v>
      </c>
      <c r="DV128" t="e">
        <f>AND(DATA!A777,"AAAAAHw7330=")</f>
        <v>#VALUE!</v>
      </c>
      <c r="DW128" t="e">
        <f>AND(DATA!B777,"AAAAAHw7334=")</f>
        <v>#VALUE!</v>
      </c>
      <c r="DX128" t="e">
        <f>AND(DATA!C777,"AAAAAHw7338=")</f>
        <v>#VALUE!</v>
      </c>
      <c r="DY128" t="e">
        <f>AND(DATA!D777,"AAAAAHw734A=")</f>
        <v>#VALUE!</v>
      </c>
      <c r="DZ128" t="e">
        <f>AND(DATA!E777,"AAAAAHw734E=")</f>
        <v>#VALUE!</v>
      </c>
      <c r="EA128" t="e">
        <f>AND(DATA!F777,"AAAAAHw734I=")</f>
        <v>#VALUE!</v>
      </c>
      <c r="EB128" t="e">
        <f>AND(DATA!G777,"AAAAAHw734M=")</f>
        <v>#VALUE!</v>
      </c>
      <c r="EC128" t="e">
        <f>AND(DATA!H777,"AAAAAHw734Q=")</f>
        <v>#VALUE!</v>
      </c>
      <c r="ED128" t="e">
        <f>AND(DATA!I777,"AAAAAHw734U=")</f>
        <v>#VALUE!</v>
      </c>
      <c r="EE128" t="e">
        <f>AND(DATA!J777,"AAAAAHw734Y=")</f>
        <v>#VALUE!</v>
      </c>
      <c r="EF128" t="e">
        <f>AND(DATA!K777,"AAAAAHw734c=")</f>
        <v>#VALUE!</v>
      </c>
      <c r="EG128" t="b">
        <f>AND(DATA!L778,"AAAAAHw734g=")</f>
        <v>1</v>
      </c>
      <c r="EH128" t="b">
        <f>AND(DATA!M778,"AAAAAHw734k=")</f>
        <v>1</v>
      </c>
      <c r="EI128" t="b">
        <f>AND(DATA!N778,"AAAAAHw734o=")</f>
        <v>1</v>
      </c>
      <c r="EJ128" t="b">
        <f>AND(DATA!O778,"AAAAAHw734s=")</f>
        <v>1</v>
      </c>
      <c r="EK128" t="b">
        <f>AND(DATA!P778,"AAAAAHw734w=")</f>
        <v>1</v>
      </c>
      <c r="EL128" t="b">
        <f>AND(DATA!Q778,"AAAAAHw7340=")</f>
        <v>1</v>
      </c>
      <c r="EM128" t="b">
        <f>AND(DATA!R778,"AAAAAHw7344=")</f>
        <v>1</v>
      </c>
      <c r="EN128" t="b">
        <f>AND(DATA!S778,"AAAAAHw7348=")</f>
        <v>1</v>
      </c>
      <c r="EO128" t="b">
        <f>AND(DATA!T778,"AAAAAHw735A=")</f>
        <v>1</v>
      </c>
      <c r="EP128" t="b">
        <f>AND(DATA!U778,"AAAAAHw735E=")</f>
        <v>1</v>
      </c>
      <c r="EQ128" t="b">
        <f>AND(DATA!V778,"AAAAAHw735I=")</f>
        <v>1</v>
      </c>
      <c r="ER128" t="e">
        <f>AND(DATA!W777,"AAAAAHw735M=")</f>
        <v>#VALUE!</v>
      </c>
      <c r="ES128" t="e">
        <f>AND(DATA!X777,"AAAAAHw735Q=")</f>
        <v>#VALUE!</v>
      </c>
      <c r="ET128" t="e">
        <f>AND(DATA!Y777,"AAAAAHw735U=")</f>
        <v>#VALUE!</v>
      </c>
      <c r="EU128">
        <f>IF(DATA!778:778,"AAAAAHw735Y=",0)</f>
        <v>0</v>
      </c>
      <c r="EV128" t="e">
        <f>AND(DATA!A778,"AAAAAHw735c=")</f>
        <v>#VALUE!</v>
      </c>
      <c r="EW128" t="e">
        <f>AND(DATA!B778,"AAAAAHw735g=")</f>
        <v>#VALUE!</v>
      </c>
      <c r="EX128" t="e">
        <f>AND(DATA!C778,"AAAAAHw735k=")</f>
        <v>#VALUE!</v>
      </c>
      <c r="EY128" t="e">
        <f>AND(DATA!D778,"AAAAAHw735o=")</f>
        <v>#VALUE!</v>
      </c>
      <c r="EZ128" t="e">
        <f>AND(DATA!E778,"AAAAAHw735s=")</f>
        <v>#VALUE!</v>
      </c>
      <c r="FA128" t="e">
        <f>AND(DATA!F778,"AAAAAHw735w=")</f>
        <v>#VALUE!</v>
      </c>
      <c r="FB128" t="e">
        <f>AND(DATA!G778,"AAAAAHw7350=")</f>
        <v>#VALUE!</v>
      </c>
      <c r="FC128" t="e">
        <f>AND(DATA!H778,"AAAAAHw7354=")</f>
        <v>#VALUE!</v>
      </c>
      <c r="FD128" t="e">
        <f>AND(DATA!I778,"AAAAAHw7358=")</f>
        <v>#VALUE!</v>
      </c>
      <c r="FE128" t="e">
        <f>AND(DATA!J778,"AAAAAHw736A=")</f>
        <v>#VALUE!</v>
      </c>
      <c r="FF128" t="e">
        <f>AND(DATA!K778,"AAAAAHw736E=")</f>
        <v>#VALUE!</v>
      </c>
      <c r="FG128" t="b">
        <f>AND(DATA!L779,"AAAAAHw736I=")</f>
        <v>1</v>
      </c>
      <c r="FH128" t="b">
        <f>AND(DATA!M779,"AAAAAHw736M=")</f>
        <v>1</v>
      </c>
      <c r="FI128" t="b">
        <f>AND(DATA!N779,"AAAAAHw736Q=")</f>
        <v>1</v>
      </c>
      <c r="FJ128" t="b">
        <f>AND(DATA!O779,"AAAAAHw736U=")</f>
        <v>1</v>
      </c>
      <c r="FK128" t="b">
        <f>AND(DATA!P779,"AAAAAHw736Y=")</f>
        <v>1</v>
      </c>
      <c r="FL128" t="b">
        <f>AND(DATA!Q779,"AAAAAHw736c=")</f>
        <v>1</v>
      </c>
      <c r="FM128" t="b">
        <f>AND(DATA!R779,"AAAAAHw736g=")</f>
        <v>1</v>
      </c>
      <c r="FN128" t="b">
        <f>AND(DATA!S779,"AAAAAHw736k=")</f>
        <v>1</v>
      </c>
      <c r="FO128" t="b">
        <f>AND(DATA!T779,"AAAAAHw736o=")</f>
        <v>1</v>
      </c>
      <c r="FP128" t="b">
        <f>AND(DATA!U779,"AAAAAHw736s=")</f>
        <v>1</v>
      </c>
      <c r="FQ128" t="b">
        <f>AND(DATA!V779,"AAAAAHw736w=")</f>
        <v>1</v>
      </c>
      <c r="FR128" t="e">
        <f>AND(DATA!W778,"AAAAAHw7360=")</f>
        <v>#VALUE!</v>
      </c>
      <c r="FS128" t="e">
        <f>AND(DATA!X778,"AAAAAHw7364=")</f>
        <v>#VALUE!</v>
      </c>
      <c r="FT128" t="e">
        <f>AND(DATA!Y778,"AAAAAHw7368=")</f>
        <v>#VALUE!</v>
      </c>
      <c r="FU128">
        <f>IF(DATA!779:779,"AAAAAHw737A=",0)</f>
        <v>0</v>
      </c>
      <c r="FV128" t="e">
        <f>AND(DATA!A779,"AAAAAHw737E=")</f>
        <v>#VALUE!</v>
      </c>
      <c r="FW128" t="e">
        <f>AND(DATA!B779,"AAAAAHw737I=")</f>
        <v>#VALUE!</v>
      </c>
      <c r="FX128" t="e">
        <f>AND(DATA!C779,"AAAAAHw737M=")</f>
        <v>#VALUE!</v>
      </c>
      <c r="FY128" t="e">
        <f>AND(DATA!D779,"AAAAAHw737Q=")</f>
        <v>#VALUE!</v>
      </c>
      <c r="FZ128" t="e">
        <f>AND(DATA!E779,"AAAAAHw737U=")</f>
        <v>#VALUE!</v>
      </c>
      <c r="GA128" t="e">
        <f>AND(DATA!F779,"AAAAAHw737Y=")</f>
        <v>#VALUE!</v>
      </c>
      <c r="GB128" t="e">
        <f>AND(DATA!G779,"AAAAAHw737c=")</f>
        <v>#VALUE!</v>
      </c>
      <c r="GC128" t="e">
        <f>AND(DATA!H779,"AAAAAHw737g=")</f>
        <v>#VALUE!</v>
      </c>
      <c r="GD128" t="e">
        <f>AND(DATA!I779,"AAAAAHw737k=")</f>
        <v>#VALUE!</v>
      </c>
      <c r="GE128" t="e">
        <f>AND(DATA!J779,"AAAAAHw737o=")</f>
        <v>#VALUE!</v>
      </c>
      <c r="GF128" t="e">
        <f>AND(DATA!K779,"AAAAAHw737s=")</f>
        <v>#VALUE!</v>
      </c>
      <c r="GG128" t="b">
        <f>AND(DATA!L780,"AAAAAHw737w=")</f>
        <v>1</v>
      </c>
      <c r="GH128" t="b">
        <f>AND(DATA!M780,"AAAAAHw7370=")</f>
        <v>1</v>
      </c>
      <c r="GI128" t="b">
        <f>AND(DATA!N780,"AAAAAHw7374=")</f>
        <v>1</v>
      </c>
      <c r="GJ128" t="b">
        <f>AND(DATA!O780,"AAAAAHw7378=")</f>
        <v>1</v>
      </c>
      <c r="GK128" t="b">
        <f>AND(DATA!P780,"AAAAAHw738A=")</f>
        <v>1</v>
      </c>
      <c r="GL128" t="b">
        <f>AND(DATA!Q780,"AAAAAHw738E=")</f>
        <v>1</v>
      </c>
      <c r="GM128" t="b">
        <f>AND(DATA!R780,"AAAAAHw738I=")</f>
        <v>1</v>
      </c>
      <c r="GN128" t="b">
        <f>AND(DATA!S780,"AAAAAHw738M=")</f>
        <v>1</v>
      </c>
      <c r="GO128" t="b">
        <f>AND(DATA!T780,"AAAAAHw738Q=")</f>
        <v>1</v>
      </c>
      <c r="GP128" t="b">
        <f>AND(DATA!U780,"AAAAAHw738U=")</f>
        <v>1</v>
      </c>
      <c r="GQ128" t="b">
        <f>AND(DATA!V780,"AAAAAHw738Y=")</f>
        <v>1</v>
      </c>
      <c r="GR128" t="e">
        <f>AND(DATA!W779,"AAAAAHw738c=")</f>
        <v>#VALUE!</v>
      </c>
      <c r="GS128" t="e">
        <f>AND(DATA!X779,"AAAAAHw738g=")</f>
        <v>#VALUE!</v>
      </c>
      <c r="GT128" t="e">
        <f>AND(DATA!Y779,"AAAAAHw738k=")</f>
        <v>#VALUE!</v>
      </c>
      <c r="GU128">
        <f>IF(DATA!780:780,"AAAAAHw738o=",0)</f>
        <v>0</v>
      </c>
      <c r="GV128" t="e">
        <f>AND(DATA!A780,"AAAAAHw738s=")</f>
        <v>#VALUE!</v>
      </c>
      <c r="GW128" t="e">
        <f>AND(DATA!B780,"AAAAAHw738w=")</f>
        <v>#VALUE!</v>
      </c>
      <c r="GX128" t="e">
        <f>AND(DATA!C780,"AAAAAHw7380=")</f>
        <v>#VALUE!</v>
      </c>
      <c r="GY128" t="e">
        <f>AND(DATA!D780,"AAAAAHw7384=")</f>
        <v>#VALUE!</v>
      </c>
      <c r="GZ128" t="e">
        <f>AND(DATA!E780,"AAAAAHw7388=")</f>
        <v>#VALUE!</v>
      </c>
      <c r="HA128" t="e">
        <f>AND(DATA!F780,"AAAAAHw739A=")</f>
        <v>#VALUE!</v>
      </c>
      <c r="HB128" t="e">
        <f>AND(DATA!G780,"AAAAAHw739E=")</f>
        <v>#VALUE!</v>
      </c>
      <c r="HC128" t="e">
        <f>AND(DATA!H780,"AAAAAHw739I=")</f>
        <v>#VALUE!</v>
      </c>
      <c r="HD128" t="e">
        <f>AND(DATA!I780,"AAAAAHw739M=")</f>
        <v>#VALUE!</v>
      </c>
      <c r="HE128" t="e">
        <f>AND(DATA!J780,"AAAAAHw739Q=")</f>
        <v>#VALUE!</v>
      </c>
      <c r="HF128" t="e">
        <f>AND(DATA!K780,"AAAAAHw739U=")</f>
        <v>#VALUE!</v>
      </c>
      <c r="HG128" t="b">
        <f>AND(DATA!L781,"AAAAAHw739Y=")</f>
        <v>1</v>
      </c>
      <c r="HH128" t="b">
        <f>AND(DATA!M781,"AAAAAHw739c=")</f>
        <v>1</v>
      </c>
      <c r="HI128" t="b">
        <f>AND(DATA!N781,"AAAAAHw739g=")</f>
        <v>1</v>
      </c>
      <c r="HJ128" t="b">
        <f>AND(DATA!O781,"AAAAAHw739k=")</f>
        <v>1</v>
      </c>
      <c r="HK128" t="b">
        <f>AND(DATA!P781,"AAAAAHw739o=")</f>
        <v>1</v>
      </c>
      <c r="HL128" t="b">
        <f>AND(DATA!Q781,"AAAAAHw739s=")</f>
        <v>1</v>
      </c>
      <c r="HM128" t="b">
        <f>AND(DATA!R781,"AAAAAHw739w=")</f>
        <v>1</v>
      </c>
      <c r="HN128" t="b">
        <f>AND(DATA!S781,"AAAAAHw7390=")</f>
        <v>1</v>
      </c>
      <c r="HO128" t="b">
        <f>AND(DATA!T781,"AAAAAHw7394=")</f>
        <v>1</v>
      </c>
      <c r="HP128" t="b">
        <f>AND(DATA!U781,"AAAAAHw7398=")</f>
        <v>1</v>
      </c>
      <c r="HQ128" t="b">
        <f>AND(DATA!V781,"AAAAAHw73+A=")</f>
        <v>1</v>
      </c>
      <c r="HR128" t="e">
        <f>AND(DATA!W780,"AAAAAHw73+E=")</f>
        <v>#VALUE!</v>
      </c>
      <c r="HS128" t="e">
        <f>AND(DATA!X780,"AAAAAHw73+I=")</f>
        <v>#VALUE!</v>
      </c>
      <c r="HT128" t="e">
        <f>AND(DATA!Y780,"AAAAAHw73+M=")</f>
        <v>#VALUE!</v>
      </c>
      <c r="HU128">
        <f>IF(DATA!781:781,"AAAAAHw73+Q=",0)</f>
        <v>0</v>
      </c>
      <c r="HV128" t="e">
        <f>AND(DATA!A781,"AAAAAHw73+U=")</f>
        <v>#VALUE!</v>
      </c>
      <c r="HW128" t="e">
        <f>AND(DATA!B781,"AAAAAHw73+Y=")</f>
        <v>#VALUE!</v>
      </c>
      <c r="HX128" t="e">
        <f>AND(DATA!C781,"AAAAAHw73+c=")</f>
        <v>#VALUE!</v>
      </c>
      <c r="HY128" t="e">
        <f>AND(DATA!D781,"AAAAAHw73+g=")</f>
        <v>#VALUE!</v>
      </c>
      <c r="HZ128" t="e">
        <f>AND(DATA!E781,"AAAAAHw73+k=")</f>
        <v>#VALUE!</v>
      </c>
      <c r="IA128" t="e">
        <f>AND(DATA!F781,"AAAAAHw73+o=")</f>
        <v>#VALUE!</v>
      </c>
      <c r="IB128" t="e">
        <f>AND(DATA!G781,"AAAAAHw73+s=")</f>
        <v>#VALUE!</v>
      </c>
      <c r="IC128" t="e">
        <f>AND(DATA!H781,"AAAAAHw73+w=")</f>
        <v>#VALUE!</v>
      </c>
      <c r="ID128" t="e">
        <f>AND(DATA!I781,"AAAAAHw73+0=")</f>
        <v>#VALUE!</v>
      </c>
      <c r="IE128" t="e">
        <f>AND(DATA!J781,"AAAAAHw73+4=")</f>
        <v>#VALUE!</v>
      </c>
      <c r="IF128" t="e">
        <f>AND(DATA!K781,"AAAAAHw73+8=")</f>
        <v>#VALUE!</v>
      </c>
      <c r="IG128" t="b">
        <f>AND(DATA!L782,"AAAAAHw73/A=")</f>
        <v>1</v>
      </c>
      <c r="IH128" t="b">
        <f>AND(DATA!M782,"AAAAAHw73/E=")</f>
        <v>1</v>
      </c>
      <c r="II128" t="b">
        <f>AND(DATA!N782,"AAAAAHw73/I=")</f>
        <v>1</v>
      </c>
      <c r="IJ128" t="b">
        <f>AND(DATA!O782,"AAAAAHw73/M=")</f>
        <v>1</v>
      </c>
      <c r="IK128" t="b">
        <f>AND(DATA!P782,"AAAAAHw73/Q=")</f>
        <v>1</v>
      </c>
      <c r="IL128" t="b">
        <f>AND(DATA!Q782,"AAAAAHw73/U=")</f>
        <v>1</v>
      </c>
      <c r="IM128" t="b">
        <f>AND(DATA!R782,"AAAAAHw73/Y=")</f>
        <v>1</v>
      </c>
      <c r="IN128" t="b">
        <f>AND(DATA!S782,"AAAAAHw73/c=")</f>
        <v>1</v>
      </c>
      <c r="IO128" t="b">
        <f>AND(DATA!T782,"AAAAAHw73/g=")</f>
        <v>1</v>
      </c>
      <c r="IP128" t="b">
        <f>AND(DATA!U782,"AAAAAHw73/k=")</f>
        <v>1</v>
      </c>
      <c r="IQ128" t="b">
        <f>AND(DATA!V782,"AAAAAHw73/o=")</f>
        <v>1</v>
      </c>
      <c r="IR128" t="e">
        <f>AND(DATA!W781,"AAAAAHw73/s=")</f>
        <v>#VALUE!</v>
      </c>
      <c r="IS128" t="e">
        <f>AND(DATA!X781,"AAAAAHw73/w=")</f>
        <v>#VALUE!</v>
      </c>
      <c r="IT128" t="e">
        <f>AND(DATA!Y781,"AAAAAHw73/0=")</f>
        <v>#VALUE!</v>
      </c>
      <c r="IU128">
        <f>IF(DATA!782:782,"AAAAAHw73/4=",0)</f>
        <v>0</v>
      </c>
      <c r="IV128" t="e">
        <f>AND(DATA!A782,"AAAAAHw73/8=")</f>
        <v>#VALUE!</v>
      </c>
    </row>
    <row r="129" spans="1:256" x14ac:dyDescent="0.25">
      <c r="A129" t="e">
        <f>AND(DATA!B782,"AAAAAGZf/AA=")</f>
        <v>#VALUE!</v>
      </c>
      <c r="B129" t="e">
        <f>AND(DATA!C782,"AAAAAGZf/AE=")</f>
        <v>#VALUE!</v>
      </c>
      <c r="C129" t="e">
        <f>AND(DATA!D782,"AAAAAGZf/AI=")</f>
        <v>#VALUE!</v>
      </c>
      <c r="D129" t="e">
        <f>AND(DATA!E782,"AAAAAGZf/AM=")</f>
        <v>#VALUE!</v>
      </c>
      <c r="E129" t="e">
        <f>AND(DATA!F782,"AAAAAGZf/AQ=")</f>
        <v>#VALUE!</v>
      </c>
      <c r="F129" t="e">
        <f>AND(DATA!G782,"AAAAAGZf/AU=")</f>
        <v>#VALUE!</v>
      </c>
      <c r="G129" t="e">
        <f>AND(DATA!H782,"AAAAAGZf/AY=")</f>
        <v>#VALUE!</v>
      </c>
      <c r="H129" t="e">
        <f>AND(DATA!I782,"AAAAAGZf/Ac=")</f>
        <v>#VALUE!</v>
      </c>
      <c r="I129" t="e">
        <f>AND(DATA!J782,"AAAAAGZf/Ag=")</f>
        <v>#VALUE!</v>
      </c>
      <c r="J129" t="e">
        <f>AND(DATA!K782,"AAAAAGZf/Ak=")</f>
        <v>#VALUE!</v>
      </c>
      <c r="K129" t="b">
        <f>AND(DATA!L783,"AAAAAGZf/Ao=")</f>
        <v>1</v>
      </c>
      <c r="L129" t="b">
        <f>AND(DATA!M783,"AAAAAGZf/As=")</f>
        <v>1</v>
      </c>
      <c r="M129" t="b">
        <f>AND(DATA!N783,"AAAAAGZf/Aw=")</f>
        <v>1</v>
      </c>
      <c r="N129" t="b">
        <f>AND(DATA!O783,"AAAAAGZf/A0=")</f>
        <v>1</v>
      </c>
      <c r="O129" t="b">
        <f>AND(DATA!P783,"AAAAAGZf/A4=")</f>
        <v>1</v>
      </c>
      <c r="P129" t="b">
        <f>AND(DATA!Q783,"AAAAAGZf/A8=")</f>
        <v>1</v>
      </c>
      <c r="Q129" t="b">
        <f>AND(DATA!R783,"AAAAAGZf/BA=")</f>
        <v>1</v>
      </c>
      <c r="R129" t="b">
        <f>AND(DATA!S783,"AAAAAGZf/BE=")</f>
        <v>1</v>
      </c>
      <c r="S129" t="b">
        <f>AND(DATA!T783,"AAAAAGZf/BI=")</f>
        <v>1</v>
      </c>
      <c r="T129" t="b">
        <f>AND(DATA!U783,"AAAAAGZf/BM=")</f>
        <v>1</v>
      </c>
      <c r="U129" t="b">
        <f>AND(DATA!V783,"AAAAAGZf/BQ=")</f>
        <v>1</v>
      </c>
      <c r="V129" t="e">
        <f>AND(DATA!W782,"AAAAAGZf/BU=")</f>
        <v>#VALUE!</v>
      </c>
      <c r="W129" t="e">
        <f>AND(DATA!X782,"AAAAAGZf/BY=")</f>
        <v>#VALUE!</v>
      </c>
      <c r="X129" t="e">
        <f>AND(DATA!Y782,"AAAAAGZf/Bc=")</f>
        <v>#VALUE!</v>
      </c>
      <c r="Y129">
        <f>IF(DATA!783:783,"AAAAAGZf/Bg=",0)</f>
        <v>0</v>
      </c>
      <c r="Z129" t="e">
        <f>AND(DATA!A783,"AAAAAGZf/Bk=")</f>
        <v>#VALUE!</v>
      </c>
      <c r="AA129" t="e">
        <f>AND(DATA!B783,"AAAAAGZf/Bo=")</f>
        <v>#VALUE!</v>
      </c>
      <c r="AB129" t="e">
        <f>AND(DATA!C783,"AAAAAGZf/Bs=")</f>
        <v>#VALUE!</v>
      </c>
      <c r="AC129" t="e">
        <f>AND(DATA!D783,"AAAAAGZf/Bw=")</f>
        <v>#VALUE!</v>
      </c>
      <c r="AD129" t="e">
        <f>AND(DATA!E783,"AAAAAGZf/B0=")</f>
        <v>#VALUE!</v>
      </c>
      <c r="AE129" t="e">
        <f>AND(DATA!F783,"AAAAAGZf/B4=")</f>
        <v>#VALUE!</v>
      </c>
      <c r="AF129" t="e">
        <f>AND(DATA!G783,"AAAAAGZf/B8=")</f>
        <v>#VALUE!</v>
      </c>
      <c r="AG129" t="e">
        <f>AND(DATA!H783,"AAAAAGZf/CA=")</f>
        <v>#VALUE!</v>
      </c>
      <c r="AH129" t="e">
        <f>AND(DATA!I783,"AAAAAGZf/CE=")</f>
        <v>#VALUE!</v>
      </c>
      <c r="AI129" t="e">
        <f>AND(DATA!J783,"AAAAAGZf/CI=")</f>
        <v>#VALUE!</v>
      </c>
      <c r="AJ129" t="e">
        <f>AND(DATA!K783,"AAAAAGZf/CM=")</f>
        <v>#VALUE!</v>
      </c>
      <c r="AK129" t="b">
        <f>AND(DATA!L784,"AAAAAGZf/CQ=")</f>
        <v>1</v>
      </c>
      <c r="AL129" t="b">
        <f>AND(DATA!M784,"AAAAAGZf/CU=")</f>
        <v>1</v>
      </c>
      <c r="AM129" t="b">
        <f>AND(DATA!N784,"AAAAAGZf/CY=")</f>
        <v>1</v>
      </c>
      <c r="AN129" t="b">
        <f>AND(DATA!O784,"AAAAAGZf/Cc=")</f>
        <v>1</v>
      </c>
      <c r="AO129" t="b">
        <f>AND(DATA!P784,"AAAAAGZf/Cg=")</f>
        <v>1</v>
      </c>
      <c r="AP129" t="b">
        <f>AND(DATA!Q784,"AAAAAGZf/Ck=")</f>
        <v>1</v>
      </c>
      <c r="AQ129" t="b">
        <f>AND(DATA!R784,"AAAAAGZf/Co=")</f>
        <v>1</v>
      </c>
      <c r="AR129" t="b">
        <f>AND(DATA!S784,"AAAAAGZf/Cs=")</f>
        <v>1</v>
      </c>
      <c r="AS129" t="b">
        <f>AND(DATA!T784,"AAAAAGZf/Cw=")</f>
        <v>1</v>
      </c>
      <c r="AT129" t="b">
        <f>AND(DATA!U784,"AAAAAGZf/C0=")</f>
        <v>1</v>
      </c>
      <c r="AU129" t="b">
        <f>AND(DATA!V784,"AAAAAGZf/C4=")</f>
        <v>1</v>
      </c>
      <c r="AV129" t="e">
        <f>AND(DATA!W783,"AAAAAGZf/C8=")</f>
        <v>#VALUE!</v>
      </c>
      <c r="AW129" t="e">
        <f>AND(DATA!X783,"AAAAAGZf/DA=")</f>
        <v>#VALUE!</v>
      </c>
      <c r="AX129" t="e">
        <f>AND(DATA!Y783,"AAAAAGZf/DE=")</f>
        <v>#VALUE!</v>
      </c>
      <c r="AY129">
        <f>IF(DATA!784:784,"AAAAAGZf/DI=",0)</f>
        <v>0</v>
      </c>
      <c r="AZ129" t="e">
        <f>AND(DATA!A784,"AAAAAGZf/DM=")</f>
        <v>#VALUE!</v>
      </c>
      <c r="BA129" t="e">
        <f>AND(DATA!B784,"AAAAAGZf/DQ=")</f>
        <v>#VALUE!</v>
      </c>
      <c r="BB129" t="e">
        <f>AND(DATA!C784,"AAAAAGZf/DU=")</f>
        <v>#VALUE!</v>
      </c>
      <c r="BC129" t="e">
        <f>AND(DATA!D784,"AAAAAGZf/DY=")</f>
        <v>#VALUE!</v>
      </c>
      <c r="BD129" t="e">
        <f>AND(DATA!E784,"AAAAAGZf/Dc=")</f>
        <v>#VALUE!</v>
      </c>
      <c r="BE129" t="e">
        <f>AND(DATA!F784,"AAAAAGZf/Dg=")</f>
        <v>#VALUE!</v>
      </c>
      <c r="BF129" t="e">
        <f>AND(DATA!G784,"AAAAAGZf/Dk=")</f>
        <v>#VALUE!</v>
      </c>
      <c r="BG129" t="e">
        <f>AND(DATA!H784,"AAAAAGZf/Do=")</f>
        <v>#VALUE!</v>
      </c>
      <c r="BH129" t="e">
        <f>AND(DATA!I784,"AAAAAGZf/Ds=")</f>
        <v>#VALUE!</v>
      </c>
      <c r="BI129" t="e">
        <f>AND(DATA!J784,"AAAAAGZf/Dw=")</f>
        <v>#VALUE!</v>
      </c>
      <c r="BJ129" t="e">
        <f>AND(DATA!K784,"AAAAAGZf/D0=")</f>
        <v>#VALUE!</v>
      </c>
      <c r="BK129" t="b">
        <f>AND(DATA!L785,"AAAAAGZf/D4=")</f>
        <v>1</v>
      </c>
      <c r="BL129" t="b">
        <f>AND(DATA!M785,"AAAAAGZf/D8=")</f>
        <v>1</v>
      </c>
      <c r="BM129" t="b">
        <f>AND(DATA!N785,"AAAAAGZf/EA=")</f>
        <v>1</v>
      </c>
      <c r="BN129" t="b">
        <f>AND(DATA!O785,"AAAAAGZf/EE=")</f>
        <v>1</v>
      </c>
      <c r="BO129" t="b">
        <f>AND(DATA!P785,"AAAAAGZf/EI=")</f>
        <v>1</v>
      </c>
      <c r="BP129" t="b">
        <f>AND(DATA!Q785,"AAAAAGZf/EM=")</f>
        <v>1</v>
      </c>
      <c r="BQ129" t="b">
        <f>AND(DATA!R785,"AAAAAGZf/EQ=")</f>
        <v>1</v>
      </c>
      <c r="BR129" t="b">
        <f>AND(DATA!S785,"AAAAAGZf/EU=")</f>
        <v>1</v>
      </c>
      <c r="BS129" t="b">
        <f>AND(DATA!T785,"AAAAAGZf/EY=")</f>
        <v>1</v>
      </c>
      <c r="BT129" t="b">
        <f>AND(DATA!U785,"AAAAAGZf/Ec=")</f>
        <v>1</v>
      </c>
      <c r="BU129" t="b">
        <f>AND(DATA!V785,"AAAAAGZf/Eg=")</f>
        <v>1</v>
      </c>
      <c r="BV129" t="e">
        <f>AND(DATA!W784,"AAAAAGZf/Ek=")</f>
        <v>#VALUE!</v>
      </c>
      <c r="BW129" t="e">
        <f>AND(DATA!X784,"AAAAAGZf/Eo=")</f>
        <v>#VALUE!</v>
      </c>
      <c r="BX129" t="e">
        <f>AND(DATA!Y784,"AAAAAGZf/Es=")</f>
        <v>#VALUE!</v>
      </c>
      <c r="BY129">
        <f>IF(DATA!785:785,"AAAAAGZf/Ew=",0)</f>
        <v>0</v>
      </c>
      <c r="BZ129" t="e">
        <f>AND(DATA!A785,"AAAAAGZf/E0=")</f>
        <v>#VALUE!</v>
      </c>
      <c r="CA129" t="e">
        <f>AND(DATA!B785,"AAAAAGZf/E4=")</f>
        <v>#VALUE!</v>
      </c>
      <c r="CB129" t="e">
        <f>AND(DATA!C785,"AAAAAGZf/E8=")</f>
        <v>#VALUE!</v>
      </c>
      <c r="CC129" t="e">
        <f>AND(DATA!D785,"AAAAAGZf/FA=")</f>
        <v>#VALUE!</v>
      </c>
      <c r="CD129" t="e">
        <f>AND(DATA!E785,"AAAAAGZf/FE=")</f>
        <v>#VALUE!</v>
      </c>
      <c r="CE129" t="e">
        <f>AND(DATA!F785,"AAAAAGZf/FI=")</f>
        <v>#VALUE!</v>
      </c>
      <c r="CF129" t="e">
        <f>AND(DATA!G785,"AAAAAGZf/FM=")</f>
        <v>#VALUE!</v>
      </c>
      <c r="CG129" t="e">
        <f>AND(DATA!H785,"AAAAAGZf/FQ=")</f>
        <v>#VALUE!</v>
      </c>
      <c r="CH129" t="e">
        <f>AND(DATA!I785,"AAAAAGZf/FU=")</f>
        <v>#VALUE!</v>
      </c>
      <c r="CI129" t="e">
        <f>AND(DATA!J785,"AAAAAGZf/FY=")</f>
        <v>#VALUE!</v>
      </c>
      <c r="CJ129" t="e">
        <f>AND(DATA!K785,"AAAAAGZf/Fc=")</f>
        <v>#VALUE!</v>
      </c>
      <c r="CK129" t="b">
        <f>AND(DATA!L786,"AAAAAGZf/Fg=")</f>
        <v>1</v>
      </c>
      <c r="CL129" t="b">
        <f>AND(DATA!M786,"AAAAAGZf/Fk=")</f>
        <v>1</v>
      </c>
      <c r="CM129" t="b">
        <f>AND(DATA!N786,"AAAAAGZf/Fo=")</f>
        <v>1</v>
      </c>
      <c r="CN129" t="b">
        <f>AND(DATA!O786,"AAAAAGZf/Fs=")</f>
        <v>1</v>
      </c>
      <c r="CO129" t="b">
        <f>AND(DATA!P786,"AAAAAGZf/Fw=")</f>
        <v>1</v>
      </c>
      <c r="CP129" t="b">
        <f>AND(DATA!Q786,"AAAAAGZf/F0=")</f>
        <v>1</v>
      </c>
      <c r="CQ129" t="b">
        <f>AND(DATA!R786,"AAAAAGZf/F4=")</f>
        <v>1</v>
      </c>
      <c r="CR129" t="b">
        <f>AND(DATA!S786,"AAAAAGZf/F8=")</f>
        <v>1</v>
      </c>
      <c r="CS129" t="b">
        <f>AND(DATA!T786,"AAAAAGZf/GA=")</f>
        <v>1</v>
      </c>
      <c r="CT129" t="b">
        <f>AND(DATA!U786,"AAAAAGZf/GE=")</f>
        <v>1</v>
      </c>
      <c r="CU129" t="b">
        <f>AND(DATA!V786,"AAAAAGZf/GI=")</f>
        <v>1</v>
      </c>
      <c r="CV129" t="e">
        <f>AND(DATA!W785,"AAAAAGZf/GM=")</f>
        <v>#VALUE!</v>
      </c>
      <c r="CW129" t="e">
        <f>AND(DATA!X785,"AAAAAGZf/GQ=")</f>
        <v>#VALUE!</v>
      </c>
      <c r="CX129" t="e">
        <f>AND(DATA!Y785,"AAAAAGZf/GU=")</f>
        <v>#VALUE!</v>
      </c>
      <c r="CY129">
        <f>IF(DATA!786:786,"AAAAAGZf/GY=",0)</f>
        <v>0</v>
      </c>
      <c r="CZ129" t="e">
        <f>AND(DATA!A786,"AAAAAGZf/Gc=")</f>
        <v>#VALUE!</v>
      </c>
      <c r="DA129" t="e">
        <f>AND(DATA!B786,"AAAAAGZf/Gg=")</f>
        <v>#VALUE!</v>
      </c>
      <c r="DB129" t="e">
        <f>AND(DATA!C786,"AAAAAGZf/Gk=")</f>
        <v>#VALUE!</v>
      </c>
      <c r="DC129" t="e">
        <f>AND(DATA!D786,"AAAAAGZf/Go=")</f>
        <v>#VALUE!</v>
      </c>
      <c r="DD129" t="e">
        <f>AND(DATA!E786,"AAAAAGZf/Gs=")</f>
        <v>#VALUE!</v>
      </c>
      <c r="DE129" t="e">
        <f>AND(DATA!F786,"AAAAAGZf/Gw=")</f>
        <v>#VALUE!</v>
      </c>
      <c r="DF129" t="e">
        <f>AND(DATA!G786,"AAAAAGZf/G0=")</f>
        <v>#VALUE!</v>
      </c>
      <c r="DG129" t="e">
        <f>AND(DATA!H786,"AAAAAGZf/G4=")</f>
        <v>#VALUE!</v>
      </c>
      <c r="DH129" t="e">
        <f>AND(DATA!I786,"AAAAAGZf/G8=")</f>
        <v>#VALUE!</v>
      </c>
      <c r="DI129" t="e">
        <f>AND(DATA!J786,"AAAAAGZf/HA=")</f>
        <v>#VALUE!</v>
      </c>
      <c r="DJ129" t="e">
        <f>AND(DATA!K786,"AAAAAGZf/HE=")</f>
        <v>#VALUE!</v>
      </c>
      <c r="DK129" t="b">
        <f>AND(DATA!L787,"AAAAAGZf/HI=")</f>
        <v>1</v>
      </c>
      <c r="DL129" t="b">
        <f>AND(DATA!M787,"AAAAAGZf/HM=")</f>
        <v>1</v>
      </c>
      <c r="DM129" t="b">
        <f>AND(DATA!N787,"AAAAAGZf/HQ=")</f>
        <v>1</v>
      </c>
      <c r="DN129" t="b">
        <f>AND(DATA!O787,"AAAAAGZf/HU=")</f>
        <v>1</v>
      </c>
      <c r="DO129" t="b">
        <f>AND(DATA!P787,"AAAAAGZf/HY=")</f>
        <v>1</v>
      </c>
      <c r="DP129" t="b">
        <f>AND(DATA!Q787,"AAAAAGZf/Hc=")</f>
        <v>1</v>
      </c>
      <c r="DQ129" t="b">
        <f>AND(DATA!R787,"AAAAAGZf/Hg=")</f>
        <v>1</v>
      </c>
      <c r="DR129" t="b">
        <f>AND(DATA!S787,"AAAAAGZf/Hk=")</f>
        <v>1</v>
      </c>
      <c r="DS129" t="b">
        <f>AND(DATA!T787,"AAAAAGZf/Ho=")</f>
        <v>1</v>
      </c>
      <c r="DT129" t="b">
        <f>AND(DATA!U787,"AAAAAGZf/Hs=")</f>
        <v>1</v>
      </c>
      <c r="DU129" t="b">
        <f>AND(DATA!V787,"AAAAAGZf/Hw=")</f>
        <v>1</v>
      </c>
      <c r="DV129" t="e">
        <f>AND(DATA!W786,"AAAAAGZf/H0=")</f>
        <v>#VALUE!</v>
      </c>
      <c r="DW129" t="e">
        <f>AND(DATA!X786,"AAAAAGZf/H4=")</f>
        <v>#VALUE!</v>
      </c>
      <c r="DX129" t="e">
        <f>AND(DATA!Y786,"AAAAAGZf/H8=")</f>
        <v>#VALUE!</v>
      </c>
      <c r="DY129">
        <f>IF(DATA!787:787,"AAAAAGZf/IA=",0)</f>
        <v>0</v>
      </c>
      <c r="DZ129" t="e">
        <f>AND(DATA!A787,"AAAAAGZf/IE=")</f>
        <v>#VALUE!</v>
      </c>
      <c r="EA129" t="e">
        <f>AND(DATA!B787,"AAAAAGZf/II=")</f>
        <v>#VALUE!</v>
      </c>
      <c r="EB129" t="e">
        <f>AND(DATA!C787,"AAAAAGZf/IM=")</f>
        <v>#VALUE!</v>
      </c>
      <c r="EC129" t="e">
        <f>AND(DATA!D787,"AAAAAGZf/IQ=")</f>
        <v>#VALUE!</v>
      </c>
      <c r="ED129" t="e">
        <f>AND(DATA!E787,"AAAAAGZf/IU=")</f>
        <v>#VALUE!</v>
      </c>
      <c r="EE129" t="e">
        <f>AND(DATA!F787,"AAAAAGZf/IY=")</f>
        <v>#VALUE!</v>
      </c>
      <c r="EF129" t="e">
        <f>AND(DATA!G787,"AAAAAGZf/Ic=")</f>
        <v>#VALUE!</v>
      </c>
      <c r="EG129" t="e">
        <f>AND(DATA!H787,"AAAAAGZf/Ig=")</f>
        <v>#VALUE!</v>
      </c>
      <c r="EH129" t="e">
        <f>AND(DATA!I787,"AAAAAGZf/Ik=")</f>
        <v>#VALUE!</v>
      </c>
      <c r="EI129" t="e">
        <f>AND(DATA!J787,"AAAAAGZf/Io=")</f>
        <v>#VALUE!</v>
      </c>
      <c r="EJ129" t="e">
        <f>AND(DATA!K787,"AAAAAGZf/Is=")</f>
        <v>#VALUE!</v>
      </c>
      <c r="EK129" t="b">
        <f>AND(DATA!L788,"AAAAAGZf/Iw=")</f>
        <v>1</v>
      </c>
      <c r="EL129" t="b">
        <f>AND(DATA!M788,"AAAAAGZf/I0=")</f>
        <v>1</v>
      </c>
      <c r="EM129" t="b">
        <f>AND(DATA!N788,"AAAAAGZf/I4=")</f>
        <v>1</v>
      </c>
      <c r="EN129" t="b">
        <f>AND(DATA!O788,"AAAAAGZf/I8=")</f>
        <v>1</v>
      </c>
      <c r="EO129" t="b">
        <f>AND(DATA!P788,"AAAAAGZf/JA=")</f>
        <v>1</v>
      </c>
      <c r="EP129" t="b">
        <f>AND(DATA!Q788,"AAAAAGZf/JE=")</f>
        <v>1</v>
      </c>
      <c r="EQ129" t="b">
        <f>AND(DATA!R788,"AAAAAGZf/JI=")</f>
        <v>1</v>
      </c>
      <c r="ER129" t="b">
        <f>AND(DATA!S788,"AAAAAGZf/JM=")</f>
        <v>1</v>
      </c>
      <c r="ES129" t="b">
        <f>AND(DATA!T788,"AAAAAGZf/JQ=")</f>
        <v>1</v>
      </c>
      <c r="ET129" t="b">
        <f>AND(DATA!U788,"AAAAAGZf/JU=")</f>
        <v>1</v>
      </c>
      <c r="EU129" t="b">
        <f>AND(DATA!V788,"AAAAAGZf/JY=")</f>
        <v>1</v>
      </c>
      <c r="EV129" t="e">
        <f>AND(DATA!W787,"AAAAAGZf/Jc=")</f>
        <v>#VALUE!</v>
      </c>
      <c r="EW129" t="e">
        <f>AND(DATA!X787,"AAAAAGZf/Jg=")</f>
        <v>#VALUE!</v>
      </c>
      <c r="EX129" t="e">
        <f>AND(DATA!Y787,"AAAAAGZf/Jk=")</f>
        <v>#VALUE!</v>
      </c>
      <c r="EY129">
        <f>IF(DATA!788:788,"AAAAAGZf/Jo=",0)</f>
        <v>0</v>
      </c>
      <c r="EZ129" t="e">
        <f>AND(DATA!A788,"AAAAAGZf/Js=")</f>
        <v>#VALUE!</v>
      </c>
      <c r="FA129" t="e">
        <f>AND(DATA!B788,"AAAAAGZf/Jw=")</f>
        <v>#VALUE!</v>
      </c>
      <c r="FB129" t="e">
        <f>AND(DATA!C788,"AAAAAGZf/J0=")</f>
        <v>#VALUE!</v>
      </c>
      <c r="FC129" t="e">
        <f>AND(DATA!D788,"AAAAAGZf/J4=")</f>
        <v>#VALUE!</v>
      </c>
      <c r="FD129" t="e">
        <f>AND(DATA!E788,"AAAAAGZf/J8=")</f>
        <v>#VALUE!</v>
      </c>
      <c r="FE129" t="e">
        <f>AND(DATA!F788,"AAAAAGZf/KA=")</f>
        <v>#VALUE!</v>
      </c>
      <c r="FF129" t="e">
        <f>AND(DATA!G788,"AAAAAGZf/KE=")</f>
        <v>#VALUE!</v>
      </c>
      <c r="FG129" t="e">
        <f>AND(DATA!H788,"AAAAAGZf/KI=")</f>
        <v>#VALUE!</v>
      </c>
      <c r="FH129" t="e">
        <f>AND(DATA!I788,"AAAAAGZf/KM=")</f>
        <v>#VALUE!</v>
      </c>
      <c r="FI129" t="e">
        <f>AND(DATA!J788,"AAAAAGZf/KQ=")</f>
        <v>#VALUE!</v>
      </c>
      <c r="FJ129" t="e">
        <f>AND(DATA!K788,"AAAAAGZf/KU=")</f>
        <v>#VALUE!</v>
      </c>
      <c r="FK129" t="b">
        <f>AND(DATA!L789,"AAAAAGZf/KY=")</f>
        <v>1</v>
      </c>
      <c r="FL129" t="b">
        <f>AND(DATA!M789,"AAAAAGZf/Kc=")</f>
        <v>1</v>
      </c>
      <c r="FM129" t="b">
        <f>AND(DATA!N789,"AAAAAGZf/Kg=")</f>
        <v>1</v>
      </c>
      <c r="FN129" t="b">
        <f>AND(DATA!O789,"AAAAAGZf/Kk=")</f>
        <v>1</v>
      </c>
      <c r="FO129" t="b">
        <f>AND(DATA!P789,"AAAAAGZf/Ko=")</f>
        <v>1</v>
      </c>
      <c r="FP129" t="b">
        <f>AND(DATA!Q789,"AAAAAGZf/Ks=")</f>
        <v>1</v>
      </c>
      <c r="FQ129" t="b">
        <f>AND(DATA!R789,"AAAAAGZf/Kw=")</f>
        <v>1</v>
      </c>
      <c r="FR129" t="b">
        <f>AND(DATA!S789,"AAAAAGZf/K0=")</f>
        <v>1</v>
      </c>
      <c r="FS129" t="b">
        <f>AND(DATA!T789,"AAAAAGZf/K4=")</f>
        <v>1</v>
      </c>
      <c r="FT129" t="b">
        <f>AND(DATA!U789,"AAAAAGZf/K8=")</f>
        <v>1</v>
      </c>
      <c r="FU129" t="b">
        <f>AND(DATA!V789,"AAAAAGZf/LA=")</f>
        <v>1</v>
      </c>
      <c r="FV129" t="e">
        <f>AND(DATA!W788,"AAAAAGZf/LE=")</f>
        <v>#VALUE!</v>
      </c>
      <c r="FW129" t="e">
        <f>AND(DATA!X788,"AAAAAGZf/LI=")</f>
        <v>#VALUE!</v>
      </c>
      <c r="FX129" t="e">
        <f>AND(DATA!Y788,"AAAAAGZf/LM=")</f>
        <v>#VALUE!</v>
      </c>
      <c r="FY129">
        <f>IF(DATA!789:789,"AAAAAGZf/LQ=",0)</f>
        <v>0</v>
      </c>
      <c r="FZ129" t="e">
        <f>AND(DATA!A789,"AAAAAGZf/LU=")</f>
        <v>#VALUE!</v>
      </c>
      <c r="GA129" t="e">
        <f>AND(DATA!B789,"AAAAAGZf/LY=")</f>
        <v>#VALUE!</v>
      </c>
      <c r="GB129" t="e">
        <f>AND(DATA!C789,"AAAAAGZf/Lc=")</f>
        <v>#VALUE!</v>
      </c>
      <c r="GC129" t="e">
        <f>AND(DATA!D789,"AAAAAGZf/Lg=")</f>
        <v>#VALUE!</v>
      </c>
      <c r="GD129" t="e">
        <f>AND(DATA!E789,"AAAAAGZf/Lk=")</f>
        <v>#VALUE!</v>
      </c>
      <c r="GE129" t="e">
        <f>AND(DATA!F789,"AAAAAGZf/Lo=")</f>
        <v>#VALUE!</v>
      </c>
      <c r="GF129" t="e">
        <f>AND(DATA!G789,"AAAAAGZf/Ls=")</f>
        <v>#VALUE!</v>
      </c>
      <c r="GG129" t="e">
        <f>AND(DATA!H789,"AAAAAGZf/Lw=")</f>
        <v>#VALUE!</v>
      </c>
      <c r="GH129" t="e">
        <f>AND(DATA!I789,"AAAAAGZf/L0=")</f>
        <v>#VALUE!</v>
      </c>
      <c r="GI129" t="e">
        <f>AND(DATA!J789,"AAAAAGZf/L4=")</f>
        <v>#VALUE!</v>
      </c>
      <c r="GJ129" t="e">
        <f>AND(DATA!K789,"AAAAAGZf/L8=")</f>
        <v>#VALUE!</v>
      </c>
      <c r="GK129" t="b">
        <f>AND(DATA!L790,"AAAAAGZf/MA=")</f>
        <v>1</v>
      </c>
      <c r="GL129" t="b">
        <f>AND(DATA!M790,"AAAAAGZf/ME=")</f>
        <v>1</v>
      </c>
      <c r="GM129" t="b">
        <f>AND(DATA!N790,"AAAAAGZf/MI=")</f>
        <v>1</v>
      </c>
      <c r="GN129" t="b">
        <f>AND(DATA!O790,"AAAAAGZf/MM=")</f>
        <v>1</v>
      </c>
      <c r="GO129" t="b">
        <f>AND(DATA!P790,"AAAAAGZf/MQ=")</f>
        <v>1</v>
      </c>
      <c r="GP129" t="b">
        <f>AND(DATA!Q790,"AAAAAGZf/MU=")</f>
        <v>1</v>
      </c>
      <c r="GQ129" t="b">
        <f>AND(DATA!R790,"AAAAAGZf/MY=")</f>
        <v>1</v>
      </c>
      <c r="GR129" t="b">
        <f>AND(DATA!S790,"AAAAAGZf/Mc=")</f>
        <v>1</v>
      </c>
      <c r="GS129" t="b">
        <f>AND(DATA!T790,"AAAAAGZf/Mg=")</f>
        <v>1</v>
      </c>
      <c r="GT129" t="b">
        <f>AND(DATA!U790,"AAAAAGZf/Mk=")</f>
        <v>1</v>
      </c>
      <c r="GU129" t="b">
        <f>AND(DATA!V790,"AAAAAGZf/Mo=")</f>
        <v>1</v>
      </c>
      <c r="GV129" t="e">
        <f>AND(DATA!W789,"AAAAAGZf/Ms=")</f>
        <v>#VALUE!</v>
      </c>
      <c r="GW129" t="e">
        <f>AND(DATA!X789,"AAAAAGZf/Mw=")</f>
        <v>#VALUE!</v>
      </c>
      <c r="GX129" t="e">
        <f>AND(DATA!Y789,"AAAAAGZf/M0=")</f>
        <v>#VALUE!</v>
      </c>
      <c r="GY129">
        <f>IF(DATA!790:790,"AAAAAGZf/M4=",0)</f>
        <v>0</v>
      </c>
      <c r="GZ129" t="e">
        <f>AND(DATA!A790,"AAAAAGZf/M8=")</f>
        <v>#VALUE!</v>
      </c>
      <c r="HA129" t="e">
        <f>AND(DATA!B790,"AAAAAGZf/NA=")</f>
        <v>#VALUE!</v>
      </c>
      <c r="HB129" t="e">
        <f>AND(DATA!C790,"AAAAAGZf/NE=")</f>
        <v>#VALUE!</v>
      </c>
      <c r="HC129" t="e">
        <f>AND(DATA!D790,"AAAAAGZf/NI=")</f>
        <v>#VALUE!</v>
      </c>
      <c r="HD129" t="e">
        <f>AND(DATA!E790,"AAAAAGZf/NM=")</f>
        <v>#VALUE!</v>
      </c>
      <c r="HE129" t="e">
        <f>AND(DATA!F790,"AAAAAGZf/NQ=")</f>
        <v>#VALUE!</v>
      </c>
      <c r="HF129" t="e">
        <f>AND(DATA!G790,"AAAAAGZf/NU=")</f>
        <v>#VALUE!</v>
      </c>
      <c r="HG129" t="e">
        <f>AND(DATA!H790,"AAAAAGZf/NY=")</f>
        <v>#VALUE!</v>
      </c>
      <c r="HH129" t="e">
        <f>AND(DATA!I790,"AAAAAGZf/Nc=")</f>
        <v>#VALUE!</v>
      </c>
      <c r="HI129" t="e">
        <f>AND(DATA!J790,"AAAAAGZf/Ng=")</f>
        <v>#VALUE!</v>
      </c>
      <c r="HJ129" t="e">
        <f>AND(DATA!K790,"AAAAAGZf/Nk=")</f>
        <v>#VALUE!</v>
      </c>
      <c r="HK129" t="b">
        <f>AND(DATA!L791,"AAAAAGZf/No=")</f>
        <v>1</v>
      </c>
      <c r="HL129" t="b">
        <f>AND(DATA!M791,"AAAAAGZf/Ns=")</f>
        <v>1</v>
      </c>
      <c r="HM129" t="b">
        <f>AND(DATA!N791,"AAAAAGZf/Nw=")</f>
        <v>1</v>
      </c>
      <c r="HN129" t="b">
        <f>AND(DATA!O791,"AAAAAGZf/N0=")</f>
        <v>1</v>
      </c>
      <c r="HO129" t="b">
        <f>AND(DATA!P791,"AAAAAGZf/N4=")</f>
        <v>1</v>
      </c>
      <c r="HP129" t="b">
        <f>AND(DATA!Q791,"AAAAAGZf/N8=")</f>
        <v>1</v>
      </c>
      <c r="HQ129" t="b">
        <f>AND(DATA!R791,"AAAAAGZf/OA=")</f>
        <v>1</v>
      </c>
      <c r="HR129" t="b">
        <f>AND(DATA!S791,"AAAAAGZf/OE=")</f>
        <v>1</v>
      </c>
      <c r="HS129" t="b">
        <f>AND(DATA!T791,"AAAAAGZf/OI=")</f>
        <v>1</v>
      </c>
      <c r="HT129" t="b">
        <f>AND(DATA!U791,"AAAAAGZf/OM=")</f>
        <v>1</v>
      </c>
      <c r="HU129" t="b">
        <f>AND(DATA!V791,"AAAAAGZf/OQ=")</f>
        <v>1</v>
      </c>
      <c r="HV129" t="e">
        <f>AND(DATA!W790,"AAAAAGZf/OU=")</f>
        <v>#VALUE!</v>
      </c>
      <c r="HW129" t="e">
        <f>AND(DATA!X790,"AAAAAGZf/OY=")</f>
        <v>#VALUE!</v>
      </c>
      <c r="HX129" t="e">
        <f>AND(DATA!Y790,"AAAAAGZf/Oc=")</f>
        <v>#VALUE!</v>
      </c>
      <c r="HY129">
        <f>IF(DATA!791:791,"AAAAAGZf/Og=",0)</f>
        <v>0</v>
      </c>
      <c r="HZ129" t="e">
        <f>AND(DATA!A791,"AAAAAGZf/Ok=")</f>
        <v>#VALUE!</v>
      </c>
      <c r="IA129" t="e">
        <f>AND(DATA!B791,"AAAAAGZf/Oo=")</f>
        <v>#VALUE!</v>
      </c>
      <c r="IB129" t="e">
        <f>AND(DATA!C791,"AAAAAGZf/Os=")</f>
        <v>#VALUE!</v>
      </c>
      <c r="IC129" t="e">
        <f>AND(DATA!D791,"AAAAAGZf/Ow=")</f>
        <v>#VALUE!</v>
      </c>
      <c r="ID129" t="e">
        <f>AND(DATA!E791,"AAAAAGZf/O0=")</f>
        <v>#VALUE!</v>
      </c>
      <c r="IE129" t="e">
        <f>AND(DATA!F791,"AAAAAGZf/O4=")</f>
        <v>#VALUE!</v>
      </c>
      <c r="IF129" t="e">
        <f>AND(DATA!G791,"AAAAAGZf/O8=")</f>
        <v>#VALUE!</v>
      </c>
      <c r="IG129" t="e">
        <f>AND(DATA!H791,"AAAAAGZf/PA=")</f>
        <v>#VALUE!</v>
      </c>
      <c r="IH129" t="e">
        <f>AND(DATA!I791,"AAAAAGZf/PE=")</f>
        <v>#VALUE!</v>
      </c>
      <c r="II129" t="e">
        <f>AND(DATA!J791,"AAAAAGZf/PI=")</f>
        <v>#VALUE!</v>
      </c>
      <c r="IJ129" t="e">
        <f>AND(DATA!K791,"AAAAAGZf/PM=")</f>
        <v>#VALUE!</v>
      </c>
      <c r="IK129" t="b">
        <f>AND(DATA!L792,"AAAAAGZf/PQ=")</f>
        <v>1</v>
      </c>
      <c r="IL129" t="b">
        <f>AND(DATA!M792,"AAAAAGZf/PU=")</f>
        <v>1</v>
      </c>
      <c r="IM129" t="b">
        <f>AND(DATA!N792,"AAAAAGZf/PY=")</f>
        <v>1</v>
      </c>
      <c r="IN129" t="b">
        <f>AND(DATA!O792,"AAAAAGZf/Pc=")</f>
        <v>1</v>
      </c>
      <c r="IO129" t="b">
        <f>AND(DATA!P792,"AAAAAGZf/Pg=")</f>
        <v>1</v>
      </c>
      <c r="IP129" t="b">
        <f>AND(DATA!Q792,"AAAAAGZf/Pk=")</f>
        <v>1</v>
      </c>
      <c r="IQ129" t="b">
        <f>AND(DATA!R792,"AAAAAGZf/Po=")</f>
        <v>1</v>
      </c>
      <c r="IR129" t="b">
        <f>AND(DATA!S792,"AAAAAGZf/Ps=")</f>
        <v>1</v>
      </c>
      <c r="IS129" t="b">
        <f>AND(DATA!T792,"AAAAAGZf/Pw=")</f>
        <v>1</v>
      </c>
      <c r="IT129" t="b">
        <f>AND(DATA!U792,"AAAAAGZf/P0=")</f>
        <v>1</v>
      </c>
      <c r="IU129" t="b">
        <f>AND(DATA!V792,"AAAAAGZf/P4=")</f>
        <v>1</v>
      </c>
      <c r="IV129" t="e">
        <f>AND(DATA!W791,"AAAAAGZf/P8=")</f>
        <v>#VALUE!</v>
      </c>
    </row>
    <row r="130" spans="1:256" x14ac:dyDescent="0.25">
      <c r="A130" t="e">
        <f>AND(DATA!X791,"AAAAAF2zdwA=")</f>
        <v>#VALUE!</v>
      </c>
      <c r="B130" t="e">
        <f>AND(DATA!Y791,"AAAAAF2zdwE=")</f>
        <v>#VALUE!</v>
      </c>
      <c r="C130">
        <f>IF(DATA!792:792,"AAAAAF2zdwI=",0)</f>
        <v>0</v>
      </c>
      <c r="D130" t="e">
        <f>AND(DATA!A792,"AAAAAF2zdwM=")</f>
        <v>#VALUE!</v>
      </c>
      <c r="E130" t="e">
        <f>AND(DATA!B792,"AAAAAF2zdwQ=")</f>
        <v>#VALUE!</v>
      </c>
      <c r="F130" t="e">
        <f>AND(DATA!C792,"AAAAAF2zdwU=")</f>
        <v>#VALUE!</v>
      </c>
      <c r="G130" t="e">
        <f>AND(DATA!D792,"AAAAAF2zdwY=")</f>
        <v>#VALUE!</v>
      </c>
      <c r="H130" t="e">
        <f>AND(DATA!E792,"AAAAAF2zdwc=")</f>
        <v>#VALUE!</v>
      </c>
      <c r="I130" t="e">
        <f>AND(DATA!F792,"AAAAAF2zdwg=")</f>
        <v>#VALUE!</v>
      </c>
      <c r="J130" t="e">
        <f>AND(DATA!G792,"AAAAAF2zdwk=")</f>
        <v>#VALUE!</v>
      </c>
      <c r="K130" t="e">
        <f>AND(DATA!H792,"AAAAAF2zdwo=")</f>
        <v>#VALUE!</v>
      </c>
      <c r="L130" t="e">
        <f>AND(DATA!I792,"AAAAAF2zdws=")</f>
        <v>#VALUE!</v>
      </c>
      <c r="M130" t="e">
        <f>AND(DATA!J792,"AAAAAF2zdww=")</f>
        <v>#VALUE!</v>
      </c>
      <c r="N130" t="e">
        <f>AND(DATA!K792,"AAAAAF2zdw0=")</f>
        <v>#VALUE!</v>
      </c>
      <c r="O130" t="b">
        <f>AND(DATA!L793,"AAAAAF2zdw4=")</f>
        <v>1</v>
      </c>
      <c r="P130" t="b">
        <f>AND(DATA!M793,"AAAAAF2zdw8=")</f>
        <v>1</v>
      </c>
      <c r="Q130" t="b">
        <f>AND(DATA!N793,"AAAAAF2zdxA=")</f>
        <v>1</v>
      </c>
      <c r="R130" t="b">
        <f>AND(DATA!O793,"AAAAAF2zdxE=")</f>
        <v>1</v>
      </c>
      <c r="S130" t="b">
        <f>AND(DATA!P793,"AAAAAF2zdxI=")</f>
        <v>1</v>
      </c>
      <c r="T130" t="b">
        <f>AND(DATA!Q793,"AAAAAF2zdxM=")</f>
        <v>1</v>
      </c>
      <c r="U130" t="b">
        <f>AND(DATA!R793,"AAAAAF2zdxQ=")</f>
        <v>1</v>
      </c>
      <c r="V130" t="b">
        <f>AND(DATA!S793,"AAAAAF2zdxU=")</f>
        <v>1</v>
      </c>
      <c r="W130" t="b">
        <f>AND(DATA!T793,"AAAAAF2zdxY=")</f>
        <v>1</v>
      </c>
      <c r="X130" t="b">
        <f>AND(DATA!U793,"AAAAAF2zdxc=")</f>
        <v>1</v>
      </c>
      <c r="Y130" t="b">
        <f>AND(DATA!V793,"AAAAAF2zdxg=")</f>
        <v>1</v>
      </c>
      <c r="Z130" t="e">
        <f>AND(DATA!W792,"AAAAAF2zdxk=")</f>
        <v>#VALUE!</v>
      </c>
      <c r="AA130" t="e">
        <f>AND(DATA!X792,"AAAAAF2zdxo=")</f>
        <v>#VALUE!</v>
      </c>
      <c r="AB130" t="e">
        <f>AND(DATA!Y792,"AAAAAF2zdxs=")</f>
        <v>#VALUE!</v>
      </c>
      <c r="AC130">
        <f>IF(DATA!793:793,"AAAAAF2zdxw=",0)</f>
        <v>0</v>
      </c>
      <c r="AD130" t="e">
        <f>AND(DATA!A793,"AAAAAF2zdx0=")</f>
        <v>#VALUE!</v>
      </c>
      <c r="AE130" t="e">
        <f>AND(DATA!B793,"AAAAAF2zdx4=")</f>
        <v>#VALUE!</v>
      </c>
      <c r="AF130" t="e">
        <f>AND(DATA!C793,"AAAAAF2zdx8=")</f>
        <v>#VALUE!</v>
      </c>
      <c r="AG130" t="e">
        <f>AND(DATA!D793,"AAAAAF2zdyA=")</f>
        <v>#VALUE!</v>
      </c>
      <c r="AH130" t="e">
        <f>AND(DATA!E793,"AAAAAF2zdyE=")</f>
        <v>#VALUE!</v>
      </c>
      <c r="AI130" t="e">
        <f>AND(DATA!F793,"AAAAAF2zdyI=")</f>
        <v>#VALUE!</v>
      </c>
      <c r="AJ130" t="e">
        <f>AND(DATA!G793,"AAAAAF2zdyM=")</f>
        <v>#VALUE!</v>
      </c>
      <c r="AK130" t="e">
        <f>AND(DATA!H793,"AAAAAF2zdyQ=")</f>
        <v>#VALUE!</v>
      </c>
      <c r="AL130" t="e">
        <f>AND(DATA!I793,"AAAAAF2zdyU=")</f>
        <v>#VALUE!</v>
      </c>
      <c r="AM130" t="e">
        <f>AND(DATA!J793,"AAAAAF2zdyY=")</f>
        <v>#VALUE!</v>
      </c>
      <c r="AN130" t="e">
        <f>AND(DATA!K793,"AAAAAF2zdyc=")</f>
        <v>#VALUE!</v>
      </c>
      <c r="AO130" t="b">
        <f>AND(DATA!L794,"AAAAAF2zdyg=")</f>
        <v>1</v>
      </c>
      <c r="AP130" t="b">
        <f>AND(DATA!M794,"AAAAAF2zdyk=")</f>
        <v>1</v>
      </c>
      <c r="AQ130" t="b">
        <f>AND(DATA!N794,"AAAAAF2zdyo=")</f>
        <v>1</v>
      </c>
      <c r="AR130" t="b">
        <f>AND(DATA!O794,"AAAAAF2zdys=")</f>
        <v>1</v>
      </c>
      <c r="AS130" t="b">
        <f>AND(DATA!P794,"AAAAAF2zdyw=")</f>
        <v>1</v>
      </c>
      <c r="AT130" t="b">
        <f>AND(DATA!Q794,"AAAAAF2zdy0=")</f>
        <v>1</v>
      </c>
      <c r="AU130" t="b">
        <f>AND(DATA!R794,"AAAAAF2zdy4=")</f>
        <v>1</v>
      </c>
      <c r="AV130" t="b">
        <f>AND(DATA!S794,"AAAAAF2zdy8=")</f>
        <v>1</v>
      </c>
      <c r="AW130" t="b">
        <f>AND(DATA!T794,"AAAAAF2zdzA=")</f>
        <v>1</v>
      </c>
      <c r="AX130" t="b">
        <f>AND(DATA!U794,"AAAAAF2zdzE=")</f>
        <v>1</v>
      </c>
      <c r="AY130" t="b">
        <f>AND(DATA!V794,"AAAAAF2zdzI=")</f>
        <v>1</v>
      </c>
      <c r="AZ130" t="e">
        <f>AND(DATA!W793,"AAAAAF2zdzM=")</f>
        <v>#VALUE!</v>
      </c>
      <c r="BA130" t="e">
        <f>AND(DATA!X793,"AAAAAF2zdzQ=")</f>
        <v>#VALUE!</v>
      </c>
      <c r="BB130" t="e">
        <f>AND(DATA!Y793,"AAAAAF2zdzU=")</f>
        <v>#VALUE!</v>
      </c>
      <c r="BC130">
        <f>IF(DATA!794:794,"AAAAAF2zdzY=",0)</f>
        <v>0</v>
      </c>
      <c r="BD130" t="e">
        <f>AND(DATA!A794,"AAAAAF2zdzc=")</f>
        <v>#VALUE!</v>
      </c>
      <c r="BE130" t="e">
        <f>AND(DATA!B794,"AAAAAF2zdzg=")</f>
        <v>#VALUE!</v>
      </c>
      <c r="BF130" t="e">
        <f>AND(DATA!C794,"AAAAAF2zdzk=")</f>
        <v>#VALUE!</v>
      </c>
      <c r="BG130" t="e">
        <f>AND(DATA!D794,"AAAAAF2zdzo=")</f>
        <v>#VALUE!</v>
      </c>
      <c r="BH130" t="e">
        <f>AND(DATA!E794,"AAAAAF2zdzs=")</f>
        <v>#VALUE!</v>
      </c>
      <c r="BI130" t="e">
        <f>AND(DATA!F794,"AAAAAF2zdzw=")</f>
        <v>#VALUE!</v>
      </c>
      <c r="BJ130" t="e">
        <f>AND(DATA!G794,"AAAAAF2zdz0=")</f>
        <v>#VALUE!</v>
      </c>
      <c r="BK130" t="e">
        <f>AND(DATA!H794,"AAAAAF2zdz4=")</f>
        <v>#VALUE!</v>
      </c>
      <c r="BL130" t="e">
        <f>AND(DATA!I794,"AAAAAF2zdz8=")</f>
        <v>#VALUE!</v>
      </c>
      <c r="BM130" t="e">
        <f>AND(DATA!J794,"AAAAAF2zd0A=")</f>
        <v>#VALUE!</v>
      </c>
      <c r="BN130" t="e">
        <f>AND(DATA!K794,"AAAAAF2zd0E=")</f>
        <v>#VALUE!</v>
      </c>
      <c r="BO130" t="b">
        <f>AND(DATA!L795,"AAAAAF2zd0I=")</f>
        <v>1</v>
      </c>
      <c r="BP130" t="b">
        <f>AND(DATA!M795,"AAAAAF2zd0M=")</f>
        <v>1</v>
      </c>
      <c r="BQ130" t="b">
        <f>AND(DATA!N795,"AAAAAF2zd0Q=")</f>
        <v>1</v>
      </c>
      <c r="BR130" t="b">
        <f>AND(DATA!O795,"AAAAAF2zd0U=")</f>
        <v>1</v>
      </c>
      <c r="BS130" t="b">
        <f>AND(DATA!P795,"AAAAAF2zd0Y=")</f>
        <v>1</v>
      </c>
      <c r="BT130" t="b">
        <f>AND(DATA!Q795,"AAAAAF2zd0c=")</f>
        <v>1</v>
      </c>
      <c r="BU130" t="b">
        <f>AND(DATA!R795,"AAAAAF2zd0g=")</f>
        <v>1</v>
      </c>
      <c r="BV130" t="b">
        <f>AND(DATA!S795,"AAAAAF2zd0k=")</f>
        <v>1</v>
      </c>
      <c r="BW130" t="b">
        <f>AND(DATA!T795,"AAAAAF2zd0o=")</f>
        <v>1</v>
      </c>
      <c r="BX130" t="b">
        <f>AND(DATA!U795,"AAAAAF2zd0s=")</f>
        <v>1</v>
      </c>
      <c r="BY130" t="b">
        <f>AND(DATA!V795,"AAAAAF2zd0w=")</f>
        <v>1</v>
      </c>
      <c r="BZ130" t="e">
        <f>AND(DATA!W794,"AAAAAF2zd00=")</f>
        <v>#VALUE!</v>
      </c>
      <c r="CA130" t="e">
        <f>AND(DATA!X794,"AAAAAF2zd04=")</f>
        <v>#VALUE!</v>
      </c>
      <c r="CB130" t="e">
        <f>AND(DATA!Y794,"AAAAAF2zd08=")</f>
        <v>#VALUE!</v>
      </c>
      <c r="CC130">
        <f>IF(DATA!795:795,"AAAAAF2zd1A=",0)</f>
        <v>0</v>
      </c>
      <c r="CD130" t="e">
        <f>AND(DATA!A795,"AAAAAF2zd1E=")</f>
        <v>#VALUE!</v>
      </c>
      <c r="CE130" t="e">
        <f>AND(DATA!B795,"AAAAAF2zd1I=")</f>
        <v>#VALUE!</v>
      </c>
      <c r="CF130" t="e">
        <f>AND(DATA!C795,"AAAAAF2zd1M=")</f>
        <v>#VALUE!</v>
      </c>
      <c r="CG130" t="e">
        <f>AND(DATA!D795,"AAAAAF2zd1Q=")</f>
        <v>#VALUE!</v>
      </c>
      <c r="CH130" t="e">
        <f>AND(DATA!E795,"AAAAAF2zd1U=")</f>
        <v>#VALUE!</v>
      </c>
      <c r="CI130" t="e">
        <f>AND(DATA!F795,"AAAAAF2zd1Y=")</f>
        <v>#VALUE!</v>
      </c>
      <c r="CJ130" t="e">
        <f>AND(DATA!G795,"AAAAAF2zd1c=")</f>
        <v>#VALUE!</v>
      </c>
      <c r="CK130" t="e">
        <f>AND(DATA!H795,"AAAAAF2zd1g=")</f>
        <v>#VALUE!</v>
      </c>
      <c r="CL130" t="e">
        <f>AND(DATA!I795,"AAAAAF2zd1k=")</f>
        <v>#VALUE!</v>
      </c>
      <c r="CM130" t="e">
        <f>AND(DATA!J795,"AAAAAF2zd1o=")</f>
        <v>#VALUE!</v>
      </c>
      <c r="CN130" t="e">
        <f>AND(DATA!K795,"AAAAAF2zd1s=")</f>
        <v>#VALUE!</v>
      </c>
      <c r="CO130" t="b">
        <f>AND(DATA!L796,"AAAAAF2zd1w=")</f>
        <v>1</v>
      </c>
      <c r="CP130" t="b">
        <f>AND(DATA!M796,"AAAAAF2zd10=")</f>
        <v>1</v>
      </c>
      <c r="CQ130" t="b">
        <f>AND(DATA!N796,"AAAAAF2zd14=")</f>
        <v>1</v>
      </c>
      <c r="CR130" t="b">
        <f>AND(DATA!O796,"AAAAAF2zd18=")</f>
        <v>1</v>
      </c>
      <c r="CS130" t="b">
        <f>AND(DATA!P796,"AAAAAF2zd2A=")</f>
        <v>1</v>
      </c>
      <c r="CT130" t="b">
        <f>AND(DATA!Q796,"AAAAAF2zd2E=")</f>
        <v>1</v>
      </c>
      <c r="CU130" t="b">
        <f>AND(DATA!R796,"AAAAAF2zd2I=")</f>
        <v>1</v>
      </c>
      <c r="CV130" t="b">
        <f>AND(DATA!S796,"AAAAAF2zd2M=")</f>
        <v>1</v>
      </c>
      <c r="CW130" t="b">
        <f>AND(DATA!T796,"AAAAAF2zd2Q=")</f>
        <v>1</v>
      </c>
      <c r="CX130" t="b">
        <f>AND(DATA!U796,"AAAAAF2zd2U=")</f>
        <v>1</v>
      </c>
      <c r="CY130" t="b">
        <f>AND(DATA!V796,"AAAAAF2zd2Y=")</f>
        <v>1</v>
      </c>
      <c r="CZ130" t="e">
        <f>AND(DATA!W795,"AAAAAF2zd2c=")</f>
        <v>#VALUE!</v>
      </c>
      <c r="DA130" t="e">
        <f>AND(DATA!X795,"AAAAAF2zd2g=")</f>
        <v>#VALUE!</v>
      </c>
      <c r="DB130" t="e">
        <f>AND(DATA!Y795,"AAAAAF2zd2k=")</f>
        <v>#VALUE!</v>
      </c>
      <c r="DC130">
        <f>IF(DATA!796:796,"AAAAAF2zd2o=",0)</f>
        <v>0</v>
      </c>
      <c r="DD130" t="e">
        <f>AND(DATA!A796,"AAAAAF2zd2s=")</f>
        <v>#VALUE!</v>
      </c>
      <c r="DE130" t="e">
        <f>AND(DATA!B796,"AAAAAF2zd2w=")</f>
        <v>#VALUE!</v>
      </c>
      <c r="DF130" t="e">
        <f>AND(DATA!C796,"AAAAAF2zd20=")</f>
        <v>#VALUE!</v>
      </c>
      <c r="DG130" t="e">
        <f>AND(DATA!D796,"AAAAAF2zd24=")</f>
        <v>#VALUE!</v>
      </c>
      <c r="DH130" t="e">
        <f>AND(DATA!E796,"AAAAAF2zd28=")</f>
        <v>#VALUE!</v>
      </c>
      <c r="DI130" t="e">
        <f>AND(DATA!F796,"AAAAAF2zd3A=")</f>
        <v>#VALUE!</v>
      </c>
      <c r="DJ130" t="e">
        <f>AND(DATA!G796,"AAAAAF2zd3E=")</f>
        <v>#VALUE!</v>
      </c>
      <c r="DK130" t="e">
        <f>AND(DATA!H796,"AAAAAF2zd3I=")</f>
        <v>#VALUE!</v>
      </c>
      <c r="DL130" t="e">
        <f>AND(DATA!I796,"AAAAAF2zd3M=")</f>
        <v>#VALUE!</v>
      </c>
      <c r="DM130" t="e">
        <f>AND(DATA!J796,"AAAAAF2zd3Q=")</f>
        <v>#VALUE!</v>
      </c>
      <c r="DN130" t="e">
        <f>AND(DATA!K796,"AAAAAF2zd3U=")</f>
        <v>#VALUE!</v>
      </c>
      <c r="DO130" t="b">
        <f>AND(DATA!L797,"AAAAAF2zd3Y=")</f>
        <v>1</v>
      </c>
      <c r="DP130" t="b">
        <f>AND(DATA!M797,"AAAAAF2zd3c=")</f>
        <v>1</v>
      </c>
      <c r="DQ130" t="b">
        <f>AND(DATA!N797,"AAAAAF2zd3g=")</f>
        <v>1</v>
      </c>
      <c r="DR130" t="b">
        <f>AND(DATA!O797,"AAAAAF2zd3k=")</f>
        <v>1</v>
      </c>
      <c r="DS130" t="b">
        <f>AND(DATA!P797,"AAAAAF2zd3o=")</f>
        <v>1</v>
      </c>
      <c r="DT130" t="b">
        <f>AND(DATA!Q797,"AAAAAF2zd3s=")</f>
        <v>1</v>
      </c>
      <c r="DU130" t="b">
        <f>AND(DATA!R797,"AAAAAF2zd3w=")</f>
        <v>1</v>
      </c>
      <c r="DV130" t="b">
        <f>AND(DATA!S797,"AAAAAF2zd30=")</f>
        <v>1</v>
      </c>
      <c r="DW130" t="b">
        <f>AND(DATA!T797,"AAAAAF2zd34=")</f>
        <v>1</v>
      </c>
      <c r="DX130" t="b">
        <f>AND(DATA!U797,"AAAAAF2zd38=")</f>
        <v>1</v>
      </c>
      <c r="DY130" t="b">
        <f>AND(DATA!V797,"AAAAAF2zd4A=")</f>
        <v>1</v>
      </c>
      <c r="DZ130" t="e">
        <f>AND(DATA!W796,"AAAAAF2zd4E=")</f>
        <v>#VALUE!</v>
      </c>
      <c r="EA130" t="e">
        <f>AND(DATA!X796,"AAAAAF2zd4I=")</f>
        <v>#VALUE!</v>
      </c>
      <c r="EB130" t="e">
        <f>AND(DATA!Y796,"AAAAAF2zd4M=")</f>
        <v>#VALUE!</v>
      </c>
      <c r="EC130">
        <f>IF(DATA!797:797,"AAAAAF2zd4Q=",0)</f>
        <v>0</v>
      </c>
      <c r="ED130" t="e">
        <f>AND(DATA!A797,"AAAAAF2zd4U=")</f>
        <v>#VALUE!</v>
      </c>
      <c r="EE130" t="e">
        <f>AND(DATA!B797,"AAAAAF2zd4Y=")</f>
        <v>#VALUE!</v>
      </c>
      <c r="EF130" t="e">
        <f>AND(DATA!C797,"AAAAAF2zd4c=")</f>
        <v>#VALUE!</v>
      </c>
      <c r="EG130" t="e">
        <f>AND(DATA!D797,"AAAAAF2zd4g=")</f>
        <v>#VALUE!</v>
      </c>
      <c r="EH130" t="e">
        <f>AND(DATA!E797,"AAAAAF2zd4k=")</f>
        <v>#VALUE!</v>
      </c>
      <c r="EI130" t="e">
        <f>AND(DATA!F797,"AAAAAF2zd4o=")</f>
        <v>#VALUE!</v>
      </c>
      <c r="EJ130" t="e">
        <f>AND(DATA!G797,"AAAAAF2zd4s=")</f>
        <v>#VALUE!</v>
      </c>
      <c r="EK130" t="e">
        <f>AND(DATA!H797,"AAAAAF2zd4w=")</f>
        <v>#VALUE!</v>
      </c>
      <c r="EL130" t="e">
        <f>AND(DATA!I797,"AAAAAF2zd40=")</f>
        <v>#VALUE!</v>
      </c>
      <c r="EM130" t="e">
        <f>AND(DATA!J797,"AAAAAF2zd44=")</f>
        <v>#VALUE!</v>
      </c>
      <c r="EN130" t="e">
        <f>AND(DATA!K797,"AAAAAF2zd48=")</f>
        <v>#VALUE!</v>
      </c>
      <c r="EO130" t="b">
        <f>AND(DATA!L798,"AAAAAF2zd5A=")</f>
        <v>1</v>
      </c>
      <c r="EP130" t="b">
        <f>AND(DATA!M798,"AAAAAF2zd5E=")</f>
        <v>1</v>
      </c>
      <c r="EQ130" t="b">
        <f>AND(DATA!N798,"AAAAAF2zd5I=")</f>
        <v>1</v>
      </c>
      <c r="ER130" t="b">
        <f>AND(DATA!O798,"AAAAAF2zd5M=")</f>
        <v>1</v>
      </c>
      <c r="ES130" t="b">
        <f>AND(DATA!P798,"AAAAAF2zd5Q=")</f>
        <v>1</v>
      </c>
      <c r="ET130" t="b">
        <f>AND(DATA!Q798,"AAAAAF2zd5U=")</f>
        <v>1</v>
      </c>
      <c r="EU130" t="b">
        <f>AND(DATA!R798,"AAAAAF2zd5Y=")</f>
        <v>1</v>
      </c>
      <c r="EV130" t="b">
        <f>AND(DATA!S798,"AAAAAF2zd5c=")</f>
        <v>1</v>
      </c>
      <c r="EW130" t="b">
        <f>AND(DATA!T798,"AAAAAF2zd5g=")</f>
        <v>1</v>
      </c>
      <c r="EX130" t="b">
        <f>AND(DATA!U798,"AAAAAF2zd5k=")</f>
        <v>1</v>
      </c>
      <c r="EY130" t="b">
        <f>AND(DATA!V798,"AAAAAF2zd5o=")</f>
        <v>1</v>
      </c>
      <c r="EZ130" t="e">
        <f>AND(DATA!W797,"AAAAAF2zd5s=")</f>
        <v>#VALUE!</v>
      </c>
      <c r="FA130" t="e">
        <f>AND(DATA!X797,"AAAAAF2zd5w=")</f>
        <v>#VALUE!</v>
      </c>
      <c r="FB130" t="e">
        <f>AND(DATA!Y797,"AAAAAF2zd50=")</f>
        <v>#VALUE!</v>
      </c>
      <c r="FC130">
        <f>IF(DATA!798:798,"AAAAAF2zd54=",0)</f>
        <v>0</v>
      </c>
      <c r="FD130" t="e">
        <f>AND(DATA!A798,"AAAAAF2zd58=")</f>
        <v>#VALUE!</v>
      </c>
      <c r="FE130" t="e">
        <f>AND(DATA!B798,"AAAAAF2zd6A=")</f>
        <v>#VALUE!</v>
      </c>
      <c r="FF130" t="e">
        <f>AND(DATA!C798,"AAAAAF2zd6E=")</f>
        <v>#VALUE!</v>
      </c>
      <c r="FG130" t="e">
        <f>AND(DATA!D798,"AAAAAF2zd6I=")</f>
        <v>#VALUE!</v>
      </c>
      <c r="FH130" t="e">
        <f>AND(DATA!E798,"AAAAAF2zd6M=")</f>
        <v>#VALUE!</v>
      </c>
      <c r="FI130" t="e">
        <f>AND(DATA!F798,"AAAAAF2zd6Q=")</f>
        <v>#VALUE!</v>
      </c>
      <c r="FJ130" t="e">
        <f>AND(DATA!G798,"AAAAAF2zd6U=")</f>
        <v>#VALUE!</v>
      </c>
      <c r="FK130" t="e">
        <f>AND(DATA!H798,"AAAAAF2zd6Y=")</f>
        <v>#VALUE!</v>
      </c>
      <c r="FL130" t="e">
        <f>AND(DATA!I798,"AAAAAF2zd6c=")</f>
        <v>#VALUE!</v>
      </c>
      <c r="FM130" t="e">
        <f>AND(DATA!J798,"AAAAAF2zd6g=")</f>
        <v>#VALUE!</v>
      </c>
      <c r="FN130" t="e">
        <f>AND(DATA!K798,"AAAAAF2zd6k=")</f>
        <v>#VALUE!</v>
      </c>
      <c r="FO130" t="b">
        <f>AND(DATA!L799,"AAAAAF2zd6o=")</f>
        <v>1</v>
      </c>
      <c r="FP130" t="b">
        <f>AND(DATA!M799,"AAAAAF2zd6s=")</f>
        <v>1</v>
      </c>
      <c r="FQ130" t="b">
        <f>AND(DATA!N799,"AAAAAF2zd6w=")</f>
        <v>1</v>
      </c>
      <c r="FR130" t="b">
        <f>AND(DATA!O799,"AAAAAF2zd60=")</f>
        <v>1</v>
      </c>
      <c r="FS130" t="b">
        <f>AND(DATA!P799,"AAAAAF2zd64=")</f>
        <v>1</v>
      </c>
      <c r="FT130" t="b">
        <f>AND(DATA!Q799,"AAAAAF2zd68=")</f>
        <v>1</v>
      </c>
      <c r="FU130" t="b">
        <f>AND(DATA!R799,"AAAAAF2zd7A=")</f>
        <v>1</v>
      </c>
      <c r="FV130" t="b">
        <f>AND(DATA!S799,"AAAAAF2zd7E=")</f>
        <v>1</v>
      </c>
      <c r="FW130" t="b">
        <f>AND(DATA!T799,"AAAAAF2zd7I=")</f>
        <v>1</v>
      </c>
      <c r="FX130" t="b">
        <f>AND(DATA!U799,"AAAAAF2zd7M=")</f>
        <v>1</v>
      </c>
      <c r="FY130" t="b">
        <f>AND(DATA!V799,"AAAAAF2zd7Q=")</f>
        <v>1</v>
      </c>
      <c r="FZ130" t="e">
        <f>AND(DATA!W798,"AAAAAF2zd7U=")</f>
        <v>#VALUE!</v>
      </c>
      <c r="GA130" t="e">
        <f>AND(DATA!X798,"AAAAAF2zd7Y=")</f>
        <v>#VALUE!</v>
      </c>
      <c r="GB130" t="e">
        <f>AND(DATA!Y798,"AAAAAF2zd7c=")</f>
        <v>#VALUE!</v>
      </c>
      <c r="GC130">
        <f>IF(DATA!799:799,"AAAAAF2zd7g=",0)</f>
        <v>0</v>
      </c>
      <c r="GD130" t="e">
        <f>AND(DATA!A799,"AAAAAF2zd7k=")</f>
        <v>#VALUE!</v>
      </c>
      <c r="GE130" t="e">
        <f>AND(DATA!B799,"AAAAAF2zd7o=")</f>
        <v>#VALUE!</v>
      </c>
      <c r="GF130" t="e">
        <f>AND(DATA!C799,"AAAAAF2zd7s=")</f>
        <v>#VALUE!</v>
      </c>
      <c r="GG130" t="e">
        <f>AND(DATA!D799,"AAAAAF2zd7w=")</f>
        <v>#VALUE!</v>
      </c>
      <c r="GH130" t="e">
        <f>AND(DATA!E799,"AAAAAF2zd70=")</f>
        <v>#VALUE!</v>
      </c>
      <c r="GI130" t="e">
        <f>AND(DATA!F799,"AAAAAF2zd74=")</f>
        <v>#VALUE!</v>
      </c>
      <c r="GJ130" t="e">
        <f>AND(DATA!G799,"AAAAAF2zd78=")</f>
        <v>#VALUE!</v>
      </c>
      <c r="GK130" t="e">
        <f>AND(DATA!H799,"AAAAAF2zd8A=")</f>
        <v>#VALUE!</v>
      </c>
      <c r="GL130" t="e">
        <f>AND(DATA!I799,"AAAAAF2zd8E=")</f>
        <v>#VALUE!</v>
      </c>
      <c r="GM130" t="e">
        <f>AND(DATA!J799,"AAAAAF2zd8I=")</f>
        <v>#VALUE!</v>
      </c>
      <c r="GN130" t="e">
        <f>AND(DATA!K799,"AAAAAF2zd8M=")</f>
        <v>#VALUE!</v>
      </c>
      <c r="GO130" t="b">
        <f>AND(DATA!L800,"AAAAAF2zd8Q=")</f>
        <v>1</v>
      </c>
      <c r="GP130" t="b">
        <f>AND(DATA!M800,"AAAAAF2zd8U=")</f>
        <v>1</v>
      </c>
      <c r="GQ130" t="b">
        <f>AND(DATA!N800,"AAAAAF2zd8Y=")</f>
        <v>1</v>
      </c>
      <c r="GR130" t="b">
        <f>AND(DATA!O800,"AAAAAF2zd8c=")</f>
        <v>1</v>
      </c>
      <c r="GS130" t="b">
        <f>AND(DATA!P800,"AAAAAF2zd8g=")</f>
        <v>1</v>
      </c>
      <c r="GT130" t="b">
        <f>AND(DATA!Q800,"AAAAAF2zd8k=")</f>
        <v>1</v>
      </c>
      <c r="GU130" t="b">
        <f>AND(DATA!R800,"AAAAAF2zd8o=")</f>
        <v>1</v>
      </c>
      <c r="GV130" t="b">
        <f>AND(DATA!S800,"AAAAAF2zd8s=")</f>
        <v>1</v>
      </c>
      <c r="GW130" t="b">
        <f>AND(DATA!T800,"AAAAAF2zd8w=")</f>
        <v>1</v>
      </c>
      <c r="GX130" t="b">
        <f>AND(DATA!U800,"AAAAAF2zd80=")</f>
        <v>1</v>
      </c>
      <c r="GY130" t="b">
        <f>AND(DATA!V800,"AAAAAF2zd84=")</f>
        <v>1</v>
      </c>
      <c r="GZ130" t="e">
        <f>AND(DATA!W799,"AAAAAF2zd88=")</f>
        <v>#VALUE!</v>
      </c>
      <c r="HA130" t="e">
        <f>AND(DATA!X799,"AAAAAF2zd9A=")</f>
        <v>#VALUE!</v>
      </c>
      <c r="HB130" t="e">
        <f>AND(DATA!Y799,"AAAAAF2zd9E=")</f>
        <v>#VALUE!</v>
      </c>
      <c r="HC130">
        <f>IF(DATA!800:800,"AAAAAF2zd9I=",0)</f>
        <v>0</v>
      </c>
      <c r="HD130" t="e">
        <f>AND(DATA!A800,"AAAAAF2zd9M=")</f>
        <v>#VALUE!</v>
      </c>
      <c r="HE130" t="e">
        <f>AND(DATA!B800,"AAAAAF2zd9Q=")</f>
        <v>#VALUE!</v>
      </c>
      <c r="HF130" t="e">
        <f>AND(DATA!C800,"AAAAAF2zd9U=")</f>
        <v>#VALUE!</v>
      </c>
      <c r="HG130" t="e">
        <f>AND(DATA!D800,"AAAAAF2zd9Y=")</f>
        <v>#VALUE!</v>
      </c>
      <c r="HH130" t="e">
        <f>AND(DATA!E800,"AAAAAF2zd9c=")</f>
        <v>#VALUE!</v>
      </c>
      <c r="HI130" t="e">
        <f>AND(DATA!F800,"AAAAAF2zd9g=")</f>
        <v>#VALUE!</v>
      </c>
      <c r="HJ130" t="e">
        <f>AND(DATA!G800,"AAAAAF2zd9k=")</f>
        <v>#VALUE!</v>
      </c>
      <c r="HK130" t="e">
        <f>AND(DATA!H800,"AAAAAF2zd9o=")</f>
        <v>#VALUE!</v>
      </c>
      <c r="HL130" t="e">
        <f>AND(DATA!I800,"AAAAAF2zd9s=")</f>
        <v>#VALUE!</v>
      </c>
      <c r="HM130" t="e">
        <f>AND(DATA!J800,"AAAAAF2zd9w=")</f>
        <v>#VALUE!</v>
      </c>
      <c r="HN130" t="e">
        <f>AND(DATA!K800,"AAAAAF2zd90=")</f>
        <v>#VALUE!</v>
      </c>
      <c r="HO130" t="b">
        <f>AND(DATA!L801,"AAAAAF2zd94=")</f>
        <v>1</v>
      </c>
      <c r="HP130" t="b">
        <f>AND(DATA!M801,"AAAAAF2zd98=")</f>
        <v>1</v>
      </c>
      <c r="HQ130" t="b">
        <f>AND(DATA!N801,"AAAAAF2zd+A=")</f>
        <v>1</v>
      </c>
      <c r="HR130" t="b">
        <f>AND(DATA!O801,"AAAAAF2zd+E=")</f>
        <v>1</v>
      </c>
      <c r="HS130" t="b">
        <f>AND(DATA!P801,"AAAAAF2zd+I=")</f>
        <v>1</v>
      </c>
      <c r="HT130" t="b">
        <f>AND(DATA!Q801,"AAAAAF2zd+M=")</f>
        <v>1</v>
      </c>
      <c r="HU130" t="b">
        <f>AND(DATA!R801,"AAAAAF2zd+Q=")</f>
        <v>1</v>
      </c>
      <c r="HV130" t="b">
        <f>AND(DATA!S801,"AAAAAF2zd+U=")</f>
        <v>1</v>
      </c>
      <c r="HW130" t="b">
        <f>AND(DATA!T801,"AAAAAF2zd+Y=")</f>
        <v>1</v>
      </c>
      <c r="HX130" t="b">
        <f>AND(DATA!U801,"AAAAAF2zd+c=")</f>
        <v>1</v>
      </c>
      <c r="HY130" t="b">
        <f>AND(DATA!V801,"AAAAAF2zd+g=")</f>
        <v>1</v>
      </c>
      <c r="HZ130" t="e">
        <f>AND(DATA!W800,"AAAAAF2zd+k=")</f>
        <v>#VALUE!</v>
      </c>
      <c r="IA130" t="e">
        <f>AND(DATA!X800,"AAAAAF2zd+o=")</f>
        <v>#VALUE!</v>
      </c>
      <c r="IB130" t="e">
        <f>AND(DATA!Y800,"AAAAAF2zd+s=")</f>
        <v>#VALUE!</v>
      </c>
      <c r="IC130">
        <f>IF(DATA!801:801,"AAAAAF2zd+w=",0)</f>
        <v>0</v>
      </c>
      <c r="ID130" t="e">
        <f>AND(DATA!A801,"AAAAAF2zd+0=")</f>
        <v>#VALUE!</v>
      </c>
      <c r="IE130" t="e">
        <f>AND(DATA!B801,"AAAAAF2zd+4=")</f>
        <v>#VALUE!</v>
      </c>
      <c r="IF130" t="e">
        <f>AND(DATA!C801,"AAAAAF2zd+8=")</f>
        <v>#VALUE!</v>
      </c>
      <c r="IG130" t="e">
        <f>AND(DATA!D801,"AAAAAF2zd/A=")</f>
        <v>#VALUE!</v>
      </c>
      <c r="IH130" t="e">
        <f>AND(DATA!E801,"AAAAAF2zd/E=")</f>
        <v>#VALUE!</v>
      </c>
      <c r="II130" t="e">
        <f>AND(DATA!F801,"AAAAAF2zd/I=")</f>
        <v>#VALUE!</v>
      </c>
      <c r="IJ130" t="e">
        <f>AND(DATA!G801,"AAAAAF2zd/M=")</f>
        <v>#VALUE!</v>
      </c>
      <c r="IK130" t="e">
        <f>AND(DATA!H801,"AAAAAF2zd/Q=")</f>
        <v>#VALUE!</v>
      </c>
      <c r="IL130" t="e">
        <f>AND(DATA!I801,"AAAAAF2zd/U=")</f>
        <v>#VALUE!</v>
      </c>
      <c r="IM130" t="e">
        <f>AND(DATA!J801,"AAAAAF2zd/Y=")</f>
        <v>#VALUE!</v>
      </c>
      <c r="IN130" t="e">
        <f>AND(DATA!K801,"AAAAAF2zd/c=")</f>
        <v>#VALUE!</v>
      </c>
      <c r="IO130" t="b">
        <f>AND(DATA!L802,"AAAAAF2zd/g=")</f>
        <v>1</v>
      </c>
      <c r="IP130" t="b">
        <f>AND(DATA!M802,"AAAAAF2zd/k=")</f>
        <v>1</v>
      </c>
      <c r="IQ130" t="b">
        <f>AND(DATA!N802,"AAAAAF2zd/o=")</f>
        <v>1</v>
      </c>
      <c r="IR130" t="b">
        <f>AND(DATA!O802,"AAAAAF2zd/s=")</f>
        <v>1</v>
      </c>
      <c r="IS130" t="b">
        <f>AND(DATA!P802,"AAAAAF2zd/w=")</f>
        <v>1</v>
      </c>
      <c r="IT130" t="b">
        <f>AND(DATA!Q802,"AAAAAF2zd/0=")</f>
        <v>1</v>
      </c>
      <c r="IU130" t="b">
        <f>AND(DATA!R802,"AAAAAF2zd/4=")</f>
        <v>1</v>
      </c>
      <c r="IV130" t="b">
        <f>AND(DATA!S802,"AAAAAF2zd/8=")</f>
        <v>1</v>
      </c>
    </row>
    <row r="131" spans="1:256" x14ac:dyDescent="0.25">
      <c r="A131" t="b">
        <f>AND(DATA!T802,"AAAAAGr93QA=")</f>
        <v>1</v>
      </c>
      <c r="B131" t="b">
        <f>AND(DATA!U802,"AAAAAGr93QE=")</f>
        <v>1</v>
      </c>
      <c r="C131" t="b">
        <f>AND(DATA!V802,"AAAAAGr93QI=")</f>
        <v>1</v>
      </c>
      <c r="D131" t="e">
        <f>AND(DATA!W801,"AAAAAGr93QM=")</f>
        <v>#VALUE!</v>
      </c>
      <c r="E131" t="e">
        <f>AND(DATA!X801,"AAAAAGr93QQ=")</f>
        <v>#VALUE!</v>
      </c>
      <c r="F131" t="e">
        <f>AND(DATA!Y801,"AAAAAGr93QU=")</f>
        <v>#VALUE!</v>
      </c>
      <c r="G131">
        <f>IF(DATA!802:802,"AAAAAGr93QY=",0)</f>
        <v>0</v>
      </c>
      <c r="H131" t="e">
        <f>AND(DATA!A802,"AAAAAGr93Qc=")</f>
        <v>#VALUE!</v>
      </c>
      <c r="I131" t="e">
        <f>AND(DATA!B802,"AAAAAGr93Qg=")</f>
        <v>#VALUE!</v>
      </c>
      <c r="J131" t="e">
        <f>AND(DATA!C802,"AAAAAGr93Qk=")</f>
        <v>#VALUE!</v>
      </c>
      <c r="K131" t="e">
        <f>AND(DATA!D802,"AAAAAGr93Qo=")</f>
        <v>#VALUE!</v>
      </c>
      <c r="L131" t="e">
        <f>AND(DATA!E802,"AAAAAGr93Qs=")</f>
        <v>#VALUE!</v>
      </c>
      <c r="M131" t="e">
        <f>AND(DATA!F802,"AAAAAGr93Qw=")</f>
        <v>#VALUE!</v>
      </c>
      <c r="N131" t="e">
        <f>AND(DATA!G802,"AAAAAGr93Q0=")</f>
        <v>#VALUE!</v>
      </c>
      <c r="O131" t="e">
        <f>AND(DATA!H802,"AAAAAGr93Q4=")</f>
        <v>#VALUE!</v>
      </c>
      <c r="P131" t="e">
        <f>AND(DATA!I802,"AAAAAGr93Q8=")</f>
        <v>#VALUE!</v>
      </c>
      <c r="Q131" t="e">
        <f>AND(DATA!J802,"AAAAAGr93RA=")</f>
        <v>#VALUE!</v>
      </c>
      <c r="R131" t="e">
        <f>AND(DATA!K802,"AAAAAGr93RE=")</f>
        <v>#VALUE!</v>
      </c>
      <c r="S131" t="b">
        <f>AND(DATA!L803,"AAAAAGr93RI=")</f>
        <v>1</v>
      </c>
      <c r="T131" t="b">
        <f>AND(DATA!M803,"AAAAAGr93RM=")</f>
        <v>1</v>
      </c>
      <c r="U131" t="b">
        <f>AND(DATA!N803,"AAAAAGr93RQ=")</f>
        <v>1</v>
      </c>
      <c r="V131" t="b">
        <f>AND(DATA!O803,"AAAAAGr93RU=")</f>
        <v>1</v>
      </c>
      <c r="W131" t="b">
        <f>AND(DATA!P803,"AAAAAGr93RY=")</f>
        <v>1</v>
      </c>
      <c r="X131" t="b">
        <f>AND(DATA!Q803,"AAAAAGr93Rc=")</f>
        <v>1</v>
      </c>
      <c r="Y131" t="b">
        <f>AND(DATA!R803,"AAAAAGr93Rg=")</f>
        <v>1</v>
      </c>
      <c r="Z131" t="b">
        <f>AND(DATA!S803,"AAAAAGr93Rk=")</f>
        <v>1</v>
      </c>
      <c r="AA131" t="b">
        <f>AND(DATA!T803,"AAAAAGr93Ro=")</f>
        <v>1</v>
      </c>
      <c r="AB131" t="b">
        <f>AND(DATA!U803,"AAAAAGr93Rs=")</f>
        <v>1</v>
      </c>
      <c r="AC131" t="b">
        <f>AND(DATA!V803,"AAAAAGr93Rw=")</f>
        <v>1</v>
      </c>
      <c r="AD131" t="e">
        <f>AND(DATA!W802,"AAAAAGr93R0=")</f>
        <v>#VALUE!</v>
      </c>
      <c r="AE131" t="e">
        <f>AND(DATA!X802,"AAAAAGr93R4=")</f>
        <v>#VALUE!</v>
      </c>
      <c r="AF131" t="e">
        <f>AND(DATA!Y802,"AAAAAGr93R8=")</f>
        <v>#VALUE!</v>
      </c>
      <c r="AG131">
        <f>IF(DATA!803:803,"AAAAAGr93SA=",0)</f>
        <v>0</v>
      </c>
      <c r="AH131" t="e">
        <f>AND(DATA!A803,"AAAAAGr93SE=")</f>
        <v>#VALUE!</v>
      </c>
      <c r="AI131" t="e">
        <f>AND(DATA!B803,"AAAAAGr93SI=")</f>
        <v>#VALUE!</v>
      </c>
      <c r="AJ131" t="e">
        <f>AND(DATA!C803,"AAAAAGr93SM=")</f>
        <v>#VALUE!</v>
      </c>
      <c r="AK131" t="e">
        <f>AND(DATA!D803,"AAAAAGr93SQ=")</f>
        <v>#VALUE!</v>
      </c>
      <c r="AL131" t="e">
        <f>AND(DATA!E803,"AAAAAGr93SU=")</f>
        <v>#VALUE!</v>
      </c>
      <c r="AM131" t="e">
        <f>AND(DATA!F803,"AAAAAGr93SY=")</f>
        <v>#VALUE!</v>
      </c>
      <c r="AN131" t="e">
        <f>AND(DATA!G803,"AAAAAGr93Sc=")</f>
        <v>#VALUE!</v>
      </c>
      <c r="AO131" t="e">
        <f>AND(DATA!H803,"AAAAAGr93Sg=")</f>
        <v>#VALUE!</v>
      </c>
      <c r="AP131" t="e">
        <f>AND(DATA!I803,"AAAAAGr93Sk=")</f>
        <v>#VALUE!</v>
      </c>
      <c r="AQ131" t="e">
        <f>AND(DATA!J803,"AAAAAGr93So=")</f>
        <v>#VALUE!</v>
      </c>
      <c r="AR131" t="e">
        <f>AND(DATA!K803,"AAAAAGr93Ss=")</f>
        <v>#VALUE!</v>
      </c>
      <c r="AS131" t="b">
        <f>AND(DATA!L804,"AAAAAGr93Sw=")</f>
        <v>1</v>
      </c>
      <c r="AT131" t="b">
        <f>AND(DATA!M804,"AAAAAGr93S0=")</f>
        <v>1</v>
      </c>
      <c r="AU131" t="b">
        <f>AND(DATA!N804,"AAAAAGr93S4=")</f>
        <v>1</v>
      </c>
      <c r="AV131" t="b">
        <f>AND(DATA!O804,"AAAAAGr93S8=")</f>
        <v>1</v>
      </c>
      <c r="AW131" t="b">
        <f>AND(DATA!P804,"AAAAAGr93TA=")</f>
        <v>1</v>
      </c>
      <c r="AX131" t="b">
        <f>AND(DATA!Q804,"AAAAAGr93TE=")</f>
        <v>1</v>
      </c>
      <c r="AY131" t="b">
        <f>AND(DATA!R804,"AAAAAGr93TI=")</f>
        <v>1</v>
      </c>
      <c r="AZ131" t="b">
        <f>AND(DATA!S804,"AAAAAGr93TM=")</f>
        <v>1</v>
      </c>
      <c r="BA131" t="b">
        <f>AND(DATA!T804,"AAAAAGr93TQ=")</f>
        <v>1</v>
      </c>
      <c r="BB131" t="b">
        <f>AND(DATA!U804,"AAAAAGr93TU=")</f>
        <v>1</v>
      </c>
      <c r="BC131" t="b">
        <f>AND(DATA!V804,"AAAAAGr93TY=")</f>
        <v>1</v>
      </c>
      <c r="BD131" t="e">
        <f>AND(DATA!W803,"AAAAAGr93Tc=")</f>
        <v>#VALUE!</v>
      </c>
      <c r="BE131" t="e">
        <f>AND(DATA!X803,"AAAAAGr93Tg=")</f>
        <v>#VALUE!</v>
      </c>
      <c r="BF131" t="e">
        <f>AND(DATA!Y803,"AAAAAGr93Tk=")</f>
        <v>#VALUE!</v>
      </c>
      <c r="BG131">
        <f>IF(DATA!804:804,"AAAAAGr93To=",0)</f>
        <v>0</v>
      </c>
      <c r="BH131" t="e">
        <f>AND(DATA!A804,"AAAAAGr93Ts=")</f>
        <v>#VALUE!</v>
      </c>
      <c r="BI131" t="e">
        <f>AND(DATA!B804,"AAAAAGr93Tw=")</f>
        <v>#VALUE!</v>
      </c>
      <c r="BJ131" t="e">
        <f>AND(DATA!C804,"AAAAAGr93T0=")</f>
        <v>#VALUE!</v>
      </c>
      <c r="BK131" t="e">
        <f>AND(DATA!D804,"AAAAAGr93T4=")</f>
        <v>#VALUE!</v>
      </c>
      <c r="BL131" t="e">
        <f>AND(DATA!E804,"AAAAAGr93T8=")</f>
        <v>#VALUE!</v>
      </c>
      <c r="BM131" t="e">
        <f>AND(DATA!F804,"AAAAAGr93UA=")</f>
        <v>#VALUE!</v>
      </c>
      <c r="BN131" t="e">
        <f>AND(DATA!G804,"AAAAAGr93UE=")</f>
        <v>#VALUE!</v>
      </c>
      <c r="BO131" t="e">
        <f>AND(DATA!H804,"AAAAAGr93UI=")</f>
        <v>#VALUE!</v>
      </c>
      <c r="BP131" t="e">
        <f>AND(DATA!I804,"AAAAAGr93UM=")</f>
        <v>#VALUE!</v>
      </c>
      <c r="BQ131" t="e">
        <f>AND(DATA!J804,"AAAAAGr93UQ=")</f>
        <v>#VALUE!</v>
      </c>
      <c r="BR131" t="e">
        <f>AND(DATA!K804,"AAAAAGr93UU=")</f>
        <v>#VALUE!</v>
      </c>
      <c r="BS131" t="b">
        <f>AND(DATA!L805,"AAAAAGr93UY=")</f>
        <v>1</v>
      </c>
      <c r="BT131" t="b">
        <f>AND(DATA!M805,"AAAAAGr93Uc=")</f>
        <v>1</v>
      </c>
      <c r="BU131" t="b">
        <f>AND(DATA!N805,"AAAAAGr93Ug=")</f>
        <v>1</v>
      </c>
      <c r="BV131" t="b">
        <f>AND(DATA!O805,"AAAAAGr93Uk=")</f>
        <v>1</v>
      </c>
      <c r="BW131" t="b">
        <f>AND(DATA!P805,"AAAAAGr93Uo=")</f>
        <v>1</v>
      </c>
      <c r="BX131" t="b">
        <f>AND(DATA!Q805,"AAAAAGr93Us=")</f>
        <v>1</v>
      </c>
      <c r="BY131" t="b">
        <f>AND(DATA!R805,"AAAAAGr93Uw=")</f>
        <v>1</v>
      </c>
      <c r="BZ131" t="b">
        <f>AND(DATA!S805,"AAAAAGr93U0=")</f>
        <v>1</v>
      </c>
      <c r="CA131" t="b">
        <f>AND(DATA!T805,"AAAAAGr93U4=")</f>
        <v>1</v>
      </c>
      <c r="CB131" t="b">
        <f>AND(DATA!U805,"AAAAAGr93U8=")</f>
        <v>1</v>
      </c>
      <c r="CC131" t="b">
        <f>AND(DATA!V805,"AAAAAGr93VA=")</f>
        <v>1</v>
      </c>
      <c r="CD131" t="e">
        <f>AND(DATA!W804,"AAAAAGr93VE=")</f>
        <v>#VALUE!</v>
      </c>
      <c r="CE131" t="e">
        <f>AND(DATA!X804,"AAAAAGr93VI=")</f>
        <v>#VALUE!</v>
      </c>
      <c r="CF131" t="e">
        <f>AND(DATA!Y804,"AAAAAGr93VM=")</f>
        <v>#VALUE!</v>
      </c>
      <c r="CG131">
        <f>IF(DATA!805:805,"AAAAAGr93VQ=",0)</f>
        <v>0</v>
      </c>
      <c r="CH131" t="e">
        <f>AND(DATA!A805,"AAAAAGr93VU=")</f>
        <v>#VALUE!</v>
      </c>
      <c r="CI131" t="e">
        <f>AND(DATA!B805,"AAAAAGr93VY=")</f>
        <v>#VALUE!</v>
      </c>
      <c r="CJ131" t="e">
        <f>AND(DATA!C805,"AAAAAGr93Vc=")</f>
        <v>#VALUE!</v>
      </c>
      <c r="CK131" t="e">
        <f>AND(DATA!D805,"AAAAAGr93Vg=")</f>
        <v>#VALUE!</v>
      </c>
      <c r="CL131" t="e">
        <f>AND(DATA!E805,"AAAAAGr93Vk=")</f>
        <v>#VALUE!</v>
      </c>
      <c r="CM131" t="e">
        <f>AND(DATA!F805,"AAAAAGr93Vo=")</f>
        <v>#VALUE!</v>
      </c>
      <c r="CN131" t="e">
        <f>AND(DATA!G805,"AAAAAGr93Vs=")</f>
        <v>#VALUE!</v>
      </c>
      <c r="CO131" t="e">
        <f>AND(DATA!H805,"AAAAAGr93Vw=")</f>
        <v>#VALUE!</v>
      </c>
      <c r="CP131" t="e">
        <f>AND(DATA!I805,"AAAAAGr93V0=")</f>
        <v>#VALUE!</v>
      </c>
      <c r="CQ131" t="e">
        <f>AND(DATA!J805,"AAAAAGr93V4=")</f>
        <v>#VALUE!</v>
      </c>
      <c r="CR131" t="e">
        <f>AND(DATA!K805,"AAAAAGr93V8=")</f>
        <v>#VALUE!</v>
      </c>
      <c r="CS131" t="b">
        <f>AND(DATA!L806,"AAAAAGr93WA=")</f>
        <v>1</v>
      </c>
      <c r="CT131" t="b">
        <f>AND(DATA!M806,"AAAAAGr93WE=")</f>
        <v>1</v>
      </c>
      <c r="CU131" t="b">
        <f>AND(DATA!N806,"AAAAAGr93WI=")</f>
        <v>1</v>
      </c>
      <c r="CV131" t="b">
        <f>AND(DATA!O806,"AAAAAGr93WM=")</f>
        <v>1</v>
      </c>
      <c r="CW131" t="b">
        <f>AND(DATA!P806,"AAAAAGr93WQ=")</f>
        <v>1</v>
      </c>
      <c r="CX131" t="b">
        <f>AND(DATA!Q806,"AAAAAGr93WU=")</f>
        <v>1</v>
      </c>
      <c r="CY131" t="b">
        <f>AND(DATA!R806,"AAAAAGr93WY=")</f>
        <v>1</v>
      </c>
      <c r="CZ131" t="b">
        <f>AND(DATA!S806,"AAAAAGr93Wc=")</f>
        <v>1</v>
      </c>
      <c r="DA131" t="b">
        <f>AND(DATA!T806,"AAAAAGr93Wg=")</f>
        <v>1</v>
      </c>
      <c r="DB131" t="b">
        <f>AND(DATA!U806,"AAAAAGr93Wk=")</f>
        <v>1</v>
      </c>
      <c r="DC131" t="b">
        <f>AND(DATA!V806,"AAAAAGr93Wo=")</f>
        <v>1</v>
      </c>
      <c r="DD131" t="e">
        <f>AND(DATA!W805,"AAAAAGr93Ws=")</f>
        <v>#VALUE!</v>
      </c>
      <c r="DE131" t="e">
        <f>AND(DATA!X805,"AAAAAGr93Ww=")</f>
        <v>#VALUE!</v>
      </c>
      <c r="DF131" t="e">
        <f>AND(DATA!Y805,"AAAAAGr93W0=")</f>
        <v>#VALUE!</v>
      </c>
      <c r="DG131">
        <f>IF(DATA!806:806,"AAAAAGr93W4=",0)</f>
        <v>0</v>
      </c>
      <c r="DH131" t="e">
        <f>AND(DATA!A806,"AAAAAGr93W8=")</f>
        <v>#VALUE!</v>
      </c>
      <c r="DI131" t="e">
        <f>AND(DATA!B806,"AAAAAGr93XA=")</f>
        <v>#VALUE!</v>
      </c>
      <c r="DJ131" t="e">
        <f>AND(DATA!C806,"AAAAAGr93XE=")</f>
        <v>#VALUE!</v>
      </c>
      <c r="DK131" t="e">
        <f>AND(DATA!D806,"AAAAAGr93XI=")</f>
        <v>#VALUE!</v>
      </c>
      <c r="DL131" t="e">
        <f>AND(DATA!E806,"AAAAAGr93XM=")</f>
        <v>#VALUE!</v>
      </c>
      <c r="DM131" t="e">
        <f>AND(DATA!F806,"AAAAAGr93XQ=")</f>
        <v>#VALUE!</v>
      </c>
      <c r="DN131" t="e">
        <f>AND(DATA!G806,"AAAAAGr93XU=")</f>
        <v>#VALUE!</v>
      </c>
      <c r="DO131" t="e">
        <f>AND(DATA!H806,"AAAAAGr93XY=")</f>
        <v>#VALUE!</v>
      </c>
      <c r="DP131" t="e">
        <f>AND(DATA!I806,"AAAAAGr93Xc=")</f>
        <v>#VALUE!</v>
      </c>
      <c r="DQ131" t="e">
        <f>AND(DATA!J806,"AAAAAGr93Xg=")</f>
        <v>#VALUE!</v>
      </c>
      <c r="DR131" t="e">
        <f>AND(DATA!K806,"AAAAAGr93Xk=")</f>
        <v>#VALUE!</v>
      </c>
      <c r="DS131" t="b">
        <f>AND(DATA!L807,"AAAAAGr93Xo=")</f>
        <v>1</v>
      </c>
      <c r="DT131" t="b">
        <f>AND(DATA!M807,"AAAAAGr93Xs=")</f>
        <v>1</v>
      </c>
      <c r="DU131" t="b">
        <f>AND(DATA!N807,"AAAAAGr93Xw=")</f>
        <v>1</v>
      </c>
      <c r="DV131" t="b">
        <f>AND(DATA!O807,"AAAAAGr93X0=")</f>
        <v>1</v>
      </c>
      <c r="DW131" t="b">
        <f>AND(DATA!P807,"AAAAAGr93X4=")</f>
        <v>1</v>
      </c>
      <c r="DX131" t="b">
        <f>AND(DATA!Q807,"AAAAAGr93X8=")</f>
        <v>1</v>
      </c>
      <c r="DY131" t="b">
        <f>AND(DATA!R807,"AAAAAGr93YA=")</f>
        <v>1</v>
      </c>
      <c r="DZ131" t="b">
        <f>AND(DATA!S807,"AAAAAGr93YE=")</f>
        <v>1</v>
      </c>
      <c r="EA131" t="b">
        <f>AND(DATA!T807,"AAAAAGr93YI=")</f>
        <v>1</v>
      </c>
      <c r="EB131" t="b">
        <f>AND(DATA!U807,"AAAAAGr93YM=")</f>
        <v>1</v>
      </c>
      <c r="EC131" t="b">
        <f>AND(DATA!V807,"AAAAAGr93YQ=")</f>
        <v>1</v>
      </c>
      <c r="ED131" t="e">
        <f>AND(DATA!W806,"AAAAAGr93YU=")</f>
        <v>#VALUE!</v>
      </c>
      <c r="EE131" t="e">
        <f>AND(DATA!X806,"AAAAAGr93YY=")</f>
        <v>#VALUE!</v>
      </c>
      <c r="EF131" t="e">
        <f>AND(DATA!Y806,"AAAAAGr93Yc=")</f>
        <v>#VALUE!</v>
      </c>
      <c r="EG131">
        <f>IF(DATA!807:807,"AAAAAGr93Yg=",0)</f>
        <v>0</v>
      </c>
      <c r="EH131" t="e">
        <f>AND(DATA!A807,"AAAAAGr93Yk=")</f>
        <v>#VALUE!</v>
      </c>
      <c r="EI131" t="e">
        <f>AND(DATA!B807,"AAAAAGr93Yo=")</f>
        <v>#VALUE!</v>
      </c>
      <c r="EJ131" t="e">
        <f>AND(DATA!C807,"AAAAAGr93Ys=")</f>
        <v>#VALUE!</v>
      </c>
      <c r="EK131" t="e">
        <f>AND(DATA!D807,"AAAAAGr93Yw=")</f>
        <v>#VALUE!</v>
      </c>
      <c r="EL131" t="e">
        <f>AND(DATA!E807,"AAAAAGr93Y0=")</f>
        <v>#VALUE!</v>
      </c>
      <c r="EM131" t="e">
        <f>AND(DATA!F807,"AAAAAGr93Y4=")</f>
        <v>#VALUE!</v>
      </c>
      <c r="EN131" t="e">
        <f>AND(DATA!G807,"AAAAAGr93Y8=")</f>
        <v>#VALUE!</v>
      </c>
      <c r="EO131" t="e">
        <f>AND(DATA!H807,"AAAAAGr93ZA=")</f>
        <v>#VALUE!</v>
      </c>
      <c r="EP131" t="e">
        <f>AND(DATA!I807,"AAAAAGr93ZE=")</f>
        <v>#VALUE!</v>
      </c>
      <c r="EQ131" t="e">
        <f>AND(DATA!J807,"AAAAAGr93ZI=")</f>
        <v>#VALUE!</v>
      </c>
      <c r="ER131" t="e">
        <f>AND(DATA!K807,"AAAAAGr93ZM=")</f>
        <v>#VALUE!</v>
      </c>
      <c r="ES131" t="b">
        <f>AND(DATA!L808,"AAAAAGr93ZQ=")</f>
        <v>1</v>
      </c>
      <c r="ET131" t="b">
        <f>AND(DATA!M808,"AAAAAGr93ZU=")</f>
        <v>1</v>
      </c>
      <c r="EU131" t="b">
        <f>AND(DATA!N808,"AAAAAGr93ZY=")</f>
        <v>1</v>
      </c>
      <c r="EV131" t="b">
        <f>AND(DATA!O808,"AAAAAGr93Zc=")</f>
        <v>1</v>
      </c>
      <c r="EW131" t="b">
        <f>AND(DATA!P808,"AAAAAGr93Zg=")</f>
        <v>1</v>
      </c>
      <c r="EX131" t="b">
        <f>AND(DATA!Q808,"AAAAAGr93Zk=")</f>
        <v>1</v>
      </c>
      <c r="EY131" t="b">
        <f>AND(DATA!R808,"AAAAAGr93Zo=")</f>
        <v>1</v>
      </c>
      <c r="EZ131" t="b">
        <f>AND(DATA!S808,"AAAAAGr93Zs=")</f>
        <v>1</v>
      </c>
      <c r="FA131" t="b">
        <f>AND(DATA!T808,"AAAAAGr93Zw=")</f>
        <v>1</v>
      </c>
      <c r="FB131" t="b">
        <f>AND(DATA!U808,"AAAAAGr93Z0=")</f>
        <v>1</v>
      </c>
      <c r="FC131" t="b">
        <f>AND(DATA!V808,"AAAAAGr93Z4=")</f>
        <v>1</v>
      </c>
      <c r="FD131" t="e">
        <f>AND(DATA!W807,"AAAAAGr93Z8=")</f>
        <v>#VALUE!</v>
      </c>
      <c r="FE131" t="e">
        <f>AND(DATA!X807,"AAAAAGr93aA=")</f>
        <v>#VALUE!</v>
      </c>
      <c r="FF131" t="e">
        <f>AND(DATA!Y807,"AAAAAGr93aE=")</f>
        <v>#VALUE!</v>
      </c>
      <c r="FG131">
        <f>IF(DATA!808:808,"AAAAAGr93aI=",0)</f>
        <v>0</v>
      </c>
      <c r="FH131" t="e">
        <f>AND(DATA!A808,"AAAAAGr93aM=")</f>
        <v>#VALUE!</v>
      </c>
      <c r="FI131" t="e">
        <f>AND(DATA!B808,"AAAAAGr93aQ=")</f>
        <v>#VALUE!</v>
      </c>
      <c r="FJ131" t="e">
        <f>AND(DATA!C808,"AAAAAGr93aU=")</f>
        <v>#VALUE!</v>
      </c>
      <c r="FK131" t="e">
        <f>AND(DATA!D808,"AAAAAGr93aY=")</f>
        <v>#VALUE!</v>
      </c>
      <c r="FL131" t="e">
        <f>AND(DATA!E808,"AAAAAGr93ac=")</f>
        <v>#VALUE!</v>
      </c>
      <c r="FM131" t="e">
        <f>AND(DATA!F808,"AAAAAGr93ag=")</f>
        <v>#VALUE!</v>
      </c>
      <c r="FN131" t="e">
        <f>AND(DATA!G808,"AAAAAGr93ak=")</f>
        <v>#VALUE!</v>
      </c>
      <c r="FO131" t="e">
        <f>AND(DATA!H808,"AAAAAGr93ao=")</f>
        <v>#VALUE!</v>
      </c>
      <c r="FP131" t="e">
        <f>AND(DATA!I808,"AAAAAGr93as=")</f>
        <v>#VALUE!</v>
      </c>
      <c r="FQ131" t="e">
        <f>AND(DATA!J808,"AAAAAGr93aw=")</f>
        <v>#VALUE!</v>
      </c>
      <c r="FR131" t="e">
        <f>AND(DATA!K808,"AAAAAGr93a0=")</f>
        <v>#VALUE!</v>
      </c>
      <c r="FS131" t="b">
        <f>AND(DATA!L809,"AAAAAGr93a4=")</f>
        <v>1</v>
      </c>
      <c r="FT131" t="b">
        <f>AND(DATA!M809,"AAAAAGr93a8=")</f>
        <v>1</v>
      </c>
      <c r="FU131" t="b">
        <f>AND(DATA!N809,"AAAAAGr93bA=")</f>
        <v>1</v>
      </c>
      <c r="FV131" t="b">
        <f>AND(DATA!O809,"AAAAAGr93bE=")</f>
        <v>1</v>
      </c>
      <c r="FW131" t="b">
        <f>AND(DATA!P809,"AAAAAGr93bI=")</f>
        <v>1</v>
      </c>
      <c r="FX131" t="b">
        <f>AND(DATA!Q809,"AAAAAGr93bM=")</f>
        <v>1</v>
      </c>
      <c r="FY131" t="b">
        <f>AND(DATA!R809,"AAAAAGr93bQ=")</f>
        <v>1</v>
      </c>
      <c r="FZ131" t="b">
        <f>AND(DATA!S809,"AAAAAGr93bU=")</f>
        <v>1</v>
      </c>
      <c r="GA131" t="b">
        <f>AND(DATA!T809,"AAAAAGr93bY=")</f>
        <v>1</v>
      </c>
      <c r="GB131" t="b">
        <f>AND(DATA!U809,"AAAAAGr93bc=")</f>
        <v>1</v>
      </c>
      <c r="GC131" t="b">
        <f>AND(DATA!V809,"AAAAAGr93bg=")</f>
        <v>1</v>
      </c>
      <c r="GD131" t="e">
        <f>AND(DATA!W808,"AAAAAGr93bk=")</f>
        <v>#VALUE!</v>
      </c>
      <c r="GE131" t="e">
        <f>AND(DATA!X808,"AAAAAGr93bo=")</f>
        <v>#VALUE!</v>
      </c>
      <c r="GF131" t="e">
        <f>AND(DATA!Y808,"AAAAAGr93bs=")</f>
        <v>#VALUE!</v>
      </c>
      <c r="GG131">
        <f>IF(DATA!809:809,"AAAAAGr93bw=",0)</f>
        <v>0</v>
      </c>
      <c r="GH131" t="e">
        <f>AND(DATA!A809,"AAAAAGr93b0=")</f>
        <v>#VALUE!</v>
      </c>
      <c r="GI131" t="e">
        <f>AND(DATA!B809,"AAAAAGr93b4=")</f>
        <v>#VALUE!</v>
      </c>
      <c r="GJ131" t="e">
        <f>AND(DATA!C809,"AAAAAGr93b8=")</f>
        <v>#VALUE!</v>
      </c>
      <c r="GK131" t="e">
        <f>AND(DATA!D809,"AAAAAGr93cA=")</f>
        <v>#VALUE!</v>
      </c>
      <c r="GL131" t="e">
        <f>AND(DATA!E809,"AAAAAGr93cE=")</f>
        <v>#VALUE!</v>
      </c>
      <c r="GM131" t="e">
        <f>AND(DATA!F809,"AAAAAGr93cI=")</f>
        <v>#VALUE!</v>
      </c>
      <c r="GN131" t="e">
        <f>AND(DATA!G809,"AAAAAGr93cM=")</f>
        <v>#VALUE!</v>
      </c>
      <c r="GO131" t="e">
        <f>AND(DATA!H809,"AAAAAGr93cQ=")</f>
        <v>#VALUE!</v>
      </c>
      <c r="GP131" t="e">
        <f>AND(DATA!I809,"AAAAAGr93cU=")</f>
        <v>#VALUE!</v>
      </c>
      <c r="GQ131" t="e">
        <f>AND(DATA!J809,"AAAAAGr93cY=")</f>
        <v>#VALUE!</v>
      </c>
      <c r="GR131" t="e">
        <f>AND(DATA!K809,"AAAAAGr93cc=")</f>
        <v>#VALUE!</v>
      </c>
      <c r="GS131" t="b">
        <f>AND(DATA!L810,"AAAAAGr93cg=")</f>
        <v>1</v>
      </c>
      <c r="GT131" t="b">
        <f>AND(DATA!M810,"AAAAAGr93ck=")</f>
        <v>1</v>
      </c>
      <c r="GU131" t="b">
        <f>AND(DATA!N810,"AAAAAGr93co=")</f>
        <v>1</v>
      </c>
      <c r="GV131" t="b">
        <f>AND(DATA!O810,"AAAAAGr93cs=")</f>
        <v>1</v>
      </c>
      <c r="GW131" t="b">
        <f>AND(DATA!P810,"AAAAAGr93cw=")</f>
        <v>1</v>
      </c>
      <c r="GX131" t="b">
        <f>AND(DATA!Q810,"AAAAAGr93c0=")</f>
        <v>1</v>
      </c>
      <c r="GY131" t="b">
        <f>AND(DATA!R810,"AAAAAGr93c4=")</f>
        <v>1</v>
      </c>
      <c r="GZ131" t="b">
        <f>AND(DATA!S810,"AAAAAGr93c8=")</f>
        <v>1</v>
      </c>
      <c r="HA131" t="b">
        <f>AND(DATA!T810,"AAAAAGr93dA=")</f>
        <v>1</v>
      </c>
      <c r="HB131" t="b">
        <f>AND(DATA!U810,"AAAAAGr93dE=")</f>
        <v>1</v>
      </c>
      <c r="HC131" t="b">
        <f>AND(DATA!V810,"AAAAAGr93dI=")</f>
        <v>1</v>
      </c>
      <c r="HD131" t="e">
        <f>AND(DATA!W809,"AAAAAGr93dM=")</f>
        <v>#VALUE!</v>
      </c>
      <c r="HE131" t="e">
        <f>AND(DATA!X809,"AAAAAGr93dQ=")</f>
        <v>#VALUE!</v>
      </c>
      <c r="HF131" t="e">
        <f>AND(DATA!Y809,"AAAAAGr93dU=")</f>
        <v>#VALUE!</v>
      </c>
      <c r="HG131">
        <f>IF(DATA!810:810,"AAAAAGr93dY=",0)</f>
        <v>0</v>
      </c>
      <c r="HH131" t="e">
        <f>AND(DATA!A810,"AAAAAGr93dc=")</f>
        <v>#VALUE!</v>
      </c>
      <c r="HI131" t="e">
        <f>AND(DATA!B810,"AAAAAGr93dg=")</f>
        <v>#VALUE!</v>
      </c>
      <c r="HJ131" t="e">
        <f>AND(DATA!C810,"AAAAAGr93dk=")</f>
        <v>#VALUE!</v>
      </c>
      <c r="HK131" t="e">
        <f>AND(DATA!D810,"AAAAAGr93do=")</f>
        <v>#VALUE!</v>
      </c>
      <c r="HL131" t="e">
        <f>AND(DATA!E810,"AAAAAGr93ds=")</f>
        <v>#VALUE!</v>
      </c>
      <c r="HM131" t="e">
        <f>AND(DATA!F810,"AAAAAGr93dw=")</f>
        <v>#VALUE!</v>
      </c>
      <c r="HN131" t="e">
        <f>AND(DATA!G810,"AAAAAGr93d0=")</f>
        <v>#VALUE!</v>
      </c>
      <c r="HO131" t="e">
        <f>AND(DATA!H810,"AAAAAGr93d4=")</f>
        <v>#VALUE!</v>
      </c>
      <c r="HP131" t="e">
        <f>AND(DATA!I810,"AAAAAGr93d8=")</f>
        <v>#VALUE!</v>
      </c>
      <c r="HQ131" t="e">
        <f>AND(DATA!J810,"AAAAAGr93eA=")</f>
        <v>#VALUE!</v>
      </c>
      <c r="HR131" t="e">
        <f>AND(DATA!K810,"AAAAAGr93eE=")</f>
        <v>#VALUE!</v>
      </c>
      <c r="HS131" t="b">
        <f>AND(DATA!L811,"AAAAAGr93eI=")</f>
        <v>1</v>
      </c>
      <c r="HT131" t="b">
        <f>AND(DATA!M811,"AAAAAGr93eM=")</f>
        <v>1</v>
      </c>
      <c r="HU131" t="b">
        <f>AND(DATA!N811,"AAAAAGr93eQ=")</f>
        <v>1</v>
      </c>
      <c r="HV131" t="b">
        <f>AND(DATA!O811,"AAAAAGr93eU=")</f>
        <v>1</v>
      </c>
      <c r="HW131" t="b">
        <f>AND(DATA!P811,"AAAAAGr93eY=")</f>
        <v>1</v>
      </c>
      <c r="HX131" t="b">
        <f>AND(DATA!Q811,"AAAAAGr93ec=")</f>
        <v>1</v>
      </c>
      <c r="HY131" t="b">
        <f>AND(DATA!R811,"AAAAAGr93eg=")</f>
        <v>1</v>
      </c>
      <c r="HZ131" t="b">
        <f>AND(DATA!S811,"AAAAAGr93ek=")</f>
        <v>1</v>
      </c>
      <c r="IA131" t="b">
        <f>AND(DATA!T811,"AAAAAGr93eo=")</f>
        <v>1</v>
      </c>
      <c r="IB131" t="b">
        <f>AND(DATA!U811,"AAAAAGr93es=")</f>
        <v>1</v>
      </c>
      <c r="IC131" t="b">
        <f>AND(DATA!V811,"AAAAAGr93ew=")</f>
        <v>1</v>
      </c>
      <c r="ID131" t="e">
        <f>AND(DATA!W810,"AAAAAGr93e0=")</f>
        <v>#VALUE!</v>
      </c>
      <c r="IE131" t="e">
        <f>AND(DATA!X810,"AAAAAGr93e4=")</f>
        <v>#VALUE!</v>
      </c>
      <c r="IF131" t="e">
        <f>AND(DATA!Y810,"AAAAAGr93e8=")</f>
        <v>#VALUE!</v>
      </c>
      <c r="IG131">
        <f>IF(DATA!811:811,"AAAAAGr93fA=",0)</f>
        <v>0</v>
      </c>
      <c r="IH131" t="e">
        <f>AND(DATA!A811,"AAAAAGr93fE=")</f>
        <v>#VALUE!</v>
      </c>
      <c r="II131" t="e">
        <f>AND(DATA!B811,"AAAAAGr93fI=")</f>
        <v>#VALUE!</v>
      </c>
      <c r="IJ131" t="e">
        <f>AND(DATA!C811,"AAAAAGr93fM=")</f>
        <v>#VALUE!</v>
      </c>
      <c r="IK131" t="e">
        <f>AND(DATA!D811,"AAAAAGr93fQ=")</f>
        <v>#VALUE!</v>
      </c>
      <c r="IL131" t="e">
        <f>AND(DATA!E811,"AAAAAGr93fU=")</f>
        <v>#VALUE!</v>
      </c>
      <c r="IM131" t="e">
        <f>AND(DATA!F811,"AAAAAGr93fY=")</f>
        <v>#VALUE!</v>
      </c>
      <c r="IN131" t="e">
        <f>AND(DATA!G811,"AAAAAGr93fc=")</f>
        <v>#VALUE!</v>
      </c>
      <c r="IO131" t="e">
        <f>AND(DATA!H811,"AAAAAGr93fg=")</f>
        <v>#VALUE!</v>
      </c>
      <c r="IP131" t="e">
        <f>AND(DATA!I811,"AAAAAGr93fk=")</f>
        <v>#VALUE!</v>
      </c>
      <c r="IQ131" t="e">
        <f>AND(DATA!J811,"AAAAAGr93fo=")</f>
        <v>#VALUE!</v>
      </c>
      <c r="IR131" t="e">
        <f>AND(DATA!K811,"AAAAAGr93fs=")</f>
        <v>#VALUE!</v>
      </c>
      <c r="IS131" t="b">
        <f>AND(DATA!L812,"AAAAAGr93fw=")</f>
        <v>1</v>
      </c>
      <c r="IT131" t="b">
        <f>AND(DATA!M812,"AAAAAGr93f0=")</f>
        <v>1</v>
      </c>
      <c r="IU131" t="b">
        <f>AND(DATA!N812,"AAAAAGr93f4=")</f>
        <v>1</v>
      </c>
      <c r="IV131" t="b">
        <f>AND(DATA!O812,"AAAAAGr93f8=")</f>
        <v>1</v>
      </c>
    </row>
    <row r="132" spans="1:256" x14ac:dyDescent="0.25">
      <c r="A132" t="b">
        <f>AND(DATA!P812,"AAAAAF/5/wA=")</f>
        <v>1</v>
      </c>
      <c r="B132" t="b">
        <f>AND(DATA!Q812,"AAAAAF/5/wE=")</f>
        <v>1</v>
      </c>
      <c r="C132" t="b">
        <f>AND(DATA!R812,"AAAAAF/5/wI=")</f>
        <v>1</v>
      </c>
      <c r="D132" t="b">
        <f>AND(DATA!S812,"AAAAAF/5/wM=")</f>
        <v>1</v>
      </c>
      <c r="E132" t="b">
        <f>AND(DATA!T812,"AAAAAF/5/wQ=")</f>
        <v>1</v>
      </c>
      <c r="F132" t="b">
        <f>AND(DATA!U812,"AAAAAF/5/wU=")</f>
        <v>1</v>
      </c>
      <c r="G132" t="b">
        <f>AND(DATA!V812,"AAAAAF/5/wY=")</f>
        <v>1</v>
      </c>
      <c r="H132" t="e">
        <f>AND(DATA!W811,"AAAAAF/5/wc=")</f>
        <v>#VALUE!</v>
      </c>
      <c r="I132" t="e">
        <f>AND(DATA!X811,"AAAAAF/5/wg=")</f>
        <v>#VALUE!</v>
      </c>
      <c r="J132" t="e">
        <f>AND(DATA!Y811,"AAAAAF/5/wk=")</f>
        <v>#VALUE!</v>
      </c>
      <c r="K132">
        <f>IF(DATA!812:812,"AAAAAF/5/wo=",0)</f>
        <v>0</v>
      </c>
      <c r="L132" t="e">
        <f>AND(DATA!A812,"AAAAAF/5/ws=")</f>
        <v>#VALUE!</v>
      </c>
      <c r="M132" t="e">
        <f>AND(DATA!B812,"AAAAAF/5/ww=")</f>
        <v>#VALUE!</v>
      </c>
      <c r="N132" t="e">
        <f>AND(DATA!C812,"AAAAAF/5/w0=")</f>
        <v>#VALUE!</v>
      </c>
      <c r="O132" t="e">
        <f>AND(DATA!D812,"AAAAAF/5/w4=")</f>
        <v>#VALUE!</v>
      </c>
      <c r="P132" t="e">
        <f>AND(DATA!E812,"AAAAAF/5/w8=")</f>
        <v>#VALUE!</v>
      </c>
      <c r="Q132" t="e">
        <f>AND(DATA!F812,"AAAAAF/5/xA=")</f>
        <v>#VALUE!</v>
      </c>
      <c r="R132" t="e">
        <f>AND(DATA!G812,"AAAAAF/5/xE=")</f>
        <v>#VALUE!</v>
      </c>
      <c r="S132" t="e">
        <f>AND(DATA!H812,"AAAAAF/5/xI=")</f>
        <v>#VALUE!</v>
      </c>
      <c r="T132" t="e">
        <f>AND(DATA!I812,"AAAAAF/5/xM=")</f>
        <v>#VALUE!</v>
      </c>
      <c r="U132" t="e">
        <f>AND(DATA!J812,"AAAAAF/5/xQ=")</f>
        <v>#VALUE!</v>
      </c>
      <c r="V132" t="e">
        <f>AND(DATA!K812,"AAAAAF/5/xU=")</f>
        <v>#VALUE!</v>
      </c>
      <c r="W132" t="b">
        <f>AND(DATA!L813,"AAAAAF/5/xY=")</f>
        <v>1</v>
      </c>
      <c r="X132" t="b">
        <f>AND(DATA!M813,"AAAAAF/5/xc=")</f>
        <v>1</v>
      </c>
      <c r="Y132" t="b">
        <f>AND(DATA!N813,"AAAAAF/5/xg=")</f>
        <v>1</v>
      </c>
      <c r="Z132" t="b">
        <f>AND(DATA!O813,"AAAAAF/5/xk=")</f>
        <v>1</v>
      </c>
      <c r="AA132" t="b">
        <f>AND(DATA!P813,"AAAAAF/5/xo=")</f>
        <v>1</v>
      </c>
      <c r="AB132" t="b">
        <f>AND(DATA!Q813,"AAAAAF/5/xs=")</f>
        <v>1</v>
      </c>
      <c r="AC132" t="b">
        <f>AND(DATA!R813,"AAAAAF/5/xw=")</f>
        <v>1</v>
      </c>
      <c r="AD132" t="b">
        <f>AND(DATA!S813,"AAAAAF/5/x0=")</f>
        <v>1</v>
      </c>
      <c r="AE132" t="b">
        <f>AND(DATA!T813,"AAAAAF/5/x4=")</f>
        <v>1</v>
      </c>
      <c r="AF132" t="b">
        <f>AND(DATA!U813,"AAAAAF/5/x8=")</f>
        <v>1</v>
      </c>
      <c r="AG132" t="b">
        <f>AND(DATA!V813,"AAAAAF/5/yA=")</f>
        <v>1</v>
      </c>
      <c r="AH132" t="e">
        <f>AND(DATA!W812,"AAAAAF/5/yE=")</f>
        <v>#VALUE!</v>
      </c>
      <c r="AI132" t="e">
        <f>AND(DATA!X812,"AAAAAF/5/yI=")</f>
        <v>#VALUE!</v>
      </c>
      <c r="AJ132" t="e">
        <f>AND(DATA!Y812,"AAAAAF/5/yM=")</f>
        <v>#VALUE!</v>
      </c>
      <c r="AK132">
        <f>IF(DATA!813:813,"AAAAAF/5/yQ=",0)</f>
        <v>0</v>
      </c>
      <c r="AL132" t="e">
        <f>AND(DATA!A813,"AAAAAF/5/yU=")</f>
        <v>#VALUE!</v>
      </c>
      <c r="AM132" t="e">
        <f>AND(DATA!B813,"AAAAAF/5/yY=")</f>
        <v>#VALUE!</v>
      </c>
      <c r="AN132" t="e">
        <f>AND(DATA!C813,"AAAAAF/5/yc=")</f>
        <v>#VALUE!</v>
      </c>
      <c r="AO132" t="e">
        <f>AND(DATA!D813,"AAAAAF/5/yg=")</f>
        <v>#VALUE!</v>
      </c>
      <c r="AP132" t="e">
        <f>AND(DATA!E813,"AAAAAF/5/yk=")</f>
        <v>#VALUE!</v>
      </c>
      <c r="AQ132" t="e">
        <f>AND(DATA!F813,"AAAAAF/5/yo=")</f>
        <v>#VALUE!</v>
      </c>
      <c r="AR132" t="e">
        <f>AND(DATA!G813,"AAAAAF/5/ys=")</f>
        <v>#VALUE!</v>
      </c>
      <c r="AS132" t="e">
        <f>AND(DATA!H813,"AAAAAF/5/yw=")</f>
        <v>#VALUE!</v>
      </c>
      <c r="AT132" t="e">
        <f>AND(DATA!I813,"AAAAAF/5/y0=")</f>
        <v>#VALUE!</v>
      </c>
      <c r="AU132" t="e">
        <f>AND(DATA!J813,"AAAAAF/5/y4=")</f>
        <v>#VALUE!</v>
      </c>
      <c r="AV132" t="e">
        <f>AND(DATA!K813,"AAAAAF/5/y8=")</f>
        <v>#VALUE!</v>
      </c>
      <c r="AW132" t="b">
        <f>AND(DATA!L814,"AAAAAF/5/zA=")</f>
        <v>1</v>
      </c>
      <c r="AX132" t="b">
        <f>AND(DATA!M814,"AAAAAF/5/zE=")</f>
        <v>1</v>
      </c>
      <c r="AY132" t="b">
        <f>AND(DATA!N814,"AAAAAF/5/zI=")</f>
        <v>1</v>
      </c>
      <c r="AZ132" t="b">
        <f>AND(DATA!O814,"AAAAAF/5/zM=")</f>
        <v>1</v>
      </c>
      <c r="BA132" t="b">
        <f>AND(DATA!P814,"AAAAAF/5/zQ=")</f>
        <v>1</v>
      </c>
      <c r="BB132" t="b">
        <f>AND(DATA!Q814,"AAAAAF/5/zU=")</f>
        <v>1</v>
      </c>
      <c r="BC132" t="b">
        <f>AND(DATA!R814,"AAAAAF/5/zY=")</f>
        <v>1</v>
      </c>
      <c r="BD132" t="b">
        <f>AND(DATA!S814,"AAAAAF/5/zc=")</f>
        <v>1</v>
      </c>
      <c r="BE132" t="b">
        <f>AND(DATA!T814,"AAAAAF/5/zg=")</f>
        <v>1</v>
      </c>
      <c r="BF132" t="b">
        <f>AND(DATA!U814,"AAAAAF/5/zk=")</f>
        <v>1</v>
      </c>
      <c r="BG132" t="b">
        <f>AND(DATA!V814,"AAAAAF/5/zo=")</f>
        <v>1</v>
      </c>
      <c r="BH132" t="e">
        <f>AND(DATA!W813,"AAAAAF/5/zs=")</f>
        <v>#VALUE!</v>
      </c>
      <c r="BI132" t="e">
        <f>AND(DATA!X813,"AAAAAF/5/zw=")</f>
        <v>#VALUE!</v>
      </c>
      <c r="BJ132" t="e">
        <f>AND(DATA!Y813,"AAAAAF/5/z0=")</f>
        <v>#VALUE!</v>
      </c>
      <c r="BK132">
        <f>IF(DATA!814:814,"AAAAAF/5/z4=",0)</f>
        <v>0</v>
      </c>
      <c r="BL132" t="e">
        <f>AND(DATA!A814,"AAAAAF/5/z8=")</f>
        <v>#VALUE!</v>
      </c>
      <c r="BM132" t="e">
        <f>AND(DATA!B814,"AAAAAF/5/0A=")</f>
        <v>#VALUE!</v>
      </c>
      <c r="BN132" t="e">
        <f>AND(DATA!C814,"AAAAAF/5/0E=")</f>
        <v>#VALUE!</v>
      </c>
      <c r="BO132" t="e">
        <f>AND(DATA!D814,"AAAAAF/5/0I=")</f>
        <v>#VALUE!</v>
      </c>
      <c r="BP132" t="e">
        <f>AND(DATA!E814,"AAAAAF/5/0M=")</f>
        <v>#VALUE!</v>
      </c>
      <c r="BQ132" t="e">
        <f>AND(DATA!F814,"AAAAAF/5/0Q=")</f>
        <v>#VALUE!</v>
      </c>
      <c r="BR132" t="e">
        <f>AND(DATA!G814,"AAAAAF/5/0U=")</f>
        <v>#VALUE!</v>
      </c>
      <c r="BS132" t="e">
        <f>AND(DATA!H814,"AAAAAF/5/0Y=")</f>
        <v>#VALUE!</v>
      </c>
      <c r="BT132" t="e">
        <f>AND(DATA!I814,"AAAAAF/5/0c=")</f>
        <v>#VALUE!</v>
      </c>
      <c r="BU132" t="e">
        <f>AND(DATA!J814,"AAAAAF/5/0g=")</f>
        <v>#VALUE!</v>
      </c>
      <c r="BV132" t="e">
        <f>AND(DATA!K814,"AAAAAF/5/0k=")</f>
        <v>#VALUE!</v>
      </c>
      <c r="BW132" t="b">
        <f>AND(DATA!L815,"AAAAAF/5/0o=")</f>
        <v>1</v>
      </c>
      <c r="BX132" t="b">
        <f>AND(DATA!M815,"AAAAAF/5/0s=")</f>
        <v>1</v>
      </c>
      <c r="BY132" t="b">
        <f>AND(DATA!N815,"AAAAAF/5/0w=")</f>
        <v>1</v>
      </c>
      <c r="BZ132" t="b">
        <f>AND(DATA!O815,"AAAAAF/5/00=")</f>
        <v>1</v>
      </c>
      <c r="CA132" t="b">
        <f>AND(DATA!P815,"AAAAAF/5/04=")</f>
        <v>1</v>
      </c>
      <c r="CB132" t="b">
        <f>AND(DATA!Q815,"AAAAAF/5/08=")</f>
        <v>1</v>
      </c>
      <c r="CC132" t="b">
        <f>AND(DATA!R815,"AAAAAF/5/1A=")</f>
        <v>1</v>
      </c>
      <c r="CD132" t="b">
        <f>AND(DATA!S815,"AAAAAF/5/1E=")</f>
        <v>1</v>
      </c>
      <c r="CE132" t="b">
        <f>AND(DATA!T815,"AAAAAF/5/1I=")</f>
        <v>1</v>
      </c>
      <c r="CF132" t="b">
        <f>AND(DATA!U815,"AAAAAF/5/1M=")</f>
        <v>1</v>
      </c>
      <c r="CG132" t="b">
        <f>AND(DATA!V815,"AAAAAF/5/1Q=")</f>
        <v>1</v>
      </c>
      <c r="CH132" t="e">
        <f>AND(DATA!W814,"AAAAAF/5/1U=")</f>
        <v>#VALUE!</v>
      </c>
      <c r="CI132" t="e">
        <f>AND(DATA!X814,"AAAAAF/5/1Y=")</f>
        <v>#VALUE!</v>
      </c>
      <c r="CJ132" t="e">
        <f>AND(DATA!Y814,"AAAAAF/5/1c=")</f>
        <v>#VALUE!</v>
      </c>
      <c r="CK132">
        <f>IF(DATA!815:815,"AAAAAF/5/1g=",0)</f>
        <v>0</v>
      </c>
      <c r="CL132" t="e">
        <f>AND(DATA!A815,"AAAAAF/5/1k=")</f>
        <v>#VALUE!</v>
      </c>
      <c r="CM132" t="e">
        <f>AND(DATA!B815,"AAAAAF/5/1o=")</f>
        <v>#VALUE!</v>
      </c>
      <c r="CN132" t="e">
        <f>AND(DATA!C815,"AAAAAF/5/1s=")</f>
        <v>#VALUE!</v>
      </c>
      <c r="CO132" t="e">
        <f>AND(DATA!D815,"AAAAAF/5/1w=")</f>
        <v>#VALUE!</v>
      </c>
      <c r="CP132" t="e">
        <f>AND(DATA!E815,"AAAAAF/5/10=")</f>
        <v>#VALUE!</v>
      </c>
      <c r="CQ132" t="e">
        <f>AND(DATA!F815,"AAAAAF/5/14=")</f>
        <v>#VALUE!</v>
      </c>
      <c r="CR132" t="e">
        <f>AND(DATA!G815,"AAAAAF/5/18=")</f>
        <v>#VALUE!</v>
      </c>
      <c r="CS132" t="e">
        <f>AND(DATA!H815,"AAAAAF/5/2A=")</f>
        <v>#VALUE!</v>
      </c>
      <c r="CT132" t="e">
        <f>AND(DATA!I815,"AAAAAF/5/2E=")</f>
        <v>#VALUE!</v>
      </c>
      <c r="CU132" t="e">
        <f>AND(DATA!J815,"AAAAAF/5/2I=")</f>
        <v>#VALUE!</v>
      </c>
      <c r="CV132" t="e">
        <f>AND(DATA!K815,"AAAAAF/5/2M=")</f>
        <v>#VALUE!</v>
      </c>
      <c r="CW132" t="b">
        <f>AND(DATA!L816,"AAAAAF/5/2Q=")</f>
        <v>1</v>
      </c>
      <c r="CX132" t="b">
        <f>AND(DATA!M816,"AAAAAF/5/2U=")</f>
        <v>1</v>
      </c>
      <c r="CY132" t="b">
        <f>AND(DATA!N816,"AAAAAF/5/2Y=")</f>
        <v>1</v>
      </c>
      <c r="CZ132" t="b">
        <f>AND(DATA!O816,"AAAAAF/5/2c=")</f>
        <v>1</v>
      </c>
      <c r="DA132" t="b">
        <f>AND(DATA!P816,"AAAAAF/5/2g=")</f>
        <v>1</v>
      </c>
      <c r="DB132" t="b">
        <f>AND(DATA!Q816,"AAAAAF/5/2k=")</f>
        <v>1</v>
      </c>
      <c r="DC132" t="b">
        <f>AND(DATA!R816,"AAAAAF/5/2o=")</f>
        <v>1</v>
      </c>
      <c r="DD132" t="b">
        <f>AND(DATA!S816,"AAAAAF/5/2s=")</f>
        <v>1</v>
      </c>
      <c r="DE132" t="b">
        <f>AND(DATA!T816,"AAAAAF/5/2w=")</f>
        <v>1</v>
      </c>
      <c r="DF132" t="b">
        <f>AND(DATA!U816,"AAAAAF/5/20=")</f>
        <v>1</v>
      </c>
      <c r="DG132" t="b">
        <f>AND(DATA!V816,"AAAAAF/5/24=")</f>
        <v>1</v>
      </c>
      <c r="DH132" t="e">
        <f>AND(DATA!W815,"AAAAAF/5/28=")</f>
        <v>#VALUE!</v>
      </c>
      <c r="DI132" t="e">
        <f>AND(DATA!X815,"AAAAAF/5/3A=")</f>
        <v>#VALUE!</v>
      </c>
      <c r="DJ132" t="e">
        <f>AND(DATA!Y815,"AAAAAF/5/3E=")</f>
        <v>#VALUE!</v>
      </c>
      <c r="DK132">
        <f>IF(DATA!816:816,"AAAAAF/5/3I=",0)</f>
        <v>0</v>
      </c>
      <c r="DL132" t="e">
        <f>AND(DATA!A816,"AAAAAF/5/3M=")</f>
        <v>#VALUE!</v>
      </c>
      <c r="DM132" t="e">
        <f>AND(DATA!B816,"AAAAAF/5/3Q=")</f>
        <v>#VALUE!</v>
      </c>
      <c r="DN132" t="e">
        <f>AND(DATA!C816,"AAAAAF/5/3U=")</f>
        <v>#VALUE!</v>
      </c>
      <c r="DO132" t="e">
        <f>AND(DATA!D816,"AAAAAF/5/3Y=")</f>
        <v>#VALUE!</v>
      </c>
      <c r="DP132" t="e">
        <f>AND(DATA!E816,"AAAAAF/5/3c=")</f>
        <v>#VALUE!</v>
      </c>
      <c r="DQ132" t="e">
        <f>AND(DATA!F816,"AAAAAF/5/3g=")</f>
        <v>#VALUE!</v>
      </c>
      <c r="DR132" t="e">
        <f>AND(DATA!G816,"AAAAAF/5/3k=")</f>
        <v>#VALUE!</v>
      </c>
      <c r="DS132" t="e">
        <f>AND(DATA!H816,"AAAAAF/5/3o=")</f>
        <v>#VALUE!</v>
      </c>
      <c r="DT132" t="e">
        <f>AND(DATA!I816,"AAAAAF/5/3s=")</f>
        <v>#VALUE!</v>
      </c>
      <c r="DU132" t="e">
        <f>AND(DATA!J816,"AAAAAF/5/3w=")</f>
        <v>#VALUE!</v>
      </c>
      <c r="DV132" t="e">
        <f>AND(DATA!K816,"AAAAAF/5/30=")</f>
        <v>#VALUE!</v>
      </c>
      <c r="DW132" t="b">
        <f>AND(DATA!L817,"AAAAAF/5/34=")</f>
        <v>1</v>
      </c>
      <c r="DX132" t="b">
        <f>AND(DATA!M817,"AAAAAF/5/38=")</f>
        <v>1</v>
      </c>
      <c r="DY132" t="b">
        <f>AND(DATA!N817,"AAAAAF/5/4A=")</f>
        <v>1</v>
      </c>
      <c r="DZ132" t="b">
        <f>AND(DATA!O817,"AAAAAF/5/4E=")</f>
        <v>1</v>
      </c>
      <c r="EA132" t="b">
        <f>AND(DATA!P817,"AAAAAF/5/4I=")</f>
        <v>1</v>
      </c>
      <c r="EB132" t="b">
        <f>AND(DATA!Q817,"AAAAAF/5/4M=")</f>
        <v>1</v>
      </c>
      <c r="EC132" t="b">
        <f>AND(DATA!R817,"AAAAAF/5/4Q=")</f>
        <v>1</v>
      </c>
      <c r="ED132" t="b">
        <f>AND(DATA!S817,"AAAAAF/5/4U=")</f>
        <v>1</v>
      </c>
      <c r="EE132" t="b">
        <f>AND(DATA!T817,"AAAAAF/5/4Y=")</f>
        <v>1</v>
      </c>
      <c r="EF132" t="b">
        <f>AND(DATA!U817,"AAAAAF/5/4c=")</f>
        <v>1</v>
      </c>
      <c r="EG132" t="b">
        <f>AND(DATA!V817,"AAAAAF/5/4g=")</f>
        <v>1</v>
      </c>
      <c r="EH132" t="e">
        <f>AND(DATA!W816,"AAAAAF/5/4k=")</f>
        <v>#VALUE!</v>
      </c>
      <c r="EI132" t="e">
        <f>AND(DATA!X816,"AAAAAF/5/4o=")</f>
        <v>#VALUE!</v>
      </c>
      <c r="EJ132" t="e">
        <f>AND(DATA!Y816,"AAAAAF/5/4s=")</f>
        <v>#VALUE!</v>
      </c>
      <c r="EK132">
        <f>IF(DATA!817:817,"AAAAAF/5/4w=",0)</f>
        <v>0</v>
      </c>
      <c r="EL132" t="e">
        <f>AND(DATA!A817,"AAAAAF/5/40=")</f>
        <v>#VALUE!</v>
      </c>
      <c r="EM132" t="e">
        <f>AND(DATA!B817,"AAAAAF/5/44=")</f>
        <v>#VALUE!</v>
      </c>
      <c r="EN132" t="e">
        <f>AND(DATA!C817,"AAAAAF/5/48=")</f>
        <v>#VALUE!</v>
      </c>
      <c r="EO132" t="e">
        <f>AND(DATA!D817,"AAAAAF/5/5A=")</f>
        <v>#VALUE!</v>
      </c>
      <c r="EP132" t="e">
        <f>AND(DATA!E817,"AAAAAF/5/5E=")</f>
        <v>#VALUE!</v>
      </c>
      <c r="EQ132" t="e">
        <f>AND(DATA!F817,"AAAAAF/5/5I=")</f>
        <v>#VALUE!</v>
      </c>
      <c r="ER132" t="e">
        <f>AND(DATA!G817,"AAAAAF/5/5M=")</f>
        <v>#VALUE!</v>
      </c>
      <c r="ES132" t="e">
        <f>AND(DATA!H817,"AAAAAF/5/5Q=")</f>
        <v>#VALUE!</v>
      </c>
      <c r="ET132" t="e">
        <f>AND(DATA!I817,"AAAAAF/5/5U=")</f>
        <v>#VALUE!</v>
      </c>
      <c r="EU132" t="e">
        <f>AND(DATA!J817,"AAAAAF/5/5Y=")</f>
        <v>#VALUE!</v>
      </c>
      <c r="EV132" t="e">
        <f>AND(DATA!K817,"AAAAAF/5/5c=")</f>
        <v>#VALUE!</v>
      </c>
      <c r="EW132" t="b">
        <f>AND(DATA!L818,"AAAAAF/5/5g=")</f>
        <v>1</v>
      </c>
      <c r="EX132" t="b">
        <f>AND(DATA!M818,"AAAAAF/5/5k=")</f>
        <v>1</v>
      </c>
      <c r="EY132" t="b">
        <f>AND(DATA!N818,"AAAAAF/5/5o=")</f>
        <v>1</v>
      </c>
      <c r="EZ132" t="b">
        <f>AND(DATA!O818,"AAAAAF/5/5s=")</f>
        <v>1</v>
      </c>
      <c r="FA132" t="b">
        <f>AND(DATA!P818,"AAAAAF/5/5w=")</f>
        <v>1</v>
      </c>
      <c r="FB132" t="b">
        <f>AND(DATA!Q818,"AAAAAF/5/50=")</f>
        <v>1</v>
      </c>
      <c r="FC132" t="b">
        <f>AND(DATA!R818,"AAAAAF/5/54=")</f>
        <v>1</v>
      </c>
      <c r="FD132" t="b">
        <f>AND(DATA!S818,"AAAAAF/5/58=")</f>
        <v>1</v>
      </c>
      <c r="FE132" t="b">
        <f>AND(DATA!T818,"AAAAAF/5/6A=")</f>
        <v>1</v>
      </c>
      <c r="FF132" t="b">
        <f>AND(DATA!U818,"AAAAAF/5/6E=")</f>
        <v>1</v>
      </c>
      <c r="FG132" t="b">
        <f>AND(DATA!V818,"AAAAAF/5/6I=")</f>
        <v>1</v>
      </c>
      <c r="FH132" t="e">
        <f>AND(DATA!W817,"AAAAAF/5/6M=")</f>
        <v>#VALUE!</v>
      </c>
      <c r="FI132" t="e">
        <f>AND(DATA!X817,"AAAAAF/5/6Q=")</f>
        <v>#VALUE!</v>
      </c>
      <c r="FJ132" t="e">
        <f>AND(DATA!Y817,"AAAAAF/5/6U=")</f>
        <v>#VALUE!</v>
      </c>
      <c r="FK132">
        <f>IF(DATA!818:818,"AAAAAF/5/6Y=",0)</f>
        <v>0</v>
      </c>
      <c r="FL132" t="e">
        <f>AND(DATA!A818,"AAAAAF/5/6c=")</f>
        <v>#VALUE!</v>
      </c>
      <c r="FM132" t="e">
        <f>AND(DATA!B818,"AAAAAF/5/6g=")</f>
        <v>#VALUE!</v>
      </c>
      <c r="FN132" t="e">
        <f>AND(DATA!C818,"AAAAAF/5/6k=")</f>
        <v>#VALUE!</v>
      </c>
      <c r="FO132" t="e">
        <f>AND(DATA!D818,"AAAAAF/5/6o=")</f>
        <v>#VALUE!</v>
      </c>
      <c r="FP132" t="e">
        <f>AND(DATA!E818,"AAAAAF/5/6s=")</f>
        <v>#VALUE!</v>
      </c>
      <c r="FQ132" t="e">
        <f>AND(DATA!F818,"AAAAAF/5/6w=")</f>
        <v>#VALUE!</v>
      </c>
      <c r="FR132" t="e">
        <f>AND(DATA!G818,"AAAAAF/5/60=")</f>
        <v>#VALUE!</v>
      </c>
      <c r="FS132" t="e">
        <f>AND(DATA!H818,"AAAAAF/5/64=")</f>
        <v>#VALUE!</v>
      </c>
      <c r="FT132" t="e">
        <f>AND(DATA!I818,"AAAAAF/5/68=")</f>
        <v>#VALUE!</v>
      </c>
      <c r="FU132" t="e">
        <f>AND(DATA!J818,"AAAAAF/5/7A=")</f>
        <v>#VALUE!</v>
      </c>
      <c r="FV132" t="e">
        <f>AND(DATA!K818,"AAAAAF/5/7E=")</f>
        <v>#VALUE!</v>
      </c>
      <c r="FW132" t="b">
        <f>AND(DATA!L819,"AAAAAF/5/7I=")</f>
        <v>1</v>
      </c>
      <c r="FX132" t="b">
        <f>AND(DATA!M819,"AAAAAF/5/7M=")</f>
        <v>1</v>
      </c>
      <c r="FY132" t="b">
        <f>AND(DATA!N819,"AAAAAF/5/7Q=")</f>
        <v>1</v>
      </c>
      <c r="FZ132" t="b">
        <f>AND(DATA!O819,"AAAAAF/5/7U=")</f>
        <v>1</v>
      </c>
      <c r="GA132" t="b">
        <f>AND(DATA!P819,"AAAAAF/5/7Y=")</f>
        <v>1</v>
      </c>
      <c r="GB132" t="b">
        <f>AND(DATA!Q819,"AAAAAF/5/7c=")</f>
        <v>1</v>
      </c>
      <c r="GC132" t="b">
        <f>AND(DATA!R819,"AAAAAF/5/7g=")</f>
        <v>1</v>
      </c>
      <c r="GD132" t="b">
        <f>AND(DATA!S819,"AAAAAF/5/7k=")</f>
        <v>1</v>
      </c>
      <c r="GE132" t="b">
        <f>AND(DATA!T819,"AAAAAF/5/7o=")</f>
        <v>1</v>
      </c>
      <c r="GF132" t="b">
        <f>AND(DATA!U819,"AAAAAF/5/7s=")</f>
        <v>1</v>
      </c>
      <c r="GG132" t="b">
        <f>AND(DATA!V819,"AAAAAF/5/7w=")</f>
        <v>1</v>
      </c>
      <c r="GH132" t="e">
        <f>AND(DATA!W818,"AAAAAF/5/70=")</f>
        <v>#VALUE!</v>
      </c>
      <c r="GI132" t="e">
        <f>AND(DATA!X818,"AAAAAF/5/74=")</f>
        <v>#VALUE!</v>
      </c>
      <c r="GJ132" t="e">
        <f>AND(DATA!Y818,"AAAAAF/5/78=")</f>
        <v>#VALUE!</v>
      </c>
      <c r="GK132">
        <f>IF(DATA!819:819,"AAAAAF/5/8A=",0)</f>
        <v>0</v>
      </c>
      <c r="GL132" t="e">
        <f>AND(DATA!A819,"AAAAAF/5/8E=")</f>
        <v>#VALUE!</v>
      </c>
      <c r="GM132" t="e">
        <f>AND(DATA!B819,"AAAAAF/5/8I=")</f>
        <v>#VALUE!</v>
      </c>
      <c r="GN132" t="e">
        <f>AND(DATA!C819,"AAAAAF/5/8M=")</f>
        <v>#VALUE!</v>
      </c>
      <c r="GO132" t="e">
        <f>AND(DATA!D819,"AAAAAF/5/8Q=")</f>
        <v>#VALUE!</v>
      </c>
      <c r="GP132" t="e">
        <f>AND(DATA!E819,"AAAAAF/5/8U=")</f>
        <v>#VALUE!</v>
      </c>
      <c r="GQ132" t="e">
        <f>AND(DATA!F819,"AAAAAF/5/8Y=")</f>
        <v>#VALUE!</v>
      </c>
      <c r="GR132" t="e">
        <f>AND(DATA!G819,"AAAAAF/5/8c=")</f>
        <v>#VALUE!</v>
      </c>
      <c r="GS132" t="e">
        <f>AND(DATA!H819,"AAAAAF/5/8g=")</f>
        <v>#VALUE!</v>
      </c>
      <c r="GT132" t="e">
        <f>AND(DATA!I819,"AAAAAF/5/8k=")</f>
        <v>#VALUE!</v>
      </c>
      <c r="GU132" t="e">
        <f>AND(DATA!J819,"AAAAAF/5/8o=")</f>
        <v>#VALUE!</v>
      </c>
      <c r="GV132" t="e">
        <f>AND(DATA!K819,"AAAAAF/5/8s=")</f>
        <v>#VALUE!</v>
      </c>
      <c r="GW132" t="b">
        <f>AND(DATA!L820,"AAAAAF/5/8w=")</f>
        <v>1</v>
      </c>
      <c r="GX132" t="b">
        <f>AND(DATA!M820,"AAAAAF/5/80=")</f>
        <v>1</v>
      </c>
      <c r="GY132" t="b">
        <f>AND(DATA!N820,"AAAAAF/5/84=")</f>
        <v>1</v>
      </c>
      <c r="GZ132" t="b">
        <f>AND(DATA!O820,"AAAAAF/5/88=")</f>
        <v>1</v>
      </c>
      <c r="HA132" t="b">
        <f>AND(DATA!P820,"AAAAAF/5/9A=")</f>
        <v>1</v>
      </c>
      <c r="HB132" t="b">
        <f>AND(DATA!Q820,"AAAAAF/5/9E=")</f>
        <v>1</v>
      </c>
      <c r="HC132" t="b">
        <f>AND(DATA!R820,"AAAAAF/5/9I=")</f>
        <v>1</v>
      </c>
      <c r="HD132" t="b">
        <f>AND(DATA!S820,"AAAAAF/5/9M=")</f>
        <v>1</v>
      </c>
      <c r="HE132" t="b">
        <f>AND(DATA!T820,"AAAAAF/5/9Q=")</f>
        <v>1</v>
      </c>
      <c r="HF132" t="b">
        <f>AND(DATA!U820,"AAAAAF/5/9U=")</f>
        <v>1</v>
      </c>
      <c r="HG132" t="b">
        <f>AND(DATA!V820,"AAAAAF/5/9Y=")</f>
        <v>1</v>
      </c>
      <c r="HH132" t="e">
        <f>AND(DATA!W819,"AAAAAF/5/9c=")</f>
        <v>#VALUE!</v>
      </c>
      <c r="HI132" t="e">
        <f>AND(DATA!X819,"AAAAAF/5/9g=")</f>
        <v>#VALUE!</v>
      </c>
      <c r="HJ132" t="e">
        <f>AND(DATA!Y819,"AAAAAF/5/9k=")</f>
        <v>#VALUE!</v>
      </c>
      <c r="HK132">
        <f>IF(DATA!820:820,"AAAAAF/5/9o=",0)</f>
        <v>0</v>
      </c>
      <c r="HL132" t="e">
        <f>AND(DATA!A820,"AAAAAF/5/9s=")</f>
        <v>#VALUE!</v>
      </c>
      <c r="HM132" t="e">
        <f>AND(DATA!B820,"AAAAAF/5/9w=")</f>
        <v>#VALUE!</v>
      </c>
      <c r="HN132" t="e">
        <f>AND(DATA!C820,"AAAAAF/5/90=")</f>
        <v>#VALUE!</v>
      </c>
      <c r="HO132" t="e">
        <f>AND(DATA!D820,"AAAAAF/5/94=")</f>
        <v>#VALUE!</v>
      </c>
      <c r="HP132" t="e">
        <f>AND(DATA!E820,"AAAAAF/5/98=")</f>
        <v>#VALUE!</v>
      </c>
      <c r="HQ132" t="e">
        <f>AND(DATA!F820,"AAAAAF/5/+A=")</f>
        <v>#VALUE!</v>
      </c>
      <c r="HR132" t="e">
        <f>AND(DATA!G820,"AAAAAF/5/+E=")</f>
        <v>#VALUE!</v>
      </c>
      <c r="HS132" t="e">
        <f>AND(DATA!H820,"AAAAAF/5/+I=")</f>
        <v>#VALUE!</v>
      </c>
      <c r="HT132" t="e">
        <f>AND(DATA!I820,"AAAAAF/5/+M=")</f>
        <v>#VALUE!</v>
      </c>
      <c r="HU132" t="e">
        <f>AND(DATA!J820,"AAAAAF/5/+Q=")</f>
        <v>#VALUE!</v>
      </c>
      <c r="HV132" t="e">
        <f>AND(DATA!K820,"AAAAAF/5/+U=")</f>
        <v>#VALUE!</v>
      </c>
      <c r="HW132" t="b">
        <f>AND(DATA!L821,"AAAAAF/5/+Y=")</f>
        <v>1</v>
      </c>
      <c r="HX132" t="b">
        <f>AND(DATA!M821,"AAAAAF/5/+c=")</f>
        <v>1</v>
      </c>
      <c r="HY132" t="b">
        <f>AND(DATA!N821,"AAAAAF/5/+g=")</f>
        <v>1</v>
      </c>
      <c r="HZ132" t="b">
        <f>AND(DATA!O821,"AAAAAF/5/+k=")</f>
        <v>1</v>
      </c>
      <c r="IA132" t="b">
        <f>AND(DATA!P821,"AAAAAF/5/+o=")</f>
        <v>1</v>
      </c>
      <c r="IB132" t="b">
        <f>AND(DATA!Q821,"AAAAAF/5/+s=")</f>
        <v>1</v>
      </c>
      <c r="IC132" t="b">
        <f>AND(DATA!R821,"AAAAAF/5/+w=")</f>
        <v>1</v>
      </c>
      <c r="ID132" t="b">
        <f>AND(DATA!S821,"AAAAAF/5/+0=")</f>
        <v>1</v>
      </c>
      <c r="IE132" t="b">
        <f>AND(DATA!T821,"AAAAAF/5/+4=")</f>
        <v>1</v>
      </c>
      <c r="IF132" t="b">
        <f>AND(DATA!U821,"AAAAAF/5/+8=")</f>
        <v>1</v>
      </c>
      <c r="IG132" t="b">
        <f>AND(DATA!V821,"AAAAAF/5//A=")</f>
        <v>1</v>
      </c>
      <c r="IH132" t="e">
        <f>AND(DATA!W820,"AAAAAF/5//E=")</f>
        <v>#VALUE!</v>
      </c>
      <c r="II132" t="e">
        <f>AND(DATA!X820,"AAAAAF/5//I=")</f>
        <v>#VALUE!</v>
      </c>
      <c r="IJ132" t="e">
        <f>AND(DATA!Y820,"AAAAAF/5//M=")</f>
        <v>#VALUE!</v>
      </c>
      <c r="IK132">
        <f>IF(DATA!821:821,"AAAAAF/5//Q=",0)</f>
        <v>0</v>
      </c>
      <c r="IL132" t="e">
        <f>AND(DATA!A821,"AAAAAF/5//U=")</f>
        <v>#VALUE!</v>
      </c>
      <c r="IM132" t="e">
        <f>AND(DATA!B821,"AAAAAF/5//Y=")</f>
        <v>#VALUE!</v>
      </c>
      <c r="IN132" t="e">
        <f>AND(DATA!C821,"AAAAAF/5//c=")</f>
        <v>#VALUE!</v>
      </c>
      <c r="IO132" t="e">
        <f>AND(DATA!D821,"AAAAAF/5//g=")</f>
        <v>#VALUE!</v>
      </c>
      <c r="IP132" t="e">
        <f>AND(DATA!E821,"AAAAAF/5//k=")</f>
        <v>#VALUE!</v>
      </c>
      <c r="IQ132" t="e">
        <f>AND(DATA!F821,"AAAAAF/5//o=")</f>
        <v>#VALUE!</v>
      </c>
      <c r="IR132" t="e">
        <f>AND(DATA!G821,"AAAAAF/5//s=")</f>
        <v>#VALUE!</v>
      </c>
      <c r="IS132" t="e">
        <f>AND(DATA!H821,"AAAAAF/5//w=")</f>
        <v>#VALUE!</v>
      </c>
      <c r="IT132" t="e">
        <f>AND(DATA!I821,"AAAAAF/5//0=")</f>
        <v>#VALUE!</v>
      </c>
      <c r="IU132" t="e">
        <f>AND(DATA!J821,"AAAAAF/5//4=")</f>
        <v>#VALUE!</v>
      </c>
      <c r="IV132" t="e">
        <f>AND(DATA!K821,"AAAAAF/5//8=")</f>
        <v>#VALUE!</v>
      </c>
    </row>
    <row r="133" spans="1:256" x14ac:dyDescent="0.25">
      <c r="A133" t="b">
        <f>AND(DATA!L822,"AAAAAF/3YwA=")</f>
        <v>1</v>
      </c>
      <c r="B133" t="b">
        <f>AND(DATA!M822,"AAAAAF/3YwE=")</f>
        <v>1</v>
      </c>
      <c r="C133" t="b">
        <f>AND(DATA!N822,"AAAAAF/3YwI=")</f>
        <v>1</v>
      </c>
      <c r="D133" t="b">
        <f>AND(DATA!O822,"AAAAAF/3YwM=")</f>
        <v>1</v>
      </c>
      <c r="E133" t="b">
        <f>AND(DATA!P822,"AAAAAF/3YwQ=")</f>
        <v>1</v>
      </c>
      <c r="F133" t="b">
        <f>AND(DATA!Q822,"AAAAAF/3YwU=")</f>
        <v>1</v>
      </c>
      <c r="G133" t="b">
        <f>AND(DATA!R822,"AAAAAF/3YwY=")</f>
        <v>1</v>
      </c>
      <c r="H133" t="b">
        <f>AND(DATA!S822,"AAAAAF/3Ywc=")</f>
        <v>1</v>
      </c>
      <c r="I133" t="b">
        <f>AND(DATA!T822,"AAAAAF/3Ywg=")</f>
        <v>1</v>
      </c>
      <c r="J133" t="b">
        <f>AND(DATA!U822,"AAAAAF/3Ywk=")</f>
        <v>1</v>
      </c>
      <c r="K133" t="b">
        <f>AND(DATA!V822,"AAAAAF/3Ywo=")</f>
        <v>1</v>
      </c>
      <c r="L133" t="e">
        <f>AND(DATA!W821,"AAAAAF/3Yws=")</f>
        <v>#VALUE!</v>
      </c>
      <c r="M133" t="e">
        <f>AND(DATA!X821,"AAAAAF/3Yww=")</f>
        <v>#VALUE!</v>
      </c>
      <c r="N133" t="e">
        <f>AND(DATA!Y821,"AAAAAF/3Yw0=")</f>
        <v>#VALUE!</v>
      </c>
      <c r="O133" t="str">
        <f>IF(DATA!822:822,"AAAAAF/3Yw4=",0)</f>
        <v>AAAAAF/3Yw4=</v>
      </c>
      <c r="P133" t="e">
        <f>AND(DATA!A822,"AAAAAF/3Yw8=")</f>
        <v>#VALUE!</v>
      </c>
      <c r="Q133" t="e">
        <f>AND(DATA!B822,"AAAAAF/3YxA=")</f>
        <v>#VALUE!</v>
      </c>
      <c r="R133" t="e">
        <f>AND(DATA!C822,"AAAAAF/3YxE=")</f>
        <v>#VALUE!</v>
      </c>
      <c r="S133" t="e">
        <f>AND(DATA!D822,"AAAAAF/3YxI=")</f>
        <v>#VALUE!</v>
      </c>
      <c r="T133" t="e">
        <f>AND(DATA!E822,"AAAAAF/3YxM=")</f>
        <v>#VALUE!</v>
      </c>
      <c r="U133" t="e">
        <f>AND(DATA!F822,"AAAAAF/3YxQ=")</f>
        <v>#VALUE!</v>
      </c>
      <c r="V133" t="e">
        <f>AND(DATA!G822,"AAAAAF/3YxU=")</f>
        <v>#VALUE!</v>
      </c>
      <c r="W133" t="e">
        <f>AND(DATA!H822,"AAAAAF/3YxY=")</f>
        <v>#VALUE!</v>
      </c>
      <c r="X133" t="e">
        <f>AND(DATA!I822,"AAAAAF/3Yxc=")</f>
        <v>#VALUE!</v>
      </c>
      <c r="Y133" t="e">
        <f>AND(DATA!J822,"AAAAAF/3Yxg=")</f>
        <v>#VALUE!</v>
      </c>
      <c r="Z133" t="e">
        <f>AND(DATA!K822,"AAAAAF/3Yxk=")</f>
        <v>#VALUE!</v>
      </c>
      <c r="AA133" t="b">
        <f>AND(DATA!L823,"AAAAAF/3Yxo=")</f>
        <v>1</v>
      </c>
      <c r="AB133" t="b">
        <f>AND(DATA!M823,"AAAAAF/3Yxs=")</f>
        <v>1</v>
      </c>
      <c r="AC133" t="b">
        <f>AND(DATA!N823,"AAAAAF/3Yxw=")</f>
        <v>1</v>
      </c>
      <c r="AD133" t="b">
        <f>AND(DATA!O823,"AAAAAF/3Yx0=")</f>
        <v>1</v>
      </c>
      <c r="AE133" t="b">
        <f>AND(DATA!P823,"AAAAAF/3Yx4=")</f>
        <v>1</v>
      </c>
      <c r="AF133" t="b">
        <f>AND(DATA!Q823,"AAAAAF/3Yx8=")</f>
        <v>1</v>
      </c>
      <c r="AG133" t="b">
        <f>AND(DATA!R823,"AAAAAF/3YyA=")</f>
        <v>1</v>
      </c>
      <c r="AH133" t="b">
        <f>AND(DATA!S823,"AAAAAF/3YyE=")</f>
        <v>1</v>
      </c>
      <c r="AI133" t="b">
        <f>AND(DATA!T823,"AAAAAF/3YyI=")</f>
        <v>1</v>
      </c>
      <c r="AJ133" t="b">
        <f>AND(DATA!U823,"AAAAAF/3YyM=")</f>
        <v>1</v>
      </c>
      <c r="AK133" t="b">
        <f>AND(DATA!V823,"AAAAAF/3YyQ=")</f>
        <v>1</v>
      </c>
      <c r="AL133" t="e">
        <f>AND(DATA!W822,"AAAAAF/3YyU=")</f>
        <v>#VALUE!</v>
      </c>
      <c r="AM133" t="e">
        <f>AND(DATA!X822,"AAAAAF/3YyY=")</f>
        <v>#VALUE!</v>
      </c>
      <c r="AN133" t="e">
        <f>AND(DATA!Y822,"AAAAAF/3Yyc=")</f>
        <v>#VALUE!</v>
      </c>
      <c r="AO133">
        <f>IF(DATA!823:823,"AAAAAF/3Yyg=",0)</f>
        <v>0</v>
      </c>
      <c r="AP133" t="e">
        <f>AND(DATA!A823,"AAAAAF/3Yyk=")</f>
        <v>#VALUE!</v>
      </c>
      <c r="AQ133" t="e">
        <f>AND(DATA!B823,"AAAAAF/3Yyo=")</f>
        <v>#VALUE!</v>
      </c>
      <c r="AR133" t="e">
        <f>AND(DATA!C823,"AAAAAF/3Yys=")</f>
        <v>#VALUE!</v>
      </c>
      <c r="AS133" t="e">
        <f>AND(DATA!D823,"AAAAAF/3Yyw=")</f>
        <v>#VALUE!</v>
      </c>
      <c r="AT133" t="e">
        <f>AND(DATA!E823,"AAAAAF/3Yy0=")</f>
        <v>#VALUE!</v>
      </c>
      <c r="AU133" t="e">
        <f>AND(DATA!F823,"AAAAAF/3Yy4=")</f>
        <v>#VALUE!</v>
      </c>
      <c r="AV133" t="e">
        <f>AND(DATA!G823,"AAAAAF/3Yy8=")</f>
        <v>#VALUE!</v>
      </c>
      <c r="AW133" t="e">
        <f>AND(DATA!H823,"AAAAAF/3YzA=")</f>
        <v>#VALUE!</v>
      </c>
      <c r="AX133" t="e">
        <f>AND(DATA!I823,"AAAAAF/3YzE=")</f>
        <v>#VALUE!</v>
      </c>
      <c r="AY133" t="e">
        <f>AND(DATA!J823,"AAAAAF/3YzI=")</f>
        <v>#VALUE!</v>
      </c>
      <c r="AZ133" t="e">
        <f>AND(DATA!K823,"AAAAAF/3YzM=")</f>
        <v>#VALUE!</v>
      </c>
      <c r="BA133" t="b">
        <f>AND(DATA!L824,"AAAAAF/3YzQ=")</f>
        <v>1</v>
      </c>
      <c r="BB133" t="b">
        <f>AND(DATA!M824,"AAAAAF/3YzU=")</f>
        <v>1</v>
      </c>
      <c r="BC133" t="b">
        <f>AND(DATA!N824,"AAAAAF/3YzY=")</f>
        <v>1</v>
      </c>
      <c r="BD133" t="b">
        <f>AND(DATA!O824,"AAAAAF/3Yzc=")</f>
        <v>1</v>
      </c>
      <c r="BE133" t="b">
        <f>AND(DATA!P824,"AAAAAF/3Yzg=")</f>
        <v>1</v>
      </c>
      <c r="BF133" t="b">
        <f>AND(DATA!Q824,"AAAAAF/3Yzk=")</f>
        <v>1</v>
      </c>
      <c r="BG133" t="b">
        <f>AND(DATA!R824,"AAAAAF/3Yzo=")</f>
        <v>1</v>
      </c>
      <c r="BH133" t="b">
        <f>AND(DATA!S824,"AAAAAF/3Yzs=")</f>
        <v>1</v>
      </c>
      <c r="BI133" t="b">
        <f>AND(DATA!T824,"AAAAAF/3Yzw=")</f>
        <v>1</v>
      </c>
      <c r="BJ133" t="b">
        <f>AND(DATA!U824,"AAAAAF/3Yz0=")</f>
        <v>1</v>
      </c>
      <c r="BK133" t="b">
        <f>AND(DATA!V824,"AAAAAF/3Yz4=")</f>
        <v>1</v>
      </c>
      <c r="BL133" t="e">
        <f>AND(DATA!W823,"AAAAAF/3Yz8=")</f>
        <v>#VALUE!</v>
      </c>
      <c r="BM133" t="e">
        <f>AND(DATA!X823,"AAAAAF/3Y0A=")</f>
        <v>#VALUE!</v>
      </c>
      <c r="BN133" t="e">
        <f>AND(DATA!Y823,"AAAAAF/3Y0E=")</f>
        <v>#VALUE!</v>
      </c>
      <c r="BO133">
        <f>IF(DATA!824:824,"AAAAAF/3Y0I=",0)</f>
        <v>0</v>
      </c>
      <c r="BP133" t="e">
        <f>AND(DATA!A824,"AAAAAF/3Y0M=")</f>
        <v>#VALUE!</v>
      </c>
      <c r="BQ133" t="e">
        <f>AND(DATA!B824,"AAAAAF/3Y0Q=")</f>
        <v>#VALUE!</v>
      </c>
      <c r="BR133" t="e">
        <f>AND(DATA!C824,"AAAAAF/3Y0U=")</f>
        <v>#VALUE!</v>
      </c>
      <c r="BS133" t="e">
        <f>AND(DATA!D824,"AAAAAF/3Y0Y=")</f>
        <v>#VALUE!</v>
      </c>
      <c r="BT133" t="e">
        <f>AND(DATA!E824,"AAAAAF/3Y0c=")</f>
        <v>#VALUE!</v>
      </c>
      <c r="BU133" t="e">
        <f>AND(DATA!F824,"AAAAAF/3Y0g=")</f>
        <v>#VALUE!</v>
      </c>
      <c r="BV133" t="e">
        <f>AND(DATA!G824,"AAAAAF/3Y0k=")</f>
        <v>#VALUE!</v>
      </c>
      <c r="BW133" t="e">
        <f>AND(DATA!H824,"AAAAAF/3Y0o=")</f>
        <v>#VALUE!</v>
      </c>
      <c r="BX133" t="e">
        <f>AND(DATA!I824,"AAAAAF/3Y0s=")</f>
        <v>#VALUE!</v>
      </c>
      <c r="BY133" t="e">
        <f>AND(DATA!J824,"AAAAAF/3Y0w=")</f>
        <v>#VALUE!</v>
      </c>
      <c r="BZ133" t="e">
        <f>AND(DATA!K824,"AAAAAF/3Y00=")</f>
        <v>#VALUE!</v>
      </c>
      <c r="CA133" t="b">
        <f>AND(DATA!L825,"AAAAAF/3Y04=")</f>
        <v>1</v>
      </c>
      <c r="CB133" t="b">
        <f>AND(DATA!M825,"AAAAAF/3Y08=")</f>
        <v>1</v>
      </c>
      <c r="CC133" t="b">
        <f>AND(DATA!N825,"AAAAAF/3Y1A=")</f>
        <v>1</v>
      </c>
      <c r="CD133" t="b">
        <f>AND(DATA!O825,"AAAAAF/3Y1E=")</f>
        <v>1</v>
      </c>
      <c r="CE133" t="b">
        <f>AND(DATA!P825,"AAAAAF/3Y1I=")</f>
        <v>1</v>
      </c>
      <c r="CF133" t="b">
        <f>AND(DATA!Q825,"AAAAAF/3Y1M=")</f>
        <v>1</v>
      </c>
      <c r="CG133" t="b">
        <f>AND(DATA!R825,"AAAAAF/3Y1Q=")</f>
        <v>1</v>
      </c>
      <c r="CH133" t="b">
        <f>AND(DATA!S825,"AAAAAF/3Y1U=")</f>
        <v>1</v>
      </c>
      <c r="CI133" t="b">
        <f>AND(DATA!T825,"AAAAAF/3Y1Y=")</f>
        <v>1</v>
      </c>
      <c r="CJ133" t="b">
        <f>AND(DATA!U825,"AAAAAF/3Y1c=")</f>
        <v>1</v>
      </c>
      <c r="CK133" t="b">
        <f>AND(DATA!V825,"AAAAAF/3Y1g=")</f>
        <v>1</v>
      </c>
      <c r="CL133" t="e">
        <f>AND(DATA!W824,"AAAAAF/3Y1k=")</f>
        <v>#VALUE!</v>
      </c>
      <c r="CM133" t="e">
        <f>AND(DATA!X824,"AAAAAF/3Y1o=")</f>
        <v>#VALUE!</v>
      </c>
      <c r="CN133" t="e">
        <f>AND(DATA!Y824,"AAAAAF/3Y1s=")</f>
        <v>#VALUE!</v>
      </c>
      <c r="CO133">
        <f>IF(DATA!825:825,"AAAAAF/3Y1w=",0)</f>
        <v>0</v>
      </c>
      <c r="CP133" t="e">
        <f>AND(DATA!A825,"AAAAAF/3Y10=")</f>
        <v>#VALUE!</v>
      </c>
      <c r="CQ133" t="e">
        <f>AND(DATA!B825,"AAAAAF/3Y14=")</f>
        <v>#VALUE!</v>
      </c>
      <c r="CR133" t="e">
        <f>AND(DATA!C825,"AAAAAF/3Y18=")</f>
        <v>#VALUE!</v>
      </c>
      <c r="CS133" t="e">
        <f>AND(DATA!D825,"AAAAAF/3Y2A=")</f>
        <v>#VALUE!</v>
      </c>
      <c r="CT133" t="e">
        <f>AND(DATA!E825,"AAAAAF/3Y2E=")</f>
        <v>#VALUE!</v>
      </c>
      <c r="CU133" t="e">
        <f>AND(DATA!F825,"AAAAAF/3Y2I=")</f>
        <v>#VALUE!</v>
      </c>
      <c r="CV133" t="e">
        <f>AND(DATA!G825,"AAAAAF/3Y2M=")</f>
        <v>#VALUE!</v>
      </c>
      <c r="CW133" t="e">
        <f>AND(DATA!H825,"AAAAAF/3Y2Q=")</f>
        <v>#VALUE!</v>
      </c>
      <c r="CX133" t="e">
        <f>AND(DATA!I825,"AAAAAF/3Y2U=")</f>
        <v>#VALUE!</v>
      </c>
      <c r="CY133" t="e">
        <f>AND(DATA!J825,"AAAAAF/3Y2Y=")</f>
        <v>#VALUE!</v>
      </c>
      <c r="CZ133" t="e">
        <f>AND(DATA!K825,"AAAAAF/3Y2c=")</f>
        <v>#VALUE!</v>
      </c>
      <c r="DA133" t="b">
        <f>AND(DATA!L826,"AAAAAF/3Y2g=")</f>
        <v>1</v>
      </c>
      <c r="DB133" t="b">
        <f>AND(DATA!M826,"AAAAAF/3Y2k=")</f>
        <v>1</v>
      </c>
      <c r="DC133" t="b">
        <f>AND(DATA!N826,"AAAAAF/3Y2o=")</f>
        <v>1</v>
      </c>
      <c r="DD133" t="b">
        <f>AND(DATA!O826,"AAAAAF/3Y2s=")</f>
        <v>1</v>
      </c>
      <c r="DE133" t="b">
        <f>AND(DATA!P826,"AAAAAF/3Y2w=")</f>
        <v>1</v>
      </c>
      <c r="DF133" t="b">
        <f>AND(DATA!Q826,"AAAAAF/3Y20=")</f>
        <v>1</v>
      </c>
      <c r="DG133" t="b">
        <f>AND(DATA!R826,"AAAAAF/3Y24=")</f>
        <v>1</v>
      </c>
      <c r="DH133" t="b">
        <f>AND(DATA!S826,"AAAAAF/3Y28=")</f>
        <v>1</v>
      </c>
      <c r="DI133" t="b">
        <f>AND(DATA!T826,"AAAAAF/3Y3A=")</f>
        <v>1</v>
      </c>
      <c r="DJ133" t="b">
        <f>AND(DATA!U826,"AAAAAF/3Y3E=")</f>
        <v>1</v>
      </c>
      <c r="DK133" t="b">
        <f>AND(DATA!V826,"AAAAAF/3Y3I=")</f>
        <v>1</v>
      </c>
      <c r="DL133" t="e">
        <f>AND(DATA!W825,"AAAAAF/3Y3M=")</f>
        <v>#VALUE!</v>
      </c>
      <c r="DM133" t="e">
        <f>AND(DATA!X825,"AAAAAF/3Y3Q=")</f>
        <v>#VALUE!</v>
      </c>
      <c r="DN133" t="e">
        <f>AND(DATA!Y825,"AAAAAF/3Y3U=")</f>
        <v>#VALUE!</v>
      </c>
      <c r="DO133">
        <f>IF(DATA!826:826,"AAAAAF/3Y3Y=",0)</f>
        <v>0</v>
      </c>
      <c r="DP133" t="e">
        <f>AND(DATA!A826,"AAAAAF/3Y3c=")</f>
        <v>#VALUE!</v>
      </c>
      <c r="DQ133" t="e">
        <f>AND(DATA!B826,"AAAAAF/3Y3g=")</f>
        <v>#VALUE!</v>
      </c>
      <c r="DR133" t="e">
        <f>AND(DATA!C826,"AAAAAF/3Y3k=")</f>
        <v>#VALUE!</v>
      </c>
      <c r="DS133" t="e">
        <f>AND(DATA!D826,"AAAAAF/3Y3o=")</f>
        <v>#VALUE!</v>
      </c>
      <c r="DT133" t="e">
        <f>AND(DATA!E826,"AAAAAF/3Y3s=")</f>
        <v>#VALUE!</v>
      </c>
      <c r="DU133" t="e">
        <f>AND(DATA!F826,"AAAAAF/3Y3w=")</f>
        <v>#VALUE!</v>
      </c>
      <c r="DV133" t="e">
        <f>AND(DATA!G826,"AAAAAF/3Y30=")</f>
        <v>#VALUE!</v>
      </c>
      <c r="DW133" t="e">
        <f>AND(DATA!H826,"AAAAAF/3Y34=")</f>
        <v>#VALUE!</v>
      </c>
      <c r="DX133" t="e">
        <f>AND(DATA!I826,"AAAAAF/3Y38=")</f>
        <v>#VALUE!</v>
      </c>
      <c r="DY133" t="e">
        <f>AND(DATA!J826,"AAAAAF/3Y4A=")</f>
        <v>#VALUE!</v>
      </c>
      <c r="DZ133" t="e">
        <f>AND(DATA!K826,"AAAAAF/3Y4E=")</f>
        <v>#VALUE!</v>
      </c>
      <c r="EA133" t="b">
        <f>AND(DATA!L827,"AAAAAF/3Y4I=")</f>
        <v>1</v>
      </c>
      <c r="EB133" t="b">
        <f>AND(DATA!M827,"AAAAAF/3Y4M=")</f>
        <v>1</v>
      </c>
      <c r="EC133" t="b">
        <f>AND(DATA!N827,"AAAAAF/3Y4Q=")</f>
        <v>1</v>
      </c>
      <c r="ED133" t="b">
        <f>AND(DATA!O827,"AAAAAF/3Y4U=")</f>
        <v>1</v>
      </c>
      <c r="EE133" t="b">
        <f>AND(DATA!P827,"AAAAAF/3Y4Y=")</f>
        <v>1</v>
      </c>
      <c r="EF133" t="b">
        <f>AND(DATA!Q827,"AAAAAF/3Y4c=")</f>
        <v>1</v>
      </c>
      <c r="EG133" t="b">
        <f>AND(DATA!R827,"AAAAAF/3Y4g=")</f>
        <v>1</v>
      </c>
      <c r="EH133" t="b">
        <f>AND(DATA!S827,"AAAAAF/3Y4k=")</f>
        <v>1</v>
      </c>
      <c r="EI133" t="b">
        <f>AND(DATA!T827,"AAAAAF/3Y4o=")</f>
        <v>1</v>
      </c>
      <c r="EJ133" t="b">
        <f>AND(DATA!U827,"AAAAAF/3Y4s=")</f>
        <v>1</v>
      </c>
      <c r="EK133" t="b">
        <f>AND(DATA!V827,"AAAAAF/3Y4w=")</f>
        <v>1</v>
      </c>
      <c r="EL133" t="e">
        <f>AND(DATA!W826,"AAAAAF/3Y40=")</f>
        <v>#VALUE!</v>
      </c>
      <c r="EM133" t="e">
        <f>AND(DATA!X826,"AAAAAF/3Y44=")</f>
        <v>#VALUE!</v>
      </c>
      <c r="EN133" t="e">
        <f>AND(DATA!Y826,"AAAAAF/3Y48=")</f>
        <v>#VALUE!</v>
      </c>
      <c r="EO133">
        <f>IF(DATA!827:827,"AAAAAF/3Y5A=",0)</f>
        <v>0</v>
      </c>
      <c r="EP133" t="e">
        <f>AND(DATA!A827,"AAAAAF/3Y5E=")</f>
        <v>#VALUE!</v>
      </c>
      <c r="EQ133" t="e">
        <f>AND(DATA!B827,"AAAAAF/3Y5I=")</f>
        <v>#VALUE!</v>
      </c>
      <c r="ER133" t="e">
        <f>AND(DATA!C827,"AAAAAF/3Y5M=")</f>
        <v>#VALUE!</v>
      </c>
      <c r="ES133" t="e">
        <f>AND(DATA!D827,"AAAAAF/3Y5Q=")</f>
        <v>#VALUE!</v>
      </c>
      <c r="ET133" t="e">
        <f>AND(DATA!E827,"AAAAAF/3Y5U=")</f>
        <v>#VALUE!</v>
      </c>
      <c r="EU133" t="e">
        <f>AND(DATA!F827,"AAAAAF/3Y5Y=")</f>
        <v>#VALUE!</v>
      </c>
      <c r="EV133" t="e">
        <f>AND(DATA!G827,"AAAAAF/3Y5c=")</f>
        <v>#VALUE!</v>
      </c>
      <c r="EW133" t="e">
        <f>AND(DATA!H827,"AAAAAF/3Y5g=")</f>
        <v>#VALUE!</v>
      </c>
      <c r="EX133" t="e">
        <f>AND(DATA!I827,"AAAAAF/3Y5k=")</f>
        <v>#VALUE!</v>
      </c>
      <c r="EY133" t="e">
        <f>AND(DATA!J827,"AAAAAF/3Y5o=")</f>
        <v>#VALUE!</v>
      </c>
      <c r="EZ133" t="e">
        <f>AND(DATA!K827,"AAAAAF/3Y5s=")</f>
        <v>#VALUE!</v>
      </c>
      <c r="FA133" t="b">
        <f>AND(DATA!L828,"AAAAAF/3Y5w=")</f>
        <v>1</v>
      </c>
      <c r="FB133" t="b">
        <f>AND(DATA!M828,"AAAAAF/3Y50=")</f>
        <v>1</v>
      </c>
      <c r="FC133" t="b">
        <f>AND(DATA!N828,"AAAAAF/3Y54=")</f>
        <v>1</v>
      </c>
      <c r="FD133" t="b">
        <f>AND(DATA!O828,"AAAAAF/3Y58=")</f>
        <v>1</v>
      </c>
      <c r="FE133" t="b">
        <f>AND(DATA!P828,"AAAAAF/3Y6A=")</f>
        <v>1</v>
      </c>
      <c r="FF133" t="b">
        <f>AND(DATA!Q828,"AAAAAF/3Y6E=")</f>
        <v>1</v>
      </c>
      <c r="FG133" t="b">
        <f>AND(DATA!R828,"AAAAAF/3Y6I=")</f>
        <v>1</v>
      </c>
      <c r="FH133" t="b">
        <f>AND(DATA!S828,"AAAAAF/3Y6M=")</f>
        <v>1</v>
      </c>
      <c r="FI133" t="b">
        <f>AND(DATA!T828,"AAAAAF/3Y6Q=")</f>
        <v>1</v>
      </c>
      <c r="FJ133" t="b">
        <f>AND(DATA!U828,"AAAAAF/3Y6U=")</f>
        <v>1</v>
      </c>
      <c r="FK133" t="b">
        <f>AND(DATA!V828,"AAAAAF/3Y6Y=")</f>
        <v>1</v>
      </c>
      <c r="FL133" t="e">
        <f>AND(DATA!W827,"AAAAAF/3Y6c=")</f>
        <v>#VALUE!</v>
      </c>
      <c r="FM133" t="e">
        <f>AND(DATA!X827,"AAAAAF/3Y6g=")</f>
        <v>#VALUE!</v>
      </c>
      <c r="FN133" t="e">
        <f>AND(DATA!Y827,"AAAAAF/3Y6k=")</f>
        <v>#VALUE!</v>
      </c>
      <c r="FO133">
        <f>IF(DATA!828:828,"AAAAAF/3Y6o=",0)</f>
        <v>0</v>
      </c>
      <c r="FP133" t="e">
        <f>AND(DATA!A828,"AAAAAF/3Y6s=")</f>
        <v>#VALUE!</v>
      </c>
      <c r="FQ133" t="e">
        <f>AND(DATA!B828,"AAAAAF/3Y6w=")</f>
        <v>#VALUE!</v>
      </c>
      <c r="FR133" t="e">
        <f>AND(DATA!C828,"AAAAAF/3Y60=")</f>
        <v>#VALUE!</v>
      </c>
      <c r="FS133" t="e">
        <f>AND(DATA!D828,"AAAAAF/3Y64=")</f>
        <v>#VALUE!</v>
      </c>
      <c r="FT133" t="e">
        <f>AND(DATA!E828,"AAAAAF/3Y68=")</f>
        <v>#VALUE!</v>
      </c>
      <c r="FU133" t="e">
        <f>AND(DATA!F828,"AAAAAF/3Y7A=")</f>
        <v>#VALUE!</v>
      </c>
      <c r="FV133" t="e">
        <f>AND(DATA!G828,"AAAAAF/3Y7E=")</f>
        <v>#VALUE!</v>
      </c>
      <c r="FW133" t="e">
        <f>AND(DATA!H828,"AAAAAF/3Y7I=")</f>
        <v>#VALUE!</v>
      </c>
      <c r="FX133" t="e">
        <f>AND(DATA!I828,"AAAAAF/3Y7M=")</f>
        <v>#VALUE!</v>
      </c>
      <c r="FY133" t="e">
        <f>AND(DATA!J828,"AAAAAF/3Y7Q=")</f>
        <v>#VALUE!</v>
      </c>
      <c r="FZ133" t="e">
        <f>AND(DATA!K828,"AAAAAF/3Y7U=")</f>
        <v>#VALUE!</v>
      </c>
      <c r="GA133" t="b">
        <f>AND(DATA!L829,"AAAAAF/3Y7Y=")</f>
        <v>1</v>
      </c>
      <c r="GB133" t="b">
        <f>AND(DATA!M829,"AAAAAF/3Y7c=")</f>
        <v>1</v>
      </c>
      <c r="GC133" t="b">
        <f>AND(DATA!N829,"AAAAAF/3Y7g=")</f>
        <v>1</v>
      </c>
      <c r="GD133" t="b">
        <f>AND(DATA!O829,"AAAAAF/3Y7k=")</f>
        <v>1</v>
      </c>
      <c r="GE133" t="b">
        <f>AND(DATA!P829,"AAAAAF/3Y7o=")</f>
        <v>1</v>
      </c>
      <c r="GF133" t="b">
        <f>AND(DATA!Q829,"AAAAAF/3Y7s=")</f>
        <v>1</v>
      </c>
      <c r="GG133" t="b">
        <f>AND(DATA!R829,"AAAAAF/3Y7w=")</f>
        <v>1</v>
      </c>
      <c r="GH133" t="b">
        <f>AND(DATA!S829,"AAAAAF/3Y70=")</f>
        <v>1</v>
      </c>
      <c r="GI133" t="b">
        <f>AND(DATA!T829,"AAAAAF/3Y74=")</f>
        <v>1</v>
      </c>
      <c r="GJ133" t="b">
        <f>AND(DATA!U829,"AAAAAF/3Y78=")</f>
        <v>1</v>
      </c>
      <c r="GK133" t="b">
        <f>AND(DATA!V829,"AAAAAF/3Y8A=")</f>
        <v>1</v>
      </c>
      <c r="GL133" t="e">
        <f>AND(DATA!W828,"AAAAAF/3Y8E=")</f>
        <v>#VALUE!</v>
      </c>
      <c r="GM133" t="e">
        <f>AND(DATA!X828,"AAAAAF/3Y8I=")</f>
        <v>#VALUE!</v>
      </c>
      <c r="GN133" t="e">
        <f>AND(DATA!Y828,"AAAAAF/3Y8M=")</f>
        <v>#VALUE!</v>
      </c>
      <c r="GO133">
        <f>IF(DATA!829:829,"AAAAAF/3Y8Q=",0)</f>
        <v>0</v>
      </c>
      <c r="GP133" t="e">
        <f>AND(DATA!A829,"AAAAAF/3Y8U=")</f>
        <v>#VALUE!</v>
      </c>
      <c r="GQ133" t="e">
        <f>AND(DATA!B829,"AAAAAF/3Y8Y=")</f>
        <v>#VALUE!</v>
      </c>
      <c r="GR133" t="e">
        <f>AND(DATA!C829,"AAAAAF/3Y8c=")</f>
        <v>#VALUE!</v>
      </c>
      <c r="GS133" t="e">
        <f>AND(DATA!D829,"AAAAAF/3Y8g=")</f>
        <v>#VALUE!</v>
      </c>
      <c r="GT133" t="e">
        <f>AND(DATA!E829,"AAAAAF/3Y8k=")</f>
        <v>#VALUE!</v>
      </c>
      <c r="GU133" t="e">
        <f>AND(DATA!F829,"AAAAAF/3Y8o=")</f>
        <v>#VALUE!</v>
      </c>
      <c r="GV133" t="e">
        <f>AND(DATA!G829,"AAAAAF/3Y8s=")</f>
        <v>#VALUE!</v>
      </c>
      <c r="GW133" t="e">
        <f>AND(DATA!H829,"AAAAAF/3Y8w=")</f>
        <v>#VALUE!</v>
      </c>
      <c r="GX133" t="e">
        <f>AND(DATA!I829,"AAAAAF/3Y80=")</f>
        <v>#VALUE!</v>
      </c>
      <c r="GY133" t="e">
        <f>AND(DATA!J829,"AAAAAF/3Y84=")</f>
        <v>#VALUE!</v>
      </c>
      <c r="GZ133" t="e">
        <f>AND(DATA!K829,"AAAAAF/3Y88=")</f>
        <v>#VALUE!</v>
      </c>
      <c r="HA133" t="b">
        <f>AND(DATA!L830,"AAAAAF/3Y9A=")</f>
        <v>1</v>
      </c>
      <c r="HB133" t="b">
        <f>AND(DATA!M830,"AAAAAF/3Y9E=")</f>
        <v>1</v>
      </c>
      <c r="HC133" t="b">
        <f>AND(DATA!N830,"AAAAAF/3Y9I=")</f>
        <v>1</v>
      </c>
      <c r="HD133" t="b">
        <f>AND(DATA!O830,"AAAAAF/3Y9M=")</f>
        <v>1</v>
      </c>
      <c r="HE133" t="b">
        <f>AND(DATA!P830,"AAAAAF/3Y9Q=")</f>
        <v>1</v>
      </c>
      <c r="HF133" t="b">
        <f>AND(DATA!Q830,"AAAAAF/3Y9U=")</f>
        <v>1</v>
      </c>
      <c r="HG133" t="b">
        <f>AND(DATA!R830,"AAAAAF/3Y9Y=")</f>
        <v>1</v>
      </c>
      <c r="HH133" t="b">
        <f>AND(DATA!S830,"AAAAAF/3Y9c=")</f>
        <v>1</v>
      </c>
      <c r="HI133" t="b">
        <f>AND(DATA!T830,"AAAAAF/3Y9g=")</f>
        <v>1</v>
      </c>
      <c r="HJ133" t="b">
        <f>AND(DATA!U830,"AAAAAF/3Y9k=")</f>
        <v>1</v>
      </c>
      <c r="HK133" t="b">
        <f>AND(DATA!V830,"AAAAAF/3Y9o=")</f>
        <v>1</v>
      </c>
      <c r="HL133" t="e">
        <f>AND(DATA!W829,"AAAAAF/3Y9s=")</f>
        <v>#VALUE!</v>
      </c>
      <c r="HM133" t="e">
        <f>AND(DATA!X829,"AAAAAF/3Y9w=")</f>
        <v>#VALUE!</v>
      </c>
      <c r="HN133" t="e">
        <f>AND(DATA!Y829,"AAAAAF/3Y90=")</f>
        <v>#VALUE!</v>
      </c>
      <c r="HO133">
        <f>IF(DATA!830:830,"AAAAAF/3Y94=",0)</f>
        <v>0</v>
      </c>
      <c r="HP133" t="e">
        <f>AND(DATA!A830,"AAAAAF/3Y98=")</f>
        <v>#VALUE!</v>
      </c>
      <c r="HQ133" t="e">
        <f>AND(DATA!B830,"AAAAAF/3Y+A=")</f>
        <v>#VALUE!</v>
      </c>
      <c r="HR133" t="e">
        <f>AND(DATA!C830,"AAAAAF/3Y+E=")</f>
        <v>#VALUE!</v>
      </c>
      <c r="HS133" t="e">
        <f>AND(DATA!D830,"AAAAAF/3Y+I=")</f>
        <v>#VALUE!</v>
      </c>
      <c r="HT133" t="e">
        <f>AND(DATA!E830,"AAAAAF/3Y+M=")</f>
        <v>#VALUE!</v>
      </c>
      <c r="HU133" t="e">
        <f>AND(DATA!F830,"AAAAAF/3Y+Q=")</f>
        <v>#VALUE!</v>
      </c>
      <c r="HV133" t="e">
        <f>AND(DATA!G830,"AAAAAF/3Y+U=")</f>
        <v>#VALUE!</v>
      </c>
      <c r="HW133" t="e">
        <f>AND(DATA!H830,"AAAAAF/3Y+Y=")</f>
        <v>#VALUE!</v>
      </c>
      <c r="HX133" t="e">
        <f>AND(DATA!I830,"AAAAAF/3Y+c=")</f>
        <v>#VALUE!</v>
      </c>
      <c r="HY133" t="e">
        <f>AND(DATA!J830,"AAAAAF/3Y+g=")</f>
        <v>#VALUE!</v>
      </c>
      <c r="HZ133" t="e">
        <f>AND(DATA!K830,"AAAAAF/3Y+k=")</f>
        <v>#VALUE!</v>
      </c>
      <c r="IA133" t="b">
        <f>AND(DATA!L831,"AAAAAF/3Y+o=")</f>
        <v>1</v>
      </c>
      <c r="IB133" t="b">
        <f>AND(DATA!M831,"AAAAAF/3Y+s=")</f>
        <v>1</v>
      </c>
      <c r="IC133" t="b">
        <f>AND(DATA!N831,"AAAAAF/3Y+w=")</f>
        <v>1</v>
      </c>
      <c r="ID133" t="b">
        <f>AND(DATA!O831,"AAAAAF/3Y+0=")</f>
        <v>1</v>
      </c>
      <c r="IE133" t="b">
        <f>AND(DATA!P831,"AAAAAF/3Y+4=")</f>
        <v>1</v>
      </c>
      <c r="IF133" t="b">
        <f>AND(DATA!Q831,"AAAAAF/3Y+8=")</f>
        <v>1</v>
      </c>
      <c r="IG133" t="b">
        <f>AND(DATA!R831,"AAAAAF/3Y/A=")</f>
        <v>1</v>
      </c>
      <c r="IH133" t="b">
        <f>AND(DATA!S831,"AAAAAF/3Y/E=")</f>
        <v>1</v>
      </c>
      <c r="II133" t="b">
        <f>AND(DATA!T831,"AAAAAF/3Y/I=")</f>
        <v>1</v>
      </c>
      <c r="IJ133" t="b">
        <f>AND(DATA!U831,"AAAAAF/3Y/M=")</f>
        <v>1</v>
      </c>
      <c r="IK133" t="b">
        <f>AND(DATA!V831,"AAAAAF/3Y/Q=")</f>
        <v>1</v>
      </c>
      <c r="IL133" t="e">
        <f>AND(DATA!W830,"AAAAAF/3Y/U=")</f>
        <v>#VALUE!</v>
      </c>
      <c r="IM133" t="e">
        <f>AND(DATA!X830,"AAAAAF/3Y/Y=")</f>
        <v>#VALUE!</v>
      </c>
      <c r="IN133" t="e">
        <f>AND(DATA!Y830,"AAAAAF/3Y/c=")</f>
        <v>#VALUE!</v>
      </c>
      <c r="IO133">
        <f>IF(DATA!831:831,"AAAAAF/3Y/g=",0)</f>
        <v>0</v>
      </c>
      <c r="IP133" t="e">
        <f>AND(DATA!A831,"AAAAAF/3Y/k=")</f>
        <v>#VALUE!</v>
      </c>
      <c r="IQ133" t="e">
        <f>AND(DATA!B831,"AAAAAF/3Y/o=")</f>
        <v>#VALUE!</v>
      </c>
      <c r="IR133" t="e">
        <f>AND(DATA!C831,"AAAAAF/3Y/s=")</f>
        <v>#VALUE!</v>
      </c>
      <c r="IS133" t="e">
        <f>AND(DATA!D831,"AAAAAF/3Y/w=")</f>
        <v>#VALUE!</v>
      </c>
      <c r="IT133" t="e">
        <f>AND(DATA!E831,"AAAAAF/3Y/0=")</f>
        <v>#VALUE!</v>
      </c>
      <c r="IU133" t="e">
        <f>AND(DATA!F831,"AAAAAF/3Y/4=")</f>
        <v>#VALUE!</v>
      </c>
      <c r="IV133" t="e">
        <f>AND(DATA!G831,"AAAAAF/3Y/8=")</f>
        <v>#VALUE!</v>
      </c>
    </row>
    <row r="134" spans="1:256" x14ac:dyDescent="0.25">
      <c r="A134" t="e">
        <f>AND(DATA!H831,"AAAAAH3PrwA=")</f>
        <v>#VALUE!</v>
      </c>
      <c r="B134" t="e">
        <f>AND(DATA!I831,"AAAAAH3PrwE=")</f>
        <v>#VALUE!</v>
      </c>
      <c r="C134" t="e">
        <f>AND(DATA!J831,"AAAAAH3PrwI=")</f>
        <v>#VALUE!</v>
      </c>
      <c r="D134" t="e">
        <f>AND(DATA!K831,"AAAAAH3PrwM=")</f>
        <v>#VALUE!</v>
      </c>
      <c r="E134" t="b">
        <f>AND(DATA!L832,"AAAAAH3PrwQ=")</f>
        <v>1</v>
      </c>
      <c r="F134" t="b">
        <f>AND(DATA!M832,"AAAAAH3PrwU=")</f>
        <v>1</v>
      </c>
      <c r="G134" t="b">
        <f>AND(DATA!N832,"AAAAAH3PrwY=")</f>
        <v>1</v>
      </c>
      <c r="H134" t="b">
        <f>AND(DATA!O832,"AAAAAH3Prwc=")</f>
        <v>1</v>
      </c>
      <c r="I134" t="b">
        <f>AND(DATA!P832,"AAAAAH3Prwg=")</f>
        <v>1</v>
      </c>
      <c r="J134" t="b">
        <f>AND(DATA!Q832,"AAAAAH3Prwk=")</f>
        <v>1</v>
      </c>
      <c r="K134" t="b">
        <f>AND(DATA!R832,"AAAAAH3Prwo=")</f>
        <v>1</v>
      </c>
      <c r="L134" t="b">
        <f>AND(DATA!S832,"AAAAAH3Prws=")</f>
        <v>1</v>
      </c>
      <c r="M134" t="b">
        <f>AND(DATA!T832,"AAAAAH3Prww=")</f>
        <v>1</v>
      </c>
      <c r="N134" t="b">
        <f>AND(DATA!U832,"AAAAAH3Prw0=")</f>
        <v>1</v>
      </c>
      <c r="O134" t="b">
        <f>AND(DATA!V832,"AAAAAH3Prw4=")</f>
        <v>1</v>
      </c>
      <c r="P134" t="e">
        <f>AND(DATA!W831,"AAAAAH3Prw8=")</f>
        <v>#VALUE!</v>
      </c>
      <c r="Q134" t="e">
        <f>AND(DATA!X831,"AAAAAH3PrxA=")</f>
        <v>#VALUE!</v>
      </c>
      <c r="R134" t="e">
        <f>AND(DATA!Y831,"AAAAAH3PrxE=")</f>
        <v>#VALUE!</v>
      </c>
      <c r="S134" t="str">
        <f>IF(DATA!832:832,"AAAAAH3PrxI=",0)</f>
        <v>AAAAAH3PrxI=</v>
      </c>
      <c r="T134" t="e">
        <f>AND(DATA!A832,"AAAAAH3PrxM=")</f>
        <v>#VALUE!</v>
      </c>
      <c r="U134" t="e">
        <f>AND(DATA!B832,"AAAAAH3PrxQ=")</f>
        <v>#VALUE!</v>
      </c>
      <c r="V134" t="e">
        <f>AND(DATA!C832,"AAAAAH3PrxU=")</f>
        <v>#VALUE!</v>
      </c>
      <c r="W134" t="e">
        <f>AND(DATA!D832,"AAAAAH3PrxY=")</f>
        <v>#VALUE!</v>
      </c>
      <c r="X134" t="e">
        <f>AND(DATA!E832,"AAAAAH3Prxc=")</f>
        <v>#VALUE!</v>
      </c>
      <c r="Y134" t="e">
        <f>AND(DATA!F832,"AAAAAH3Prxg=")</f>
        <v>#VALUE!</v>
      </c>
      <c r="Z134" t="e">
        <f>AND(DATA!G832,"AAAAAH3Prxk=")</f>
        <v>#VALUE!</v>
      </c>
      <c r="AA134" t="e">
        <f>AND(DATA!H832,"AAAAAH3Prxo=")</f>
        <v>#VALUE!</v>
      </c>
      <c r="AB134" t="e">
        <f>AND(DATA!I832,"AAAAAH3Prxs=")</f>
        <v>#VALUE!</v>
      </c>
      <c r="AC134" t="e">
        <f>AND(DATA!J832,"AAAAAH3Prxw=")</f>
        <v>#VALUE!</v>
      </c>
      <c r="AD134" t="e">
        <f>AND(DATA!K832,"AAAAAH3Prx0=")</f>
        <v>#VALUE!</v>
      </c>
      <c r="AE134" t="b">
        <f>AND(DATA!L833,"AAAAAH3Prx4=")</f>
        <v>1</v>
      </c>
      <c r="AF134" t="b">
        <f>AND(DATA!M833,"AAAAAH3Prx8=")</f>
        <v>1</v>
      </c>
      <c r="AG134" t="b">
        <f>AND(DATA!N833,"AAAAAH3PryA=")</f>
        <v>1</v>
      </c>
      <c r="AH134" t="b">
        <f>AND(DATA!O833,"AAAAAH3PryE=")</f>
        <v>1</v>
      </c>
      <c r="AI134" t="b">
        <f>AND(DATA!P833,"AAAAAH3PryI=")</f>
        <v>1</v>
      </c>
      <c r="AJ134" t="b">
        <f>AND(DATA!Q833,"AAAAAH3PryM=")</f>
        <v>1</v>
      </c>
      <c r="AK134" t="b">
        <f>AND(DATA!R833,"AAAAAH3PryQ=")</f>
        <v>1</v>
      </c>
      <c r="AL134" t="b">
        <f>AND(DATA!S833,"AAAAAH3PryU=")</f>
        <v>1</v>
      </c>
      <c r="AM134" t="b">
        <f>AND(DATA!T833,"AAAAAH3PryY=")</f>
        <v>1</v>
      </c>
      <c r="AN134" t="b">
        <f>AND(DATA!U833,"AAAAAH3Pryc=")</f>
        <v>1</v>
      </c>
      <c r="AO134" t="b">
        <f>AND(DATA!V833,"AAAAAH3Pryg=")</f>
        <v>1</v>
      </c>
      <c r="AP134" t="e">
        <f>AND(DATA!W832,"AAAAAH3Pryk=")</f>
        <v>#VALUE!</v>
      </c>
      <c r="AQ134" t="e">
        <f>AND(DATA!X832,"AAAAAH3Pryo=")</f>
        <v>#VALUE!</v>
      </c>
      <c r="AR134" t="e">
        <f>AND(DATA!Y832,"AAAAAH3Prys=")</f>
        <v>#VALUE!</v>
      </c>
      <c r="AS134">
        <f>IF(DATA!833:833,"AAAAAH3Pryw=",0)</f>
        <v>0</v>
      </c>
      <c r="AT134" t="e">
        <f>AND(DATA!A833,"AAAAAH3Pry0=")</f>
        <v>#VALUE!</v>
      </c>
      <c r="AU134" t="e">
        <f>AND(DATA!B833,"AAAAAH3Pry4=")</f>
        <v>#VALUE!</v>
      </c>
      <c r="AV134" t="e">
        <f>AND(DATA!C833,"AAAAAH3Pry8=")</f>
        <v>#VALUE!</v>
      </c>
      <c r="AW134" t="e">
        <f>AND(DATA!D833,"AAAAAH3PrzA=")</f>
        <v>#VALUE!</v>
      </c>
      <c r="AX134" t="e">
        <f>AND(DATA!E833,"AAAAAH3PrzE=")</f>
        <v>#VALUE!</v>
      </c>
      <c r="AY134" t="e">
        <f>AND(DATA!F833,"AAAAAH3PrzI=")</f>
        <v>#VALUE!</v>
      </c>
      <c r="AZ134" t="e">
        <f>AND(DATA!G833,"AAAAAH3PrzM=")</f>
        <v>#VALUE!</v>
      </c>
      <c r="BA134" t="e">
        <f>AND(DATA!H833,"AAAAAH3PrzQ=")</f>
        <v>#VALUE!</v>
      </c>
      <c r="BB134" t="e">
        <f>AND(DATA!I833,"AAAAAH3PrzU=")</f>
        <v>#VALUE!</v>
      </c>
      <c r="BC134" t="e">
        <f>AND(DATA!J833,"AAAAAH3PrzY=")</f>
        <v>#VALUE!</v>
      </c>
      <c r="BD134" t="e">
        <f>AND(DATA!K833,"AAAAAH3Przc=")</f>
        <v>#VALUE!</v>
      </c>
      <c r="BE134" t="b">
        <f>AND(DATA!L834,"AAAAAH3Przg=")</f>
        <v>1</v>
      </c>
      <c r="BF134" t="b">
        <f>AND(DATA!M834,"AAAAAH3Przk=")</f>
        <v>1</v>
      </c>
      <c r="BG134" t="b">
        <f>AND(DATA!N834,"AAAAAH3Przo=")</f>
        <v>1</v>
      </c>
      <c r="BH134" t="b">
        <f>AND(DATA!O834,"AAAAAH3Przs=")</f>
        <v>1</v>
      </c>
      <c r="BI134" t="b">
        <f>AND(DATA!P834,"AAAAAH3Przw=")</f>
        <v>1</v>
      </c>
      <c r="BJ134" t="b">
        <f>AND(DATA!Q834,"AAAAAH3Prz0=")</f>
        <v>1</v>
      </c>
      <c r="BK134" t="b">
        <f>AND(DATA!R834,"AAAAAH3Prz4=")</f>
        <v>1</v>
      </c>
      <c r="BL134" t="b">
        <f>AND(DATA!S834,"AAAAAH3Prz8=")</f>
        <v>1</v>
      </c>
      <c r="BM134" t="b">
        <f>AND(DATA!T834,"AAAAAH3Pr0A=")</f>
        <v>1</v>
      </c>
      <c r="BN134" t="b">
        <f>AND(DATA!U834,"AAAAAH3Pr0E=")</f>
        <v>1</v>
      </c>
      <c r="BO134" t="b">
        <f>AND(DATA!V834,"AAAAAH3Pr0I=")</f>
        <v>1</v>
      </c>
      <c r="BP134" t="e">
        <f>AND(DATA!W833,"AAAAAH3Pr0M=")</f>
        <v>#VALUE!</v>
      </c>
      <c r="BQ134" t="e">
        <f>AND(DATA!X833,"AAAAAH3Pr0Q=")</f>
        <v>#VALUE!</v>
      </c>
      <c r="BR134" t="e">
        <f>AND(DATA!Y833,"AAAAAH3Pr0U=")</f>
        <v>#VALUE!</v>
      </c>
      <c r="BS134">
        <f>IF(DATA!834:834,"AAAAAH3Pr0Y=",0)</f>
        <v>0</v>
      </c>
      <c r="BT134" t="e">
        <f>AND(DATA!A834,"AAAAAH3Pr0c=")</f>
        <v>#VALUE!</v>
      </c>
      <c r="BU134" t="e">
        <f>AND(DATA!B834,"AAAAAH3Pr0g=")</f>
        <v>#VALUE!</v>
      </c>
      <c r="BV134" t="e">
        <f>AND(DATA!C834,"AAAAAH3Pr0k=")</f>
        <v>#VALUE!</v>
      </c>
      <c r="BW134" t="e">
        <f>AND(DATA!D834,"AAAAAH3Pr0o=")</f>
        <v>#VALUE!</v>
      </c>
      <c r="BX134" t="e">
        <f>AND(DATA!E834,"AAAAAH3Pr0s=")</f>
        <v>#VALUE!</v>
      </c>
      <c r="BY134" t="e">
        <f>AND(DATA!F834,"AAAAAH3Pr0w=")</f>
        <v>#VALUE!</v>
      </c>
      <c r="BZ134" t="e">
        <f>AND(DATA!G834,"AAAAAH3Pr00=")</f>
        <v>#VALUE!</v>
      </c>
      <c r="CA134" t="e">
        <f>AND(DATA!H834,"AAAAAH3Pr04=")</f>
        <v>#VALUE!</v>
      </c>
      <c r="CB134" t="e">
        <f>AND(DATA!I834,"AAAAAH3Pr08=")</f>
        <v>#VALUE!</v>
      </c>
      <c r="CC134" t="e">
        <f>AND(DATA!J834,"AAAAAH3Pr1A=")</f>
        <v>#VALUE!</v>
      </c>
      <c r="CD134" t="e">
        <f>AND(DATA!K834,"AAAAAH3Pr1E=")</f>
        <v>#VALUE!</v>
      </c>
      <c r="CE134" t="b">
        <f>AND(DATA!L835,"AAAAAH3Pr1I=")</f>
        <v>1</v>
      </c>
      <c r="CF134" t="b">
        <f>AND(DATA!M835,"AAAAAH3Pr1M=")</f>
        <v>1</v>
      </c>
      <c r="CG134" t="b">
        <f>AND(DATA!N835,"AAAAAH3Pr1Q=")</f>
        <v>1</v>
      </c>
      <c r="CH134" t="b">
        <f>AND(DATA!O835,"AAAAAH3Pr1U=")</f>
        <v>1</v>
      </c>
      <c r="CI134" t="b">
        <f>AND(DATA!P835,"AAAAAH3Pr1Y=")</f>
        <v>1</v>
      </c>
      <c r="CJ134" t="b">
        <f>AND(DATA!Q835,"AAAAAH3Pr1c=")</f>
        <v>1</v>
      </c>
      <c r="CK134" t="b">
        <f>AND(DATA!R835,"AAAAAH3Pr1g=")</f>
        <v>1</v>
      </c>
      <c r="CL134" t="b">
        <f>AND(DATA!S835,"AAAAAH3Pr1k=")</f>
        <v>1</v>
      </c>
      <c r="CM134" t="b">
        <f>AND(DATA!T835,"AAAAAH3Pr1o=")</f>
        <v>1</v>
      </c>
      <c r="CN134" t="b">
        <f>AND(DATA!U835,"AAAAAH3Pr1s=")</f>
        <v>1</v>
      </c>
      <c r="CO134" t="b">
        <f>AND(DATA!V835,"AAAAAH3Pr1w=")</f>
        <v>1</v>
      </c>
      <c r="CP134" t="e">
        <f>AND(DATA!W834,"AAAAAH3Pr10=")</f>
        <v>#VALUE!</v>
      </c>
      <c r="CQ134" t="e">
        <f>AND(DATA!X834,"AAAAAH3Pr14=")</f>
        <v>#VALUE!</v>
      </c>
      <c r="CR134" t="e">
        <f>AND(DATA!Y834,"AAAAAH3Pr18=")</f>
        <v>#VALUE!</v>
      </c>
      <c r="CS134">
        <f>IF(DATA!835:835,"AAAAAH3Pr2A=",0)</f>
        <v>0</v>
      </c>
      <c r="CT134" t="e">
        <f>AND(DATA!A835,"AAAAAH3Pr2E=")</f>
        <v>#VALUE!</v>
      </c>
      <c r="CU134" t="e">
        <f>AND(DATA!B835,"AAAAAH3Pr2I=")</f>
        <v>#VALUE!</v>
      </c>
      <c r="CV134" t="e">
        <f>AND(DATA!C835,"AAAAAH3Pr2M=")</f>
        <v>#VALUE!</v>
      </c>
      <c r="CW134" t="e">
        <f>AND(DATA!D835,"AAAAAH3Pr2Q=")</f>
        <v>#VALUE!</v>
      </c>
      <c r="CX134" t="e">
        <f>AND(DATA!E835,"AAAAAH3Pr2U=")</f>
        <v>#VALUE!</v>
      </c>
      <c r="CY134" t="e">
        <f>AND(DATA!F835,"AAAAAH3Pr2Y=")</f>
        <v>#VALUE!</v>
      </c>
      <c r="CZ134" t="e">
        <f>AND(DATA!G835,"AAAAAH3Pr2c=")</f>
        <v>#VALUE!</v>
      </c>
      <c r="DA134" t="e">
        <f>AND(DATA!H835,"AAAAAH3Pr2g=")</f>
        <v>#VALUE!</v>
      </c>
      <c r="DB134" t="e">
        <f>AND(DATA!I835,"AAAAAH3Pr2k=")</f>
        <v>#VALUE!</v>
      </c>
      <c r="DC134" t="e">
        <f>AND(DATA!J835,"AAAAAH3Pr2o=")</f>
        <v>#VALUE!</v>
      </c>
      <c r="DD134" t="e">
        <f>AND(DATA!K835,"AAAAAH3Pr2s=")</f>
        <v>#VALUE!</v>
      </c>
      <c r="DE134" t="b">
        <f>AND(DATA!L836,"AAAAAH3Pr2w=")</f>
        <v>1</v>
      </c>
      <c r="DF134" t="b">
        <f>AND(DATA!M836,"AAAAAH3Pr20=")</f>
        <v>1</v>
      </c>
      <c r="DG134" t="b">
        <f>AND(DATA!N836,"AAAAAH3Pr24=")</f>
        <v>1</v>
      </c>
      <c r="DH134" t="b">
        <f>AND(DATA!O836,"AAAAAH3Pr28=")</f>
        <v>1</v>
      </c>
      <c r="DI134" t="b">
        <f>AND(DATA!P836,"AAAAAH3Pr3A=")</f>
        <v>1</v>
      </c>
      <c r="DJ134" t="b">
        <f>AND(DATA!Q836,"AAAAAH3Pr3E=")</f>
        <v>1</v>
      </c>
      <c r="DK134" t="b">
        <f>AND(DATA!R836,"AAAAAH3Pr3I=")</f>
        <v>1</v>
      </c>
      <c r="DL134" t="b">
        <f>AND(DATA!S836,"AAAAAH3Pr3M=")</f>
        <v>1</v>
      </c>
      <c r="DM134" t="b">
        <f>AND(DATA!T836,"AAAAAH3Pr3Q=")</f>
        <v>1</v>
      </c>
      <c r="DN134" t="b">
        <f>AND(DATA!U836,"AAAAAH3Pr3U=")</f>
        <v>1</v>
      </c>
      <c r="DO134" t="b">
        <f>AND(DATA!V836,"AAAAAH3Pr3Y=")</f>
        <v>1</v>
      </c>
      <c r="DP134" t="e">
        <f>AND(DATA!W835,"AAAAAH3Pr3c=")</f>
        <v>#VALUE!</v>
      </c>
      <c r="DQ134" t="e">
        <f>AND(DATA!X835,"AAAAAH3Pr3g=")</f>
        <v>#VALUE!</v>
      </c>
      <c r="DR134" t="e">
        <f>AND(DATA!Y835,"AAAAAH3Pr3k=")</f>
        <v>#VALUE!</v>
      </c>
      <c r="DS134">
        <f>IF(DATA!836:836,"AAAAAH3Pr3o=",0)</f>
        <v>0</v>
      </c>
      <c r="DT134" t="e">
        <f>AND(DATA!A836,"AAAAAH3Pr3s=")</f>
        <v>#VALUE!</v>
      </c>
      <c r="DU134" t="e">
        <f>AND(DATA!B836,"AAAAAH3Pr3w=")</f>
        <v>#VALUE!</v>
      </c>
      <c r="DV134" t="e">
        <f>AND(DATA!C836,"AAAAAH3Pr30=")</f>
        <v>#VALUE!</v>
      </c>
      <c r="DW134" t="e">
        <f>AND(DATA!D836,"AAAAAH3Pr34=")</f>
        <v>#VALUE!</v>
      </c>
      <c r="DX134" t="e">
        <f>AND(DATA!E836,"AAAAAH3Pr38=")</f>
        <v>#VALUE!</v>
      </c>
      <c r="DY134" t="e">
        <f>AND(DATA!F836,"AAAAAH3Pr4A=")</f>
        <v>#VALUE!</v>
      </c>
      <c r="DZ134" t="e">
        <f>AND(DATA!G836,"AAAAAH3Pr4E=")</f>
        <v>#VALUE!</v>
      </c>
      <c r="EA134" t="e">
        <f>AND(DATA!H836,"AAAAAH3Pr4I=")</f>
        <v>#VALUE!</v>
      </c>
      <c r="EB134" t="e">
        <f>AND(DATA!I836,"AAAAAH3Pr4M=")</f>
        <v>#VALUE!</v>
      </c>
      <c r="EC134" t="e">
        <f>AND(DATA!J836,"AAAAAH3Pr4Q=")</f>
        <v>#VALUE!</v>
      </c>
      <c r="ED134" t="e">
        <f>AND(DATA!K836,"AAAAAH3Pr4U=")</f>
        <v>#VALUE!</v>
      </c>
      <c r="EE134" t="b">
        <f>AND(DATA!L837,"AAAAAH3Pr4Y=")</f>
        <v>1</v>
      </c>
      <c r="EF134" t="b">
        <f>AND(DATA!M837,"AAAAAH3Pr4c=")</f>
        <v>1</v>
      </c>
      <c r="EG134" t="b">
        <f>AND(DATA!N837,"AAAAAH3Pr4g=")</f>
        <v>1</v>
      </c>
      <c r="EH134" t="b">
        <f>AND(DATA!O837,"AAAAAH3Pr4k=")</f>
        <v>1</v>
      </c>
      <c r="EI134" t="b">
        <f>AND(DATA!P837,"AAAAAH3Pr4o=")</f>
        <v>1</v>
      </c>
      <c r="EJ134" t="b">
        <f>AND(DATA!Q837,"AAAAAH3Pr4s=")</f>
        <v>1</v>
      </c>
      <c r="EK134" t="b">
        <f>AND(DATA!R837,"AAAAAH3Pr4w=")</f>
        <v>1</v>
      </c>
      <c r="EL134" t="b">
        <f>AND(DATA!S837,"AAAAAH3Pr40=")</f>
        <v>1</v>
      </c>
      <c r="EM134" t="b">
        <f>AND(DATA!T837,"AAAAAH3Pr44=")</f>
        <v>1</v>
      </c>
      <c r="EN134" t="b">
        <f>AND(DATA!U837,"AAAAAH3Pr48=")</f>
        <v>1</v>
      </c>
      <c r="EO134" t="b">
        <f>AND(DATA!V837,"AAAAAH3Pr5A=")</f>
        <v>1</v>
      </c>
      <c r="EP134" t="e">
        <f>AND(DATA!W836,"AAAAAH3Pr5E=")</f>
        <v>#VALUE!</v>
      </c>
      <c r="EQ134" t="e">
        <f>AND(DATA!X836,"AAAAAH3Pr5I=")</f>
        <v>#VALUE!</v>
      </c>
      <c r="ER134" t="e">
        <f>AND(DATA!Y836,"AAAAAH3Pr5M=")</f>
        <v>#VALUE!</v>
      </c>
      <c r="ES134">
        <f>IF(DATA!837:837,"AAAAAH3Pr5Q=",0)</f>
        <v>0</v>
      </c>
      <c r="ET134" t="e">
        <f>AND(DATA!A837,"AAAAAH3Pr5U=")</f>
        <v>#VALUE!</v>
      </c>
      <c r="EU134" t="e">
        <f>AND(DATA!B837,"AAAAAH3Pr5Y=")</f>
        <v>#VALUE!</v>
      </c>
      <c r="EV134" t="e">
        <f>AND(DATA!C837,"AAAAAH3Pr5c=")</f>
        <v>#VALUE!</v>
      </c>
      <c r="EW134" t="e">
        <f>AND(DATA!D837,"AAAAAH3Pr5g=")</f>
        <v>#VALUE!</v>
      </c>
      <c r="EX134" t="e">
        <f>AND(DATA!E837,"AAAAAH3Pr5k=")</f>
        <v>#VALUE!</v>
      </c>
      <c r="EY134" t="e">
        <f>AND(DATA!F837,"AAAAAH3Pr5o=")</f>
        <v>#VALUE!</v>
      </c>
      <c r="EZ134" t="e">
        <f>AND(DATA!G837,"AAAAAH3Pr5s=")</f>
        <v>#VALUE!</v>
      </c>
      <c r="FA134" t="e">
        <f>AND(DATA!H837,"AAAAAH3Pr5w=")</f>
        <v>#VALUE!</v>
      </c>
      <c r="FB134" t="e">
        <f>AND(DATA!I837,"AAAAAH3Pr50=")</f>
        <v>#VALUE!</v>
      </c>
      <c r="FC134" t="e">
        <f>AND(DATA!J837,"AAAAAH3Pr54=")</f>
        <v>#VALUE!</v>
      </c>
      <c r="FD134" t="e">
        <f>AND(DATA!K837,"AAAAAH3Pr58=")</f>
        <v>#VALUE!</v>
      </c>
      <c r="FE134" t="b">
        <f>AND(DATA!L838,"AAAAAH3Pr6A=")</f>
        <v>1</v>
      </c>
      <c r="FF134" t="b">
        <f>AND(DATA!M838,"AAAAAH3Pr6E=")</f>
        <v>1</v>
      </c>
      <c r="FG134" t="b">
        <f>AND(DATA!N838,"AAAAAH3Pr6I=")</f>
        <v>1</v>
      </c>
      <c r="FH134" t="b">
        <f>AND(DATA!O838,"AAAAAH3Pr6M=")</f>
        <v>1</v>
      </c>
      <c r="FI134" t="b">
        <f>AND(DATA!P838,"AAAAAH3Pr6Q=")</f>
        <v>1</v>
      </c>
      <c r="FJ134" t="b">
        <f>AND(DATA!Q838,"AAAAAH3Pr6U=")</f>
        <v>1</v>
      </c>
      <c r="FK134" t="b">
        <f>AND(DATA!R838,"AAAAAH3Pr6Y=")</f>
        <v>1</v>
      </c>
      <c r="FL134" t="b">
        <f>AND(DATA!S838,"AAAAAH3Pr6c=")</f>
        <v>1</v>
      </c>
      <c r="FM134" t="b">
        <f>AND(DATA!T838,"AAAAAH3Pr6g=")</f>
        <v>1</v>
      </c>
      <c r="FN134" t="b">
        <f>AND(DATA!U838,"AAAAAH3Pr6k=")</f>
        <v>1</v>
      </c>
      <c r="FO134" t="b">
        <f>AND(DATA!V838,"AAAAAH3Pr6o=")</f>
        <v>1</v>
      </c>
      <c r="FP134" t="e">
        <f>AND(DATA!W837,"AAAAAH3Pr6s=")</f>
        <v>#VALUE!</v>
      </c>
      <c r="FQ134" t="e">
        <f>AND(DATA!X837,"AAAAAH3Pr6w=")</f>
        <v>#VALUE!</v>
      </c>
      <c r="FR134" t="e">
        <f>AND(DATA!Y837,"AAAAAH3Pr60=")</f>
        <v>#VALUE!</v>
      </c>
      <c r="FS134">
        <f>IF(DATA!838:838,"AAAAAH3Pr64=",0)</f>
        <v>0</v>
      </c>
      <c r="FT134" t="e">
        <f>AND(DATA!A838,"AAAAAH3Pr68=")</f>
        <v>#VALUE!</v>
      </c>
      <c r="FU134" t="e">
        <f>AND(DATA!B838,"AAAAAH3Pr7A=")</f>
        <v>#VALUE!</v>
      </c>
      <c r="FV134" t="e">
        <f>AND(DATA!C838,"AAAAAH3Pr7E=")</f>
        <v>#VALUE!</v>
      </c>
      <c r="FW134" t="e">
        <f>AND(DATA!D838,"AAAAAH3Pr7I=")</f>
        <v>#VALUE!</v>
      </c>
      <c r="FX134" t="e">
        <f>AND(DATA!E838,"AAAAAH3Pr7M=")</f>
        <v>#VALUE!</v>
      </c>
      <c r="FY134" t="e">
        <f>AND(DATA!F838,"AAAAAH3Pr7Q=")</f>
        <v>#VALUE!</v>
      </c>
      <c r="FZ134" t="e">
        <f>AND(DATA!G838,"AAAAAH3Pr7U=")</f>
        <v>#VALUE!</v>
      </c>
      <c r="GA134" t="e">
        <f>AND(DATA!H838,"AAAAAH3Pr7Y=")</f>
        <v>#VALUE!</v>
      </c>
      <c r="GB134" t="e">
        <f>AND(DATA!I838,"AAAAAH3Pr7c=")</f>
        <v>#VALUE!</v>
      </c>
      <c r="GC134" t="e">
        <f>AND(DATA!J838,"AAAAAH3Pr7g=")</f>
        <v>#VALUE!</v>
      </c>
      <c r="GD134" t="e">
        <f>AND(DATA!K838,"AAAAAH3Pr7k=")</f>
        <v>#VALUE!</v>
      </c>
      <c r="GE134" t="b">
        <f>AND(DATA!L839,"AAAAAH3Pr7o=")</f>
        <v>1</v>
      </c>
      <c r="GF134" t="b">
        <f>AND(DATA!M839,"AAAAAH3Pr7s=")</f>
        <v>1</v>
      </c>
      <c r="GG134" t="b">
        <f>AND(DATA!N839,"AAAAAH3Pr7w=")</f>
        <v>1</v>
      </c>
      <c r="GH134" t="b">
        <f>AND(DATA!O839,"AAAAAH3Pr70=")</f>
        <v>1</v>
      </c>
      <c r="GI134" t="b">
        <f>AND(DATA!P839,"AAAAAH3Pr74=")</f>
        <v>1</v>
      </c>
      <c r="GJ134" t="b">
        <f>AND(DATA!Q839,"AAAAAH3Pr78=")</f>
        <v>1</v>
      </c>
      <c r="GK134" t="b">
        <f>AND(DATA!R839,"AAAAAH3Pr8A=")</f>
        <v>1</v>
      </c>
      <c r="GL134" t="b">
        <f>AND(DATA!S839,"AAAAAH3Pr8E=")</f>
        <v>1</v>
      </c>
      <c r="GM134" t="b">
        <f>AND(DATA!T839,"AAAAAH3Pr8I=")</f>
        <v>1</v>
      </c>
      <c r="GN134" t="b">
        <f>AND(DATA!U839,"AAAAAH3Pr8M=")</f>
        <v>1</v>
      </c>
      <c r="GO134" t="b">
        <f>AND(DATA!V839,"AAAAAH3Pr8Q=")</f>
        <v>1</v>
      </c>
      <c r="GP134" t="e">
        <f>AND(DATA!W838,"AAAAAH3Pr8U=")</f>
        <v>#VALUE!</v>
      </c>
      <c r="GQ134" t="e">
        <f>AND(DATA!X838,"AAAAAH3Pr8Y=")</f>
        <v>#VALUE!</v>
      </c>
      <c r="GR134" t="e">
        <f>AND(DATA!Y838,"AAAAAH3Pr8c=")</f>
        <v>#VALUE!</v>
      </c>
      <c r="GS134">
        <f>IF(DATA!839:839,"AAAAAH3Pr8g=",0)</f>
        <v>0</v>
      </c>
      <c r="GT134" t="e">
        <f>AND(DATA!A839,"AAAAAH3Pr8k=")</f>
        <v>#VALUE!</v>
      </c>
      <c r="GU134" t="e">
        <f>AND(DATA!B839,"AAAAAH3Pr8o=")</f>
        <v>#VALUE!</v>
      </c>
      <c r="GV134" t="e">
        <f>AND(DATA!C839,"AAAAAH3Pr8s=")</f>
        <v>#VALUE!</v>
      </c>
      <c r="GW134" t="e">
        <f>AND(DATA!D839,"AAAAAH3Pr8w=")</f>
        <v>#VALUE!</v>
      </c>
      <c r="GX134" t="e">
        <f>AND(DATA!E839,"AAAAAH3Pr80=")</f>
        <v>#VALUE!</v>
      </c>
      <c r="GY134" t="e">
        <f>AND(DATA!F839,"AAAAAH3Pr84=")</f>
        <v>#VALUE!</v>
      </c>
      <c r="GZ134" t="e">
        <f>AND(DATA!G839,"AAAAAH3Pr88=")</f>
        <v>#VALUE!</v>
      </c>
      <c r="HA134" t="e">
        <f>AND(DATA!H839,"AAAAAH3Pr9A=")</f>
        <v>#VALUE!</v>
      </c>
      <c r="HB134" t="e">
        <f>AND(DATA!I839,"AAAAAH3Pr9E=")</f>
        <v>#VALUE!</v>
      </c>
      <c r="HC134" t="e">
        <f>AND(DATA!J839,"AAAAAH3Pr9I=")</f>
        <v>#VALUE!</v>
      </c>
      <c r="HD134" t="e">
        <f>AND(DATA!K839,"AAAAAH3Pr9M=")</f>
        <v>#VALUE!</v>
      </c>
      <c r="HE134" t="b">
        <f>AND(DATA!L840,"AAAAAH3Pr9Q=")</f>
        <v>1</v>
      </c>
      <c r="HF134" t="b">
        <f>AND(DATA!M840,"AAAAAH3Pr9U=")</f>
        <v>1</v>
      </c>
      <c r="HG134" t="b">
        <f>AND(DATA!N840,"AAAAAH3Pr9Y=")</f>
        <v>1</v>
      </c>
      <c r="HH134" t="b">
        <f>AND(DATA!O840,"AAAAAH3Pr9c=")</f>
        <v>1</v>
      </c>
      <c r="HI134" t="b">
        <f>AND(DATA!P840,"AAAAAH3Pr9g=")</f>
        <v>1</v>
      </c>
      <c r="HJ134" t="b">
        <f>AND(DATA!Q840,"AAAAAH3Pr9k=")</f>
        <v>1</v>
      </c>
      <c r="HK134" t="b">
        <f>AND(DATA!R840,"AAAAAH3Pr9o=")</f>
        <v>1</v>
      </c>
      <c r="HL134" t="b">
        <f>AND(DATA!S840,"AAAAAH3Pr9s=")</f>
        <v>1</v>
      </c>
      <c r="HM134" t="b">
        <f>AND(DATA!T840,"AAAAAH3Pr9w=")</f>
        <v>1</v>
      </c>
      <c r="HN134" t="b">
        <f>AND(DATA!U840,"AAAAAH3Pr90=")</f>
        <v>1</v>
      </c>
      <c r="HO134" t="b">
        <f>AND(DATA!V840,"AAAAAH3Pr94=")</f>
        <v>1</v>
      </c>
      <c r="HP134" t="e">
        <f>AND(DATA!W839,"AAAAAH3Pr98=")</f>
        <v>#VALUE!</v>
      </c>
      <c r="HQ134" t="e">
        <f>AND(DATA!X839,"AAAAAH3Pr+A=")</f>
        <v>#VALUE!</v>
      </c>
      <c r="HR134" t="e">
        <f>AND(DATA!Y839,"AAAAAH3Pr+E=")</f>
        <v>#VALUE!</v>
      </c>
      <c r="HS134">
        <f>IF(DATA!840:840,"AAAAAH3Pr+I=",0)</f>
        <v>0</v>
      </c>
      <c r="HT134" t="e">
        <f>AND(DATA!A840,"AAAAAH3Pr+M=")</f>
        <v>#VALUE!</v>
      </c>
      <c r="HU134" t="e">
        <f>AND(DATA!B840,"AAAAAH3Pr+Q=")</f>
        <v>#VALUE!</v>
      </c>
      <c r="HV134" t="e">
        <f>AND(DATA!C840,"AAAAAH3Pr+U=")</f>
        <v>#VALUE!</v>
      </c>
      <c r="HW134" t="e">
        <f>AND(DATA!D840,"AAAAAH3Pr+Y=")</f>
        <v>#VALUE!</v>
      </c>
      <c r="HX134" t="e">
        <f>AND(DATA!E840,"AAAAAH3Pr+c=")</f>
        <v>#VALUE!</v>
      </c>
      <c r="HY134" t="e">
        <f>AND(DATA!F840,"AAAAAH3Pr+g=")</f>
        <v>#VALUE!</v>
      </c>
      <c r="HZ134" t="e">
        <f>AND(DATA!G840,"AAAAAH3Pr+k=")</f>
        <v>#VALUE!</v>
      </c>
      <c r="IA134" t="e">
        <f>AND(DATA!H840,"AAAAAH3Pr+o=")</f>
        <v>#VALUE!</v>
      </c>
      <c r="IB134" t="e">
        <f>AND(DATA!I840,"AAAAAH3Pr+s=")</f>
        <v>#VALUE!</v>
      </c>
      <c r="IC134" t="e">
        <f>AND(DATA!J840,"AAAAAH3Pr+w=")</f>
        <v>#VALUE!</v>
      </c>
      <c r="ID134" t="e">
        <f>AND(DATA!K840,"AAAAAH3Pr+0=")</f>
        <v>#VALUE!</v>
      </c>
      <c r="IE134" t="b">
        <f>AND(DATA!L841,"AAAAAH3Pr+4=")</f>
        <v>1</v>
      </c>
      <c r="IF134" t="b">
        <f>AND(DATA!M841,"AAAAAH3Pr+8=")</f>
        <v>1</v>
      </c>
      <c r="IG134" t="b">
        <f>AND(DATA!N841,"AAAAAH3Pr/A=")</f>
        <v>1</v>
      </c>
      <c r="IH134" t="b">
        <f>AND(DATA!O841,"AAAAAH3Pr/E=")</f>
        <v>1</v>
      </c>
      <c r="II134" t="b">
        <f>AND(DATA!P841,"AAAAAH3Pr/I=")</f>
        <v>1</v>
      </c>
      <c r="IJ134" t="b">
        <f>AND(DATA!Q841,"AAAAAH3Pr/M=")</f>
        <v>1</v>
      </c>
      <c r="IK134" t="b">
        <f>AND(DATA!R841,"AAAAAH3Pr/Q=")</f>
        <v>1</v>
      </c>
      <c r="IL134" t="b">
        <f>AND(DATA!S841,"AAAAAH3Pr/U=")</f>
        <v>1</v>
      </c>
      <c r="IM134" t="b">
        <f>AND(DATA!T841,"AAAAAH3Pr/Y=")</f>
        <v>1</v>
      </c>
      <c r="IN134" t="b">
        <f>AND(DATA!U841,"AAAAAH3Pr/c=")</f>
        <v>1</v>
      </c>
      <c r="IO134" t="b">
        <f>AND(DATA!V841,"AAAAAH3Pr/g=")</f>
        <v>1</v>
      </c>
      <c r="IP134" t="e">
        <f>AND(DATA!W840,"AAAAAH3Pr/k=")</f>
        <v>#VALUE!</v>
      </c>
      <c r="IQ134" t="e">
        <f>AND(DATA!X840,"AAAAAH3Pr/o=")</f>
        <v>#VALUE!</v>
      </c>
      <c r="IR134" t="e">
        <f>AND(DATA!Y840,"AAAAAH3Pr/s=")</f>
        <v>#VALUE!</v>
      </c>
      <c r="IS134">
        <f>IF(DATA!841:841,"AAAAAH3Pr/w=",0)</f>
        <v>0</v>
      </c>
      <c r="IT134" t="e">
        <f>AND(DATA!A841,"AAAAAH3Pr/0=")</f>
        <v>#VALUE!</v>
      </c>
      <c r="IU134" t="e">
        <f>AND(DATA!B841,"AAAAAH3Pr/4=")</f>
        <v>#VALUE!</v>
      </c>
      <c r="IV134" t="e">
        <f>AND(DATA!C841,"AAAAAH3Pr/8=")</f>
        <v>#VALUE!</v>
      </c>
    </row>
    <row r="135" spans="1:256" x14ac:dyDescent="0.25">
      <c r="A135" t="e">
        <f>AND(DATA!D841,"AAAAAHf2XAA=")</f>
        <v>#VALUE!</v>
      </c>
      <c r="B135" t="e">
        <f>AND(DATA!E841,"AAAAAHf2XAE=")</f>
        <v>#VALUE!</v>
      </c>
      <c r="C135" t="e">
        <f>AND(DATA!F841,"AAAAAHf2XAI=")</f>
        <v>#VALUE!</v>
      </c>
      <c r="D135" t="e">
        <f>AND(DATA!G841,"AAAAAHf2XAM=")</f>
        <v>#VALUE!</v>
      </c>
      <c r="E135" t="e">
        <f>AND(DATA!H841,"AAAAAHf2XAQ=")</f>
        <v>#VALUE!</v>
      </c>
      <c r="F135" t="e">
        <f>AND(DATA!I841,"AAAAAHf2XAU=")</f>
        <v>#VALUE!</v>
      </c>
      <c r="G135" t="e">
        <f>AND(DATA!J841,"AAAAAHf2XAY=")</f>
        <v>#VALUE!</v>
      </c>
      <c r="H135" t="e">
        <f>AND(DATA!K841,"AAAAAHf2XAc=")</f>
        <v>#VALUE!</v>
      </c>
      <c r="I135" t="b">
        <f>AND(DATA!L842,"AAAAAHf2XAg=")</f>
        <v>1</v>
      </c>
      <c r="J135" t="b">
        <f>AND(DATA!M842,"AAAAAHf2XAk=")</f>
        <v>1</v>
      </c>
      <c r="K135" t="b">
        <f>AND(DATA!N842,"AAAAAHf2XAo=")</f>
        <v>1</v>
      </c>
      <c r="L135" t="b">
        <f>AND(DATA!O842,"AAAAAHf2XAs=")</f>
        <v>1</v>
      </c>
      <c r="M135" t="b">
        <f>AND(DATA!P842,"AAAAAHf2XAw=")</f>
        <v>1</v>
      </c>
      <c r="N135" t="b">
        <f>AND(DATA!Q842,"AAAAAHf2XA0=")</f>
        <v>1</v>
      </c>
      <c r="O135" t="b">
        <f>AND(DATA!R842,"AAAAAHf2XA4=")</f>
        <v>1</v>
      </c>
      <c r="P135" t="b">
        <f>AND(DATA!S842,"AAAAAHf2XA8=")</f>
        <v>1</v>
      </c>
      <c r="Q135" t="b">
        <f>AND(DATA!T842,"AAAAAHf2XBA=")</f>
        <v>1</v>
      </c>
      <c r="R135" t="b">
        <f>AND(DATA!U842,"AAAAAHf2XBE=")</f>
        <v>1</v>
      </c>
      <c r="S135" t="b">
        <f>AND(DATA!V842,"AAAAAHf2XBI=")</f>
        <v>1</v>
      </c>
      <c r="T135" t="e">
        <f>AND(DATA!W841,"AAAAAHf2XBM=")</f>
        <v>#VALUE!</v>
      </c>
      <c r="U135" t="e">
        <f>AND(DATA!X841,"AAAAAHf2XBQ=")</f>
        <v>#VALUE!</v>
      </c>
      <c r="V135" t="e">
        <f>AND(DATA!Y841,"AAAAAHf2XBU=")</f>
        <v>#VALUE!</v>
      </c>
      <c r="W135">
        <f>IF(DATA!842:842,"AAAAAHf2XBY=",0)</f>
        <v>0</v>
      </c>
      <c r="X135" t="e">
        <f>AND(DATA!A842,"AAAAAHf2XBc=")</f>
        <v>#VALUE!</v>
      </c>
      <c r="Y135" t="e">
        <f>AND(DATA!B842,"AAAAAHf2XBg=")</f>
        <v>#VALUE!</v>
      </c>
      <c r="Z135" t="e">
        <f>AND(DATA!C842,"AAAAAHf2XBk=")</f>
        <v>#VALUE!</v>
      </c>
      <c r="AA135" t="e">
        <f>AND(DATA!D842,"AAAAAHf2XBo=")</f>
        <v>#VALUE!</v>
      </c>
      <c r="AB135" t="e">
        <f>AND(DATA!E842,"AAAAAHf2XBs=")</f>
        <v>#VALUE!</v>
      </c>
      <c r="AC135" t="e">
        <f>AND(DATA!F842,"AAAAAHf2XBw=")</f>
        <v>#VALUE!</v>
      </c>
      <c r="AD135" t="e">
        <f>AND(DATA!G842,"AAAAAHf2XB0=")</f>
        <v>#VALUE!</v>
      </c>
      <c r="AE135" t="e">
        <f>AND(DATA!H842,"AAAAAHf2XB4=")</f>
        <v>#VALUE!</v>
      </c>
      <c r="AF135" t="e">
        <f>AND(DATA!I842,"AAAAAHf2XB8=")</f>
        <v>#VALUE!</v>
      </c>
      <c r="AG135" t="e">
        <f>AND(DATA!J842,"AAAAAHf2XCA=")</f>
        <v>#VALUE!</v>
      </c>
      <c r="AH135" t="e">
        <f>AND(DATA!K842,"AAAAAHf2XCE=")</f>
        <v>#VALUE!</v>
      </c>
      <c r="AI135" t="b">
        <f>AND(DATA!L843,"AAAAAHf2XCI=")</f>
        <v>1</v>
      </c>
      <c r="AJ135" t="b">
        <f>AND(DATA!M843,"AAAAAHf2XCM=")</f>
        <v>1</v>
      </c>
      <c r="AK135" t="b">
        <f>AND(DATA!N843,"AAAAAHf2XCQ=")</f>
        <v>1</v>
      </c>
      <c r="AL135" t="b">
        <f>AND(DATA!O843,"AAAAAHf2XCU=")</f>
        <v>1</v>
      </c>
      <c r="AM135" t="b">
        <f>AND(DATA!P843,"AAAAAHf2XCY=")</f>
        <v>1</v>
      </c>
      <c r="AN135" t="b">
        <f>AND(DATA!Q843,"AAAAAHf2XCc=")</f>
        <v>1</v>
      </c>
      <c r="AO135" t="b">
        <f>AND(DATA!R843,"AAAAAHf2XCg=")</f>
        <v>1</v>
      </c>
      <c r="AP135" t="b">
        <f>AND(DATA!S843,"AAAAAHf2XCk=")</f>
        <v>1</v>
      </c>
      <c r="AQ135" t="b">
        <f>AND(DATA!T843,"AAAAAHf2XCo=")</f>
        <v>1</v>
      </c>
      <c r="AR135" t="b">
        <f>AND(DATA!U843,"AAAAAHf2XCs=")</f>
        <v>1</v>
      </c>
      <c r="AS135" t="b">
        <f>AND(DATA!V843,"AAAAAHf2XCw=")</f>
        <v>1</v>
      </c>
      <c r="AT135" t="e">
        <f>AND(DATA!W842,"AAAAAHf2XC0=")</f>
        <v>#VALUE!</v>
      </c>
      <c r="AU135" t="e">
        <f>AND(DATA!X842,"AAAAAHf2XC4=")</f>
        <v>#VALUE!</v>
      </c>
      <c r="AV135" t="e">
        <f>AND(DATA!Y842,"AAAAAHf2XC8=")</f>
        <v>#VALUE!</v>
      </c>
      <c r="AW135">
        <f>IF(DATA!843:843,"AAAAAHf2XDA=",0)</f>
        <v>0</v>
      </c>
      <c r="AX135" t="e">
        <f>AND(DATA!A843,"AAAAAHf2XDE=")</f>
        <v>#VALUE!</v>
      </c>
      <c r="AY135" t="e">
        <f>AND(DATA!B843,"AAAAAHf2XDI=")</f>
        <v>#VALUE!</v>
      </c>
      <c r="AZ135" t="e">
        <f>AND(DATA!C843,"AAAAAHf2XDM=")</f>
        <v>#VALUE!</v>
      </c>
      <c r="BA135" t="e">
        <f>AND(DATA!D843,"AAAAAHf2XDQ=")</f>
        <v>#VALUE!</v>
      </c>
      <c r="BB135" t="e">
        <f>AND(DATA!E843,"AAAAAHf2XDU=")</f>
        <v>#VALUE!</v>
      </c>
      <c r="BC135" t="e">
        <f>AND(DATA!F843,"AAAAAHf2XDY=")</f>
        <v>#VALUE!</v>
      </c>
      <c r="BD135" t="e">
        <f>AND(DATA!G843,"AAAAAHf2XDc=")</f>
        <v>#VALUE!</v>
      </c>
      <c r="BE135" t="e">
        <f>AND(DATA!H843,"AAAAAHf2XDg=")</f>
        <v>#VALUE!</v>
      </c>
      <c r="BF135" t="e">
        <f>AND(DATA!I843,"AAAAAHf2XDk=")</f>
        <v>#VALUE!</v>
      </c>
      <c r="BG135" t="e">
        <f>AND(DATA!J843,"AAAAAHf2XDo=")</f>
        <v>#VALUE!</v>
      </c>
      <c r="BH135" t="e">
        <f>AND(DATA!K843,"AAAAAHf2XDs=")</f>
        <v>#VALUE!</v>
      </c>
      <c r="BI135" t="b">
        <f>AND(DATA!L844,"AAAAAHf2XDw=")</f>
        <v>1</v>
      </c>
      <c r="BJ135" t="b">
        <f>AND(DATA!M844,"AAAAAHf2XD0=")</f>
        <v>1</v>
      </c>
      <c r="BK135" t="b">
        <f>AND(DATA!N844,"AAAAAHf2XD4=")</f>
        <v>1</v>
      </c>
      <c r="BL135" t="b">
        <f>AND(DATA!O844,"AAAAAHf2XD8=")</f>
        <v>1</v>
      </c>
      <c r="BM135" t="b">
        <f>AND(DATA!P844,"AAAAAHf2XEA=")</f>
        <v>1</v>
      </c>
      <c r="BN135" t="b">
        <f>AND(DATA!Q844,"AAAAAHf2XEE=")</f>
        <v>1</v>
      </c>
      <c r="BO135" t="b">
        <f>AND(DATA!R844,"AAAAAHf2XEI=")</f>
        <v>1</v>
      </c>
      <c r="BP135" t="b">
        <f>AND(DATA!S844,"AAAAAHf2XEM=")</f>
        <v>1</v>
      </c>
      <c r="BQ135" t="b">
        <f>AND(DATA!T844,"AAAAAHf2XEQ=")</f>
        <v>1</v>
      </c>
      <c r="BR135" t="b">
        <f>AND(DATA!U844,"AAAAAHf2XEU=")</f>
        <v>1</v>
      </c>
      <c r="BS135" t="b">
        <f>AND(DATA!V844,"AAAAAHf2XEY=")</f>
        <v>1</v>
      </c>
      <c r="BT135" t="e">
        <f>AND(DATA!W843,"AAAAAHf2XEc=")</f>
        <v>#VALUE!</v>
      </c>
      <c r="BU135" t="e">
        <f>AND(DATA!X843,"AAAAAHf2XEg=")</f>
        <v>#VALUE!</v>
      </c>
      <c r="BV135" t="e">
        <f>AND(DATA!Y843,"AAAAAHf2XEk=")</f>
        <v>#VALUE!</v>
      </c>
      <c r="BW135">
        <f>IF(DATA!844:844,"AAAAAHf2XEo=",0)</f>
        <v>0</v>
      </c>
      <c r="BX135" t="e">
        <f>AND(DATA!A844,"AAAAAHf2XEs=")</f>
        <v>#VALUE!</v>
      </c>
      <c r="BY135" t="e">
        <f>AND(DATA!B844,"AAAAAHf2XEw=")</f>
        <v>#VALUE!</v>
      </c>
      <c r="BZ135" t="e">
        <f>AND(DATA!C844,"AAAAAHf2XE0=")</f>
        <v>#VALUE!</v>
      </c>
      <c r="CA135" t="e">
        <f>AND(DATA!D844,"AAAAAHf2XE4=")</f>
        <v>#VALUE!</v>
      </c>
      <c r="CB135" t="e">
        <f>AND(DATA!E844,"AAAAAHf2XE8=")</f>
        <v>#VALUE!</v>
      </c>
      <c r="CC135" t="e">
        <f>AND(DATA!F844,"AAAAAHf2XFA=")</f>
        <v>#VALUE!</v>
      </c>
      <c r="CD135" t="e">
        <f>AND(DATA!G844,"AAAAAHf2XFE=")</f>
        <v>#VALUE!</v>
      </c>
      <c r="CE135" t="e">
        <f>AND(DATA!H844,"AAAAAHf2XFI=")</f>
        <v>#VALUE!</v>
      </c>
      <c r="CF135" t="e">
        <f>AND(DATA!I844,"AAAAAHf2XFM=")</f>
        <v>#VALUE!</v>
      </c>
      <c r="CG135" t="e">
        <f>AND(DATA!J844,"AAAAAHf2XFQ=")</f>
        <v>#VALUE!</v>
      </c>
      <c r="CH135" t="e">
        <f>AND(DATA!K844,"AAAAAHf2XFU=")</f>
        <v>#VALUE!</v>
      </c>
      <c r="CI135" t="b">
        <f>AND(DATA!L845,"AAAAAHf2XFY=")</f>
        <v>1</v>
      </c>
      <c r="CJ135" t="b">
        <f>AND(DATA!M845,"AAAAAHf2XFc=")</f>
        <v>1</v>
      </c>
      <c r="CK135" t="b">
        <f>AND(DATA!N845,"AAAAAHf2XFg=")</f>
        <v>1</v>
      </c>
      <c r="CL135" t="b">
        <f>AND(DATA!O845,"AAAAAHf2XFk=")</f>
        <v>1</v>
      </c>
      <c r="CM135" t="b">
        <f>AND(DATA!P845,"AAAAAHf2XFo=")</f>
        <v>1</v>
      </c>
      <c r="CN135" t="b">
        <f>AND(DATA!Q845,"AAAAAHf2XFs=")</f>
        <v>1</v>
      </c>
      <c r="CO135" t="b">
        <f>AND(DATA!R845,"AAAAAHf2XFw=")</f>
        <v>1</v>
      </c>
      <c r="CP135" t="b">
        <f>AND(DATA!S845,"AAAAAHf2XF0=")</f>
        <v>1</v>
      </c>
      <c r="CQ135" t="b">
        <f>AND(DATA!T845,"AAAAAHf2XF4=")</f>
        <v>1</v>
      </c>
      <c r="CR135" t="b">
        <f>AND(DATA!U845,"AAAAAHf2XF8=")</f>
        <v>1</v>
      </c>
      <c r="CS135" t="b">
        <f>AND(DATA!V845,"AAAAAHf2XGA=")</f>
        <v>1</v>
      </c>
      <c r="CT135" t="e">
        <f>AND(DATA!W844,"AAAAAHf2XGE=")</f>
        <v>#VALUE!</v>
      </c>
      <c r="CU135" t="e">
        <f>AND(DATA!X844,"AAAAAHf2XGI=")</f>
        <v>#VALUE!</v>
      </c>
      <c r="CV135" t="e">
        <f>AND(DATA!Y844,"AAAAAHf2XGM=")</f>
        <v>#VALUE!</v>
      </c>
      <c r="CW135">
        <f>IF(DATA!845:845,"AAAAAHf2XGQ=",0)</f>
        <v>0</v>
      </c>
      <c r="CX135" t="e">
        <f>AND(DATA!A845,"AAAAAHf2XGU=")</f>
        <v>#VALUE!</v>
      </c>
      <c r="CY135" t="e">
        <f>AND(DATA!B845,"AAAAAHf2XGY=")</f>
        <v>#VALUE!</v>
      </c>
      <c r="CZ135" t="e">
        <f>AND(DATA!C845,"AAAAAHf2XGc=")</f>
        <v>#VALUE!</v>
      </c>
      <c r="DA135" t="e">
        <f>AND(DATA!D845,"AAAAAHf2XGg=")</f>
        <v>#VALUE!</v>
      </c>
      <c r="DB135" t="e">
        <f>AND(DATA!E845,"AAAAAHf2XGk=")</f>
        <v>#VALUE!</v>
      </c>
      <c r="DC135" t="e">
        <f>AND(DATA!F845,"AAAAAHf2XGo=")</f>
        <v>#VALUE!</v>
      </c>
      <c r="DD135" t="e">
        <f>AND(DATA!G845,"AAAAAHf2XGs=")</f>
        <v>#VALUE!</v>
      </c>
      <c r="DE135" t="e">
        <f>AND(DATA!H845,"AAAAAHf2XGw=")</f>
        <v>#VALUE!</v>
      </c>
      <c r="DF135" t="e">
        <f>AND(DATA!I845,"AAAAAHf2XG0=")</f>
        <v>#VALUE!</v>
      </c>
      <c r="DG135" t="e">
        <f>AND(DATA!J845,"AAAAAHf2XG4=")</f>
        <v>#VALUE!</v>
      </c>
      <c r="DH135" t="e">
        <f>AND(DATA!K845,"AAAAAHf2XG8=")</f>
        <v>#VALUE!</v>
      </c>
      <c r="DI135" t="b">
        <f>AND(DATA!L846,"AAAAAHf2XHA=")</f>
        <v>1</v>
      </c>
      <c r="DJ135" t="b">
        <f>AND(DATA!M846,"AAAAAHf2XHE=")</f>
        <v>1</v>
      </c>
      <c r="DK135" t="b">
        <f>AND(DATA!N846,"AAAAAHf2XHI=")</f>
        <v>1</v>
      </c>
      <c r="DL135" t="b">
        <f>AND(DATA!O846,"AAAAAHf2XHM=")</f>
        <v>1</v>
      </c>
      <c r="DM135" t="b">
        <f>AND(DATA!P846,"AAAAAHf2XHQ=")</f>
        <v>1</v>
      </c>
      <c r="DN135" t="b">
        <f>AND(DATA!Q846,"AAAAAHf2XHU=")</f>
        <v>1</v>
      </c>
      <c r="DO135" t="b">
        <f>AND(DATA!R846,"AAAAAHf2XHY=")</f>
        <v>1</v>
      </c>
      <c r="DP135" t="b">
        <f>AND(DATA!S846,"AAAAAHf2XHc=")</f>
        <v>1</v>
      </c>
      <c r="DQ135" t="b">
        <f>AND(DATA!T846,"AAAAAHf2XHg=")</f>
        <v>1</v>
      </c>
      <c r="DR135" t="b">
        <f>AND(DATA!U846,"AAAAAHf2XHk=")</f>
        <v>1</v>
      </c>
      <c r="DS135" t="b">
        <f>AND(DATA!V846,"AAAAAHf2XHo=")</f>
        <v>1</v>
      </c>
      <c r="DT135" t="e">
        <f>AND(DATA!W845,"AAAAAHf2XHs=")</f>
        <v>#VALUE!</v>
      </c>
      <c r="DU135" t="e">
        <f>AND(DATA!X845,"AAAAAHf2XHw=")</f>
        <v>#VALUE!</v>
      </c>
      <c r="DV135" t="e">
        <f>AND(DATA!Y845,"AAAAAHf2XH0=")</f>
        <v>#VALUE!</v>
      </c>
      <c r="DW135">
        <f>IF(DATA!846:846,"AAAAAHf2XH4=",0)</f>
        <v>0</v>
      </c>
      <c r="DX135" t="e">
        <f>AND(DATA!A846,"AAAAAHf2XH8=")</f>
        <v>#VALUE!</v>
      </c>
      <c r="DY135" t="e">
        <f>AND(DATA!B846,"AAAAAHf2XIA=")</f>
        <v>#VALUE!</v>
      </c>
      <c r="DZ135" t="e">
        <f>AND(DATA!C846,"AAAAAHf2XIE=")</f>
        <v>#VALUE!</v>
      </c>
      <c r="EA135" t="e">
        <f>AND(DATA!D846,"AAAAAHf2XII=")</f>
        <v>#VALUE!</v>
      </c>
      <c r="EB135" t="e">
        <f>AND(DATA!E846,"AAAAAHf2XIM=")</f>
        <v>#VALUE!</v>
      </c>
      <c r="EC135" t="e">
        <f>AND(DATA!F846,"AAAAAHf2XIQ=")</f>
        <v>#VALUE!</v>
      </c>
      <c r="ED135" t="e">
        <f>AND(DATA!G846,"AAAAAHf2XIU=")</f>
        <v>#VALUE!</v>
      </c>
      <c r="EE135" t="e">
        <f>AND(DATA!H846,"AAAAAHf2XIY=")</f>
        <v>#VALUE!</v>
      </c>
      <c r="EF135" t="e">
        <f>AND(DATA!I846,"AAAAAHf2XIc=")</f>
        <v>#VALUE!</v>
      </c>
      <c r="EG135" t="e">
        <f>AND(DATA!J846,"AAAAAHf2XIg=")</f>
        <v>#VALUE!</v>
      </c>
      <c r="EH135" t="e">
        <f>AND(DATA!K846,"AAAAAHf2XIk=")</f>
        <v>#VALUE!</v>
      </c>
      <c r="EI135" t="b">
        <f>AND(DATA!L847,"AAAAAHf2XIo=")</f>
        <v>1</v>
      </c>
      <c r="EJ135" t="b">
        <f>AND(DATA!M847,"AAAAAHf2XIs=")</f>
        <v>1</v>
      </c>
      <c r="EK135" t="b">
        <f>AND(DATA!N847,"AAAAAHf2XIw=")</f>
        <v>1</v>
      </c>
      <c r="EL135" t="b">
        <f>AND(DATA!O847,"AAAAAHf2XI0=")</f>
        <v>1</v>
      </c>
      <c r="EM135" t="b">
        <f>AND(DATA!P847,"AAAAAHf2XI4=")</f>
        <v>1</v>
      </c>
      <c r="EN135" t="b">
        <f>AND(DATA!Q847,"AAAAAHf2XI8=")</f>
        <v>1</v>
      </c>
      <c r="EO135" t="b">
        <f>AND(DATA!R847,"AAAAAHf2XJA=")</f>
        <v>1</v>
      </c>
      <c r="EP135" t="b">
        <f>AND(DATA!S847,"AAAAAHf2XJE=")</f>
        <v>1</v>
      </c>
      <c r="EQ135" t="b">
        <f>AND(DATA!T847,"AAAAAHf2XJI=")</f>
        <v>1</v>
      </c>
      <c r="ER135" t="b">
        <f>AND(DATA!U847,"AAAAAHf2XJM=")</f>
        <v>1</v>
      </c>
      <c r="ES135" t="b">
        <f>AND(DATA!V847,"AAAAAHf2XJQ=")</f>
        <v>1</v>
      </c>
      <c r="ET135" t="e">
        <f>AND(DATA!W846,"AAAAAHf2XJU=")</f>
        <v>#VALUE!</v>
      </c>
      <c r="EU135" t="e">
        <f>AND(DATA!X846,"AAAAAHf2XJY=")</f>
        <v>#VALUE!</v>
      </c>
      <c r="EV135" t="e">
        <f>AND(DATA!Y846,"AAAAAHf2XJc=")</f>
        <v>#VALUE!</v>
      </c>
      <c r="EW135">
        <f>IF(DATA!847:847,"AAAAAHf2XJg=",0)</f>
        <v>0</v>
      </c>
      <c r="EX135" t="e">
        <f>AND(DATA!A847,"AAAAAHf2XJk=")</f>
        <v>#VALUE!</v>
      </c>
      <c r="EY135" t="e">
        <f>AND(DATA!B847,"AAAAAHf2XJo=")</f>
        <v>#VALUE!</v>
      </c>
      <c r="EZ135" t="e">
        <f>AND(DATA!C847,"AAAAAHf2XJs=")</f>
        <v>#VALUE!</v>
      </c>
      <c r="FA135" t="e">
        <f>AND(DATA!D847,"AAAAAHf2XJw=")</f>
        <v>#VALUE!</v>
      </c>
      <c r="FB135" t="e">
        <f>AND(DATA!E847,"AAAAAHf2XJ0=")</f>
        <v>#VALUE!</v>
      </c>
      <c r="FC135" t="e">
        <f>AND(DATA!F847,"AAAAAHf2XJ4=")</f>
        <v>#VALUE!</v>
      </c>
      <c r="FD135" t="e">
        <f>AND(DATA!G847,"AAAAAHf2XJ8=")</f>
        <v>#VALUE!</v>
      </c>
      <c r="FE135" t="e">
        <f>AND(DATA!H847,"AAAAAHf2XKA=")</f>
        <v>#VALUE!</v>
      </c>
      <c r="FF135" t="e">
        <f>AND(DATA!I847,"AAAAAHf2XKE=")</f>
        <v>#VALUE!</v>
      </c>
      <c r="FG135" t="e">
        <f>AND(DATA!J847,"AAAAAHf2XKI=")</f>
        <v>#VALUE!</v>
      </c>
      <c r="FH135" t="e">
        <f>AND(DATA!K847,"AAAAAHf2XKM=")</f>
        <v>#VALUE!</v>
      </c>
      <c r="FI135" t="b">
        <f>AND(DATA!L848,"AAAAAHf2XKQ=")</f>
        <v>1</v>
      </c>
      <c r="FJ135" t="b">
        <f>AND(DATA!M848,"AAAAAHf2XKU=")</f>
        <v>1</v>
      </c>
      <c r="FK135" t="b">
        <f>AND(DATA!N848,"AAAAAHf2XKY=")</f>
        <v>1</v>
      </c>
      <c r="FL135" t="b">
        <f>AND(DATA!O848,"AAAAAHf2XKc=")</f>
        <v>1</v>
      </c>
      <c r="FM135" t="b">
        <f>AND(DATA!P848,"AAAAAHf2XKg=")</f>
        <v>1</v>
      </c>
      <c r="FN135" t="b">
        <f>AND(DATA!Q848,"AAAAAHf2XKk=")</f>
        <v>1</v>
      </c>
      <c r="FO135" t="b">
        <f>AND(DATA!R848,"AAAAAHf2XKo=")</f>
        <v>1</v>
      </c>
      <c r="FP135" t="b">
        <f>AND(DATA!S848,"AAAAAHf2XKs=")</f>
        <v>1</v>
      </c>
      <c r="FQ135" t="b">
        <f>AND(DATA!T848,"AAAAAHf2XKw=")</f>
        <v>1</v>
      </c>
      <c r="FR135" t="b">
        <f>AND(DATA!U848,"AAAAAHf2XK0=")</f>
        <v>1</v>
      </c>
      <c r="FS135" t="b">
        <f>AND(DATA!V848,"AAAAAHf2XK4=")</f>
        <v>1</v>
      </c>
      <c r="FT135" t="e">
        <f>AND(DATA!W847,"AAAAAHf2XK8=")</f>
        <v>#VALUE!</v>
      </c>
      <c r="FU135" t="e">
        <f>AND(DATA!X847,"AAAAAHf2XLA=")</f>
        <v>#VALUE!</v>
      </c>
      <c r="FV135" t="e">
        <f>AND(DATA!Y847,"AAAAAHf2XLE=")</f>
        <v>#VALUE!</v>
      </c>
      <c r="FW135">
        <f>IF(DATA!848:848,"AAAAAHf2XLI=",0)</f>
        <v>0</v>
      </c>
      <c r="FX135" t="e">
        <f>AND(DATA!A848,"AAAAAHf2XLM=")</f>
        <v>#VALUE!</v>
      </c>
      <c r="FY135" t="e">
        <f>AND(DATA!B848,"AAAAAHf2XLQ=")</f>
        <v>#VALUE!</v>
      </c>
      <c r="FZ135" t="e">
        <f>AND(DATA!C848,"AAAAAHf2XLU=")</f>
        <v>#VALUE!</v>
      </c>
      <c r="GA135" t="e">
        <f>AND(DATA!D848,"AAAAAHf2XLY=")</f>
        <v>#VALUE!</v>
      </c>
      <c r="GB135" t="e">
        <f>AND(DATA!E848,"AAAAAHf2XLc=")</f>
        <v>#VALUE!</v>
      </c>
      <c r="GC135" t="e">
        <f>AND(DATA!F848,"AAAAAHf2XLg=")</f>
        <v>#VALUE!</v>
      </c>
      <c r="GD135" t="e">
        <f>AND(DATA!G848,"AAAAAHf2XLk=")</f>
        <v>#VALUE!</v>
      </c>
      <c r="GE135" t="e">
        <f>AND(DATA!H848,"AAAAAHf2XLo=")</f>
        <v>#VALUE!</v>
      </c>
      <c r="GF135" t="e">
        <f>AND(DATA!I848,"AAAAAHf2XLs=")</f>
        <v>#VALUE!</v>
      </c>
      <c r="GG135" t="e">
        <f>AND(DATA!J848,"AAAAAHf2XLw=")</f>
        <v>#VALUE!</v>
      </c>
      <c r="GH135" t="e">
        <f>AND(DATA!K848,"AAAAAHf2XL0=")</f>
        <v>#VALUE!</v>
      </c>
      <c r="GI135" t="b">
        <f>AND(DATA!L849,"AAAAAHf2XL4=")</f>
        <v>1</v>
      </c>
      <c r="GJ135" t="b">
        <f>AND(DATA!M849,"AAAAAHf2XL8=")</f>
        <v>1</v>
      </c>
      <c r="GK135" t="b">
        <f>AND(DATA!N849,"AAAAAHf2XMA=")</f>
        <v>1</v>
      </c>
      <c r="GL135" t="b">
        <f>AND(DATA!O849,"AAAAAHf2XME=")</f>
        <v>1</v>
      </c>
      <c r="GM135" t="b">
        <f>AND(DATA!P849,"AAAAAHf2XMI=")</f>
        <v>1</v>
      </c>
      <c r="GN135" t="b">
        <f>AND(DATA!Q849,"AAAAAHf2XMM=")</f>
        <v>1</v>
      </c>
      <c r="GO135" t="b">
        <f>AND(DATA!R849,"AAAAAHf2XMQ=")</f>
        <v>1</v>
      </c>
      <c r="GP135" t="b">
        <f>AND(DATA!S849,"AAAAAHf2XMU=")</f>
        <v>1</v>
      </c>
      <c r="GQ135" t="b">
        <f>AND(DATA!T849,"AAAAAHf2XMY=")</f>
        <v>1</v>
      </c>
      <c r="GR135" t="b">
        <f>AND(DATA!U849,"AAAAAHf2XMc=")</f>
        <v>1</v>
      </c>
      <c r="GS135" t="b">
        <f>AND(DATA!V849,"AAAAAHf2XMg=")</f>
        <v>1</v>
      </c>
      <c r="GT135" t="e">
        <f>AND(DATA!W848,"AAAAAHf2XMk=")</f>
        <v>#VALUE!</v>
      </c>
      <c r="GU135" t="e">
        <f>AND(DATA!X848,"AAAAAHf2XMo=")</f>
        <v>#VALUE!</v>
      </c>
      <c r="GV135" t="e">
        <f>AND(DATA!Y848,"AAAAAHf2XMs=")</f>
        <v>#VALUE!</v>
      </c>
      <c r="GW135">
        <f>IF(DATA!849:849,"AAAAAHf2XMw=",0)</f>
        <v>0</v>
      </c>
      <c r="GX135" t="e">
        <f>AND(DATA!A849,"AAAAAHf2XM0=")</f>
        <v>#VALUE!</v>
      </c>
      <c r="GY135" t="e">
        <f>AND(DATA!B849,"AAAAAHf2XM4=")</f>
        <v>#VALUE!</v>
      </c>
      <c r="GZ135" t="e">
        <f>AND(DATA!C849,"AAAAAHf2XM8=")</f>
        <v>#VALUE!</v>
      </c>
      <c r="HA135" t="e">
        <f>AND(DATA!D849,"AAAAAHf2XNA=")</f>
        <v>#VALUE!</v>
      </c>
      <c r="HB135" t="e">
        <f>AND(DATA!E849,"AAAAAHf2XNE=")</f>
        <v>#VALUE!</v>
      </c>
      <c r="HC135" t="e">
        <f>AND(DATA!F849,"AAAAAHf2XNI=")</f>
        <v>#VALUE!</v>
      </c>
      <c r="HD135" t="e">
        <f>AND(DATA!G849,"AAAAAHf2XNM=")</f>
        <v>#VALUE!</v>
      </c>
      <c r="HE135" t="e">
        <f>AND(DATA!H849,"AAAAAHf2XNQ=")</f>
        <v>#VALUE!</v>
      </c>
      <c r="HF135" t="e">
        <f>AND(DATA!I849,"AAAAAHf2XNU=")</f>
        <v>#VALUE!</v>
      </c>
      <c r="HG135" t="e">
        <f>AND(DATA!J849,"AAAAAHf2XNY=")</f>
        <v>#VALUE!</v>
      </c>
      <c r="HH135" t="e">
        <f>AND(DATA!K849,"AAAAAHf2XNc=")</f>
        <v>#VALUE!</v>
      </c>
      <c r="HI135" t="b">
        <f>AND(DATA!L850,"AAAAAHf2XNg=")</f>
        <v>1</v>
      </c>
      <c r="HJ135" t="b">
        <f>AND(DATA!M850,"AAAAAHf2XNk=")</f>
        <v>1</v>
      </c>
      <c r="HK135" t="b">
        <f>AND(DATA!N850,"AAAAAHf2XNo=")</f>
        <v>1</v>
      </c>
      <c r="HL135" t="b">
        <f>AND(DATA!O850,"AAAAAHf2XNs=")</f>
        <v>1</v>
      </c>
      <c r="HM135" t="b">
        <f>AND(DATA!P850,"AAAAAHf2XNw=")</f>
        <v>1</v>
      </c>
      <c r="HN135" t="b">
        <f>AND(DATA!Q850,"AAAAAHf2XN0=")</f>
        <v>1</v>
      </c>
      <c r="HO135" t="b">
        <f>AND(DATA!R850,"AAAAAHf2XN4=")</f>
        <v>1</v>
      </c>
      <c r="HP135" t="b">
        <f>AND(DATA!S850,"AAAAAHf2XN8=")</f>
        <v>1</v>
      </c>
      <c r="HQ135" t="b">
        <f>AND(DATA!T850,"AAAAAHf2XOA=")</f>
        <v>1</v>
      </c>
      <c r="HR135" t="b">
        <f>AND(DATA!U850,"AAAAAHf2XOE=")</f>
        <v>1</v>
      </c>
      <c r="HS135" t="b">
        <f>AND(DATA!V850,"AAAAAHf2XOI=")</f>
        <v>1</v>
      </c>
      <c r="HT135" t="e">
        <f>AND(DATA!W849,"AAAAAHf2XOM=")</f>
        <v>#VALUE!</v>
      </c>
      <c r="HU135" t="e">
        <f>AND(DATA!X849,"AAAAAHf2XOQ=")</f>
        <v>#VALUE!</v>
      </c>
      <c r="HV135" t="e">
        <f>AND(DATA!Y849,"AAAAAHf2XOU=")</f>
        <v>#VALUE!</v>
      </c>
      <c r="HW135">
        <f>IF(DATA!850:850,"AAAAAHf2XOY=",0)</f>
        <v>0</v>
      </c>
      <c r="HX135" t="e">
        <f>AND(DATA!A850,"AAAAAHf2XOc=")</f>
        <v>#VALUE!</v>
      </c>
      <c r="HY135" t="e">
        <f>AND(DATA!B850,"AAAAAHf2XOg=")</f>
        <v>#VALUE!</v>
      </c>
      <c r="HZ135" t="e">
        <f>AND(DATA!C850,"AAAAAHf2XOk=")</f>
        <v>#VALUE!</v>
      </c>
      <c r="IA135" t="e">
        <f>AND(DATA!D850,"AAAAAHf2XOo=")</f>
        <v>#VALUE!</v>
      </c>
      <c r="IB135" t="e">
        <f>AND(DATA!E850,"AAAAAHf2XOs=")</f>
        <v>#VALUE!</v>
      </c>
      <c r="IC135" t="e">
        <f>AND(DATA!F850,"AAAAAHf2XOw=")</f>
        <v>#VALUE!</v>
      </c>
      <c r="ID135" t="e">
        <f>AND(DATA!G850,"AAAAAHf2XO0=")</f>
        <v>#VALUE!</v>
      </c>
      <c r="IE135" t="e">
        <f>AND(DATA!H850,"AAAAAHf2XO4=")</f>
        <v>#VALUE!</v>
      </c>
      <c r="IF135" t="e">
        <f>AND(DATA!I850,"AAAAAHf2XO8=")</f>
        <v>#VALUE!</v>
      </c>
      <c r="IG135" t="e">
        <f>AND(DATA!J850,"AAAAAHf2XPA=")</f>
        <v>#VALUE!</v>
      </c>
      <c r="IH135" t="e">
        <f>AND(DATA!K850,"AAAAAHf2XPE=")</f>
        <v>#VALUE!</v>
      </c>
      <c r="II135" t="b">
        <f>AND(DATA!L851,"AAAAAHf2XPI=")</f>
        <v>1</v>
      </c>
      <c r="IJ135" t="b">
        <f>AND(DATA!M851,"AAAAAHf2XPM=")</f>
        <v>1</v>
      </c>
      <c r="IK135" t="b">
        <f>AND(DATA!N851,"AAAAAHf2XPQ=")</f>
        <v>1</v>
      </c>
      <c r="IL135" t="b">
        <f>AND(DATA!O851,"AAAAAHf2XPU=")</f>
        <v>1</v>
      </c>
      <c r="IM135" t="b">
        <f>AND(DATA!P851,"AAAAAHf2XPY=")</f>
        <v>1</v>
      </c>
      <c r="IN135" t="b">
        <f>AND(DATA!Q851,"AAAAAHf2XPc=")</f>
        <v>1</v>
      </c>
      <c r="IO135" t="b">
        <f>AND(DATA!R851,"AAAAAHf2XPg=")</f>
        <v>1</v>
      </c>
      <c r="IP135" t="b">
        <f>AND(DATA!S851,"AAAAAHf2XPk=")</f>
        <v>1</v>
      </c>
      <c r="IQ135" t="b">
        <f>AND(DATA!T851,"AAAAAHf2XPo=")</f>
        <v>1</v>
      </c>
      <c r="IR135" t="b">
        <f>AND(DATA!U851,"AAAAAHf2XPs=")</f>
        <v>1</v>
      </c>
      <c r="IS135" t="b">
        <f>AND(DATA!V851,"AAAAAHf2XPw=")</f>
        <v>1</v>
      </c>
      <c r="IT135" t="e">
        <f>AND(DATA!W850,"AAAAAHf2XP0=")</f>
        <v>#VALUE!</v>
      </c>
      <c r="IU135" t="e">
        <f>AND(DATA!X850,"AAAAAHf2XP4=")</f>
        <v>#VALUE!</v>
      </c>
      <c r="IV135" t="e">
        <f>AND(DATA!Y850,"AAAAAHf2XP8=")</f>
        <v>#VALUE!</v>
      </c>
    </row>
    <row r="136" spans="1:256" x14ac:dyDescent="0.25">
      <c r="A136">
        <f>IF(DATA!851:851,"AAAAAFf83QA=",0)</f>
        <v>0</v>
      </c>
      <c r="B136" t="e">
        <f>AND(DATA!A851,"AAAAAFf83QE=")</f>
        <v>#VALUE!</v>
      </c>
      <c r="C136" t="e">
        <f>AND(DATA!B851,"AAAAAFf83QI=")</f>
        <v>#VALUE!</v>
      </c>
      <c r="D136" t="e">
        <f>AND(DATA!C851,"AAAAAFf83QM=")</f>
        <v>#VALUE!</v>
      </c>
      <c r="E136" t="e">
        <f>AND(DATA!D851,"AAAAAFf83QQ=")</f>
        <v>#VALUE!</v>
      </c>
      <c r="F136" t="e">
        <f>AND(DATA!E851,"AAAAAFf83QU=")</f>
        <v>#VALUE!</v>
      </c>
      <c r="G136" t="e">
        <f>AND(DATA!F851,"AAAAAFf83QY=")</f>
        <v>#VALUE!</v>
      </c>
      <c r="H136" t="e">
        <f>AND(DATA!G851,"AAAAAFf83Qc=")</f>
        <v>#VALUE!</v>
      </c>
      <c r="I136" t="e">
        <f>AND(DATA!H851,"AAAAAFf83Qg=")</f>
        <v>#VALUE!</v>
      </c>
      <c r="J136" t="e">
        <f>AND(DATA!I851,"AAAAAFf83Qk=")</f>
        <v>#VALUE!</v>
      </c>
      <c r="K136" t="e">
        <f>AND(DATA!J851,"AAAAAFf83Qo=")</f>
        <v>#VALUE!</v>
      </c>
      <c r="L136" t="e">
        <f>AND(DATA!K851,"AAAAAFf83Qs=")</f>
        <v>#VALUE!</v>
      </c>
      <c r="M136" t="b">
        <f>AND(DATA!L852,"AAAAAFf83Qw=")</f>
        <v>1</v>
      </c>
      <c r="N136" t="b">
        <f>AND(DATA!M852,"AAAAAFf83Q0=")</f>
        <v>1</v>
      </c>
      <c r="O136" t="b">
        <f>AND(DATA!N852,"AAAAAFf83Q4=")</f>
        <v>1</v>
      </c>
      <c r="P136" t="b">
        <f>AND(DATA!O852,"AAAAAFf83Q8=")</f>
        <v>1</v>
      </c>
      <c r="Q136" t="b">
        <f>AND(DATA!P852,"AAAAAFf83RA=")</f>
        <v>1</v>
      </c>
      <c r="R136" t="b">
        <f>AND(DATA!Q852,"AAAAAFf83RE=")</f>
        <v>1</v>
      </c>
      <c r="S136" t="b">
        <f>AND(DATA!R852,"AAAAAFf83RI=")</f>
        <v>1</v>
      </c>
      <c r="T136" t="b">
        <f>AND(DATA!S852,"AAAAAFf83RM=")</f>
        <v>1</v>
      </c>
      <c r="U136" t="b">
        <f>AND(DATA!T852,"AAAAAFf83RQ=")</f>
        <v>1</v>
      </c>
      <c r="V136" t="b">
        <f>AND(DATA!U852,"AAAAAFf83RU=")</f>
        <v>1</v>
      </c>
      <c r="W136" t="b">
        <f>AND(DATA!V852,"AAAAAFf83RY=")</f>
        <v>1</v>
      </c>
      <c r="X136" t="e">
        <f>AND(DATA!W851,"AAAAAFf83Rc=")</f>
        <v>#VALUE!</v>
      </c>
      <c r="Y136" t="e">
        <f>AND(DATA!X851,"AAAAAFf83Rg=")</f>
        <v>#VALUE!</v>
      </c>
      <c r="Z136" t="e">
        <f>AND(DATA!Y851,"AAAAAFf83Rk=")</f>
        <v>#VALUE!</v>
      </c>
      <c r="AA136">
        <f>IF(DATA!852:852,"AAAAAFf83Ro=",0)</f>
        <v>0</v>
      </c>
      <c r="AB136" t="e">
        <f>AND(DATA!A852,"AAAAAFf83Rs=")</f>
        <v>#VALUE!</v>
      </c>
      <c r="AC136" t="e">
        <f>AND(DATA!B852,"AAAAAFf83Rw=")</f>
        <v>#VALUE!</v>
      </c>
      <c r="AD136" t="e">
        <f>AND(DATA!C852,"AAAAAFf83R0=")</f>
        <v>#VALUE!</v>
      </c>
      <c r="AE136" t="e">
        <f>AND(DATA!D852,"AAAAAFf83R4=")</f>
        <v>#VALUE!</v>
      </c>
      <c r="AF136" t="e">
        <f>AND(DATA!E852,"AAAAAFf83R8=")</f>
        <v>#VALUE!</v>
      </c>
      <c r="AG136" t="e">
        <f>AND(DATA!F852,"AAAAAFf83SA=")</f>
        <v>#VALUE!</v>
      </c>
      <c r="AH136" t="e">
        <f>AND(DATA!G852,"AAAAAFf83SE=")</f>
        <v>#VALUE!</v>
      </c>
      <c r="AI136" t="e">
        <f>AND(DATA!H852,"AAAAAFf83SI=")</f>
        <v>#VALUE!</v>
      </c>
      <c r="AJ136" t="e">
        <f>AND(DATA!I852,"AAAAAFf83SM=")</f>
        <v>#VALUE!</v>
      </c>
      <c r="AK136" t="e">
        <f>AND(DATA!J852,"AAAAAFf83SQ=")</f>
        <v>#VALUE!</v>
      </c>
      <c r="AL136" t="e">
        <f>AND(DATA!K852,"AAAAAFf83SU=")</f>
        <v>#VALUE!</v>
      </c>
      <c r="AM136" t="b">
        <f>AND(DATA!L853,"AAAAAFf83SY=")</f>
        <v>1</v>
      </c>
      <c r="AN136" t="b">
        <f>AND(DATA!M853,"AAAAAFf83Sc=")</f>
        <v>1</v>
      </c>
      <c r="AO136" t="b">
        <f>AND(DATA!N853,"AAAAAFf83Sg=")</f>
        <v>1</v>
      </c>
      <c r="AP136" t="b">
        <f>AND(DATA!O853,"AAAAAFf83Sk=")</f>
        <v>1</v>
      </c>
      <c r="AQ136" t="b">
        <f>AND(DATA!P853,"AAAAAFf83So=")</f>
        <v>1</v>
      </c>
      <c r="AR136" t="b">
        <f>AND(DATA!Q853,"AAAAAFf83Ss=")</f>
        <v>1</v>
      </c>
      <c r="AS136" t="b">
        <f>AND(DATA!R853,"AAAAAFf83Sw=")</f>
        <v>1</v>
      </c>
      <c r="AT136" t="b">
        <f>AND(DATA!S853,"AAAAAFf83S0=")</f>
        <v>1</v>
      </c>
      <c r="AU136" t="b">
        <f>AND(DATA!T853,"AAAAAFf83S4=")</f>
        <v>1</v>
      </c>
      <c r="AV136" t="b">
        <f>AND(DATA!U853,"AAAAAFf83S8=")</f>
        <v>1</v>
      </c>
      <c r="AW136" t="b">
        <f>AND(DATA!V853,"AAAAAFf83TA=")</f>
        <v>1</v>
      </c>
      <c r="AX136" t="e">
        <f>AND(DATA!W852,"AAAAAFf83TE=")</f>
        <v>#VALUE!</v>
      </c>
      <c r="AY136" t="e">
        <f>AND(DATA!X852,"AAAAAFf83TI=")</f>
        <v>#VALUE!</v>
      </c>
      <c r="AZ136" t="e">
        <f>AND(DATA!Y852,"AAAAAFf83TM=")</f>
        <v>#VALUE!</v>
      </c>
      <c r="BA136">
        <f>IF(DATA!853:853,"AAAAAFf83TQ=",0)</f>
        <v>0</v>
      </c>
      <c r="BB136" t="e">
        <f>AND(DATA!A853,"AAAAAFf83TU=")</f>
        <v>#VALUE!</v>
      </c>
      <c r="BC136" t="e">
        <f>AND(DATA!B853,"AAAAAFf83TY=")</f>
        <v>#VALUE!</v>
      </c>
      <c r="BD136" t="e">
        <f>AND(DATA!C853,"AAAAAFf83Tc=")</f>
        <v>#VALUE!</v>
      </c>
      <c r="BE136" t="e">
        <f>AND(DATA!D853,"AAAAAFf83Tg=")</f>
        <v>#VALUE!</v>
      </c>
      <c r="BF136" t="e">
        <f>AND(DATA!E853,"AAAAAFf83Tk=")</f>
        <v>#VALUE!</v>
      </c>
      <c r="BG136" t="e">
        <f>AND(DATA!F853,"AAAAAFf83To=")</f>
        <v>#VALUE!</v>
      </c>
      <c r="BH136" t="e">
        <f>AND(DATA!G853,"AAAAAFf83Ts=")</f>
        <v>#VALUE!</v>
      </c>
      <c r="BI136" t="e">
        <f>AND(DATA!H853,"AAAAAFf83Tw=")</f>
        <v>#VALUE!</v>
      </c>
      <c r="BJ136" t="e">
        <f>AND(DATA!I853,"AAAAAFf83T0=")</f>
        <v>#VALUE!</v>
      </c>
      <c r="BK136" t="e">
        <f>AND(DATA!J853,"AAAAAFf83T4=")</f>
        <v>#VALUE!</v>
      </c>
      <c r="BL136" t="e">
        <f>AND(DATA!K853,"AAAAAFf83T8=")</f>
        <v>#VALUE!</v>
      </c>
      <c r="BM136" t="b">
        <f>AND(DATA!L854,"AAAAAFf83UA=")</f>
        <v>1</v>
      </c>
      <c r="BN136" t="b">
        <f>AND(DATA!M854,"AAAAAFf83UE=")</f>
        <v>1</v>
      </c>
      <c r="BO136" t="b">
        <f>AND(DATA!N854,"AAAAAFf83UI=")</f>
        <v>1</v>
      </c>
      <c r="BP136" t="b">
        <f>AND(DATA!O854,"AAAAAFf83UM=")</f>
        <v>1</v>
      </c>
      <c r="BQ136" t="b">
        <f>AND(DATA!P854,"AAAAAFf83UQ=")</f>
        <v>1</v>
      </c>
      <c r="BR136" t="b">
        <f>AND(DATA!Q854,"AAAAAFf83UU=")</f>
        <v>1</v>
      </c>
      <c r="BS136" t="b">
        <f>AND(DATA!R854,"AAAAAFf83UY=")</f>
        <v>1</v>
      </c>
      <c r="BT136" t="b">
        <f>AND(DATA!S854,"AAAAAFf83Uc=")</f>
        <v>1</v>
      </c>
      <c r="BU136" t="b">
        <f>AND(DATA!T854,"AAAAAFf83Ug=")</f>
        <v>1</v>
      </c>
      <c r="BV136" t="b">
        <f>AND(DATA!U854,"AAAAAFf83Uk=")</f>
        <v>1</v>
      </c>
      <c r="BW136" t="b">
        <f>AND(DATA!V854,"AAAAAFf83Uo=")</f>
        <v>1</v>
      </c>
      <c r="BX136" t="e">
        <f>AND(DATA!W853,"AAAAAFf83Us=")</f>
        <v>#VALUE!</v>
      </c>
      <c r="BY136" t="e">
        <f>AND(DATA!X853,"AAAAAFf83Uw=")</f>
        <v>#VALUE!</v>
      </c>
      <c r="BZ136" t="e">
        <f>AND(DATA!Y853,"AAAAAFf83U0=")</f>
        <v>#VALUE!</v>
      </c>
      <c r="CA136">
        <f>IF(DATA!854:854,"AAAAAFf83U4=",0)</f>
        <v>0</v>
      </c>
      <c r="CB136" t="e">
        <f>AND(DATA!A854,"AAAAAFf83U8=")</f>
        <v>#VALUE!</v>
      </c>
      <c r="CC136" t="e">
        <f>AND(DATA!B854,"AAAAAFf83VA=")</f>
        <v>#VALUE!</v>
      </c>
      <c r="CD136" t="e">
        <f>AND(DATA!C854,"AAAAAFf83VE=")</f>
        <v>#VALUE!</v>
      </c>
      <c r="CE136" t="e">
        <f>AND(DATA!D854,"AAAAAFf83VI=")</f>
        <v>#VALUE!</v>
      </c>
      <c r="CF136" t="e">
        <f>AND(DATA!E854,"AAAAAFf83VM=")</f>
        <v>#VALUE!</v>
      </c>
      <c r="CG136" t="e">
        <f>AND(DATA!F854,"AAAAAFf83VQ=")</f>
        <v>#VALUE!</v>
      </c>
      <c r="CH136" t="e">
        <f>AND(DATA!G854,"AAAAAFf83VU=")</f>
        <v>#VALUE!</v>
      </c>
      <c r="CI136" t="e">
        <f>AND(DATA!H854,"AAAAAFf83VY=")</f>
        <v>#VALUE!</v>
      </c>
      <c r="CJ136" t="e">
        <f>AND(DATA!I854,"AAAAAFf83Vc=")</f>
        <v>#VALUE!</v>
      </c>
      <c r="CK136" t="e">
        <f>AND(DATA!J854,"AAAAAFf83Vg=")</f>
        <v>#VALUE!</v>
      </c>
      <c r="CL136" t="e">
        <f>AND(DATA!K854,"AAAAAFf83Vk=")</f>
        <v>#VALUE!</v>
      </c>
      <c r="CM136" t="b">
        <f>AND(DATA!L855,"AAAAAFf83Vo=")</f>
        <v>1</v>
      </c>
      <c r="CN136" t="b">
        <f>AND(DATA!M855,"AAAAAFf83Vs=")</f>
        <v>1</v>
      </c>
      <c r="CO136" t="b">
        <f>AND(DATA!N855,"AAAAAFf83Vw=")</f>
        <v>1</v>
      </c>
      <c r="CP136" t="b">
        <f>AND(DATA!O855,"AAAAAFf83V0=")</f>
        <v>1</v>
      </c>
      <c r="CQ136" t="b">
        <f>AND(DATA!P855,"AAAAAFf83V4=")</f>
        <v>1</v>
      </c>
      <c r="CR136" t="b">
        <f>AND(DATA!Q855,"AAAAAFf83V8=")</f>
        <v>1</v>
      </c>
      <c r="CS136" t="b">
        <f>AND(DATA!R855,"AAAAAFf83WA=")</f>
        <v>1</v>
      </c>
      <c r="CT136" t="b">
        <f>AND(DATA!S855,"AAAAAFf83WE=")</f>
        <v>1</v>
      </c>
      <c r="CU136" t="b">
        <f>AND(DATA!T855,"AAAAAFf83WI=")</f>
        <v>1</v>
      </c>
      <c r="CV136" t="b">
        <f>AND(DATA!U855,"AAAAAFf83WM=")</f>
        <v>1</v>
      </c>
      <c r="CW136" t="b">
        <f>AND(DATA!V855,"AAAAAFf83WQ=")</f>
        <v>1</v>
      </c>
      <c r="CX136" t="e">
        <f>AND(DATA!W854,"AAAAAFf83WU=")</f>
        <v>#VALUE!</v>
      </c>
      <c r="CY136" t="e">
        <f>AND(DATA!X854,"AAAAAFf83WY=")</f>
        <v>#VALUE!</v>
      </c>
      <c r="CZ136" t="e">
        <f>AND(DATA!Y854,"AAAAAFf83Wc=")</f>
        <v>#VALUE!</v>
      </c>
      <c r="DA136">
        <f>IF(DATA!855:855,"AAAAAFf83Wg=",0)</f>
        <v>0</v>
      </c>
      <c r="DB136" t="e">
        <f>AND(DATA!A855,"AAAAAFf83Wk=")</f>
        <v>#VALUE!</v>
      </c>
      <c r="DC136" t="e">
        <f>AND(DATA!B855,"AAAAAFf83Wo=")</f>
        <v>#VALUE!</v>
      </c>
      <c r="DD136" t="e">
        <f>AND(DATA!C855,"AAAAAFf83Ws=")</f>
        <v>#VALUE!</v>
      </c>
      <c r="DE136" t="e">
        <f>AND(DATA!D855,"AAAAAFf83Ww=")</f>
        <v>#VALUE!</v>
      </c>
      <c r="DF136" t="e">
        <f>AND(DATA!E855,"AAAAAFf83W0=")</f>
        <v>#VALUE!</v>
      </c>
      <c r="DG136" t="e">
        <f>AND(DATA!F855,"AAAAAFf83W4=")</f>
        <v>#VALUE!</v>
      </c>
      <c r="DH136" t="e">
        <f>AND(DATA!G855,"AAAAAFf83W8=")</f>
        <v>#VALUE!</v>
      </c>
      <c r="DI136" t="e">
        <f>AND(DATA!H855,"AAAAAFf83XA=")</f>
        <v>#VALUE!</v>
      </c>
      <c r="DJ136" t="e">
        <f>AND(DATA!I855,"AAAAAFf83XE=")</f>
        <v>#VALUE!</v>
      </c>
      <c r="DK136" t="e">
        <f>AND(DATA!J855,"AAAAAFf83XI=")</f>
        <v>#VALUE!</v>
      </c>
      <c r="DL136" t="e">
        <f>AND(DATA!K855,"AAAAAFf83XM=")</f>
        <v>#VALUE!</v>
      </c>
      <c r="DM136" t="b">
        <f>AND(DATA!L856,"AAAAAFf83XQ=")</f>
        <v>1</v>
      </c>
      <c r="DN136" t="b">
        <f>AND(DATA!M856,"AAAAAFf83XU=")</f>
        <v>1</v>
      </c>
      <c r="DO136" t="b">
        <f>AND(DATA!N856,"AAAAAFf83XY=")</f>
        <v>1</v>
      </c>
      <c r="DP136" t="b">
        <f>AND(DATA!O856,"AAAAAFf83Xc=")</f>
        <v>1</v>
      </c>
      <c r="DQ136" t="b">
        <f>AND(DATA!P856,"AAAAAFf83Xg=")</f>
        <v>1</v>
      </c>
      <c r="DR136" t="b">
        <f>AND(DATA!Q856,"AAAAAFf83Xk=")</f>
        <v>1</v>
      </c>
      <c r="DS136" t="b">
        <f>AND(DATA!R856,"AAAAAFf83Xo=")</f>
        <v>1</v>
      </c>
      <c r="DT136" t="b">
        <f>AND(DATA!S856,"AAAAAFf83Xs=")</f>
        <v>1</v>
      </c>
      <c r="DU136" t="b">
        <f>AND(DATA!T856,"AAAAAFf83Xw=")</f>
        <v>1</v>
      </c>
      <c r="DV136" t="b">
        <f>AND(DATA!U856,"AAAAAFf83X0=")</f>
        <v>1</v>
      </c>
      <c r="DW136" t="b">
        <f>AND(DATA!V856,"AAAAAFf83X4=")</f>
        <v>1</v>
      </c>
      <c r="DX136" t="e">
        <f>AND(DATA!W855,"AAAAAFf83X8=")</f>
        <v>#VALUE!</v>
      </c>
      <c r="DY136" t="e">
        <f>AND(DATA!X855,"AAAAAFf83YA=")</f>
        <v>#VALUE!</v>
      </c>
      <c r="DZ136" t="e">
        <f>AND(DATA!Y855,"AAAAAFf83YE=")</f>
        <v>#VALUE!</v>
      </c>
      <c r="EA136">
        <f>IF(DATA!856:856,"AAAAAFf83YI=",0)</f>
        <v>0</v>
      </c>
      <c r="EB136" t="e">
        <f>AND(DATA!A856,"AAAAAFf83YM=")</f>
        <v>#VALUE!</v>
      </c>
      <c r="EC136" t="e">
        <f>AND(DATA!B856,"AAAAAFf83YQ=")</f>
        <v>#VALUE!</v>
      </c>
      <c r="ED136" t="e">
        <f>AND(DATA!C856,"AAAAAFf83YU=")</f>
        <v>#VALUE!</v>
      </c>
      <c r="EE136" t="e">
        <f>AND(DATA!D856,"AAAAAFf83YY=")</f>
        <v>#VALUE!</v>
      </c>
      <c r="EF136" t="e">
        <f>AND(DATA!E856,"AAAAAFf83Yc=")</f>
        <v>#VALUE!</v>
      </c>
      <c r="EG136" t="e">
        <f>AND(DATA!F856,"AAAAAFf83Yg=")</f>
        <v>#VALUE!</v>
      </c>
      <c r="EH136" t="e">
        <f>AND(DATA!G856,"AAAAAFf83Yk=")</f>
        <v>#VALUE!</v>
      </c>
      <c r="EI136" t="e">
        <f>AND(DATA!H856,"AAAAAFf83Yo=")</f>
        <v>#VALUE!</v>
      </c>
      <c r="EJ136" t="e">
        <f>AND(DATA!I856,"AAAAAFf83Ys=")</f>
        <v>#VALUE!</v>
      </c>
      <c r="EK136" t="e">
        <f>AND(DATA!J856,"AAAAAFf83Yw=")</f>
        <v>#VALUE!</v>
      </c>
      <c r="EL136" t="e">
        <f>AND(DATA!K856,"AAAAAFf83Y0=")</f>
        <v>#VALUE!</v>
      </c>
      <c r="EM136" t="b">
        <f>AND(DATA!L857,"AAAAAFf83Y4=")</f>
        <v>1</v>
      </c>
      <c r="EN136" t="b">
        <f>AND(DATA!M857,"AAAAAFf83Y8=")</f>
        <v>1</v>
      </c>
      <c r="EO136" t="b">
        <f>AND(DATA!N857,"AAAAAFf83ZA=")</f>
        <v>1</v>
      </c>
      <c r="EP136" t="b">
        <f>AND(DATA!O857,"AAAAAFf83ZE=")</f>
        <v>1</v>
      </c>
      <c r="EQ136" t="b">
        <f>AND(DATA!P857,"AAAAAFf83ZI=")</f>
        <v>1</v>
      </c>
      <c r="ER136" t="b">
        <f>AND(DATA!Q857,"AAAAAFf83ZM=")</f>
        <v>1</v>
      </c>
      <c r="ES136" t="b">
        <f>AND(DATA!R857,"AAAAAFf83ZQ=")</f>
        <v>1</v>
      </c>
      <c r="ET136" t="b">
        <f>AND(DATA!S857,"AAAAAFf83ZU=")</f>
        <v>1</v>
      </c>
      <c r="EU136" t="b">
        <f>AND(DATA!T857,"AAAAAFf83ZY=")</f>
        <v>1</v>
      </c>
      <c r="EV136" t="b">
        <f>AND(DATA!U857,"AAAAAFf83Zc=")</f>
        <v>1</v>
      </c>
      <c r="EW136" t="b">
        <f>AND(DATA!V857,"AAAAAFf83Zg=")</f>
        <v>1</v>
      </c>
      <c r="EX136" t="e">
        <f>AND(DATA!W856,"AAAAAFf83Zk=")</f>
        <v>#VALUE!</v>
      </c>
      <c r="EY136" t="e">
        <f>AND(DATA!X856,"AAAAAFf83Zo=")</f>
        <v>#VALUE!</v>
      </c>
      <c r="EZ136" t="e">
        <f>AND(DATA!Y856,"AAAAAFf83Zs=")</f>
        <v>#VALUE!</v>
      </c>
      <c r="FA136">
        <f>IF(DATA!857:857,"AAAAAFf83Zw=",0)</f>
        <v>0</v>
      </c>
      <c r="FB136" t="e">
        <f>AND(DATA!A857,"AAAAAFf83Z0=")</f>
        <v>#VALUE!</v>
      </c>
      <c r="FC136" t="e">
        <f>AND(DATA!B857,"AAAAAFf83Z4=")</f>
        <v>#VALUE!</v>
      </c>
      <c r="FD136" t="e">
        <f>AND(DATA!C857,"AAAAAFf83Z8=")</f>
        <v>#VALUE!</v>
      </c>
      <c r="FE136" t="e">
        <f>AND(DATA!D857,"AAAAAFf83aA=")</f>
        <v>#VALUE!</v>
      </c>
      <c r="FF136" t="e">
        <f>AND(DATA!E857,"AAAAAFf83aE=")</f>
        <v>#VALUE!</v>
      </c>
      <c r="FG136" t="e">
        <f>AND(DATA!F857,"AAAAAFf83aI=")</f>
        <v>#VALUE!</v>
      </c>
      <c r="FH136" t="e">
        <f>AND(DATA!G857,"AAAAAFf83aM=")</f>
        <v>#VALUE!</v>
      </c>
      <c r="FI136" t="e">
        <f>AND(DATA!H857,"AAAAAFf83aQ=")</f>
        <v>#VALUE!</v>
      </c>
      <c r="FJ136" t="e">
        <f>AND(DATA!I857,"AAAAAFf83aU=")</f>
        <v>#VALUE!</v>
      </c>
      <c r="FK136" t="e">
        <f>AND(DATA!J857,"AAAAAFf83aY=")</f>
        <v>#VALUE!</v>
      </c>
      <c r="FL136" t="e">
        <f>AND(DATA!K857,"AAAAAFf83ac=")</f>
        <v>#VALUE!</v>
      </c>
      <c r="FM136" t="b">
        <f>AND(DATA!L858,"AAAAAFf83ag=")</f>
        <v>1</v>
      </c>
      <c r="FN136" t="b">
        <f>AND(DATA!M858,"AAAAAFf83ak=")</f>
        <v>1</v>
      </c>
      <c r="FO136" t="b">
        <f>AND(DATA!N858,"AAAAAFf83ao=")</f>
        <v>1</v>
      </c>
      <c r="FP136" t="b">
        <f>AND(DATA!O858,"AAAAAFf83as=")</f>
        <v>1</v>
      </c>
      <c r="FQ136" t="b">
        <f>AND(DATA!P858,"AAAAAFf83aw=")</f>
        <v>1</v>
      </c>
      <c r="FR136" t="b">
        <f>AND(DATA!Q858,"AAAAAFf83a0=")</f>
        <v>1</v>
      </c>
      <c r="FS136" t="b">
        <f>AND(DATA!R858,"AAAAAFf83a4=")</f>
        <v>1</v>
      </c>
      <c r="FT136" t="b">
        <f>AND(DATA!S858,"AAAAAFf83a8=")</f>
        <v>1</v>
      </c>
      <c r="FU136" t="b">
        <f>AND(DATA!T858,"AAAAAFf83bA=")</f>
        <v>1</v>
      </c>
      <c r="FV136" t="b">
        <f>AND(DATA!U858,"AAAAAFf83bE=")</f>
        <v>1</v>
      </c>
      <c r="FW136" t="b">
        <f>AND(DATA!V858,"AAAAAFf83bI=")</f>
        <v>1</v>
      </c>
      <c r="FX136" t="e">
        <f>AND(DATA!W857,"AAAAAFf83bM=")</f>
        <v>#VALUE!</v>
      </c>
      <c r="FY136" t="e">
        <f>AND(DATA!X857,"AAAAAFf83bQ=")</f>
        <v>#VALUE!</v>
      </c>
      <c r="FZ136" t="e">
        <f>AND(DATA!Y857,"AAAAAFf83bU=")</f>
        <v>#VALUE!</v>
      </c>
      <c r="GA136">
        <f>IF(DATA!858:858,"AAAAAFf83bY=",0)</f>
        <v>0</v>
      </c>
      <c r="GB136" t="e">
        <f>AND(DATA!A858,"AAAAAFf83bc=")</f>
        <v>#VALUE!</v>
      </c>
      <c r="GC136" t="e">
        <f>AND(DATA!B858,"AAAAAFf83bg=")</f>
        <v>#VALUE!</v>
      </c>
      <c r="GD136" t="e">
        <f>AND(DATA!C858,"AAAAAFf83bk=")</f>
        <v>#VALUE!</v>
      </c>
      <c r="GE136" t="e">
        <f>AND(DATA!D858,"AAAAAFf83bo=")</f>
        <v>#VALUE!</v>
      </c>
      <c r="GF136" t="e">
        <f>AND(DATA!E858,"AAAAAFf83bs=")</f>
        <v>#VALUE!</v>
      </c>
      <c r="GG136" t="e">
        <f>AND(DATA!F858,"AAAAAFf83bw=")</f>
        <v>#VALUE!</v>
      </c>
      <c r="GH136" t="e">
        <f>AND(DATA!G858,"AAAAAFf83b0=")</f>
        <v>#VALUE!</v>
      </c>
      <c r="GI136" t="e">
        <f>AND(DATA!H858,"AAAAAFf83b4=")</f>
        <v>#VALUE!</v>
      </c>
      <c r="GJ136" t="e">
        <f>AND(DATA!I858,"AAAAAFf83b8=")</f>
        <v>#VALUE!</v>
      </c>
      <c r="GK136" t="e">
        <f>AND(DATA!J858,"AAAAAFf83cA=")</f>
        <v>#VALUE!</v>
      </c>
      <c r="GL136" t="e">
        <f>AND(DATA!K858,"AAAAAFf83cE=")</f>
        <v>#VALUE!</v>
      </c>
      <c r="GM136" t="b">
        <f>AND(DATA!L859,"AAAAAFf83cI=")</f>
        <v>1</v>
      </c>
      <c r="GN136" t="b">
        <f>AND(DATA!M859,"AAAAAFf83cM=")</f>
        <v>1</v>
      </c>
      <c r="GO136" t="b">
        <f>AND(DATA!N859,"AAAAAFf83cQ=")</f>
        <v>1</v>
      </c>
      <c r="GP136" t="b">
        <f>AND(DATA!O859,"AAAAAFf83cU=")</f>
        <v>1</v>
      </c>
      <c r="GQ136" t="b">
        <f>AND(DATA!P859,"AAAAAFf83cY=")</f>
        <v>1</v>
      </c>
      <c r="GR136" t="b">
        <f>AND(DATA!Q859,"AAAAAFf83cc=")</f>
        <v>1</v>
      </c>
      <c r="GS136" t="b">
        <f>AND(DATA!R859,"AAAAAFf83cg=")</f>
        <v>1</v>
      </c>
      <c r="GT136" t="b">
        <f>AND(DATA!S859,"AAAAAFf83ck=")</f>
        <v>1</v>
      </c>
      <c r="GU136" t="b">
        <f>AND(DATA!T859,"AAAAAFf83co=")</f>
        <v>1</v>
      </c>
      <c r="GV136" t="b">
        <f>AND(DATA!U859,"AAAAAFf83cs=")</f>
        <v>1</v>
      </c>
      <c r="GW136" t="b">
        <f>AND(DATA!V859,"AAAAAFf83cw=")</f>
        <v>1</v>
      </c>
      <c r="GX136" t="e">
        <f>AND(DATA!W858,"AAAAAFf83c0=")</f>
        <v>#VALUE!</v>
      </c>
      <c r="GY136" t="e">
        <f>AND(DATA!X858,"AAAAAFf83c4=")</f>
        <v>#VALUE!</v>
      </c>
      <c r="GZ136" t="e">
        <f>AND(DATA!Y858,"AAAAAFf83c8=")</f>
        <v>#VALUE!</v>
      </c>
      <c r="HA136">
        <f>IF(DATA!859:859,"AAAAAFf83dA=",0)</f>
        <v>0</v>
      </c>
      <c r="HB136" t="e">
        <f>AND(DATA!A859,"AAAAAFf83dE=")</f>
        <v>#VALUE!</v>
      </c>
      <c r="HC136" t="e">
        <f>AND(DATA!B859,"AAAAAFf83dI=")</f>
        <v>#VALUE!</v>
      </c>
      <c r="HD136" t="e">
        <f>AND(DATA!C859,"AAAAAFf83dM=")</f>
        <v>#VALUE!</v>
      </c>
      <c r="HE136" t="e">
        <f>AND(DATA!D859,"AAAAAFf83dQ=")</f>
        <v>#VALUE!</v>
      </c>
      <c r="HF136" t="e">
        <f>AND(DATA!E859,"AAAAAFf83dU=")</f>
        <v>#VALUE!</v>
      </c>
      <c r="HG136" t="e">
        <f>AND(DATA!F859,"AAAAAFf83dY=")</f>
        <v>#VALUE!</v>
      </c>
      <c r="HH136" t="e">
        <f>AND(DATA!G859,"AAAAAFf83dc=")</f>
        <v>#VALUE!</v>
      </c>
      <c r="HI136" t="e">
        <f>AND(DATA!H859,"AAAAAFf83dg=")</f>
        <v>#VALUE!</v>
      </c>
      <c r="HJ136" t="e">
        <f>AND(DATA!I859,"AAAAAFf83dk=")</f>
        <v>#VALUE!</v>
      </c>
      <c r="HK136" t="e">
        <f>AND(DATA!J859,"AAAAAFf83do=")</f>
        <v>#VALUE!</v>
      </c>
      <c r="HL136" t="e">
        <f>AND(DATA!K859,"AAAAAFf83ds=")</f>
        <v>#VALUE!</v>
      </c>
      <c r="HM136" t="b">
        <f>AND(DATA!L860,"AAAAAFf83dw=")</f>
        <v>1</v>
      </c>
      <c r="HN136" t="b">
        <f>AND(DATA!M860,"AAAAAFf83d0=")</f>
        <v>1</v>
      </c>
      <c r="HO136" t="b">
        <f>AND(DATA!N860,"AAAAAFf83d4=")</f>
        <v>1</v>
      </c>
      <c r="HP136" t="b">
        <f>AND(DATA!O860,"AAAAAFf83d8=")</f>
        <v>1</v>
      </c>
      <c r="HQ136" t="b">
        <f>AND(DATA!P860,"AAAAAFf83eA=")</f>
        <v>1</v>
      </c>
      <c r="HR136" t="b">
        <f>AND(DATA!Q860,"AAAAAFf83eE=")</f>
        <v>1</v>
      </c>
      <c r="HS136" t="b">
        <f>AND(DATA!R860,"AAAAAFf83eI=")</f>
        <v>1</v>
      </c>
      <c r="HT136" t="b">
        <f>AND(DATA!S860,"AAAAAFf83eM=")</f>
        <v>1</v>
      </c>
      <c r="HU136" t="b">
        <f>AND(DATA!T860,"AAAAAFf83eQ=")</f>
        <v>1</v>
      </c>
      <c r="HV136" t="b">
        <f>AND(DATA!U860,"AAAAAFf83eU=")</f>
        <v>1</v>
      </c>
      <c r="HW136" t="b">
        <f>AND(DATA!V860,"AAAAAFf83eY=")</f>
        <v>1</v>
      </c>
      <c r="HX136" t="e">
        <f>AND(DATA!W859,"AAAAAFf83ec=")</f>
        <v>#VALUE!</v>
      </c>
      <c r="HY136" t="e">
        <f>AND(DATA!X859,"AAAAAFf83eg=")</f>
        <v>#VALUE!</v>
      </c>
      <c r="HZ136" t="e">
        <f>AND(DATA!Y859,"AAAAAFf83ek=")</f>
        <v>#VALUE!</v>
      </c>
      <c r="IA136">
        <f>IF(DATA!860:860,"AAAAAFf83eo=",0)</f>
        <v>0</v>
      </c>
      <c r="IB136" t="e">
        <f>AND(DATA!A860,"AAAAAFf83es=")</f>
        <v>#VALUE!</v>
      </c>
      <c r="IC136" t="e">
        <f>AND(DATA!B860,"AAAAAFf83ew=")</f>
        <v>#VALUE!</v>
      </c>
      <c r="ID136" t="e">
        <f>AND(DATA!C860,"AAAAAFf83e0=")</f>
        <v>#VALUE!</v>
      </c>
      <c r="IE136" t="e">
        <f>AND(DATA!D860,"AAAAAFf83e4=")</f>
        <v>#VALUE!</v>
      </c>
      <c r="IF136" t="e">
        <f>AND(DATA!E860,"AAAAAFf83e8=")</f>
        <v>#VALUE!</v>
      </c>
      <c r="IG136" t="e">
        <f>AND(DATA!F860,"AAAAAFf83fA=")</f>
        <v>#VALUE!</v>
      </c>
      <c r="IH136" t="e">
        <f>AND(DATA!G860,"AAAAAFf83fE=")</f>
        <v>#VALUE!</v>
      </c>
      <c r="II136" t="e">
        <f>AND(DATA!H860,"AAAAAFf83fI=")</f>
        <v>#VALUE!</v>
      </c>
      <c r="IJ136" t="e">
        <f>AND(DATA!I860,"AAAAAFf83fM=")</f>
        <v>#VALUE!</v>
      </c>
      <c r="IK136" t="e">
        <f>AND(DATA!J860,"AAAAAFf83fQ=")</f>
        <v>#VALUE!</v>
      </c>
      <c r="IL136" t="e">
        <f>AND(DATA!K860,"AAAAAFf83fU=")</f>
        <v>#VALUE!</v>
      </c>
      <c r="IM136" t="b">
        <f>AND(DATA!L861,"AAAAAFf83fY=")</f>
        <v>1</v>
      </c>
      <c r="IN136" t="e">
        <f>AND(DATA!M861,"AAAAAFf83fc=")</f>
        <v>#VALUE!</v>
      </c>
      <c r="IO136" t="b">
        <f>AND(DATA!N861,"AAAAAFf83fg=")</f>
        <v>1</v>
      </c>
      <c r="IP136" t="e">
        <f>AND(DATA!O861,"AAAAAFf83fk=")</f>
        <v>#VALUE!</v>
      </c>
      <c r="IQ136" t="b">
        <f>AND(DATA!P861,"AAAAAFf83fo=")</f>
        <v>1</v>
      </c>
      <c r="IR136" t="b">
        <f>AND(DATA!Q861,"AAAAAFf83fs=")</f>
        <v>1</v>
      </c>
      <c r="IS136" t="b">
        <f>AND(DATA!R861,"AAAAAFf83fw=")</f>
        <v>1</v>
      </c>
      <c r="IT136" t="e">
        <f>AND(DATA!S861,"AAAAAFf83f0=")</f>
        <v>#VALUE!</v>
      </c>
      <c r="IU136" t="b">
        <f>AND(DATA!T861,"AAAAAFf83f4=")</f>
        <v>1</v>
      </c>
      <c r="IV136" t="b">
        <f>AND(DATA!U861,"AAAAAFf83f8=")</f>
        <v>1</v>
      </c>
    </row>
    <row r="137" spans="1:256" x14ac:dyDescent="0.25">
      <c r="A137" t="b">
        <f>AND(DATA!V861,"AAAAAGl/vAA=")</f>
        <v>1</v>
      </c>
      <c r="B137" t="e">
        <f>AND(DATA!W860,"AAAAAGl/vAE=")</f>
        <v>#VALUE!</v>
      </c>
      <c r="C137" t="e">
        <f>AND(DATA!X860,"AAAAAGl/vAI=")</f>
        <v>#VALUE!</v>
      </c>
      <c r="D137" t="e">
        <f>AND(DATA!Y860,"AAAAAGl/vAM=")</f>
        <v>#VALUE!</v>
      </c>
      <c r="E137">
        <f>IF(DATA!861:861,"AAAAAGl/vAQ=",0)</f>
        <v>0</v>
      </c>
      <c r="F137" t="e">
        <f>AND(DATA!A861,"AAAAAGl/vAU=")</f>
        <v>#VALUE!</v>
      </c>
      <c r="G137" t="e">
        <f>AND(DATA!B861,"AAAAAGl/vAY=")</f>
        <v>#VALUE!</v>
      </c>
      <c r="H137" t="e">
        <f>AND(DATA!C861,"AAAAAGl/vAc=")</f>
        <v>#VALUE!</v>
      </c>
      <c r="I137" t="e">
        <f>AND(DATA!D861,"AAAAAGl/vAg=")</f>
        <v>#VALUE!</v>
      </c>
      <c r="J137" t="e">
        <f>AND(DATA!E861,"AAAAAGl/vAk=")</f>
        <v>#VALUE!</v>
      </c>
      <c r="K137" t="e">
        <f>AND(DATA!F861,"AAAAAGl/vAo=")</f>
        <v>#VALUE!</v>
      </c>
      <c r="L137" t="e">
        <f>AND(DATA!G861,"AAAAAGl/vAs=")</f>
        <v>#VALUE!</v>
      </c>
      <c r="M137" t="e">
        <f>AND(DATA!H861,"AAAAAGl/vAw=")</f>
        <v>#VALUE!</v>
      </c>
      <c r="N137" t="e">
        <f>AND(DATA!I861,"AAAAAGl/vA0=")</f>
        <v>#VALUE!</v>
      </c>
      <c r="O137" t="e">
        <f>AND(DATA!J861,"AAAAAGl/vA4=")</f>
        <v>#VALUE!</v>
      </c>
      <c r="P137" t="e">
        <f>AND(DATA!K861,"AAAAAGl/vA8=")</f>
        <v>#VALUE!</v>
      </c>
      <c r="Q137" t="b">
        <f>AND(DATA!L862,"AAAAAGl/vBA=")</f>
        <v>1</v>
      </c>
      <c r="R137" t="b">
        <f>AND(DATA!M862,"AAAAAGl/vBE=")</f>
        <v>1</v>
      </c>
      <c r="S137" t="b">
        <f>AND(DATA!N862,"AAAAAGl/vBI=")</f>
        <v>1</v>
      </c>
      <c r="T137" t="b">
        <f>AND(DATA!O862,"AAAAAGl/vBM=")</f>
        <v>1</v>
      </c>
      <c r="U137" t="b">
        <f>AND(DATA!P862,"AAAAAGl/vBQ=")</f>
        <v>1</v>
      </c>
      <c r="V137" t="b">
        <f>AND(DATA!Q862,"AAAAAGl/vBU=")</f>
        <v>1</v>
      </c>
      <c r="W137" t="b">
        <f>AND(DATA!R862,"AAAAAGl/vBY=")</f>
        <v>1</v>
      </c>
      <c r="X137" t="b">
        <f>AND(DATA!S862,"AAAAAGl/vBc=")</f>
        <v>1</v>
      </c>
      <c r="Y137" t="b">
        <f>AND(DATA!T862,"AAAAAGl/vBg=")</f>
        <v>1</v>
      </c>
      <c r="Z137" t="b">
        <f>AND(DATA!U862,"AAAAAGl/vBk=")</f>
        <v>1</v>
      </c>
      <c r="AA137" t="b">
        <f>AND(DATA!V862,"AAAAAGl/vBo=")</f>
        <v>1</v>
      </c>
      <c r="AB137" t="e">
        <f>AND(DATA!W861,"AAAAAGl/vBs=")</f>
        <v>#VALUE!</v>
      </c>
      <c r="AC137" t="e">
        <f>AND(DATA!X861,"AAAAAGl/vBw=")</f>
        <v>#VALUE!</v>
      </c>
      <c r="AD137" t="e">
        <f>AND(DATA!Y861,"AAAAAGl/vB0=")</f>
        <v>#VALUE!</v>
      </c>
      <c r="AE137">
        <f>IF(DATA!862:862,"AAAAAGl/vB4=",0)</f>
        <v>0</v>
      </c>
      <c r="AF137" t="e">
        <f>AND(DATA!A862,"AAAAAGl/vB8=")</f>
        <v>#VALUE!</v>
      </c>
      <c r="AG137" t="e">
        <f>AND(DATA!B862,"AAAAAGl/vCA=")</f>
        <v>#VALUE!</v>
      </c>
      <c r="AH137" t="e">
        <f>AND(DATA!C862,"AAAAAGl/vCE=")</f>
        <v>#VALUE!</v>
      </c>
      <c r="AI137" t="e">
        <f>AND(DATA!D862,"AAAAAGl/vCI=")</f>
        <v>#VALUE!</v>
      </c>
      <c r="AJ137" t="e">
        <f>AND(DATA!E862,"AAAAAGl/vCM=")</f>
        <v>#VALUE!</v>
      </c>
      <c r="AK137" t="e">
        <f>AND(DATA!F862,"AAAAAGl/vCQ=")</f>
        <v>#VALUE!</v>
      </c>
      <c r="AL137" t="e">
        <f>AND(DATA!G862,"AAAAAGl/vCU=")</f>
        <v>#VALUE!</v>
      </c>
      <c r="AM137" t="e">
        <f>AND(DATA!H862,"AAAAAGl/vCY=")</f>
        <v>#VALUE!</v>
      </c>
      <c r="AN137" t="e">
        <f>AND(DATA!I862,"AAAAAGl/vCc=")</f>
        <v>#VALUE!</v>
      </c>
      <c r="AO137" t="e">
        <f>AND(DATA!J862,"AAAAAGl/vCg=")</f>
        <v>#VALUE!</v>
      </c>
      <c r="AP137" t="e">
        <f>AND(DATA!K862,"AAAAAGl/vCk=")</f>
        <v>#VALUE!</v>
      </c>
      <c r="AQ137" t="b">
        <f>AND(DATA!L863,"AAAAAGl/vCo=")</f>
        <v>1</v>
      </c>
      <c r="AR137" t="b">
        <f>AND(DATA!M863,"AAAAAGl/vCs=")</f>
        <v>1</v>
      </c>
      <c r="AS137" t="b">
        <f>AND(DATA!N863,"AAAAAGl/vCw=")</f>
        <v>1</v>
      </c>
      <c r="AT137" t="b">
        <f>AND(DATA!O863,"AAAAAGl/vC0=")</f>
        <v>1</v>
      </c>
      <c r="AU137" t="b">
        <f>AND(DATA!P863,"AAAAAGl/vC4=")</f>
        <v>1</v>
      </c>
      <c r="AV137" t="b">
        <f>AND(DATA!Q863,"AAAAAGl/vC8=")</f>
        <v>1</v>
      </c>
      <c r="AW137" t="b">
        <f>AND(DATA!R863,"AAAAAGl/vDA=")</f>
        <v>1</v>
      </c>
      <c r="AX137" t="b">
        <f>AND(DATA!S863,"AAAAAGl/vDE=")</f>
        <v>1</v>
      </c>
      <c r="AY137" t="b">
        <f>AND(DATA!T863,"AAAAAGl/vDI=")</f>
        <v>1</v>
      </c>
      <c r="AZ137" t="b">
        <f>AND(DATA!U863,"AAAAAGl/vDM=")</f>
        <v>1</v>
      </c>
      <c r="BA137" t="b">
        <f>AND(DATA!V863,"AAAAAGl/vDQ=")</f>
        <v>1</v>
      </c>
      <c r="BB137" t="e">
        <f>AND(DATA!W862,"AAAAAGl/vDU=")</f>
        <v>#VALUE!</v>
      </c>
      <c r="BC137" t="e">
        <f>AND(DATA!X862,"AAAAAGl/vDY=")</f>
        <v>#VALUE!</v>
      </c>
      <c r="BD137" t="e">
        <f>AND(DATA!Y862,"AAAAAGl/vDc=")</f>
        <v>#VALUE!</v>
      </c>
      <c r="BE137">
        <f>IF(DATA!863:863,"AAAAAGl/vDg=",0)</f>
        <v>0</v>
      </c>
      <c r="BF137" t="e">
        <f>AND(DATA!A863,"AAAAAGl/vDk=")</f>
        <v>#VALUE!</v>
      </c>
      <c r="BG137" t="e">
        <f>AND(DATA!B863,"AAAAAGl/vDo=")</f>
        <v>#VALUE!</v>
      </c>
      <c r="BH137" t="e">
        <f>AND(DATA!C863,"AAAAAGl/vDs=")</f>
        <v>#VALUE!</v>
      </c>
      <c r="BI137" t="e">
        <f>AND(DATA!D863,"AAAAAGl/vDw=")</f>
        <v>#VALUE!</v>
      </c>
      <c r="BJ137" t="e">
        <f>AND(DATA!E863,"AAAAAGl/vD0=")</f>
        <v>#VALUE!</v>
      </c>
      <c r="BK137" t="e">
        <f>AND(DATA!F863,"AAAAAGl/vD4=")</f>
        <v>#VALUE!</v>
      </c>
      <c r="BL137" t="e">
        <f>AND(DATA!G863,"AAAAAGl/vD8=")</f>
        <v>#VALUE!</v>
      </c>
      <c r="BM137" t="e">
        <f>AND(DATA!H863,"AAAAAGl/vEA=")</f>
        <v>#VALUE!</v>
      </c>
      <c r="BN137" t="e">
        <f>AND(DATA!I863,"AAAAAGl/vEE=")</f>
        <v>#VALUE!</v>
      </c>
      <c r="BO137" t="e">
        <f>AND(DATA!J863,"AAAAAGl/vEI=")</f>
        <v>#VALUE!</v>
      </c>
      <c r="BP137" t="e">
        <f>AND(DATA!K863,"AAAAAGl/vEM=")</f>
        <v>#VALUE!</v>
      </c>
      <c r="BQ137" t="b">
        <f>AND(DATA!L864,"AAAAAGl/vEQ=")</f>
        <v>1</v>
      </c>
      <c r="BR137" t="b">
        <f>AND(DATA!M864,"AAAAAGl/vEU=")</f>
        <v>1</v>
      </c>
      <c r="BS137" t="b">
        <f>AND(DATA!N864,"AAAAAGl/vEY=")</f>
        <v>1</v>
      </c>
      <c r="BT137" t="b">
        <f>AND(DATA!O864,"AAAAAGl/vEc=")</f>
        <v>1</v>
      </c>
      <c r="BU137" t="b">
        <f>AND(DATA!P864,"AAAAAGl/vEg=")</f>
        <v>1</v>
      </c>
      <c r="BV137" t="b">
        <f>AND(DATA!Q864,"AAAAAGl/vEk=")</f>
        <v>1</v>
      </c>
      <c r="BW137" t="b">
        <f>AND(DATA!R864,"AAAAAGl/vEo=")</f>
        <v>1</v>
      </c>
      <c r="BX137" t="b">
        <f>AND(DATA!S864,"AAAAAGl/vEs=")</f>
        <v>1</v>
      </c>
      <c r="BY137" t="b">
        <f>AND(DATA!T864,"AAAAAGl/vEw=")</f>
        <v>1</v>
      </c>
      <c r="BZ137" t="b">
        <f>AND(DATA!U864,"AAAAAGl/vE0=")</f>
        <v>1</v>
      </c>
      <c r="CA137" t="b">
        <f>AND(DATA!V864,"AAAAAGl/vE4=")</f>
        <v>1</v>
      </c>
      <c r="CB137" t="e">
        <f>AND(DATA!W863,"AAAAAGl/vE8=")</f>
        <v>#VALUE!</v>
      </c>
      <c r="CC137" t="e">
        <f>AND(DATA!X863,"AAAAAGl/vFA=")</f>
        <v>#VALUE!</v>
      </c>
      <c r="CD137" t="e">
        <f>AND(DATA!Y863,"AAAAAGl/vFE=")</f>
        <v>#VALUE!</v>
      </c>
      <c r="CE137">
        <f>IF(DATA!864:864,"AAAAAGl/vFI=",0)</f>
        <v>0</v>
      </c>
      <c r="CF137" t="e">
        <f>AND(DATA!A864,"AAAAAGl/vFM=")</f>
        <v>#VALUE!</v>
      </c>
      <c r="CG137" t="e">
        <f>AND(DATA!B864,"AAAAAGl/vFQ=")</f>
        <v>#VALUE!</v>
      </c>
      <c r="CH137" t="e">
        <f>AND(DATA!C864,"AAAAAGl/vFU=")</f>
        <v>#VALUE!</v>
      </c>
      <c r="CI137" t="e">
        <f>AND(DATA!D864,"AAAAAGl/vFY=")</f>
        <v>#VALUE!</v>
      </c>
      <c r="CJ137" t="e">
        <f>AND(DATA!E864,"AAAAAGl/vFc=")</f>
        <v>#VALUE!</v>
      </c>
      <c r="CK137" t="e">
        <f>AND(DATA!F864,"AAAAAGl/vFg=")</f>
        <v>#VALUE!</v>
      </c>
      <c r="CL137" t="e">
        <f>AND(DATA!G864,"AAAAAGl/vFk=")</f>
        <v>#VALUE!</v>
      </c>
      <c r="CM137" t="e">
        <f>AND(DATA!H864,"AAAAAGl/vFo=")</f>
        <v>#VALUE!</v>
      </c>
      <c r="CN137" t="e">
        <f>AND(DATA!I864,"AAAAAGl/vFs=")</f>
        <v>#VALUE!</v>
      </c>
      <c r="CO137" t="e">
        <f>AND(DATA!J864,"AAAAAGl/vFw=")</f>
        <v>#VALUE!</v>
      </c>
      <c r="CP137" t="e">
        <f>AND(DATA!K864,"AAAAAGl/vF0=")</f>
        <v>#VALUE!</v>
      </c>
      <c r="CQ137" t="b">
        <f>AND(DATA!L865,"AAAAAGl/vF4=")</f>
        <v>1</v>
      </c>
      <c r="CR137" t="b">
        <f>AND(DATA!M865,"AAAAAGl/vF8=")</f>
        <v>1</v>
      </c>
      <c r="CS137" t="b">
        <f>AND(DATA!N865,"AAAAAGl/vGA=")</f>
        <v>1</v>
      </c>
      <c r="CT137" t="b">
        <f>AND(DATA!O865,"AAAAAGl/vGE=")</f>
        <v>1</v>
      </c>
      <c r="CU137" t="b">
        <f>AND(DATA!P865,"AAAAAGl/vGI=")</f>
        <v>1</v>
      </c>
      <c r="CV137" t="b">
        <f>AND(DATA!Q865,"AAAAAGl/vGM=")</f>
        <v>1</v>
      </c>
      <c r="CW137" t="b">
        <f>AND(DATA!R865,"AAAAAGl/vGQ=")</f>
        <v>1</v>
      </c>
      <c r="CX137" t="b">
        <f>AND(DATA!S865,"AAAAAGl/vGU=")</f>
        <v>1</v>
      </c>
      <c r="CY137" t="b">
        <f>AND(DATA!T865,"AAAAAGl/vGY=")</f>
        <v>1</v>
      </c>
      <c r="CZ137" t="b">
        <f>AND(DATA!U865,"AAAAAGl/vGc=")</f>
        <v>1</v>
      </c>
      <c r="DA137" t="b">
        <f>AND(DATA!V865,"AAAAAGl/vGg=")</f>
        <v>1</v>
      </c>
      <c r="DB137" t="e">
        <f>AND(DATA!W864,"AAAAAGl/vGk=")</f>
        <v>#VALUE!</v>
      </c>
      <c r="DC137" t="e">
        <f>AND(DATA!X864,"AAAAAGl/vGo=")</f>
        <v>#VALUE!</v>
      </c>
      <c r="DD137" t="e">
        <f>AND(DATA!Y864,"AAAAAGl/vGs=")</f>
        <v>#VALUE!</v>
      </c>
      <c r="DE137">
        <f>IF(DATA!865:865,"AAAAAGl/vGw=",0)</f>
        <v>0</v>
      </c>
      <c r="DF137" t="e">
        <f>AND(DATA!A865,"AAAAAGl/vG0=")</f>
        <v>#VALUE!</v>
      </c>
      <c r="DG137" t="e">
        <f>AND(DATA!B865,"AAAAAGl/vG4=")</f>
        <v>#VALUE!</v>
      </c>
      <c r="DH137" t="e">
        <f>AND(DATA!C865,"AAAAAGl/vG8=")</f>
        <v>#VALUE!</v>
      </c>
      <c r="DI137" t="e">
        <f>AND(DATA!D865,"AAAAAGl/vHA=")</f>
        <v>#VALUE!</v>
      </c>
      <c r="DJ137" t="e">
        <f>AND(DATA!E865,"AAAAAGl/vHE=")</f>
        <v>#VALUE!</v>
      </c>
      <c r="DK137" t="e">
        <f>AND(DATA!F865,"AAAAAGl/vHI=")</f>
        <v>#VALUE!</v>
      </c>
      <c r="DL137" t="e">
        <f>AND(DATA!G865,"AAAAAGl/vHM=")</f>
        <v>#VALUE!</v>
      </c>
      <c r="DM137" t="e">
        <f>AND(DATA!H865,"AAAAAGl/vHQ=")</f>
        <v>#VALUE!</v>
      </c>
      <c r="DN137" t="e">
        <f>AND(DATA!I865,"AAAAAGl/vHU=")</f>
        <v>#VALUE!</v>
      </c>
      <c r="DO137" t="e">
        <f>AND(DATA!J865,"AAAAAGl/vHY=")</f>
        <v>#VALUE!</v>
      </c>
      <c r="DP137" t="e">
        <f>AND(DATA!K865,"AAAAAGl/vHc=")</f>
        <v>#VALUE!</v>
      </c>
      <c r="DQ137" t="b">
        <f>AND(DATA!L866,"AAAAAGl/vHg=")</f>
        <v>1</v>
      </c>
      <c r="DR137" t="b">
        <f>AND(DATA!M866,"AAAAAGl/vHk=")</f>
        <v>1</v>
      </c>
      <c r="DS137" t="b">
        <f>AND(DATA!N866,"AAAAAGl/vHo=")</f>
        <v>1</v>
      </c>
      <c r="DT137" t="b">
        <f>AND(DATA!O866,"AAAAAGl/vHs=")</f>
        <v>1</v>
      </c>
      <c r="DU137" t="b">
        <f>AND(DATA!P866,"AAAAAGl/vHw=")</f>
        <v>1</v>
      </c>
      <c r="DV137" t="b">
        <f>AND(DATA!Q866,"AAAAAGl/vH0=")</f>
        <v>1</v>
      </c>
      <c r="DW137" t="b">
        <f>AND(DATA!R866,"AAAAAGl/vH4=")</f>
        <v>1</v>
      </c>
      <c r="DX137" t="b">
        <f>AND(DATA!S866,"AAAAAGl/vH8=")</f>
        <v>1</v>
      </c>
      <c r="DY137" t="b">
        <f>AND(DATA!T866,"AAAAAGl/vIA=")</f>
        <v>1</v>
      </c>
      <c r="DZ137" t="b">
        <f>AND(DATA!U866,"AAAAAGl/vIE=")</f>
        <v>1</v>
      </c>
      <c r="EA137" t="b">
        <f>AND(DATA!V866,"AAAAAGl/vII=")</f>
        <v>1</v>
      </c>
      <c r="EB137" t="e">
        <f>AND(DATA!W865,"AAAAAGl/vIM=")</f>
        <v>#VALUE!</v>
      </c>
      <c r="EC137" t="e">
        <f>AND(DATA!X865,"AAAAAGl/vIQ=")</f>
        <v>#VALUE!</v>
      </c>
      <c r="ED137" t="e">
        <f>AND(DATA!Y865,"AAAAAGl/vIU=")</f>
        <v>#VALUE!</v>
      </c>
      <c r="EE137">
        <f>IF(DATA!866:866,"AAAAAGl/vIY=",0)</f>
        <v>0</v>
      </c>
      <c r="EF137" t="e">
        <f>AND(DATA!A866,"AAAAAGl/vIc=")</f>
        <v>#VALUE!</v>
      </c>
      <c r="EG137" t="e">
        <f>AND(DATA!B866,"AAAAAGl/vIg=")</f>
        <v>#VALUE!</v>
      </c>
      <c r="EH137" t="e">
        <f>AND(DATA!C866,"AAAAAGl/vIk=")</f>
        <v>#VALUE!</v>
      </c>
      <c r="EI137" t="e">
        <f>AND(DATA!D866,"AAAAAGl/vIo=")</f>
        <v>#VALUE!</v>
      </c>
      <c r="EJ137" t="e">
        <f>AND(DATA!E866,"AAAAAGl/vIs=")</f>
        <v>#VALUE!</v>
      </c>
      <c r="EK137" t="e">
        <f>AND(DATA!F866,"AAAAAGl/vIw=")</f>
        <v>#VALUE!</v>
      </c>
      <c r="EL137" t="e">
        <f>AND(DATA!G866,"AAAAAGl/vI0=")</f>
        <v>#VALUE!</v>
      </c>
      <c r="EM137" t="e">
        <f>AND(DATA!H866,"AAAAAGl/vI4=")</f>
        <v>#VALUE!</v>
      </c>
      <c r="EN137" t="e">
        <f>AND(DATA!I866,"AAAAAGl/vI8=")</f>
        <v>#VALUE!</v>
      </c>
      <c r="EO137" t="e">
        <f>AND(DATA!J866,"AAAAAGl/vJA=")</f>
        <v>#VALUE!</v>
      </c>
      <c r="EP137" t="e">
        <f>AND(DATA!K866,"AAAAAGl/vJE=")</f>
        <v>#VALUE!</v>
      </c>
      <c r="EQ137" t="b">
        <f>AND(DATA!L867,"AAAAAGl/vJI=")</f>
        <v>1</v>
      </c>
      <c r="ER137" t="b">
        <f>AND(DATA!M867,"AAAAAGl/vJM=")</f>
        <v>1</v>
      </c>
      <c r="ES137" t="b">
        <f>AND(DATA!N867,"AAAAAGl/vJQ=")</f>
        <v>1</v>
      </c>
      <c r="ET137" t="b">
        <f>AND(DATA!O867,"AAAAAGl/vJU=")</f>
        <v>1</v>
      </c>
      <c r="EU137" t="b">
        <f>AND(DATA!P867,"AAAAAGl/vJY=")</f>
        <v>1</v>
      </c>
      <c r="EV137" t="b">
        <f>AND(DATA!Q867,"AAAAAGl/vJc=")</f>
        <v>1</v>
      </c>
      <c r="EW137" t="b">
        <f>AND(DATA!R867,"AAAAAGl/vJg=")</f>
        <v>1</v>
      </c>
      <c r="EX137" t="b">
        <f>AND(DATA!S867,"AAAAAGl/vJk=")</f>
        <v>1</v>
      </c>
      <c r="EY137" t="b">
        <f>AND(DATA!T867,"AAAAAGl/vJo=")</f>
        <v>1</v>
      </c>
      <c r="EZ137" t="b">
        <f>AND(DATA!U867,"AAAAAGl/vJs=")</f>
        <v>1</v>
      </c>
      <c r="FA137" t="b">
        <f>AND(DATA!V867,"AAAAAGl/vJw=")</f>
        <v>1</v>
      </c>
      <c r="FB137" t="e">
        <f>AND(DATA!W866,"AAAAAGl/vJ0=")</f>
        <v>#VALUE!</v>
      </c>
      <c r="FC137" t="e">
        <f>AND(DATA!X866,"AAAAAGl/vJ4=")</f>
        <v>#VALUE!</v>
      </c>
      <c r="FD137" t="e">
        <f>AND(DATA!Y866,"AAAAAGl/vJ8=")</f>
        <v>#VALUE!</v>
      </c>
      <c r="FE137">
        <f>IF(DATA!867:867,"AAAAAGl/vKA=",0)</f>
        <v>0</v>
      </c>
      <c r="FF137" t="e">
        <f>AND(DATA!A867,"AAAAAGl/vKE=")</f>
        <v>#VALUE!</v>
      </c>
      <c r="FG137" t="e">
        <f>AND(DATA!B867,"AAAAAGl/vKI=")</f>
        <v>#VALUE!</v>
      </c>
      <c r="FH137" t="e">
        <f>AND(DATA!C867,"AAAAAGl/vKM=")</f>
        <v>#VALUE!</v>
      </c>
      <c r="FI137" t="e">
        <f>AND(DATA!D867,"AAAAAGl/vKQ=")</f>
        <v>#VALUE!</v>
      </c>
      <c r="FJ137" t="e">
        <f>AND(DATA!E867,"AAAAAGl/vKU=")</f>
        <v>#VALUE!</v>
      </c>
      <c r="FK137" t="e">
        <f>AND(DATA!F867,"AAAAAGl/vKY=")</f>
        <v>#VALUE!</v>
      </c>
      <c r="FL137" t="e">
        <f>AND(DATA!G867,"AAAAAGl/vKc=")</f>
        <v>#VALUE!</v>
      </c>
      <c r="FM137" t="e">
        <f>AND(DATA!H867,"AAAAAGl/vKg=")</f>
        <v>#VALUE!</v>
      </c>
      <c r="FN137" t="e">
        <f>AND(DATA!I867,"AAAAAGl/vKk=")</f>
        <v>#VALUE!</v>
      </c>
      <c r="FO137" t="e">
        <f>AND(DATA!J867,"AAAAAGl/vKo=")</f>
        <v>#VALUE!</v>
      </c>
      <c r="FP137" t="e">
        <f>AND(DATA!K867,"AAAAAGl/vKs=")</f>
        <v>#VALUE!</v>
      </c>
      <c r="FQ137" t="b">
        <f>AND(DATA!L868,"AAAAAGl/vKw=")</f>
        <v>1</v>
      </c>
      <c r="FR137" t="b">
        <f>AND(DATA!M868,"AAAAAGl/vK0=")</f>
        <v>1</v>
      </c>
      <c r="FS137" t="b">
        <f>AND(DATA!N868,"AAAAAGl/vK4=")</f>
        <v>1</v>
      </c>
      <c r="FT137" t="b">
        <f>AND(DATA!O868,"AAAAAGl/vK8=")</f>
        <v>1</v>
      </c>
      <c r="FU137" t="b">
        <f>AND(DATA!P868,"AAAAAGl/vLA=")</f>
        <v>1</v>
      </c>
      <c r="FV137" t="b">
        <f>AND(DATA!Q868,"AAAAAGl/vLE=")</f>
        <v>1</v>
      </c>
      <c r="FW137" t="b">
        <f>AND(DATA!R868,"AAAAAGl/vLI=")</f>
        <v>1</v>
      </c>
      <c r="FX137" t="b">
        <f>AND(DATA!S868,"AAAAAGl/vLM=")</f>
        <v>1</v>
      </c>
      <c r="FY137" t="b">
        <f>AND(DATA!T868,"AAAAAGl/vLQ=")</f>
        <v>1</v>
      </c>
      <c r="FZ137" t="b">
        <f>AND(DATA!U868,"AAAAAGl/vLU=")</f>
        <v>1</v>
      </c>
      <c r="GA137" t="b">
        <f>AND(DATA!V868,"AAAAAGl/vLY=")</f>
        <v>1</v>
      </c>
      <c r="GB137" t="e">
        <f>AND(DATA!W867,"AAAAAGl/vLc=")</f>
        <v>#VALUE!</v>
      </c>
      <c r="GC137" t="e">
        <f>AND(DATA!X867,"AAAAAGl/vLg=")</f>
        <v>#VALUE!</v>
      </c>
      <c r="GD137" t="e">
        <f>AND(DATA!Y867,"AAAAAGl/vLk=")</f>
        <v>#VALUE!</v>
      </c>
      <c r="GE137">
        <f>IF(DATA!868:868,"AAAAAGl/vLo=",0)</f>
        <v>0</v>
      </c>
      <c r="GF137" t="e">
        <f>AND(DATA!A868,"AAAAAGl/vLs=")</f>
        <v>#VALUE!</v>
      </c>
      <c r="GG137" t="e">
        <f>AND(DATA!B868,"AAAAAGl/vLw=")</f>
        <v>#VALUE!</v>
      </c>
      <c r="GH137" t="e">
        <f>AND(DATA!C868,"AAAAAGl/vL0=")</f>
        <v>#VALUE!</v>
      </c>
      <c r="GI137" t="e">
        <f>AND(DATA!D868,"AAAAAGl/vL4=")</f>
        <v>#VALUE!</v>
      </c>
      <c r="GJ137" t="e">
        <f>AND(DATA!E868,"AAAAAGl/vL8=")</f>
        <v>#VALUE!</v>
      </c>
      <c r="GK137" t="e">
        <f>AND(DATA!F868,"AAAAAGl/vMA=")</f>
        <v>#VALUE!</v>
      </c>
      <c r="GL137" t="e">
        <f>AND(DATA!G868,"AAAAAGl/vME=")</f>
        <v>#VALUE!</v>
      </c>
      <c r="GM137" t="e">
        <f>AND(DATA!H868,"AAAAAGl/vMI=")</f>
        <v>#VALUE!</v>
      </c>
      <c r="GN137" t="e">
        <f>AND(DATA!I868,"AAAAAGl/vMM=")</f>
        <v>#VALUE!</v>
      </c>
      <c r="GO137" t="e">
        <f>AND(DATA!J868,"AAAAAGl/vMQ=")</f>
        <v>#VALUE!</v>
      </c>
      <c r="GP137" t="e">
        <f>AND(DATA!K868,"AAAAAGl/vMU=")</f>
        <v>#VALUE!</v>
      </c>
      <c r="GQ137" t="b">
        <f>AND(DATA!L869,"AAAAAGl/vMY=")</f>
        <v>1</v>
      </c>
      <c r="GR137" t="b">
        <f>AND(DATA!M869,"AAAAAGl/vMc=")</f>
        <v>1</v>
      </c>
      <c r="GS137" t="b">
        <f>AND(DATA!N869,"AAAAAGl/vMg=")</f>
        <v>1</v>
      </c>
      <c r="GT137" t="b">
        <f>AND(DATA!O869,"AAAAAGl/vMk=")</f>
        <v>1</v>
      </c>
      <c r="GU137" t="b">
        <f>AND(DATA!P869,"AAAAAGl/vMo=")</f>
        <v>1</v>
      </c>
      <c r="GV137" t="b">
        <f>AND(DATA!Q869,"AAAAAGl/vMs=")</f>
        <v>1</v>
      </c>
      <c r="GW137" t="b">
        <f>AND(DATA!R869,"AAAAAGl/vMw=")</f>
        <v>1</v>
      </c>
      <c r="GX137" t="b">
        <f>AND(DATA!S869,"AAAAAGl/vM0=")</f>
        <v>1</v>
      </c>
      <c r="GY137" t="b">
        <f>AND(DATA!T869,"AAAAAGl/vM4=")</f>
        <v>1</v>
      </c>
      <c r="GZ137" t="b">
        <f>AND(DATA!U869,"AAAAAGl/vM8=")</f>
        <v>1</v>
      </c>
      <c r="HA137" t="b">
        <f>AND(DATA!V869,"AAAAAGl/vNA=")</f>
        <v>1</v>
      </c>
      <c r="HB137" t="e">
        <f>AND(DATA!W868,"AAAAAGl/vNE=")</f>
        <v>#VALUE!</v>
      </c>
      <c r="HC137" t="e">
        <f>AND(DATA!X868,"AAAAAGl/vNI=")</f>
        <v>#VALUE!</v>
      </c>
      <c r="HD137" t="e">
        <f>AND(DATA!Y868,"AAAAAGl/vNM=")</f>
        <v>#VALUE!</v>
      </c>
      <c r="HE137">
        <f>IF(DATA!869:869,"AAAAAGl/vNQ=",0)</f>
        <v>0</v>
      </c>
      <c r="HF137" t="e">
        <f>AND(DATA!A869,"AAAAAGl/vNU=")</f>
        <v>#VALUE!</v>
      </c>
      <c r="HG137" t="e">
        <f>AND(DATA!B869,"AAAAAGl/vNY=")</f>
        <v>#VALUE!</v>
      </c>
      <c r="HH137" t="e">
        <f>AND(DATA!C869,"AAAAAGl/vNc=")</f>
        <v>#VALUE!</v>
      </c>
      <c r="HI137" t="e">
        <f>AND(DATA!D869,"AAAAAGl/vNg=")</f>
        <v>#VALUE!</v>
      </c>
      <c r="HJ137" t="e">
        <f>AND(DATA!E869,"AAAAAGl/vNk=")</f>
        <v>#VALUE!</v>
      </c>
      <c r="HK137" t="e">
        <f>AND(DATA!F869,"AAAAAGl/vNo=")</f>
        <v>#VALUE!</v>
      </c>
      <c r="HL137" t="e">
        <f>AND(DATA!G869,"AAAAAGl/vNs=")</f>
        <v>#VALUE!</v>
      </c>
      <c r="HM137" t="e">
        <f>AND(DATA!H869,"AAAAAGl/vNw=")</f>
        <v>#VALUE!</v>
      </c>
      <c r="HN137" t="e">
        <f>AND(DATA!I869,"AAAAAGl/vN0=")</f>
        <v>#VALUE!</v>
      </c>
      <c r="HO137" t="e">
        <f>AND(DATA!J869,"AAAAAGl/vN4=")</f>
        <v>#VALUE!</v>
      </c>
      <c r="HP137" t="e">
        <f>AND(DATA!K869,"AAAAAGl/vN8=")</f>
        <v>#VALUE!</v>
      </c>
      <c r="HQ137" t="b">
        <f>AND(DATA!L870,"AAAAAGl/vOA=")</f>
        <v>1</v>
      </c>
      <c r="HR137" t="b">
        <f>AND(DATA!M870,"AAAAAGl/vOE=")</f>
        <v>1</v>
      </c>
      <c r="HS137" t="b">
        <f>AND(DATA!N870,"AAAAAGl/vOI=")</f>
        <v>1</v>
      </c>
      <c r="HT137" t="b">
        <f>AND(DATA!O870,"AAAAAGl/vOM=")</f>
        <v>1</v>
      </c>
      <c r="HU137" t="b">
        <f>AND(DATA!P870,"AAAAAGl/vOQ=")</f>
        <v>1</v>
      </c>
      <c r="HV137" t="b">
        <f>AND(DATA!Q870,"AAAAAGl/vOU=")</f>
        <v>1</v>
      </c>
      <c r="HW137" t="b">
        <f>AND(DATA!R870,"AAAAAGl/vOY=")</f>
        <v>1</v>
      </c>
      <c r="HX137" t="b">
        <f>AND(DATA!S870,"AAAAAGl/vOc=")</f>
        <v>1</v>
      </c>
      <c r="HY137" t="b">
        <f>AND(DATA!T870,"AAAAAGl/vOg=")</f>
        <v>1</v>
      </c>
      <c r="HZ137" t="b">
        <f>AND(DATA!U870,"AAAAAGl/vOk=")</f>
        <v>1</v>
      </c>
      <c r="IA137" t="b">
        <f>AND(DATA!V870,"AAAAAGl/vOo=")</f>
        <v>1</v>
      </c>
      <c r="IB137" t="e">
        <f>AND(DATA!W869,"AAAAAGl/vOs=")</f>
        <v>#VALUE!</v>
      </c>
      <c r="IC137" t="e">
        <f>AND(DATA!X869,"AAAAAGl/vOw=")</f>
        <v>#VALUE!</v>
      </c>
      <c r="ID137" t="e">
        <f>AND(DATA!Y869,"AAAAAGl/vO0=")</f>
        <v>#VALUE!</v>
      </c>
      <c r="IE137">
        <f>IF(DATA!870:870,"AAAAAGl/vO4=",0)</f>
        <v>0</v>
      </c>
      <c r="IF137" t="e">
        <f>AND(DATA!A870,"AAAAAGl/vO8=")</f>
        <v>#VALUE!</v>
      </c>
      <c r="IG137" t="e">
        <f>AND(DATA!B870,"AAAAAGl/vPA=")</f>
        <v>#VALUE!</v>
      </c>
      <c r="IH137" t="e">
        <f>AND(DATA!C870,"AAAAAGl/vPE=")</f>
        <v>#VALUE!</v>
      </c>
      <c r="II137" t="e">
        <f>AND(DATA!D870,"AAAAAGl/vPI=")</f>
        <v>#VALUE!</v>
      </c>
      <c r="IJ137" t="e">
        <f>AND(DATA!E870,"AAAAAGl/vPM=")</f>
        <v>#VALUE!</v>
      </c>
      <c r="IK137" t="e">
        <f>AND(DATA!F870,"AAAAAGl/vPQ=")</f>
        <v>#VALUE!</v>
      </c>
      <c r="IL137" t="e">
        <f>AND(DATA!G870,"AAAAAGl/vPU=")</f>
        <v>#VALUE!</v>
      </c>
      <c r="IM137" t="e">
        <f>AND(DATA!H870,"AAAAAGl/vPY=")</f>
        <v>#VALUE!</v>
      </c>
      <c r="IN137" t="e">
        <f>AND(DATA!I870,"AAAAAGl/vPc=")</f>
        <v>#VALUE!</v>
      </c>
      <c r="IO137" t="e">
        <f>AND(DATA!J870,"AAAAAGl/vPg=")</f>
        <v>#VALUE!</v>
      </c>
      <c r="IP137" t="e">
        <f>AND(DATA!K870,"AAAAAGl/vPk=")</f>
        <v>#VALUE!</v>
      </c>
      <c r="IQ137" t="b">
        <f>AND(DATA!L871,"AAAAAGl/vPo=")</f>
        <v>1</v>
      </c>
      <c r="IR137" t="b">
        <f>AND(DATA!M871,"AAAAAGl/vPs=")</f>
        <v>1</v>
      </c>
      <c r="IS137" t="b">
        <f>AND(DATA!N871,"AAAAAGl/vPw=")</f>
        <v>1</v>
      </c>
      <c r="IT137" t="b">
        <f>AND(DATA!O871,"AAAAAGl/vP0=")</f>
        <v>1</v>
      </c>
      <c r="IU137" t="b">
        <f>AND(DATA!P871,"AAAAAGl/vP4=")</f>
        <v>1</v>
      </c>
      <c r="IV137" t="b">
        <f>AND(DATA!Q871,"AAAAAGl/vP8=")</f>
        <v>1</v>
      </c>
    </row>
    <row r="138" spans="1:256" x14ac:dyDescent="0.25">
      <c r="A138" t="b">
        <f>AND(DATA!R871,"AAAAAH/+5gA=")</f>
        <v>1</v>
      </c>
      <c r="B138" t="b">
        <f>AND(DATA!S871,"AAAAAH/+5gE=")</f>
        <v>1</v>
      </c>
      <c r="C138" t="b">
        <f>AND(DATA!T871,"AAAAAH/+5gI=")</f>
        <v>1</v>
      </c>
      <c r="D138" t="b">
        <f>AND(DATA!U871,"AAAAAH/+5gM=")</f>
        <v>1</v>
      </c>
      <c r="E138" t="b">
        <f>AND(DATA!V871,"AAAAAH/+5gQ=")</f>
        <v>1</v>
      </c>
      <c r="F138" t="e">
        <f>AND(DATA!W870,"AAAAAH/+5gU=")</f>
        <v>#VALUE!</v>
      </c>
      <c r="G138" t="e">
        <f>AND(DATA!X870,"AAAAAH/+5gY=")</f>
        <v>#VALUE!</v>
      </c>
      <c r="H138" t="e">
        <f>AND(DATA!Y870,"AAAAAH/+5gc=")</f>
        <v>#VALUE!</v>
      </c>
      <c r="I138">
        <f>IF(DATA!871:871,"AAAAAH/+5gg=",0)</f>
        <v>0</v>
      </c>
      <c r="J138" t="e">
        <f>AND(DATA!A871,"AAAAAH/+5gk=")</f>
        <v>#VALUE!</v>
      </c>
      <c r="K138" t="e">
        <f>AND(DATA!B871,"AAAAAH/+5go=")</f>
        <v>#VALUE!</v>
      </c>
      <c r="L138" t="e">
        <f>AND(DATA!C871,"AAAAAH/+5gs=")</f>
        <v>#VALUE!</v>
      </c>
      <c r="M138" t="e">
        <f>AND(DATA!D871,"AAAAAH/+5gw=")</f>
        <v>#VALUE!</v>
      </c>
      <c r="N138" t="e">
        <f>AND(DATA!E871,"AAAAAH/+5g0=")</f>
        <v>#VALUE!</v>
      </c>
      <c r="O138" t="e">
        <f>AND(DATA!F871,"AAAAAH/+5g4=")</f>
        <v>#VALUE!</v>
      </c>
      <c r="P138" t="e">
        <f>AND(DATA!G871,"AAAAAH/+5g8=")</f>
        <v>#VALUE!</v>
      </c>
      <c r="Q138" t="e">
        <f>AND(DATA!H871,"AAAAAH/+5hA=")</f>
        <v>#VALUE!</v>
      </c>
      <c r="R138" t="e">
        <f>AND(DATA!I871,"AAAAAH/+5hE=")</f>
        <v>#VALUE!</v>
      </c>
      <c r="S138" t="e">
        <f>AND(DATA!J871,"AAAAAH/+5hI=")</f>
        <v>#VALUE!</v>
      </c>
      <c r="T138" t="e">
        <f>AND(DATA!K871,"AAAAAH/+5hM=")</f>
        <v>#VALUE!</v>
      </c>
      <c r="U138" t="b">
        <f>AND(DATA!L872,"AAAAAH/+5hQ=")</f>
        <v>1</v>
      </c>
      <c r="V138" t="b">
        <f>AND(DATA!M872,"AAAAAH/+5hU=")</f>
        <v>1</v>
      </c>
      <c r="W138" t="b">
        <f>AND(DATA!N872,"AAAAAH/+5hY=")</f>
        <v>1</v>
      </c>
      <c r="X138" t="b">
        <f>AND(DATA!O872,"AAAAAH/+5hc=")</f>
        <v>1</v>
      </c>
      <c r="Y138" t="b">
        <f>AND(DATA!P872,"AAAAAH/+5hg=")</f>
        <v>1</v>
      </c>
      <c r="Z138" t="b">
        <f>AND(DATA!Q872,"AAAAAH/+5hk=")</f>
        <v>1</v>
      </c>
      <c r="AA138" t="b">
        <f>AND(DATA!R872,"AAAAAH/+5ho=")</f>
        <v>1</v>
      </c>
      <c r="AB138" t="b">
        <f>AND(DATA!S872,"AAAAAH/+5hs=")</f>
        <v>1</v>
      </c>
      <c r="AC138" t="b">
        <f>AND(DATA!T872,"AAAAAH/+5hw=")</f>
        <v>1</v>
      </c>
      <c r="AD138" t="b">
        <f>AND(DATA!U872,"AAAAAH/+5h0=")</f>
        <v>1</v>
      </c>
      <c r="AE138" t="b">
        <f>AND(DATA!V872,"AAAAAH/+5h4=")</f>
        <v>1</v>
      </c>
      <c r="AF138" t="e">
        <f>AND(DATA!W871,"AAAAAH/+5h8=")</f>
        <v>#VALUE!</v>
      </c>
      <c r="AG138" t="e">
        <f>AND(DATA!X871,"AAAAAH/+5iA=")</f>
        <v>#VALUE!</v>
      </c>
      <c r="AH138" t="e">
        <f>AND(DATA!Y871,"AAAAAH/+5iE=")</f>
        <v>#VALUE!</v>
      </c>
      <c r="AI138">
        <f>IF(DATA!872:872,"AAAAAH/+5iI=",0)</f>
        <v>0</v>
      </c>
      <c r="AJ138" t="e">
        <f>AND(DATA!A872,"AAAAAH/+5iM=")</f>
        <v>#VALUE!</v>
      </c>
      <c r="AK138" t="e">
        <f>AND(DATA!B872,"AAAAAH/+5iQ=")</f>
        <v>#VALUE!</v>
      </c>
      <c r="AL138" t="e">
        <f>AND(DATA!C872,"AAAAAH/+5iU=")</f>
        <v>#VALUE!</v>
      </c>
      <c r="AM138" t="e">
        <f>AND(DATA!D872,"AAAAAH/+5iY=")</f>
        <v>#VALUE!</v>
      </c>
      <c r="AN138" t="e">
        <f>AND(DATA!E872,"AAAAAH/+5ic=")</f>
        <v>#VALUE!</v>
      </c>
      <c r="AO138" t="e">
        <f>AND(DATA!F872,"AAAAAH/+5ig=")</f>
        <v>#VALUE!</v>
      </c>
      <c r="AP138" t="e">
        <f>AND(DATA!G872,"AAAAAH/+5ik=")</f>
        <v>#VALUE!</v>
      </c>
      <c r="AQ138" t="e">
        <f>AND(DATA!H872,"AAAAAH/+5io=")</f>
        <v>#VALUE!</v>
      </c>
      <c r="AR138" t="e">
        <f>AND(DATA!I872,"AAAAAH/+5is=")</f>
        <v>#VALUE!</v>
      </c>
      <c r="AS138" t="e">
        <f>AND(DATA!J872,"AAAAAH/+5iw=")</f>
        <v>#VALUE!</v>
      </c>
      <c r="AT138" t="e">
        <f>AND(DATA!K872,"AAAAAH/+5i0=")</f>
        <v>#VALUE!</v>
      </c>
      <c r="AU138" t="b">
        <f>AND(DATA!L873,"AAAAAH/+5i4=")</f>
        <v>1</v>
      </c>
      <c r="AV138" t="b">
        <f>AND(DATA!M873,"AAAAAH/+5i8=")</f>
        <v>1</v>
      </c>
      <c r="AW138" t="b">
        <f>AND(DATA!N873,"AAAAAH/+5jA=")</f>
        <v>1</v>
      </c>
      <c r="AX138" t="b">
        <f>AND(DATA!O873,"AAAAAH/+5jE=")</f>
        <v>1</v>
      </c>
      <c r="AY138" t="b">
        <f>AND(DATA!P873,"AAAAAH/+5jI=")</f>
        <v>1</v>
      </c>
      <c r="AZ138" t="b">
        <f>AND(DATA!Q873,"AAAAAH/+5jM=")</f>
        <v>1</v>
      </c>
      <c r="BA138" t="b">
        <f>AND(DATA!R873,"AAAAAH/+5jQ=")</f>
        <v>1</v>
      </c>
      <c r="BB138" t="b">
        <f>AND(DATA!S873,"AAAAAH/+5jU=")</f>
        <v>1</v>
      </c>
      <c r="BC138" t="b">
        <f>AND(DATA!T873,"AAAAAH/+5jY=")</f>
        <v>1</v>
      </c>
      <c r="BD138" t="b">
        <f>AND(DATA!U873,"AAAAAH/+5jc=")</f>
        <v>1</v>
      </c>
      <c r="BE138" t="b">
        <f>AND(DATA!V873,"AAAAAH/+5jg=")</f>
        <v>1</v>
      </c>
      <c r="BF138" t="e">
        <f>AND(DATA!W872,"AAAAAH/+5jk=")</f>
        <v>#VALUE!</v>
      </c>
      <c r="BG138" t="e">
        <f>AND(DATA!X872,"AAAAAH/+5jo=")</f>
        <v>#VALUE!</v>
      </c>
      <c r="BH138" t="e">
        <f>AND(DATA!Y872,"AAAAAH/+5js=")</f>
        <v>#VALUE!</v>
      </c>
      <c r="BI138">
        <f>IF(DATA!873:873,"AAAAAH/+5jw=",0)</f>
        <v>0</v>
      </c>
      <c r="BJ138" t="e">
        <f>AND(DATA!A873,"AAAAAH/+5j0=")</f>
        <v>#VALUE!</v>
      </c>
      <c r="BK138" t="e">
        <f>AND(DATA!B873,"AAAAAH/+5j4=")</f>
        <v>#VALUE!</v>
      </c>
      <c r="BL138" t="e">
        <f>AND(DATA!C873,"AAAAAH/+5j8=")</f>
        <v>#VALUE!</v>
      </c>
      <c r="BM138" t="e">
        <f>AND(DATA!D873,"AAAAAH/+5kA=")</f>
        <v>#VALUE!</v>
      </c>
      <c r="BN138" t="e">
        <f>AND(DATA!E873,"AAAAAH/+5kE=")</f>
        <v>#VALUE!</v>
      </c>
      <c r="BO138" t="e">
        <f>AND(DATA!F873,"AAAAAH/+5kI=")</f>
        <v>#VALUE!</v>
      </c>
      <c r="BP138" t="e">
        <f>AND(DATA!G873,"AAAAAH/+5kM=")</f>
        <v>#VALUE!</v>
      </c>
      <c r="BQ138" t="e">
        <f>AND(DATA!H873,"AAAAAH/+5kQ=")</f>
        <v>#VALUE!</v>
      </c>
      <c r="BR138" t="e">
        <f>AND(DATA!I873,"AAAAAH/+5kU=")</f>
        <v>#VALUE!</v>
      </c>
      <c r="BS138" t="e">
        <f>AND(DATA!J873,"AAAAAH/+5kY=")</f>
        <v>#VALUE!</v>
      </c>
      <c r="BT138" t="e">
        <f>AND(DATA!K873,"AAAAAH/+5kc=")</f>
        <v>#VALUE!</v>
      </c>
      <c r="BU138" t="b">
        <f>AND(DATA!L874,"AAAAAH/+5kg=")</f>
        <v>1</v>
      </c>
      <c r="BV138" t="b">
        <f>AND(DATA!M874,"AAAAAH/+5kk=")</f>
        <v>1</v>
      </c>
      <c r="BW138" t="b">
        <f>AND(DATA!N874,"AAAAAH/+5ko=")</f>
        <v>1</v>
      </c>
      <c r="BX138" t="b">
        <f>AND(DATA!O874,"AAAAAH/+5ks=")</f>
        <v>1</v>
      </c>
      <c r="BY138" t="b">
        <f>AND(DATA!P874,"AAAAAH/+5kw=")</f>
        <v>1</v>
      </c>
      <c r="BZ138" t="b">
        <f>AND(DATA!Q874,"AAAAAH/+5k0=")</f>
        <v>1</v>
      </c>
      <c r="CA138" t="b">
        <f>AND(DATA!R874,"AAAAAH/+5k4=")</f>
        <v>1</v>
      </c>
      <c r="CB138" t="b">
        <f>AND(DATA!S874,"AAAAAH/+5k8=")</f>
        <v>1</v>
      </c>
      <c r="CC138" t="b">
        <f>AND(DATA!T874,"AAAAAH/+5lA=")</f>
        <v>1</v>
      </c>
      <c r="CD138" t="b">
        <f>AND(DATA!U874,"AAAAAH/+5lE=")</f>
        <v>1</v>
      </c>
      <c r="CE138" t="b">
        <f>AND(DATA!V874,"AAAAAH/+5lI=")</f>
        <v>1</v>
      </c>
      <c r="CF138" t="e">
        <f>AND(DATA!W873,"AAAAAH/+5lM=")</f>
        <v>#VALUE!</v>
      </c>
      <c r="CG138" t="e">
        <f>AND(DATA!X873,"AAAAAH/+5lQ=")</f>
        <v>#VALUE!</v>
      </c>
      <c r="CH138" t="e">
        <f>AND(DATA!Y873,"AAAAAH/+5lU=")</f>
        <v>#VALUE!</v>
      </c>
      <c r="CI138">
        <f>IF(DATA!874:874,"AAAAAH/+5lY=",0)</f>
        <v>0</v>
      </c>
      <c r="CJ138" t="e">
        <f>AND(DATA!A874,"AAAAAH/+5lc=")</f>
        <v>#VALUE!</v>
      </c>
      <c r="CK138" t="e">
        <f>AND(DATA!B874,"AAAAAH/+5lg=")</f>
        <v>#VALUE!</v>
      </c>
      <c r="CL138" t="e">
        <f>AND(DATA!C874,"AAAAAH/+5lk=")</f>
        <v>#VALUE!</v>
      </c>
      <c r="CM138" t="e">
        <f>AND(DATA!D874,"AAAAAH/+5lo=")</f>
        <v>#VALUE!</v>
      </c>
      <c r="CN138" t="e">
        <f>AND(DATA!E874,"AAAAAH/+5ls=")</f>
        <v>#VALUE!</v>
      </c>
      <c r="CO138" t="e">
        <f>AND(DATA!F874,"AAAAAH/+5lw=")</f>
        <v>#VALUE!</v>
      </c>
      <c r="CP138" t="e">
        <f>AND(DATA!G874,"AAAAAH/+5l0=")</f>
        <v>#VALUE!</v>
      </c>
      <c r="CQ138" t="e">
        <f>AND(DATA!H874,"AAAAAH/+5l4=")</f>
        <v>#VALUE!</v>
      </c>
      <c r="CR138" t="e">
        <f>AND(DATA!I874,"AAAAAH/+5l8=")</f>
        <v>#VALUE!</v>
      </c>
      <c r="CS138" t="e">
        <f>AND(DATA!J874,"AAAAAH/+5mA=")</f>
        <v>#VALUE!</v>
      </c>
      <c r="CT138" t="e">
        <f>AND(DATA!K874,"AAAAAH/+5mE=")</f>
        <v>#VALUE!</v>
      </c>
      <c r="CU138" t="b">
        <f>AND(DATA!L875,"AAAAAH/+5mI=")</f>
        <v>1</v>
      </c>
      <c r="CV138" t="b">
        <f>AND(DATA!M875,"AAAAAH/+5mM=")</f>
        <v>1</v>
      </c>
      <c r="CW138" t="b">
        <f>AND(DATA!N875,"AAAAAH/+5mQ=")</f>
        <v>1</v>
      </c>
      <c r="CX138" t="b">
        <f>AND(DATA!O875,"AAAAAH/+5mU=")</f>
        <v>1</v>
      </c>
      <c r="CY138" t="b">
        <f>AND(DATA!P875,"AAAAAH/+5mY=")</f>
        <v>1</v>
      </c>
      <c r="CZ138" t="b">
        <f>AND(DATA!Q875,"AAAAAH/+5mc=")</f>
        <v>1</v>
      </c>
      <c r="DA138" t="b">
        <f>AND(DATA!R875,"AAAAAH/+5mg=")</f>
        <v>1</v>
      </c>
      <c r="DB138" t="b">
        <f>AND(DATA!S875,"AAAAAH/+5mk=")</f>
        <v>1</v>
      </c>
      <c r="DC138" t="b">
        <f>AND(DATA!T875,"AAAAAH/+5mo=")</f>
        <v>1</v>
      </c>
      <c r="DD138" t="b">
        <f>AND(DATA!U875,"AAAAAH/+5ms=")</f>
        <v>1</v>
      </c>
      <c r="DE138" t="b">
        <f>AND(DATA!V875,"AAAAAH/+5mw=")</f>
        <v>1</v>
      </c>
      <c r="DF138" t="e">
        <f>AND(DATA!W874,"AAAAAH/+5m0=")</f>
        <v>#VALUE!</v>
      </c>
      <c r="DG138" t="e">
        <f>AND(DATA!X874,"AAAAAH/+5m4=")</f>
        <v>#VALUE!</v>
      </c>
      <c r="DH138" t="e">
        <f>AND(DATA!Y874,"AAAAAH/+5m8=")</f>
        <v>#VALUE!</v>
      </c>
      <c r="DI138">
        <f>IF(DATA!875:875,"AAAAAH/+5nA=",0)</f>
        <v>0</v>
      </c>
      <c r="DJ138" t="e">
        <f>AND(DATA!A875,"AAAAAH/+5nE=")</f>
        <v>#VALUE!</v>
      </c>
      <c r="DK138" t="e">
        <f>AND(DATA!B875,"AAAAAH/+5nI=")</f>
        <v>#VALUE!</v>
      </c>
      <c r="DL138" t="e">
        <f>AND(DATA!C875,"AAAAAH/+5nM=")</f>
        <v>#VALUE!</v>
      </c>
      <c r="DM138" t="e">
        <f>AND(DATA!D875,"AAAAAH/+5nQ=")</f>
        <v>#VALUE!</v>
      </c>
      <c r="DN138" t="e">
        <f>AND(DATA!E875,"AAAAAH/+5nU=")</f>
        <v>#VALUE!</v>
      </c>
      <c r="DO138" t="e">
        <f>AND(DATA!F875,"AAAAAH/+5nY=")</f>
        <v>#VALUE!</v>
      </c>
      <c r="DP138" t="e">
        <f>AND(DATA!G875,"AAAAAH/+5nc=")</f>
        <v>#VALUE!</v>
      </c>
      <c r="DQ138" t="e">
        <f>AND(DATA!H875,"AAAAAH/+5ng=")</f>
        <v>#VALUE!</v>
      </c>
      <c r="DR138" t="e">
        <f>AND(DATA!I875,"AAAAAH/+5nk=")</f>
        <v>#VALUE!</v>
      </c>
      <c r="DS138" t="e">
        <f>AND(DATA!J875,"AAAAAH/+5no=")</f>
        <v>#VALUE!</v>
      </c>
      <c r="DT138" t="e">
        <f>AND(DATA!K875,"AAAAAH/+5ns=")</f>
        <v>#VALUE!</v>
      </c>
      <c r="DU138" t="b">
        <f>AND(DATA!L876,"AAAAAH/+5nw=")</f>
        <v>1</v>
      </c>
      <c r="DV138" t="b">
        <f>AND(DATA!M876,"AAAAAH/+5n0=")</f>
        <v>1</v>
      </c>
      <c r="DW138" t="b">
        <f>AND(DATA!N876,"AAAAAH/+5n4=")</f>
        <v>1</v>
      </c>
      <c r="DX138" t="b">
        <f>AND(DATA!O876,"AAAAAH/+5n8=")</f>
        <v>1</v>
      </c>
      <c r="DY138" t="b">
        <f>AND(DATA!P876,"AAAAAH/+5oA=")</f>
        <v>1</v>
      </c>
      <c r="DZ138" t="b">
        <f>AND(DATA!Q876,"AAAAAH/+5oE=")</f>
        <v>1</v>
      </c>
      <c r="EA138" t="b">
        <f>AND(DATA!R876,"AAAAAH/+5oI=")</f>
        <v>1</v>
      </c>
      <c r="EB138" t="b">
        <f>AND(DATA!S876,"AAAAAH/+5oM=")</f>
        <v>1</v>
      </c>
      <c r="EC138" t="b">
        <f>AND(DATA!T876,"AAAAAH/+5oQ=")</f>
        <v>1</v>
      </c>
      <c r="ED138" t="b">
        <f>AND(DATA!U876,"AAAAAH/+5oU=")</f>
        <v>1</v>
      </c>
      <c r="EE138" t="b">
        <f>AND(DATA!V876,"AAAAAH/+5oY=")</f>
        <v>1</v>
      </c>
      <c r="EF138" t="e">
        <f>AND(DATA!W875,"AAAAAH/+5oc=")</f>
        <v>#VALUE!</v>
      </c>
      <c r="EG138" t="e">
        <f>AND(DATA!X875,"AAAAAH/+5og=")</f>
        <v>#VALUE!</v>
      </c>
      <c r="EH138" t="e">
        <f>AND(DATA!Y875,"AAAAAH/+5ok=")</f>
        <v>#VALUE!</v>
      </c>
      <c r="EI138">
        <f>IF(DATA!876:876,"AAAAAH/+5oo=",0)</f>
        <v>0</v>
      </c>
      <c r="EJ138" t="e">
        <f>AND(DATA!A876,"AAAAAH/+5os=")</f>
        <v>#VALUE!</v>
      </c>
      <c r="EK138" t="e">
        <f>AND(DATA!B876,"AAAAAH/+5ow=")</f>
        <v>#VALUE!</v>
      </c>
      <c r="EL138" t="e">
        <f>AND(DATA!C876,"AAAAAH/+5o0=")</f>
        <v>#VALUE!</v>
      </c>
      <c r="EM138" t="e">
        <f>AND(DATA!D876,"AAAAAH/+5o4=")</f>
        <v>#VALUE!</v>
      </c>
      <c r="EN138" t="e">
        <f>AND(DATA!E876,"AAAAAH/+5o8=")</f>
        <v>#VALUE!</v>
      </c>
      <c r="EO138" t="e">
        <f>AND(DATA!F876,"AAAAAH/+5pA=")</f>
        <v>#VALUE!</v>
      </c>
      <c r="EP138" t="e">
        <f>AND(DATA!G876,"AAAAAH/+5pE=")</f>
        <v>#VALUE!</v>
      </c>
      <c r="EQ138" t="e">
        <f>AND(DATA!H876,"AAAAAH/+5pI=")</f>
        <v>#VALUE!</v>
      </c>
      <c r="ER138" t="e">
        <f>AND(DATA!I876,"AAAAAH/+5pM=")</f>
        <v>#VALUE!</v>
      </c>
      <c r="ES138" t="e">
        <f>AND(DATA!J876,"AAAAAH/+5pQ=")</f>
        <v>#VALUE!</v>
      </c>
      <c r="ET138" t="e">
        <f>AND(DATA!K876,"AAAAAH/+5pU=")</f>
        <v>#VALUE!</v>
      </c>
      <c r="EU138" t="b">
        <f>AND(DATA!L877,"AAAAAH/+5pY=")</f>
        <v>1</v>
      </c>
      <c r="EV138" t="b">
        <f>AND(DATA!M877,"AAAAAH/+5pc=")</f>
        <v>1</v>
      </c>
      <c r="EW138" t="b">
        <f>AND(DATA!N877,"AAAAAH/+5pg=")</f>
        <v>1</v>
      </c>
      <c r="EX138" t="b">
        <f>AND(DATA!O877,"AAAAAH/+5pk=")</f>
        <v>1</v>
      </c>
      <c r="EY138" t="b">
        <f>AND(DATA!P877,"AAAAAH/+5po=")</f>
        <v>1</v>
      </c>
      <c r="EZ138" t="b">
        <f>AND(DATA!Q877,"AAAAAH/+5ps=")</f>
        <v>1</v>
      </c>
      <c r="FA138" t="b">
        <f>AND(DATA!R877,"AAAAAH/+5pw=")</f>
        <v>1</v>
      </c>
      <c r="FB138" t="b">
        <f>AND(DATA!S877,"AAAAAH/+5p0=")</f>
        <v>1</v>
      </c>
      <c r="FC138" t="b">
        <f>AND(DATA!T877,"AAAAAH/+5p4=")</f>
        <v>1</v>
      </c>
      <c r="FD138" t="b">
        <f>AND(DATA!U877,"AAAAAH/+5p8=")</f>
        <v>1</v>
      </c>
      <c r="FE138" t="b">
        <f>AND(DATA!V877,"AAAAAH/+5qA=")</f>
        <v>1</v>
      </c>
      <c r="FF138" t="e">
        <f>AND(DATA!W876,"AAAAAH/+5qE=")</f>
        <v>#VALUE!</v>
      </c>
      <c r="FG138" t="e">
        <f>AND(DATA!X876,"AAAAAH/+5qI=")</f>
        <v>#VALUE!</v>
      </c>
      <c r="FH138" t="e">
        <f>AND(DATA!Y876,"AAAAAH/+5qM=")</f>
        <v>#VALUE!</v>
      </c>
      <c r="FI138">
        <f>IF(DATA!877:877,"AAAAAH/+5qQ=",0)</f>
        <v>0</v>
      </c>
      <c r="FJ138" t="e">
        <f>AND(DATA!A877,"AAAAAH/+5qU=")</f>
        <v>#VALUE!</v>
      </c>
      <c r="FK138" t="e">
        <f>AND(DATA!B877,"AAAAAH/+5qY=")</f>
        <v>#VALUE!</v>
      </c>
      <c r="FL138" t="e">
        <f>AND(DATA!C877,"AAAAAH/+5qc=")</f>
        <v>#VALUE!</v>
      </c>
      <c r="FM138" t="e">
        <f>AND(DATA!D877,"AAAAAH/+5qg=")</f>
        <v>#VALUE!</v>
      </c>
      <c r="FN138" t="e">
        <f>AND(DATA!E877,"AAAAAH/+5qk=")</f>
        <v>#VALUE!</v>
      </c>
      <c r="FO138" t="e">
        <f>AND(DATA!F877,"AAAAAH/+5qo=")</f>
        <v>#VALUE!</v>
      </c>
      <c r="FP138" t="e">
        <f>AND(DATA!G877,"AAAAAH/+5qs=")</f>
        <v>#VALUE!</v>
      </c>
      <c r="FQ138" t="e">
        <f>AND(DATA!H877,"AAAAAH/+5qw=")</f>
        <v>#VALUE!</v>
      </c>
      <c r="FR138" t="e">
        <f>AND(DATA!I877,"AAAAAH/+5q0=")</f>
        <v>#VALUE!</v>
      </c>
      <c r="FS138" t="e">
        <f>AND(DATA!J877,"AAAAAH/+5q4=")</f>
        <v>#VALUE!</v>
      </c>
      <c r="FT138" t="e">
        <f>AND(DATA!K877,"AAAAAH/+5q8=")</f>
        <v>#VALUE!</v>
      </c>
      <c r="FU138" t="b">
        <f>AND(DATA!L878,"AAAAAH/+5rA=")</f>
        <v>1</v>
      </c>
      <c r="FV138" t="b">
        <f>AND(DATA!M878,"AAAAAH/+5rE=")</f>
        <v>1</v>
      </c>
      <c r="FW138" t="b">
        <f>AND(DATA!N878,"AAAAAH/+5rI=")</f>
        <v>1</v>
      </c>
      <c r="FX138" t="b">
        <f>AND(DATA!O878,"AAAAAH/+5rM=")</f>
        <v>1</v>
      </c>
      <c r="FY138" t="b">
        <f>AND(DATA!P878,"AAAAAH/+5rQ=")</f>
        <v>1</v>
      </c>
      <c r="FZ138" t="b">
        <f>AND(DATA!Q878,"AAAAAH/+5rU=")</f>
        <v>1</v>
      </c>
      <c r="GA138" t="b">
        <f>AND(DATA!R878,"AAAAAH/+5rY=")</f>
        <v>1</v>
      </c>
      <c r="GB138" t="b">
        <f>AND(DATA!S878,"AAAAAH/+5rc=")</f>
        <v>1</v>
      </c>
      <c r="GC138" t="b">
        <f>AND(DATA!T878,"AAAAAH/+5rg=")</f>
        <v>1</v>
      </c>
      <c r="GD138" t="b">
        <f>AND(DATA!U878,"AAAAAH/+5rk=")</f>
        <v>1</v>
      </c>
      <c r="GE138" t="b">
        <f>AND(DATA!V878,"AAAAAH/+5ro=")</f>
        <v>1</v>
      </c>
      <c r="GF138" t="e">
        <f>AND(DATA!W877,"AAAAAH/+5rs=")</f>
        <v>#VALUE!</v>
      </c>
      <c r="GG138" t="e">
        <f>AND(DATA!X877,"AAAAAH/+5rw=")</f>
        <v>#VALUE!</v>
      </c>
      <c r="GH138" t="e">
        <f>AND(DATA!Y877,"AAAAAH/+5r0=")</f>
        <v>#VALUE!</v>
      </c>
      <c r="GI138">
        <f>IF(DATA!878:878,"AAAAAH/+5r4=",0)</f>
        <v>0</v>
      </c>
      <c r="GJ138" t="e">
        <f>AND(DATA!A878,"AAAAAH/+5r8=")</f>
        <v>#VALUE!</v>
      </c>
      <c r="GK138" t="e">
        <f>AND(DATA!B878,"AAAAAH/+5sA=")</f>
        <v>#VALUE!</v>
      </c>
      <c r="GL138" t="e">
        <f>AND(DATA!C878,"AAAAAH/+5sE=")</f>
        <v>#VALUE!</v>
      </c>
      <c r="GM138" t="e">
        <f>AND(DATA!D878,"AAAAAH/+5sI=")</f>
        <v>#VALUE!</v>
      </c>
      <c r="GN138" t="e">
        <f>AND(DATA!E878,"AAAAAH/+5sM=")</f>
        <v>#VALUE!</v>
      </c>
      <c r="GO138" t="e">
        <f>AND(DATA!F878,"AAAAAH/+5sQ=")</f>
        <v>#VALUE!</v>
      </c>
      <c r="GP138" t="e">
        <f>AND(DATA!G878,"AAAAAH/+5sU=")</f>
        <v>#VALUE!</v>
      </c>
      <c r="GQ138" t="e">
        <f>AND(DATA!H878,"AAAAAH/+5sY=")</f>
        <v>#VALUE!</v>
      </c>
      <c r="GR138" t="e">
        <f>AND(DATA!I878,"AAAAAH/+5sc=")</f>
        <v>#VALUE!</v>
      </c>
      <c r="GS138" t="e">
        <f>AND(DATA!J878,"AAAAAH/+5sg=")</f>
        <v>#VALUE!</v>
      </c>
      <c r="GT138" t="e">
        <f>AND(DATA!K878,"AAAAAH/+5sk=")</f>
        <v>#VALUE!</v>
      </c>
      <c r="GU138" t="b">
        <f>AND(DATA!L879,"AAAAAH/+5so=")</f>
        <v>1</v>
      </c>
      <c r="GV138" t="b">
        <f>AND(DATA!M879,"AAAAAH/+5ss=")</f>
        <v>1</v>
      </c>
      <c r="GW138" t="b">
        <f>AND(DATA!N879,"AAAAAH/+5sw=")</f>
        <v>1</v>
      </c>
      <c r="GX138" t="b">
        <f>AND(DATA!O879,"AAAAAH/+5s0=")</f>
        <v>1</v>
      </c>
      <c r="GY138" t="b">
        <f>AND(DATA!P879,"AAAAAH/+5s4=")</f>
        <v>1</v>
      </c>
      <c r="GZ138" t="b">
        <f>AND(DATA!Q879,"AAAAAH/+5s8=")</f>
        <v>1</v>
      </c>
      <c r="HA138" t="b">
        <f>AND(DATA!R879,"AAAAAH/+5tA=")</f>
        <v>1</v>
      </c>
      <c r="HB138" t="b">
        <f>AND(DATA!S879,"AAAAAH/+5tE=")</f>
        <v>1</v>
      </c>
      <c r="HC138" t="b">
        <f>AND(DATA!T879,"AAAAAH/+5tI=")</f>
        <v>1</v>
      </c>
      <c r="HD138" t="b">
        <f>AND(DATA!U879,"AAAAAH/+5tM=")</f>
        <v>1</v>
      </c>
      <c r="HE138" t="b">
        <f>AND(DATA!V879,"AAAAAH/+5tQ=")</f>
        <v>1</v>
      </c>
      <c r="HF138" t="e">
        <f>AND(DATA!W878,"AAAAAH/+5tU=")</f>
        <v>#VALUE!</v>
      </c>
      <c r="HG138" t="e">
        <f>AND(DATA!X878,"AAAAAH/+5tY=")</f>
        <v>#VALUE!</v>
      </c>
      <c r="HH138" t="e">
        <f>AND(DATA!Y878,"AAAAAH/+5tc=")</f>
        <v>#VALUE!</v>
      </c>
      <c r="HI138">
        <f>IF(DATA!879:879,"AAAAAH/+5tg=",0)</f>
        <v>0</v>
      </c>
      <c r="HJ138" t="e">
        <f>AND(DATA!A879,"AAAAAH/+5tk=")</f>
        <v>#VALUE!</v>
      </c>
      <c r="HK138" t="e">
        <f>AND(DATA!B879,"AAAAAH/+5to=")</f>
        <v>#VALUE!</v>
      </c>
      <c r="HL138" t="e">
        <f>AND(DATA!C879,"AAAAAH/+5ts=")</f>
        <v>#VALUE!</v>
      </c>
      <c r="HM138" t="e">
        <f>AND(DATA!D879,"AAAAAH/+5tw=")</f>
        <v>#VALUE!</v>
      </c>
      <c r="HN138" t="e">
        <f>AND(DATA!E879,"AAAAAH/+5t0=")</f>
        <v>#VALUE!</v>
      </c>
      <c r="HO138" t="e">
        <f>AND(DATA!F879,"AAAAAH/+5t4=")</f>
        <v>#VALUE!</v>
      </c>
      <c r="HP138" t="e">
        <f>AND(DATA!G879,"AAAAAH/+5t8=")</f>
        <v>#VALUE!</v>
      </c>
      <c r="HQ138" t="e">
        <f>AND(DATA!H879,"AAAAAH/+5uA=")</f>
        <v>#VALUE!</v>
      </c>
      <c r="HR138" t="e">
        <f>AND(DATA!I879,"AAAAAH/+5uE=")</f>
        <v>#VALUE!</v>
      </c>
      <c r="HS138" t="e">
        <f>AND(DATA!J879,"AAAAAH/+5uI=")</f>
        <v>#VALUE!</v>
      </c>
      <c r="HT138" t="e">
        <f>AND(DATA!K879,"AAAAAH/+5uM=")</f>
        <v>#VALUE!</v>
      </c>
      <c r="HU138" t="b">
        <f>AND(DATA!L880,"AAAAAH/+5uQ=")</f>
        <v>1</v>
      </c>
      <c r="HV138" t="b">
        <f>AND(DATA!M880,"AAAAAH/+5uU=")</f>
        <v>1</v>
      </c>
      <c r="HW138" t="b">
        <f>AND(DATA!N880,"AAAAAH/+5uY=")</f>
        <v>1</v>
      </c>
      <c r="HX138" t="b">
        <f>AND(DATA!O880,"AAAAAH/+5uc=")</f>
        <v>1</v>
      </c>
      <c r="HY138" t="b">
        <f>AND(DATA!P880,"AAAAAH/+5ug=")</f>
        <v>1</v>
      </c>
      <c r="HZ138" t="b">
        <f>AND(DATA!Q880,"AAAAAH/+5uk=")</f>
        <v>1</v>
      </c>
      <c r="IA138" t="b">
        <f>AND(DATA!R880,"AAAAAH/+5uo=")</f>
        <v>1</v>
      </c>
      <c r="IB138" t="b">
        <f>AND(DATA!S880,"AAAAAH/+5us=")</f>
        <v>1</v>
      </c>
      <c r="IC138" t="b">
        <f>AND(DATA!T880,"AAAAAH/+5uw=")</f>
        <v>1</v>
      </c>
      <c r="ID138" t="b">
        <f>AND(DATA!U880,"AAAAAH/+5u0=")</f>
        <v>1</v>
      </c>
      <c r="IE138" t="b">
        <f>AND(DATA!V880,"AAAAAH/+5u4=")</f>
        <v>1</v>
      </c>
      <c r="IF138" t="e">
        <f>AND(DATA!W879,"AAAAAH/+5u8=")</f>
        <v>#VALUE!</v>
      </c>
      <c r="IG138" t="e">
        <f>AND(DATA!X879,"AAAAAH/+5vA=")</f>
        <v>#VALUE!</v>
      </c>
      <c r="IH138" t="e">
        <f>AND(DATA!Y879,"AAAAAH/+5vE=")</f>
        <v>#VALUE!</v>
      </c>
      <c r="II138">
        <f>IF(DATA!880:880,"AAAAAH/+5vI=",0)</f>
        <v>0</v>
      </c>
      <c r="IJ138" t="e">
        <f>AND(DATA!A880,"AAAAAH/+5vM=")</f>
        <v>#VALUE!</v>
      </c>
      <c r="IK138" t="e">
        <f>AND(DATA!B880,"AAAAAH/+5vQ=")</f>
        <v>#VALUE!</v>
      </c>
      <c r="IL138" t="e">
        <f>AND(DATA!C880,"AAAAAH/+5vU=")</f>
        <v>#VALUE!</v>
      </c>
      <c r="IM138" t="e">
        <f>AND(DATA!D880,"AAAAAH/+5vY=")</f>
        <v>#VALUE!</v>
      </c>
      <c r="IN138" t="e">
        <f>AND(DATA!E880,"AAAAAH/+5vc=")</f>
        <v>#VALUE!</v>
      </c>
      <c r="IO138" t="e">
        <f>AND(DATA!F880,"AAAAAH/+5vg=")</f>
        <v>#VALUE!</v>
      </c>
      <c r="IP138" t="e">
        <f>AND(DATA!G880,"AAAAAH/+5vk=")</f>
        <v>#VALUE!</v>
      </c>
      <c r="IQ138" t="e">
        <f>AND(DATA!H880,"AAAAAH/+5vo=")</f>
        <v>#VALUE!</v>
      </c>
      <c r="IR138" t="e">
        <f>AND(DATA!I880,"AAAAAH/+5vs=")</f>
        <v>#VALUE!</v>
      </c>
      <c r="IS138" t="e">
        <f>AND(DATA!J880,"AAAAAH/+5vw=")</f>
        <v>#VALUE!</v>
      </c>
      <c r="IT138" t="e">
        <f>AND(DATA!K880,"AAAAAH/+5v0=")</f>
        <v>#VALUE!</v>
      </c>
      <c r="IU138" t="b">
        <f>AND(DATA!L881,"AAAAAH/+5v4=")</f>
        <v>1</v>
      </c>
      <c r="IV138" t="b">
        <f>AND(DATA!M881,"AAAAAH/+5v8=")</f>
        <v>1</v>
      </c>
    </row>
    <row r="139" spans="1:256" x14ac:dyDescent="0.25">
      <c r="A139" t="b">
        <f>AND(DATA!N881,"AAAAACfvpAA=")</f>
        <v>1</v>
      </c>
      <c r="B139" t="b">
        <f>AND(DATA!O881,"AAAAACfvpAE=")</f>
        <v>1</v>
      </c>
      <c r="C139" t="b">
        <f>AND(DATA!P881,"AAAAACfvpAI=")</f>
        <v>1</v>
      </c>
      <c r="D139" t="b">
        <f>AND(DATA!Q881,"AAAAACfvpAM=")</f>
        <v>1</v>
      </c>
      <c r="E139" t="b">
        <f>AND(DATA!R881,"AAAAACfvpAQ=")</f>
        <v>1</v>
      </c>
      <c r="F139" t="b">
        <f>AND(DATA!S881,"AAAAACfvpAU=")</f>
        <v>1</v>
      </c>
      <c r="G139" t="b">
        <f>AND(DATA!T881,"AAAAACfvpAY=")</f>
        <v>1</v>
      </c>
      <c r="H139" t="b">
        <f>AND(DATA!U881,"AAAAACfvpAc=")</f>
        <v>1</v>
      </c>
      <c r="I139" t="b">
        <f>AND(DATA!V881,"AAAAACfvpAg=")</f>
        <v>1</v>
      </c>
      <c r="J139" t="e">
        <f>AND(DATA!W880,"AAAAACfvpAk=")</f>
        <v>#VALUE!</v>
      </c>
      <c r="K139" t="e">
        <f>AND(DATA!X880,"AAAAACfvpAo=")</f>
        <v>#VALUE!</v>
      </c>
      <c r="L139" t="e">
        <f>AND(DATA!Y880,"AAAAACfvpAs=")</f>
        <v>#VALUE!</v>
      </c>
      <c r="M139" t="str">
        <f>IF(DATA!881:881,"AAAAACfvpAw=",0)</f>
        <v>AAAAACfvpAw=</v>
      </c>
      <c r="N139" t="e">
        <f>AND(DATA!A881,"AAAAACfvpA0=")</f>
        <v>#VALUE!</v>
      </c>
      <c r="O139" t="e">
        <f>AND(DATA!B881,"AAAAACfvpA4=")</f>
        <v>#VALUE!</v>
      </c>
      <c r="P139" t="e">
        <f>AND(DATA!C881,"AAAAACfvpA8=")</f>
        <v>#VALUE!</v>
      </c>
      <c r="Q139" t="e">
        <f>AND(DATA!D881,"AAAAACfvpBA=")</f>
        <v>#VALUE!</v>
      </c>
      <c r="R139" t="e">
        <f>AND(DATA!E881,"AAAAACfvpBE=")</f>
        <v>#VALUE!</v>
      </c>
      <c r="S139" t="e">
        <f>AND(DATA!F881,"AAAAACfvpBI=")</f>
        <v>#VALUE!</v>
      </c>
      <c r="T139" t="e">
        <f>AND(DATA!G881,"AAAAACfvpBM=")</f>
        <v>#VALUE!</v>
      </c>
      <c r="U139" t="e">
        <f>AND(DATA!H881,"AAAAACfvpBQ=")</f>
        <v>#VALUE!</v>
      </c>
      <c r="V139" t="e">
        <f>AND(DATA!I881,"AAAAACfvpBU=")</f>
        <v>#VALUE!</v>
      </c>
      <c r="W139" t="e">
        <f>AND(DATA!J881,"AAAAACfvpBY=")</f>
        <v>#VALUE!</v>
      </c>
      <c r="X139" t="e">
        <f>AND(DATA!K881,"AAAAACfvpBc=")</f>
        <v>#VALUE!</v>
      </c>
      <c r="Y139" t="b">
        <f>AND(DATA!L882,"AAAAACfvpBg=")</f>
        <v>1</v>
      </c>
      <c r="Z139" t="b">
        <f>AND(DATA!M882,"AAAAACfvpBk=")</f>
        <v>1</v>
      </c>
      <c r="AA139" t="b">
        <f>AND(DATA!N882,"AAAAACfvpBo=")</f>
        <v>1</v>
      </c>
      <c r="AB139" t="b">
        <f>AND(DATA!O882,"AAAAACfvpBs=")</f>
        <v>1</v>
      </c>
      <c r="AC139" t="b">
        <f>AND(DATA!P882,"AAAAACfvpBw=")</f>
        <v>1</v>
      </c>
      <c r="AD139" t="b">
        <f>AND(DATA!Q882,"AAAAACfvpB0=")</f>
        <v>1</v>
      </c>
      <c r="AE139" t="b">
        <f>AND(DATA!R882,"AAAAACfvpB4=")</f>
        <v>1</v>
      </c>
      <c r="AF139" t="b">
        <f>AND(DATA!S882,"AAAAACfvpB8=")</f>
        <v>1</v>
      </c>
      <c r="AG139" t="b">
        <f>AND(DATA!T882,"AAAAACfvpCA=")</f>
        <v>1</v>
      </c>
      <c r="AH139" t="b">
        <f>AND(DATA!U882,"AAAAACfvpCE=")</f>
        <v>1</v>
      </c>
      <c r="AI139" t="b">
        <f>AND(DATA!V882,"AAAAACfvpCI=")</f>
        <v>1</v>
      </c>
      <c r="AJ139" t="e">
        <f>AND(DATA!W881,"AAAAACfvpCM=")</f>
        <v>#VALUE!</v>
      </c>
      <c r="AK139" t="e">
        <f>AND(DATA!X881,"AAAAACfvpCQ=")</f>
        <v>#VALUE!</v>
      </c>
      <c r="AL139" t="e">
        <f>AND(DATA!Y881,"AAAAACfvpCU=")</f>
        <v>#VALUE!</v>
      </c>
      <c r="AM139">
        <f>IF(DATA!882:882,"AAAAACfvpCY=",0)</f>
        <v>0</v>
      </c>
      <c r="AN139" t="e">
        <f>AND(DATA!A882,"AAAAACfvpCc=")</f>
        <v>#VALUE!</v>
      </c>
      <c r="AO139" t="e">
        <f>AND(DATA!B882,"AAAAACfvpCg=")</f>
        <v>#VALUE!</v>
      </c>
      <c r="AP139" t="e">
        <f>AND(DATA!C882,"AAAAACfvpCk=")</f>
        <v>#VALUE!</v>
      </c>
      <c r="AQ139" t="e">
        <f>AND(DATA!D882,"AAAAACfvpCo=")</f>
        <v>#VALUE!</v>
      </c>
      <c r="AR139" t="e">
        <f>AND(DATA!E882,"AAAAACfvpCs=")</f>
        <v>#VALUE!</v>
      </c>
      <c r="AS139" t="e">
        <f>AND(DATA!F882,"AAAAACfvpCw=")</f>
        <v>#VALUE!</v>
      </c>
      <c r="AT139" t="e">
        <f>AND(DATA!G882,"AAAAACfvpC0=")</f>
        <v>#VALUE!</v>
      </c>
      <c r="AU139" t="e">
        <f>AND(DATA!H882,"AAAAACfvpC4=")</f>
        <v>#VALUE!</v>
      </c>
      <c r="AV139" t="e">
        <f>AND(DATA!I882,"AAAAACfvpC8=")</f>
        <v>#VALUE!</v>
      </c>
      <c r="AW139" t="e">
        <f>AND(DATA!J882,"AAAAACfvpDA=")</f>
        <v>#VALUE!</v>
      </c>
      <c r="AX139" t="e">
        <f>AND(DATA!K882,"AAAAACfvpDE=")</f>
        <v>#VALUE!</v>
      </c>
      <c r="AY139" t="b">
        <f>AND(DATA!L883,"AAAAACfvpDI=")</f>
        <v>1</v>
      </c>
      <c r="AZ139" t="b">
        <f>AND(DATA!M883,"AAAAACfvpDM=")</f>
        <v>1</v>
      </c>
      <c r="BA139" t="b">
        <f>AND(DATA!N883,"AAAAACfvpDQ=")</f>
        <v>1</v>
      </c>
      <c r="BB139" t="b">
        <f>AND(DATA!O883,"AAAAACfvpDU=")</f>
        <v>1</v>
      </c>
      <c r="BC139" t="b">
        <f>AND(DATA!P883,"AAAAACfvpDY=")</f>
        <v>1</v>
      </c>
      <c r="BD139" t="b">
        <f>AND(DATA!Q883,"AAAAACfvpDc=")</f>
        <v>1</v>
      </c>
      <c r="BE139" t="b">
        <f>AND(DATA!R883,"AAAAACfvpDg=")</f>
        <v>1</v>
      </c>
      <c r="BF139" t="b">
        <f>AND(DATA!S883,"AAAAACfvpDk=")</f>
        <v>1</v>
      </c>
      <c r="BG139" t="b">
        <f>AND(DATA!T883,"AAAAACfvpDo=")</f>
        <v>1</v>
      </c>
      <c r="BH139" t="b">
        <f>AND(DATA!U883,"AAAAACfvpDs=")</f>
        <v>1</v>
      </c>
      <c r="BI139" t="b">
        <f>AND(DATA!V883,"AAAAACfvpDw=")</f>
        <v>1</v>
      </c>
      <c r="BJ139" t="e">
        <f>AND(DATA!W882,"AAAAACfvpD0=")</f>
        <v>#VALUE!</v>
      </c>
      <c r="BK139" t="e">
        <f>AND(DATA!X882,"AAAAACfvpD4=")</f>
        <v>#VALUE!</v>
      </c>
      <c r="BL139" t="e">
        <f>AND(DATA!Y882,"AAAAACfvpD8=")</f>
        <v>#VALUE!</v>
      </c>
      <c r="BM139">
        <f>IF(DATA!883:883,"AAAAACfvpEA=",0)</f>
        <v>0</v>
      </c>
      <c r="BN139" t="e">
        <f>AND(DATA!A883,"AAAAACfvpEE=")</f>
        <v>#VALUE!</v>
      </c>
      <c r="BO139" t="e">
        <f>AND(DATA!B883,"AAAAACfvpEI=")</f>
        <v>#VALUE!</v>
      </c>
      <c r="BP139" t="e">
        <f>AND(DATA!C883,"AAAAACfvpEM=")</f>
        <v>#VALUE!</v>
      </c>
      <c r="BQ139" t="e">
        <f>AND(DATA!D883,"AAAAACfvpEQ=")</f>
        <v>#VALUE!</v>
      </c>
      <c r="BR139" t="e">
        <f>AND(DATA!E883,"AAAAACfvpEU=")</f>
        <v>#VALUE!</v>
      </c>
      <c r="BS139" t="e">
        <f>AND(DATA!F883,"AAAAACfvpEY=")</f>
        <v>#VALUE!</v>
      </c>
      <c r="BT139" t="e">
        <f>AND(DATA!G883,"AAAAACfvpEc=")</f>
        <v>#VALUE!</v>
      </c>
      <c r="BU139" t="e">
        <f>AND(DATA!H883,"AAAAACfvpEg=")</f>
        <v>#VALUE!</v>
      </c>
      <c r="BV139" t="e">
        <f>AND(DATA!I883,"AAAAACfvpEk=")</f>
        <v>#VALUE!</v>
      </c>
      <c r="BW139" t="e">
        <f>AND(DATA!J883,"AAAAACfvpEo=")</f>
        <v>#VALUE!</v>
      </c>
      <c r="BX139" t="e">
        <f>AND(DATA!K883,"AAAAACfvpEs=")</f>
        <v>#VALUE!</v>
      </c>
      <c r="BY139" t="b">
        <f>AND(DATA!L884,"AAAAACfvpEw=")</f>
        <v>1</v>
      </c>
      <c r="BZ139" t="b">
        <f>AND(DATA!M884,"AAAAACfvpE0=")</f>
        <v>1</v>
      </c>
      <c r="CA139" t="b">
        <f>AND(DATA!N884,"AAAAACfvpE4=")</f>
        <v>1</v>
      </c>
      <c r="CB139" t="b">
        <f>AND(DATA!O884,"AAAAACfvpE8=")</f>
        <v>1</v>
      </c>
      <c r="CC139" t="b">
        <f>AND(DATA!P884,"AAAAACfvpFA=")</f>
        <v>1</v>
      </c>
      <c r="CD139" t="b">
        <f>AND(DATA!Q884,"AAAAACfvpFE=")</f>
        <v>1</v>
      </c>
      <c r="CE139" t="b">
        <f>AND(DATA!R884,"AAAAACfvpFI=")</f>
        <v>1</v>
      </c>
      <c r="CF139" t="b">
        <f>AND(DATA!S884,"AAAAACfvpFM=")</f>
        <v>1</v>
      </c>
      <c r="CG139" t="b">
        <f>AND(DATA!T884,"AAAAACfvpFQ=")</f>
        <v>1</v>
      </c>
      <c r="CH139" t="b">
        <f>AND(DATA!U884,"AAAAACfvpFU=")</f>
        <v>1</v>
      </c>
      <c r="CI139" t="b">
        <f>AND(DATA!V884,"AAAAACfvpFY=")</f>
        <v>1</v>
      </c>
      <c r="CJ139" t="e">
        <f>AND(DATA!W883,"AAAAACfvpFc=")</f>
        <v>#VALUE!</v>
      </c>
      <c r="CK139" t="e">
        <f>AND(DATA!X883,"AAAAACfvpFg=")</f>
        <v>#VALUE!</v>
      </c>
      <c r="CL139" t="e">
        <f>AND(DATA!Y883,"AAAAACfvpFk=")</f>
        <v>#VALUE!</v>
      </c>
      <c r="CM139">
        <f>IF(DATA!884:884,"AAAAACfvpFo=",0)</f>
        <v>0</v>
      </c>
      <c r="CN139" t="e">
        <f>AND(DATA!A884,"AAAAACfvpFs=")</f>
        <v>#VALUE!</v>
      </c>
      <c r="CO139" t="e">
        <f>AND(DATA!B884,"AAAAACfvpFw=")</f>
        <v>#VALUE!</v>
      </c>
      <c r="CP139" t="e">
        <f>AND(DATA!C884,"AAAAACfvpF0=")</f>
        <v>#VALUE!</v>
      </c>
      <c r="CQ139" t="e">
        <f>AND(DATA!D884,"AAAAACfvpF4=")</f>
        <v>#VALUE!</v>
      </c>
      <c r="CR139" t="e">
        <f>AND(DATA!E884,"AAAAACfvpF8=")</f>
        <v>#VALUE!</v>
      </c>
      <c r="CS139" t="e">
        <f>AND(DATA!F884,"AAAAACfvpGA=")</f>
        <v>#VALUE!</v>
      </c>
      <c r="CT139" t="e">
        <f>AND(DATA!G884,"AAAAACfvpGE=")</f>
        <v>#VALUE!</v>
      </c>
      <c r="CU139" t="e">
        <f>AND(DATA!H884,"AAAAACfvpGI=")</f>
        <v>#VALUE!</v>
      </c>
      <c r="CV139" t="e">
        <f>AND(DATA!I884,"AAAAACfvpGM=")</f>
        <v>#VALUE!</v>
      </c>
      <c r="CW139" t="e">
        <f>AND(DATA!J884,"AAAAACfvpGQ=")</f>
        <v>#VALUE!</v>
      </c>
      <c r="CX139" t="e">
        <f>AND(DATA!K884,"AAAAACfvpGU=")</f>
        <v>#VALUE!</v>
      </c>
      <c r="CY139" t="b">
        <f>AND(DATA!L885,"AAAAACfvpGY=")</f>
        <v>1</v>
      </c>
      <c r="CZ139" t="b">
        <f>AND(DATA!M885,"AAAAACfvpGc=")</f>
        <v>1</v>
      </c>
      <c r="DA139" t="b">
        <f>AND(DATA!N885,"AAAAACfvpGg=")</f>
        <v>1</v>
      </c>
      <c r="DB139" t="b">
        <f>AND(DATA!O885,"AAAAACfvpGk=")</f>
        <v>1</v>
      </c>
      <c r="DC139" t="b">
        <f>AND(DATA!P885,"AAAAACfvpGo=")</f>
        <v>1</v>
      </c>
      <c r="DD139" t="b">
        <f>AND(DATA!Q885,"AAAAACfvpGs=")</f>
        <v>1</v>
      </c>
      <c r="DE139" t="b">
        <f>AND(DATA!R885,"AAAAACfvpGw=")</f>
        <v>1</v>
      </c>
      <c r="DF139" t="b">
        <f>AND(DATA!S885,"AAAAACfvpG0=")</f>
        <v>1</v>
      </c>
      <c r="DG139" t="b">
        <f>AND(DATA!T885,"AAAAACfvpG4=")</f>
        <v>1</v>
      </c>
      <c r="DH139" t="b">
        <f>AND(DATA!U885,"AAAAACfvpG8=")</f>
        <v>1</v>
      </c>
      <c r="DI139" t="b">
        <f>AND(DATA!V885,"AAAAACfvpHA=")</f>
        <v>1</v>
      </c>
      <c r="DJ139" t="e">
        <f>AND(DATA!W884,"AAAAACfvpHE=")</f>
        <v>#VALUE!</v>
      </c>
      <c r="DK139" t="e">
        <f>AND(DATA!X884,"AAAAACfvpHI=")</f>
        <v>#VALUE!</v>
      </c>
      <c r="DL139" t="e">
        <f>AND(DATA!Y884,"AAAAACfvpHM=")</f>
        <v>#VALUE!</v>
      </c>
      <c r="DM139">
        <f>IF(DATA!885:885,"AAAAACfvpHQ=",0)</f>
        <v>0</v>
      </c>
      <c r="DN139" t="e">
        <f>AND(DATA!A885,"AAAAACfvpHU=")</f>
        <v>#VALUE!</v>
      </c>
      <c r="DO139" t="e">
        <f>AND(DATA!B885,"AAAAACfvpHY=")</f>
        <v>#VALUE!</v>
      </c>
      <c r="DP139" t="e">
        <f>AND(DATA!C885,"AAAAACfvpHc=")</f>
        <v>#VALUE!</v>
      </c>
      <c r="DQ139" t="e">
        <f>AND(DATA!D885,"AAAAACfvpHg=")</f>
        <v>#VALUE!</v>
      </c>
      <c r="DR139" t="e">
        <f>AND(DATA!E885,"AAAAACfvpHk=")</f>
        <v>#VALUE!</v>
      </c>
      <c r="DS139" t="e">
        <f>AND(DATA!F885,"AAAAACfvpHo=")</f>
        <v>#VALUE!</v>
      </c>
      <c r="DT139" t="e">
        <f>AND(DATA!G885,"AAAAACfvpHs=")</f>
        <v>#VALUE!</v>
      </c>
      <c r="DU139" t="e">
        <f>AND(DATA!H885,"AAAAACfvpHw=")</f>
        <v>#VALUE!</v>
      </c>
      <c r="DV139" t="e">
        <f>AND(DATA!I885,"AAAAACfvpH0=")</f>
        <v>#VALUE!</v>
      </c>
      <c r="DW139" t="e">
        <f>AND(DATA!J885,"AAAAACfvpH4=")</f>
        <v>#VALUE!</v>
      </c>
      <c r="DX139" t="e">
        <f>AND(DATA!K885,"AAAAACfvpH8=")</f>
        <v>#VALUE!</v>
      </c>
      <c r="DY139" t="b">
        <f>AND(DATA!L886,"AAAAACfvpIA=")</f>
        <v>1</v>
      </c>
      <c r="DZ139" t="b">
        <f>AND(DATA!M886,"AAAAACfvpIE=")</f>
        <v>1</v>
      </c>
      <c r="EA139" t="b">
        <f>AND(DATA!N886,"AAAAACfvpII=")</f>
        <v>1</v>
      </c>
      <c r="EB139" t="b">
        <f>AND(DATA!O886,"AAAAACfvpIM=")</f>
        <v>1</v>
      </c>
      <c r="EC139" t="b">
        <f>AND(DATA!P886,"AAAAACfvpIQ=")</f>
        <v>1</v>
      </c>
      <c r="ED139" t="b">
        <f>AND(DATA!Q886,"AAAAACfvpIU=")</f>
        <v>1</v>
      </c>
      <c r="EE139" t="b">
        <f>AND(DATA!R886,"AAAAACfvpIY=")</f>
        <v>1</v>
      </c>
      <c r="EF139" t="b">
        <f>AND(DATA!S886,"AAAAACfvpIc=")</f>
        <v>1</v>
      </c>
      <c r="EG139" t="b">
        <f>AND(DATA!T886,"AAAAACfvpIg=")</f>
        <v>1</v>
      </c>
      <c r="EH139" t="b">
        <f>AND(DATA!U886,"AAAAACfvpIk=")</f>
        <v>1</v>
      </c>
      <c r="EI139" t="b">
        <f>AND(DATA!V886,"AAAAACfvpIo=")</f>
        <v>1</v>
      </c>
      <c r="EJ139" t="e">
        <f>AND(DATA!W885,"AAAAACfvpIs=")</f>
        <v>#VALUE!</v>
      </c>
      <c r="EK139" t="e">
        <f>AND(DATA!X885,"AAAAACfvpIw=")</f>
        <v>#VALUE!</v>
      </c>
      <c r="EL139" t="e">
        <f>AND(DATA!Y885,"AAAAACfvpI0=")</f>
        <v>#VALUE!</v>
      </c>
      <c r="EM139">
        <f>IF(DATA!886:886,"AAAAACfvpI4=",0)</f>
        <v>0</v>
      </c>
      <c r="EN139" t="e">
        <f>AND(DATA!A886,"AAAAACfvpI8=")</f>
        <v>#VALUE!</v>
      </c>
      <c r="EO139" t="e">
        <f>AND(DATA!B886,"AAAAACfvpJA=")</f>
        <v>#VALUE!</v>
      </c>
      <c r="EP139" t="e">
        <f>AND(DATA!C886,"AAAAACfvpJE=")</f>
        <v>#VALUE!</v>
      </c>
      <c r="EQ139" t="e">
        <f>AND(DATA!D886,"AAAAACfvpJI=")</f>
        <v>#VALUE!</v>
      </c>
      <c r="ER139" t="e">
        <f>AND(DATA!E886,"AAAAACfvpJM=")</f>
        <v>#VALUE!</v>
      </c>
      <c r="ES139" t="e">
        <f>AND(DATA!F886,"AAAAACfvpJQ=")</f>
        <v>#VALUE!</v>
      </c>
      <c r="ET139" t="e">
        <f>AND(DATA!G886,"AAAAACfvpJU=")</f>
        <v>#VALUE!</v>
      </c>
      <c r="EU139" t="e">
        <f>AND(DATA!H886,"AAAAACfvpJY=")</f>
        <v>#VALUE!</v>
      </c>
      <c r="EV139" t="e">
        <f>AND(DATA!I886,"AAAAACfvpJc=")</f>
        <v>#VALUE!</v>
      </c>
      <c r="EW139" t="e">
        <f>AND(DATA!J886,"AAAAACfvpJg=")</f>
        <v>#VALUE!</v>
      </c>
      <c r="EX139" t="e">
        <f>AND(DATA!K886,"AAAAACfvpJk=")</f>
        <v>#VALUE!</v>
      </c>
      <c r="EY139" t="b">
        <f>AND(DATA!L887,"AAAAACfvpJo=")</f>
        <v>1</v>
      </c>
      <c r="EZ139" t="b">
        <f>AND(DATA!M887,"AAAAACfvpJs=")</f>
        <v>1</v>
      </c>
      <c r="FA139" t="b">
        <f>AND(DATA!N887,"AAAAACfvpJw=")</f>
        <v>1</v>
      </c>
      <c r="FB139" t="b">
        <f>AND(DATA!O887,"AAAAACfvpJ0=")</f>
        <v>1</v>
      </c>
      <c r="FC139" t="b">
        <f>AND(DATA!P887,"AAAAACfvpJ4=")</f>
        <v>1</v>
      </c>
      <c r="FD139" t="b">
        <f>AND(DATA!Q887,"AAAAACfvpJ8=")</f>
        <v>1</v>
      </c>
      <c r="FE139" t="b">
        <f>AND(DATA!R887,"AAAAACfvpKA=")</f>
        <v>1</v>
      </c>
      <c r="FF139" t="b">
        <f>AND(DATA!S887,"AAAAACfvpKE=")</f>
        <v>1</v>
      </c>
      <c r="FG139" t="b">
        <f>AND(DATA!T887,"AAAAACfvpKI=")</f>
        <v>1</v>
      </c>
      <c r="FH139" t="b">
        <f>AND(DATA!U887,"AAAAACfvpKM=")</f>
        <v>1</v>
      </c>
      <c r="FI139" t="b">
        <f>AND(DATA!V887,"AAAAACfvpKQ=")</f>
        <v>1</v>
      </c>
      <c r="FJ139" t="e">
        <f>AND(DATA!W886,"AAAAACfvpKU=")</f>
        <v>#VALUE!</v>
      </c>
      <c r="FK139" t="e">
        <f>AND(DATA!X886,"AAAAACfvpKY=")</f>
        <v>#VALUE!</v>
      </c>
      <c r="FL139" t="e">
        <f>AND(DATA!Y886,"AAAAACfvpKc=")</f>
        <v>#VALUE!</v>
      </c>
      <c r="FM139">
        <f>IF(DATA!887:887,"AAAAACfvpKg=",0)</f>
        <v>0</v>
      </c>
      <c r="FN139" t="e">
        <f>AND(DATA!A887,"AAAAACfvpKk=")</f>
        <v>#VALUE!</v>
      </c>
      <c r="FO139" t="e">
        <f>AND(DATA!B887,"AAAAACfvpKo=")</f>
        <v>#VALUE!</v>
      </c>
      <c r="FP139" t="e">
        <f>AND(DATA!C887,"AAAAACfvpKs=")</f>
        <v>#VALUE!</v>
      </c>
      <c r="FQ139" t="e">
        <f>AND(DATA!D887,"AAAAACfvpKw=")</f>
        <v>#VALUE!</v>
      </c>
      <c r="FR139" t="e">
        <f>AND(DATA!E887,"AAAAACfvpK0=")</f>
        <v>#VALUE!</v>
      </c>
      <c r="FS139" t="e">
        <f>AND(DATA!F887,"AAAAACfvpK4=")</f>
        <v>#VALUE!</v>
      </c>
      <c r="FT139" t="e">
        <f>AND(DATA!G887,"AAAAACfvpK8=")</f>
        <v>#VALUE!</v>
      </c>
      <c r="FU139" t="e">
        <f>AND(DATA!H887,"AAAAACfvpLA=")</f>
        <v>#VALUE!</v>
      </c>
      <c r="FV139" t="e">
        <f>AND(DATA!I887,"AAAAACfvpLE=")</f>
        <v>#VALUE!</v>
      </c>
      <c r="FW139" t="e">
        <f>AND(DATA!J887,"AAAAACfvpLI=")</f>
        <v>#VALUE!</v>
      </c>
      <c r="FX139" t="e">
        <f>AND(DATA!K887,"AAAAACfvpLM=")</f>
        <v>#VALUE!</v>
      </c>
      <c r="FY139" t="b">
        <f>AND(DATA!L888,"AAAAACfvpLQ=")</f>
        <v>1</v>
      </c>
      <c r="FZ139" t="b">
        <f>AND(DATA!M888,"AAAAACfvpLU=")</f>
        <v>1</v>
      </c>
      <c r="GA139" t="b">
        <f>AND(DATA!N888,"AAAAACfvpLY=")</f>
        <v>1</v>
      </c>
      <c r="GB139" t="b">
        <f>AND(DATA!O888,"AAAAACfvpLc=")</f>
        <v>1</v>
      </c>
      <c r="GC139" t="b">
        <f>AND(DATA!P888,"AAAAACfvpLg=")</f>
        <v>1</v>
      </c>
      <c r="GD139" t="b">
        <f>AND(DATA!Q888,"AAAAACfvpLk=")</f>
        <v>1</v>
      </c>
      <c r="GE139" t="b">
        <f>AND(DATA!R888,"AAAAACfvpLo=")</f>
        <v>1</v>
      </c>
      <c r="GF139" t="b">
        <f>AND(DATA!S888,"AAAAACfvpLs=")</f>
        <v>1</v>
      </c>
      <c r="GG139" t="b">
        <f>AND(DATA!T888,"AAAAACfvpLw=")</f>
        <v>1</v>
      </c>
      <c r="GH139" t="b">
        <f>AND(DATA!U888,"AAAAACfvpL0=")</f>
        <v>1</v>
      </c>
      <c r="GI139" t="b">
        <f>AND(DATA!V888,"AAAAACfvpL4=")</f>
        <v>1</v>
      </c>
      <c r="GJ139" t="e">
        <f>AND(DATA!W887,"AAAAACfvpL8=")</f>
        <v>#VALUE!</v>
      </c>
      <c r="GK139" t="e">
        <f>AND(DATA!X887,"AAAAACfvpMA=")</f>
        <v>#VALUE!</v>
      </c>
      <c r="GL139" t="e">
        <f>AND(DATA!Y887,"AAAAACfvpME=")</f>
        <v>#VALUE!</v>
      </c>
      <c r="GM139">
        <f>IF(DATA!888:888,"AAAAACfvpMI=",0)</f>
        <v>0</v>
      </c>
      <c r="GN139" t="e">
        <f>AND(DATA!A888,"AAAAACfvpMM=")</f>
        <v>#VALUE!</v>
      </c>
      <c r="GO139" t="e">
        <f>AND(DATA!B888,"AAAAACfvpMQ=")</f>
        <v>#VALUE!</v>
      </c>
      <c r="GP139" t="e">
        <f>AND(DATA!C888,"AAAAACfvpMU=")</f>
        <v>#VALUE!</v>
      </c>
      <c r="GQ139" t="e">
        <f>AND(DATA!D888,"AAAAACfvpMY=")</f>
        <v>#VALUE!</v>
      </c>
      <c r="GR139" t="e">
        <f>AND(DATA!E888,"AAAAACfvpMc=")</f>
        <v>#VALUE!</v>
      </c>
      <c r="GS139" t="e">
        <f>AND(DATA!F888,"AAAAACfvpMg=")</f>
        <v>#VALUE!</v>
      </c>
      <c r="GT139" t="e">
        <f>AND(DATA!G888,"AAAAACfvpMk=")</f>
        <v>#VALUE!</v>
      </c>
      <c r="GU139" t="e">
        <f>AND(DATA!H888,"AAAAACfvpMo=")</f>
        <v>#VALUE!</v>
      </c>
      <c r="GV139" t="e">
        <f>AND(DATA!I888,"AAAAACfvpMs=")</f>
        <v>#VALUE!</v>
      </c>
      <c r="GW139" t="e">
        <f>AND(DATA!J888,"AAAAACfvpMw=")</f>
        <v>#VALUE!</v>
      </c>
      <c r="GX139" t="e">
        <f>AND(DATA!K888,"AAAAACfvpM0=")</f>
        <v>#VALUE!</v>
      </c>
      <c r="GY139" t="b">
        <f>AND(DATA!L889,"AAAAACfvpM4=")</f>
        <v>1</v>
      </c>
      <c r="GZ139" t="b">
        <f>AND(DATA!M889,"AAAAACfvpM8=")</f>
        <v>1</v>
      </c>
      <c r="HA139" t="b">
        <f>AND(DATA!N889,"AAAAACfvpNA=")</f>
        <v>1</v>
      </c>
      <c r="HB139" t="b">
        <f>AND(DATA!O889,"AAAAACfvpNE=")</f>
        <v>1</v>
      </c>
      <c r="HC139" t="b">
        <f>AND(DATA!P889,"AAAAACfvpNI=")</f>
        <v>1</v>
      </c>
      <c r="HD139" t="b">
        <f>AND(DATA!Q889,"AAAAACfvpNM=")</f>
        <v>1</v>
      </c>
      <c r="HE139" t="b">
        <f>AND(DATA!R889,"AAAAACfvpNQ=")</f>
        <v>1</v>
      </c>
      <c r="HF139" t="b">
        <f>AND(DATA!S889,"AAAAACfvpNU=")</f>
        <v>1</v>
      </c>
      <c r="HG139" t="b">
        <f>AND(DATA!T889,"AAAAACfvpNY=")</f>
        <v>1</v>
      </c>
      <c r="HH139" t="b">
        <f>AND(DATA!U889,"AAAAACfvpNc=")</f>
        <v>1</v>
      </c>
      <c r="HI139" t="b">
        <f>AND(DATA!V889,"AAAAACfvpNg=")</f>
        <v>1</v>
      </c>
      <c r="HJ139" t="e">
        <f>AND(DATA!W888,"AAAAACfvpNk=")</f>
        <v>#VALUE!</v>
      </c>
      <c r="HK139" t="e">
        <f>AND(DATA!X888,"AAAAACfvpNo=")</f>
        <v>#VALUE!</v>
      </c>
      <c r="HL139" t="e">
        <f>AND(DATA!Y888,"AAAAACfvpNs=")</f>
        <v>#VALUE!</v>
      </c>
      <c r="HM139">
        <f>IF(DATA!889:889,"AAAAACfvpNw=",0)</f>
        <v>0</v>
      </c>
      <c r="HN139" t="e">
        <f>AND(DATA!A889,"AAAAACfvpN0=")</f>
        <v>#VALUE!</v>
      </c>
      <c r="HO139" t="e">
        <f>AND(DATA!B889,"AAAAACfvpN4=")</f>
        <v>#VALUE!</v>
      </c>
      <c r="HP139" t="e">
        <f>AND(DATA!C889,"AAAAACfvpN8=")</f>
        <v>#VALUE!</v>
      </c>
      <c r="HQ139" t="e">
        <f>AND(DATA!D889,"AAAAACfvpOA=")</f>
        <v>#VALUE!</v>
      </c>
      <c r="HR139" t="e">
        <f>AND(DATA!E889,"AAAAACfvpOE=")</f>
        <v>#VALUE!</v>
      </c>
      <c r="HS139" t="e">
        <f>AND(DATA!F889,"AAAAACfvpOI=")</f>
        <v>#VALUE!</v>
      </c>
      <c r="HT139" t="e">
        <f>AND(DATA!G889,"AAAAACfvpOM=")</f>
        <v>#VALUE!</v>
      </c>
      <c r="HU139" t="e">
        <f>AND(DATA!H889,"AAAAACfvpOQ=")</f>
        <v>#VALUE!</v>
      </c>
      <c r="HV139" t="e">
        <f>AND(DATA!I889,"AAAAACfvpOU=")</f>
        <v>#VALUE!</v>
      </c>
      <c r="HW139" t="e">
        <f>AND(DATA!J889,"AAAAACfvpOY=")</f>
        <v>#VALUE!</v>
      </c>
      <c r="HX139" t="e">
        <f>AND(DATA!K889,"AAAAACfvpOc=")</f>
        <v>#VALUE!</v>
      </c>
      <c r="HY139" t="b">
        <f>AND(DATA!L890,"AAAAACfvpOg=")</f>
        <v>1</v>
      </c>
      <c r="HZ139" t="b">
        <f>AND(DATA!M890,"AAAAACfvpOk=")</f>
        <v>1</v>
      </c>
      <c r="IA139" t="b">
        <f>AND(DATA!N890,"AAAAACfvpOo=")</f>
        <v>1</v>
      </c>
      <c r="IB139" t="b">
        <f>AND(DATA!O890,"AAAAACfvpOs=")</f>
        <v>1</v>
      </c>
      <c r="IC139" t="b">
        <f>AND(DATA!P890,"AAAAACfvpOw=")</f>
        <v>1</v>
      </c>
      <c r="ID139" t="b">
        <f>AND(DATA!Q890,"AAAAACfvpO0=")</f>
        <v>1</v>
      </c>
      <c r="IE139" t="b">
        <f>AND(DATA!R890,"AAAAACfvpO4=")</f>
        <v>1</v>
      </c>
      <c r="IF139" t="b">
        <f>AND(DATA!S890,"AAAAACfvpO8=")</f>
        <v>1</v>
      </c>
      <c r="IG139" t="b">
        <f>AND(DATA!T890,"AAAAACfvpPA=")</f>
        <v>1</v>
      </c>
      <c r="IH139" t="b">
        <f>AND(DATA!U890,"AAAAACfvpPE=")</f>
        <v>1</v>
      </c>
      <c r="II139" t="b">
        <f>AND(DATA!V890,"AAAAACfvpPI=")</f>
        <v>1</v>
      </c>
      <c r="IJ139" t="e">
        <f>AND(DATA!W889,"AAAAACfvpPM=")</f>
        <v>#VALUE!</v>
      </c>
      <c r="IK139" t="e">
        <f>AND(DATA!X889,"AAAAACfvpPQ=")</f>
        <v>#VALUE!</v>
      </c>
      <c r="IL139" t="e">
        <f>AND(DATA!Y889,"AAAAACfvpPU=")</f>
        <v>#VALUE!</v>
      </c>
      <c r="IM139">
        <f>IF(DATA!890:890,"AAAAACfvpPY=",0)</f>
        <v>0</v>
      </c>
      <c r="IN139" t="e">
        <f>AND(DATA!A890,"AAAAACfvpPc=")</f>
        <v>#VALUE!</v>
      </c>
      <c r="IO139" t="e">
        <f>AND(DATA!B890,"AAAAACfvpPg=")</f>
        <v>#VALUE!</v>
      </c>
      <c r="IP139" t="e">
        <f>AND(DATA!C890,"AAAAACfvpPk=")</f>
        <v>#VALUE!</v>
      </c>
      <c r="IQ139" t="e">
        <f>AND(DATA!D890,"AAAAACfvpPo=")</f>
        <v>#VALUE!</v>
      </c>
      <c r="IR139" t="e">
        <f>AND(DATA!E890,"AAAAACfvpPs=")</f>
        <v>#VALUE!</v>
      </c>
      <c r="IS139" t="e">
        <f>AND(DATA!F890,"AAAAACfvpPw=")</f>
        <v>#VALUE!</v>
      </c>
      <c r="IT139" t="e">
        <f>AND(DATA!G890,"AAAAACfvpP0=")</f>
        <v>#VALUE!</v>
      </c>
      <c r="IU139" t="e">
        <f>AND(DATA!H890,"AAAAACfvpP4=")</f>
        <v>#VALUE!</v>
      </c>
      <c r="IV139" t="e">
        <f>AND(DATA!I890,"AAAAACfvpP8=")</f>
        <v>#VALUE!</v>
      </c>
    </row>
    <row r="140" spans="1:256" x14ac:dyDescent="0.25">
      <c r="A140" t="e">
        <f>AND(DATA!J890,"AAAAAH/duwA=")</f>
        <v>#VALUE!</v>
      </c>
      <c r="B140" t="e">
        <f>AND(DATA!K890,"AAAAAH/duwE=")</f>
        <v>#VALUE!</v>
      </c>
      <c r="C140" t="b">
        <f>AND(DATA!L891,"AAAAAH/duwI=")</f>
        <v>1</v>
      </c>
      <c r="D140" t="b">
        <f>AND(DATA!M891,"AAAAAH/duwM=")</f>
        <v>1</v>
      </c>
      <c r="E140" t="b">
        <f>AND(DATA!N891,"AAAAAH/duwQ=")</f>
        <v>1</v>
      </c>
      <c r="F140" t="b">
        <f>AND(DATA!O891,"AAAAAH/duwU=")</f>
        <v>1</v>
      </c>
      <c r="G140" t="b">
        <f>AND(DATA!P891,"AAAAAH/duwY=")</f>
        <v>1</v>
      </c>
      <c r="H140" t="b">
        <f>AND(DATA!Q891,"AAAAAH/duwc=")</f>
        <v>1</v>
      </c>
      <c r="I140" t="b">
        <f>AND(DATA!R891,"AAAAAH/duwg=")</f>
        <v>1</v>
      </c>
      <c r="J140" t="b">
        <f>AND(DATA!S891,"AAAAAH/duwk=")</f>
        <v>1</v>
      </c>
      <c r="K140" t="b">
        <f>AND(DATA!T891,"AAAAAH/duwo=")</f>
        <v>1</v>
      </c>
      <c r="L140" t="b">
        <f>AND(DATA!U891,"AAAAAH/duws=")</f>
        <v>1</v>
      </c>
      <c r="M140" t="b">
        <f>AND(DATA!V891,"AAAAAH/duww=")</f>
        <v>1</v>
      </c>
      <c r="N140" t="e">
        <f>AND(DATA!W890,"AAAAAH/duw0=")</f>
        <v>#VALUE!</v>
      </c>
      <c r="O140" t="e">
        <f>AND(DATA!X890,"AAAAAH/duw4=")</f>
        <v>#VALUE!</v>
      </c>
      <c r="P140" t="e">
        <f>AND(DATA!Y890,"AAAAAH/duw8=")</f>
        <v>#VALUE!</v>
      </c>
      <c r="Q140" t="str">
        <f>IF(DATA!891:891,"AAAAAH/duxA=",0)</f>
        <v>AAAAAH/duxA=</v>
      </c>
      <c r="R140" t="e">
        <f>AND(DATA!A891,"AAAAAH/duxE=")</f>
        <v>#VALUE!</v>
      </c>
      <c r="S140" t="e">
        <f>AND(DATA!B891,"AAAAAH/duxI=")</f>
        <v>#VALUE!</v>
      </c>
      <c r="T140" t="e">
        <f>AND(DATA!C891,"AAAAAH/duxM=")</f>
        <v>#VALUE!</v>
      </c>
      <c r="U140" t="e">
        <f>AND(DATA!D891,"AAAAAH/duxQ=")</f>
        <v>#VALUE!</v>
      </c>
      <c r="V140" t="e">
        <f>AND(DATA!E891,"AAAAAH/duxU=")</f>
        <v>#VALUE!</v>
      </c>
      <c r="W140" t="e">
        <f>AND(DATA!F891,"AAAAAH/duxY=")</f>
        <v>#VALUE!</v>
      </c>
      <c r="X140" t="e">
        <f>AND(DATA!G891,"AAAAAH/duxc=")</f>
        <v>#VALUE!</v>
      </c>
      <c r="Y140" t="e">
        <f>AND(DATA!H891,"AAAAAH/duxg=")</f>
        <v>#VALUE!</v>
      </c>
      <c r="Z140" t="e">
        <f>AND(DATA!I891,"AAAAAH/duxk=")</f>
        <v>#VALUE!</v>
      </c>
      <c r="AA140" t="e">
        <f>AND(DATA!J891,"AAAAAH/duxo=")</f>
        <v>#VALUE!</v>
      </c>
      <c r="AB140" t="e">
        <f>AND(DATA!K891,"AAAAAH/duxs=")</f>
        <v>#VALUE!</v>
      </c>
      <c r="AC140" t="b">
        <f>AND(DATA!L892,"AAAAAH/duxw=")</f>
        <v>1</v>
      </c>
      <c r="AD140" t="b">
        <f>AND(DATA!M892,"AAAAAH/dux0=")</f>
        <v>1</v>
      </c>
      <c r="AE140" t="b">
        <f>AND(DATA!N892,"AAAAAH/dux4=")</f>
        <v>1</v>
      </c>
      <c r="AF140" t="b">
        <f>AND(DATA!O892,"AAAAAH/dux8=")</f>
        <v>1</v>
      </c>
      <c r="AG140" t="b">
        <f>AND(DATA!P892,"AAAAAH/duyA=")</f>
        <v>1</v>
      </c>
      <c r="AH140" t="b">
        <f>AND(DATA!Q892,"AAAAAH/duyE=")</f>
        <v>1</v>
      </c>
      <c r="AI140" t="b">
        <f>AND(DATA!R892,"AAAAAH/duyI=")</f>
        <v>1</v>
      </c>
      <c r="AJ140" t="b">
        <f>AND(DATA!S892,"AAAAAH/duyM=")</f>
        <v>1</v>
      </c>
      <c r="AK140" t="b">
        <f>AND(DATA!T892,"AAAAAH/duyQ=")</f>
        <v>1</v>
      </c>
      <c r="AL140" t="b">
        <f>AND(DATA!U892,"AAAAAH/duyU=")</f>
        <v>1</v>
      </c>
      <c r="AM140" t="b">
        <f>AND(DATA!V892,"AAAAAH/duyY=")</f>
        <v>1</v>
      </c>
      <c r="AN140" t="e">
        <f>AND(DATA!W891,"AAAAAH/duyc=")</f>
        <v>#VALUE!</v>
      </c>
      <c r="AO140" t="e">
        <f>AND(DATA!X891,"AAAAAH/duyg=")</f>
        <v>#VALUE!</v>
      </c>
      <c r="AP140" t="e">
        <f>AND(DATA!Y891,"AAAAAH/duyk=")</f>
        <v>#VALUE!</v>
      </c>
      <c r="AQ140">
        <f>IF(DATA!892:892,"AAAAAH/duyo=",0)</f>
        <v>0</v>
      </c>
      <c r="AR140" t="e">
        <f>AND(DATA!A892,"AAAAAH/duys=")</f>
        <v>#VALUE!</v>
      </c>
      <c r="AS140" t="e">
        <f>AND(DATA!B892,"AAAAAH/duyw=")</f>
        <v>#VALUE!</v>
      </c>
      <c r="AT140" t="e">
        <f>AND(DATA!C892,"AAAAAH/duy0=")</f>
        <v>#VALUE!</v>
      </c>
      <c r="AU140" t="e">
        <f>AND(DATA!D892,"AAAAAH/duy4=")</f>
        <v>#VALUE!</v>
      </c>
      <c r="AV140" t="e">
        <f>AND(DATA!E892,"AAAAAH/duy8=")</f>
        <v>#VALUE!</v>
      </c>
      <c r="AW140" t="e">
        <f>AND(DATA!F892,"AAAAAH/duzA=")</f>
        <v>#VALUE!</v>
      </c>
      <c r="AX140" t="e">
        <f>AND(DATA!G892,"AAAAAH/duzE=")</f>
        <v>#VALUE!</v>
      </c>
      <c r="AY140" t="e">
        <f>AND(DATA!H892,"AAAAAH/duzI=")</f>
        <v>#VALUE!</v>
      </c>
      <c r="AZ140" t="e">
        <f>AND(DATA!I892,"AAAAAH/duzM=")</f>
        <v>#VALUE!</v>
      </c>
      <c r="BA140" t="e">
        <f>AND(DATA!J892,"AAAAAH/duzQ=")</f>
        <v>#VALUE!</v>
      </c>
      <c r="BB140" t="e">
        <f>AND(DATA!K892,"AAAAAH/duzU=")</f>
        <v>#VALUE!</v>
      </c>
      <c r="BC140" t="b">
        <f>AND(DATA!L893,"AAAAAH/duzY=")</f>
        <v>1</v>
      </c>
      <c r="BD140" t="b">
        <f>AND(DATA!M893,"AAAAAH/duzc=")</f>
        <v>1</v>
      </c>
      <c r="BE140" t="b">
        <f>AND(DATA!N893,"AAAAAH/duzg=")</f>
        <v>1</v>
      </c>
      <c r="BF140" t="b">
        <f>AND(DATA!O893,"AAAAAH/duzk=")</f>
        <v>1</v>
      </c>
      <c r="BG140" t="b">
        <f>AND(DATA!P893,"AAAAAH/duzo=")</f>
        <v>1</v>
      </c>
      <c r="BH140" t="b">
        <f>AND(DATA!Q893,"AAAAAH/duzs=")</f>
        <v>1</v>
      </c>
      <c r="BI140" t="b">
        <f>AND(DATA!R893,"AAAAAH/duzw=")</f>
        <v>1</v>
      </c>
      <c r="BJ140" t="b">
        <f>AND(DATA!S893,"AAAAAH/duz0=")</f>
        <v>1</v>
      </c>
      <c r="BK140" t="b">
        <f>AND(DATA!T893,"AAAAAH/duz4=")</f>
        <v>1</v>
      </c>
      <c r="BL140" t="b">
        <f>AND(DATA!U893,"AAAAAH/duz8=")</f>
        <v>1</v>
      </c>
      <c r="BM140" t="b">
        <f>AND(DATA!V893,"AAAAAH/du0A=")</f>
        <v>1</v>
      </c>
      <c r="BN140" t="e">
        <f>AND(DATA!W892,"AAAAAH/du0E=")</f>
        <v>#VALUE!</v>
      </c>
      <c r="BO140" t="e">
        <f>AND(DATA!X892,"AAAAAH/du0I=")</f>
        <v>#VALUE!</v>
      </c>
      <c r="BP140" t="e">
        <f>AND(DATA!Y892,"AAAAAH/du0M=")</f>
        <v>#VALUE!</v>
      </c>
      <c r="BQ140">
        <f>IF(DATA!893:893,"AAAAAH/du0Q=",0)</f>
        <v>0</v>
      </c>
      <c r="BR140" t="e">
        <f>AND(DATA!A893,"AAAAAH/du0U=")</f>
        <v>#VALUE!</v>
      </c>
      <c r="BS140" t="e">
        <f>AND(DATA!B893,"AAAAAH/du0Y=")</f>
        <v>#VALUE!</v>
      </c>
      <c r="BT140" t="e">
        <f>AND(DATA!C893,"AAAAAH/du0c=")</f>
        <v>#VALUE!</v>
      </c>
      <c r="BU140" t="e">
        <f>AND(DATA!D893,"AAAAAH/du0g=")</f>
        <v>#VALUE!</v>
      </c>
      <c r="BV140" t="e">
        <f>AND(DATA!E893,"AAAAAH/du0k=")</f>
        <v>#VALUE!</v>
      </c>
      <c r="BW140" t="e">
        <f>AND(DATA!F893,"AAAAAH/du0o=")</f>
        <v>#VALUE!</v>
      </c>
      <c r="BX140" t="e">
        <f>AND(DATA!G893,"AAAAAH/du0s=")</f>
        <v>#VALUE!</v>
      </c>
      <c r="BY140" t="e">
        <f>AND(DATA!H893,"AAAAAH/du0w=")</f>
        <v>#VALUE!</v>
      </c>
      <c r="BZ140" t="e">
        <f>AND(DATA!I893,"AAAAAH/du00=")</f>
        <v>#VALUE!</v>
      </c>
      <c r="CA140" t="e">
        <f>AND(DATA!J893,"AAAAAH/du04=")</f>
        <v>#VALUE!</v>
      </c>
      <c r="CB140" t="e">
        <f>AND(DATA!K893,"AAAAAH/du08=")</f>
        <v>#VALUE!</v>
      </c>
      <c r="CC140" t="b">
        <f>AND(DATA!L894,"AAAAAH/du1A=")</f>
        <v>1</v>
      </c>
      <c r="CD140" t="b">
        <f>AND(DATA!M894,"AAAAAH/du1E=")</f>
        <v>1</v>
      </c>
      <c r="CE140" t="b">
        <f>AND(DATA!N894,"AAAAAH/du1I=")</f>
        <v>1</v>
      </c>
      <c r="CF140" t="b">
        <f>AND(DATA!O894,"AAAAAH/du1M=")</f>
        <v>1</v>
      </c>
      <c r="CG140" t="b">
        <f>AND(DATA!P894,"AAAAAH/du1Q=")</f>
        <v>1</v>
      </c>
      <c r="CH140" t="b">
        <f>AND(DATA!Q894,"AAAAAH/du1U=")</f>
        <v>1</v>
      </c>
      <c r="CI140" t="b">
        <f>AND(DATA!R894,"AAAAAH/du1Y=")</f>
        <v>1</v>
      </c>
      <c r="CJ140" t="b">
        <f>AND(DATA!S894,"AAAAAH/du1c=")</f>
        <v>1</v>
      </c>
      <c r="CK140" t="b">
        <f>AND(DATA!T894,"AAAAAH/du1g=")</f>
        <v>1</v>
      </c>
      <c r="CL140" t="b">
        <f>AND(DATA!U894,"AAAAAH/du1k=")</f>
        <v>1</v>
      </c>
      <c r="CM140" t="b">
        <f>AND(DATA!V894,"AAAAAH/du1o=")</f>
        <v>1</v>
      </c>
      <c r="CN140" t="e">
        <f>AND(DATA!W893,"AAAAAH/du1s=")</f>
        <v>#VALUE!</v>
      </c>
      <c r="CO140" t="e">
        <f>AND(DATA!X893,"AAAAAH/du1w=")</f>
        <v>#VALUE!</v>
      </c>
      <c r="CP140" t="e">
        <f>AND(DATA!Y893,"AAAAAH/du10=")</f>
        <v>#VALUE!</v>
      </c>
      <c r="CQ140">
        <f>IF(DATA!894:894,"AAAAAH/du14=",0)</f>
        <v>0</v>
      </c>
      <c r="CR140" t="e">
        <f>AND(DATA!A894,"AAAAAH/du18=")</f>
        <v>#VALUE!</v>
      </c>
      <c r="CS140" t="e">
        <f>AND(DATA!B894,"AAAAAH/du2A=")</f>
        <v>#VALUE!</v>
      </c>
      <c r="CT140" t="e">
        <f>AND(DATA!C894,"AAAAAH/du2E=")</f>
        <v>#VALUE!</v>
      </c>
      <c r="CU140" t="e">
        <f>AND(DATA!D894,"AAAAAH/du2I=")</f>
        <v>#VALUE!</v>
      </c>
      <c r="CV140" t="e">
        <f>AND(DATA!E894,"AAAAAH/du2M=")</f>
        <v>#VALUE!</v>
      </c>
      <c r="CW140" t="e">
        <f>AND(DATA!F894,"AAAAAH/du2Q=")</f>
        <v>#VALUE!</v>
      </c>
      <c r="CX140" t="e">
        <f>AND(DATA!G894,"AAAAAH/du2U=")</f>
        <v>#VALUE!</v>
      </c>
      <c r="CY140" t="e">
        <f>AND(DATA!H894,"AAAAAH/du2Y=")</f>
        <v>#VALUE!</v>
      </c>
      <c r="CZ140" t="e">
        <f>AND(DATA!I894,"AAAAAH/du2c=")</f>
        <v>#VALUE!</v>
      </c>
      <c r="DA140" t="e">
        <f>AND(DATA!J894,"AAAAAH/du2g=")</f>
        <v>#VALUE!</v>
      </c>
      <c r="DB140" t="e">
        <f>AND(DATA!K894,"AAAAAH/du2k=")</f>
        <v>#VALUE!</v>
      </c>
      <c r="DC140" t="b">
        <f>AND(DATA!L895,"AAAAAH/du2o=")</f>
        <v>1</v>
      </c>
      <c r="DD140" t="b">
        <f>AND(DATA!M895,"AAAAAH/du2s=")</f>
        <v>1</v>
      </c>
      <c r="DE140" t="b">
        <f>AND(DATA!N895,"AAAAAH/du2w=")</f>
        <v>1</v>
      </c>
      <c r="DF140" t="b">
        <f>AND(DATA!O895,"AAAAAH/du20=")</f>
        <v>1</v>
      </c>
      <c r="DG140" t="b">
        <f>AND(DATA!P895,"AAAAAH/du24=")</f>
        <v>1</v>
      </c>
      <c r="DH140" t="b">
        <f>AND(DATA!Q895,"AAAAAH/du28=")</f>
        <v>1</v>
      </c>
      <c r="DI140" t="b">
        <f>AND(DATA!R895,"AAAAAH/du3A=")</f>
        <v>1</v>
      </c>
      <c r="DJ140" t="b">
        <f>AND(DATA!S895,"AAAAAH/du3E=")</f>
        <v>1</v>
      </c>
      <c r="DK140" t="b">
        <f>AND(DATA!T895,"AAAAAH/du3I=")</f>
        <v>1</v>
      </c>
      <c r="DL140" t="b">
        <f>AND(DATA!U895,"AAAAAH/du3M=")</f>
        <v>1</v>
      </c>
      <c r="DM140" t="b">
        <f>AND(DATA!V895,"AAAAAH/du3Q=")</f>
        <v>1</v>
      </c>
      <c r="DN140" t="e">
        <f>AND(DATA!W894,"AAAAAH/du3U=")</f>
        <v>#VALUE!</v>
      </c>
      <c r="DO140" t="e">
        <f>AND(DATA!X894,"AAAAAH/du3Y=")</f>
        <v>#VALUE!</v>
      </c>
      <c r="DP140" t="e">
        <f>AND(DATA!Y894,"AAAAAH/du3c=")</f>
        <v>#VALUE!</v>
      </c>
      <c r="DQ140">
        <f>IF(DATA!895:895,"AAAAAH/du3g=",0)</f>
        <v>0</v>
      </c>
      <c r="DR140" t="e">
        <f>AND(DATA!A895,"AAAAAH/du3k=")</f>
        <v>#VALUE!</v>
      </c>
      <c r="DS140" t="e">
        <f>AND(DATA!B895,"AAAAAH/du3o=")</f>
        <v>#VALUE!</v>
      </c>
      <c r="DT140" t="e">
        <f>AND(DATA!C895,"AAAAAH/du3s=")</f>
        <v>#VALUE!</v>
      </c>
      <c r="DU140" t="e">
        <f>AND(DATA!D895,"AAAAAH/du3w=")</f>
        <v>#VALUE!</v>
      </c>
      <c r="DV140" t="e">
        <f>AND(DATA!E895,"AAAAAH/du30=")</f>
        <v>#VALUE!</v>
      </c>
      <c r="DW140" t="e">
        <f>AND(DATA!F895,"AAAAAH/du34=")</f>
        <v>#VALUE!</v>
      </c>
      <c r="DX140" t="e">
        <f>AND(DATA!G895,"AAAAAH/du38=")</f>
        <v>#VALUE!</v>
      </c>
      <c r="DY140" t="e">
        <f>AND(DATA!H895,"AAAAAH/du4A=")</f>
        <v>#VALUE!</v>
      </c>
      <c r="DZ140" t="e">
        <f>AND(DATA!I895,"AAAAAH/du4E=")</f>
        <v>#VALUE!</v>
      </c>
      <c r="EA140" t="e">
        <f>AND(DATA!J895,"AAAAAH/du4I=")</f>
        <v>#VALUE!</v>
      </c>
      <c r="EB140" t="e">
        <f>AND(DATA!K895,"AAAAAH/du4M=")</f>
        <v>#VALUE!</v>
      </c>
      <c r="EC140" t="b">
        <f>AND(DATA!L896,"AAAAAH/du4Q=")</f>
        <v>1</v>
      </c>
      <c r="ED140" t="b">
        <f>AND(DATA!M896,"AAAAAH/du4U=")</f>
        <v>1</v>
      </c>
      <c r="EE140" t="b">
        <f>AND(DATA!N896,"AAAAAH/du4Y=")</f>
        <v>1</v>
      </c>
      <c r="EF140" t="b">
        <f>AND(DATA!O896,"AAAAAH/du4c=")</f>
        <v>1</v>
      </c>
      <c r="EG140" t="b">
        <f>AND(DATA!P896,"AAAAAH/du4g=")</f>
        <v>1</v>
      </c>
      <c r="EH140" t="b">
        <f>AND(DATA!Q896,"AAAAAH/du4k=")</f>
        <v>1</v>
      </c>
      <c r="EI140" t="b">
        <f>AND(DATA!R896,"AAAAAH/du4o=")</f>
        <v>1</v>
      </c>
      <c r="EJ140" t="b">
        <f>AND(DATA!S896,"AAAAAH/du4s=")</f>
        <v>1</v>
      </c>
      <c r="EK140" t="b">
        <f>AND(DATA!T896,"AAAAAH/du4w=")</f>
        <v>1</v>
      </c>
      <c r="EL140" t="b">
        <f>AND(DATA!U896,"AAAAAH/du40=")</f>
        <v>1</v>
      </c>
      <c r="EM140" t="b">
        <f>AND(DATA!V896,"AAAAAH/du44=")</f>
        <v>1</v>
      </c>
      <c r="EN140" t="e">
        <f>AND(DATA!W895,"AAAAAH/du48=")</f>
        <v>#VALUE!</v>
      </c>
      <c r="EO140" t="e">
        <f>AND(DATA!X895,"AAAAAH/du5A=")</f>
        <v>#VALUE!</v>
      </c>
      <c r="EP140" t="e">
        <f>AND(DATA!Y895,"AAAAAH/du5E=")</f>
        <v>#VALUE!</v>
      </c>
      <c r="EQ140">
        <f>IF(DATA!896:896,"AAAAAH/du5I=",0)</f>
        <v>0</v>
      </c>
      <c r="ER140" t="e">
        <f>AND(DATA!A896,"AAAAAH/du5M=")</f>
        <v>#VALUE!</v>
      </c>
      <c r="ES140" t="e">
        <f>AND(DATA!B896,"AAAAAH/du5Q=")</f>
        <v>#VALUE!</v>
      </c>
      <c r="ET140" t="e">
        <f>AND(DATA!C896,"AAAAAH/du5U=")</f>
        <v>#VALUE!</v>
      </c>
      <c r="EU140" t="e">
        <f>AND(DATA!D896,"AAAAAH/du5Y=")</f>
        <v>#VALUE!</v>
      </c>
      <c r="EV140" t="e">
        <f>AND(DATA!E896,"AAAAAH/du5c=")</f>
        <v>#VALUE!</v>
      </c>
      <c r="EW140" t="e">
        <f>AND(DATA!F896,"AAAAAH/du5g=")</f>
        <v>#VALUE!</v>
      </c>
      <c r="EX140" t="e">
        <f>AND(DATA!G896,"AAAAAH/du5k=")</f>
        <v>#VALUE!</v>
      </c>
      <c r="EY140" t="e">
        <f>AND(DATA!H896,"AAAAAH/du5o=")</f>
        <v>#VALUE!</v>
      </c>
      <c r="EZ140" t="e">
        <f>AND(DATA!I896,"AAAAAH/du5s=")</f>
        <v>#VALUE!</v>
      </c>
      <c r="FA140" t="e">
        <f>AND(DATA!J896,"AAAAAH/du5w=")</f>
        <v>#VALUE!</v>
      </c>
      <c r="FB140" t="e">
        <f>AND(DATA!K896,"AAAAAH/du50=")</f>
        <v>#VALUE!</v>
      </c>
      <c r="FC140" t="b">
        <f>AND(DATA!L897,"AAAAAH/du54=")</f>
        <v>1</v>
      </c>
      <c r="FD140" t="b">
        <f>AND(DATA!M897,"AAAAAH/du58=")</f>
        <v>1</v>
      </c>
      <c r="FE140" t="b">
        <f>AND(DATA!N897,"AAAAAH/du6A=")</f>
        <v>1</v>
      </c>
      <c r="FF140" t="b">
        <f>AND(DATA!O897,"AAAAAH/du6E=")</f>
        <v>1</v>
      </c>
      <c r="FG140" t="b">
        <f>AND(DATA!P897,"AAAAAH/du6I=")</f>
        <v>1</v>
      </c>
      <c r="FH140" t="b">
        <f>AND(DATA!Q897,"AAAAAH/du6M=")</f>
        <v>1</v>
      </c>
      <c r="FI140" t="b">
        <f>AND(DATA!R897,"AAAAAH/du6Q=")</f>
        <v>1</v>
      </c>
      <c r="FJ140" t="b">
        <f>AND(DATA!S897,"AAAAAH/du6U=")</f>
        <v>1</v>
      </c>
      <c r="FK140" t="b">
        <f>AND(DATA!T897,"AAAAAH/du6Y=")</f>
        <v>1</v>
      </c>
      <c r="FL140" t="b">
        <f>AND(DATA!U897,"AAAAAH/du6c=")</f>
        <v>1</v>
      </c>
      <c r="FM140" t="b">
        <f>AND(DATA!V897,"AAAAAH/du6g=")</f>
        <v>1</v>
      </c>
      <c r="FN140" t="e">
        <f>AND(DATA!W896,"AAAAAH/du6k=")</f>
        <v>#VALUE!</v>
      </c>
      <c r="FO140" t="e">
        <f>AND(DATA!X896,"AAAAAH/du6o=")</f>
        <v>#VALUE!</v>
      </c>
      <c r="FP140" t="e">
        <f>AND(DATA!Y896,"AAAAAH/du6s=")</f>
        <v>#VALUE!</v>
      </c>
      <c r="FQ140">
        <f>IF(DATA!897:897,"AAAAAH/du6w=",0)</f>
        <v>0</v>
      </c>
      <c r="FR140" t="e">
        <f>AND(DATA!A897,"AAAAAH/du60=")</f>
        <v>#VALUE!</v>
      </c>
      <c r="FS140" t="e">
        <f>AND(DATA!B897,"AAAAAH/du64=")</f>
        <v>#VALUE!</v>
      </c>
      <c r="FT140" t="e">
        <f>AND(DATA!C897,"AAAAAH/du68=")</f>
        <v>#VALUE!</v>
      </c>
      <c r="FU140" t="e">
        <f>AND(DATA!D897,"AAAAAH/du7A=")</f>
        <v>#VALUE!</v>
      </c>
      <c r="FV140" t="e">
        <f>AND(DATA!E897,"AAAAAH/du7E=")</f>
        <v>#VALUE!</v>
      </c>
      <c r="FW140" t="e">
        <f>AND(DATA!F897,"AAAAAH/du7I=")</f>
        <v>#VALUE!</v>
      </c>
      <c r="FX140" t="e">
        <f>AND(DATA!G897,"AAAAAH/du7M=")</f>
        <v>#VALUE!</v>
      </c>
      <c r="FY140" t="e">
        <f>AND(DATA!H897,"AAAAAH/du7Q=")</f>
        <v>#VALUE!</v>
      </c>
      <c r="FZ140" t="e">
        <f>AND(DATA!I897,"AAAAAH/du7U=")</f>
        <v>#VALUE!</v>
      </c>
      <c r="GA140" t="e">
        <f>AND(DATA!J897,"AAAAAH/du7Y=")</f>
        <v>#VALUE!</v>
      </c>
      <c r="GB140" t="e">
        <f>AND(DATA!K897,"AAAAAH/du7c=")</f>
        <v>#VALUE!</v>
      </c>
      <c r="GC140" t="b">
        <f>AND(DATA!L898,"AAAAAH/du7g=")</f>
        <v>1</v>
      </c>
      <c r="GD140" t="b">
        <f>AND(DATA!M898,"AAAAAH/du7k=")</f>
        <v>1</v>
      </c>
      <c r="GE140" t="b">
        <f>AND(DATA!N898,"AAAAAH/du7o=")</f>
        <v>1</v>
      </c>
      <c r="GF140" t="b">
        <f>AND(DATA!O898,"AAAAAH/du7s=")</f>
        <v>1</v>
      </c>
      <c r="GG140" t="b">
        <f>AND(DATA!P898,"AAAAAH/du7w=")</f>
        <v>1</v>
      </c>
      <c r="GH140" t="b">
        <f>AND(DATA!Q898,"AAAAAH/du70=")</f>
        <v>1</v>
      </c>
      <c r="GI140" t="b">
        <f>AND(DATA!R898,"AAAAAH/du74=")</f>
        <v>1</v>
      </c>
      <c r="GJ140" t="b">
        <f>AND(DATA!S898,"AAAAAH/du78=")</f>
        <v>1</v>
      </c>
      <c r="GK140" t="b">
        <f>AND(DATA!T898,"AAAAAH/du8A=")</f>
        <v>1</v>
      </c>
      <c r="GL140" t="b">
        <f>AND(DATA!U898,"AAAAAH/du8E=")</f>
        <v>1</v>
      </c>
      <c r="GM140" t="b">
        <f>AND(DATA!V898,"AAAAAH/du8I=")</f>
        <v>1</v>
      </c>
      <c r="GN140" t="e">
        <f>AND(DATA!W897,"AAAAAH/du8M=")</f>
        <v>#VALUE!</v>
      </c>
      <c r="GO140" t="e">
        <f>AND(DATA!X897,"AAAAAH/du8Q=")</f>
        <v>#VALUE!</v>
      </c>
      <c r="GP140" t="e">
        <f>AND(DATA!Y897,"AAAAAH/du8U=")</f>
        <v>#VALUE!</v>
      </c>
      <c r="GQ140">
        <f>IF(DATA!898:898,"AAAAAH/du8Y=",0)</f>
        <v>0</v>
      </c>
      <c r="GR140" t="e">
        <f>AND(DATA!A898,"AAAAAH/du8c=")</f>
        <v>#VALUE!</v>
      </c>
      <c r="GS140" t="e">
        <f>AND(DATA!B898,"AAAAAH/du8g=")</f>
        <v>#VALUE!</v>
      </c>
      <c r="GT140" t="e">
        <f>AND(DATA!C898,"AAAAAH/du8k=")</f>
        <v>#VALUE!</v>
      </c>
      <c r="GU140" t="e">
        <f>AND(DATA!D898,"AAAAAH/du8o=")</f>
        <v>#VALUE!</v>
      </c>
      <c r="GV140" t="e">
        <f>AND(DATA!E898,"AAAAAH/du8s=")</f>
        <v>#VALUE!</v>
      </c>
      <c r="GW140" t="e">
        <f>AND(DATA!F898,"AAAAAH/du8w=")</f>
        <v>#VALUE!</v>
      </c>
      <c r="GX140" t="e">
        <f>AND(DATA!G898,"AAAAAH/du80=")</f>
        <v>#VALUE!</v>
      </c>
      <c r="GY140" t="e">
        <f>AND(DATA!H898,"AAAAAH/du84=")</f>
        <v>#VALUE!</v>
      </c>
      <c r="GZ140" t="e">
        <f>AND(DATA!I898,"AAAAAH/du88=")</f>
        <v>#VALUE!</v>
      </c>
      <c r="HA140" t="e">
        <f>AND(DATA!J898,"AAAAAH/du9A=")</f>
        <v>#VALUE!</v>
      </c>
      <c r="HB140" t="e">
        <f>AND(DATA!K898,"AAAAAH/du9E=")</f>
        <v>#VALUE!</v>
      </c>
      <c r="HC140" t="b">
        <f>AND(DATA!L899,"AAAAAH/du9I=")</f>
        <v>1</v>
      </c>
      <c r="HD140" t="b">
        <f>AND(DATA!M899,"AAAAAH/du9M=")</f>
        <v>1</v>
      </c>
      <c r="HE140" t="b">
        <f>AND(DATA!N899,"AAAAAH/du9Q=")</f>
        <v>1</v>
      </c>
      <c r="HF140" t="b">
        <f>AND(DATA!O899,"AAAAAH/du9U=")</f>
        <v>1</v>
      </c>
      <c r="HG140" t="b">
        <f>AND(DATA!P899,"AAAAAH/du9Y=")</f>
        <v>1</v>
      </c>
      <c r="HH140" t="b">
        <f>AND(DATA!Q899,"AAAAAH/du9c=")</f>
        <v>1</v>
      </c>
      <c r="HI140" t="b">
        <f>AND(DATA!R899,"AAAAAH/du9g=")</f>
        <v>1</v>
      </c>
      <c r="HJ140" t="b">
        <f>AND(DATA!S899,"AAAAAH/du9k=")</f>
        <v>1</v>
      </c>
      <c r="HK140" t="b">
        <f>AND(DATA!T899,"AAAAAH/du9o=")</f>
        <v>1</v>
      </c>
      <c r="HL140" t="b">
        <f>AND(DATA!U899,"AAAAAH/du9s=")</f>
        <v>1</v>
      </c>
      <c r="HM140" t="b">
        <f>AND(DATA!V899,"AAAAAH/du9w=")</f>
        <v>1</v>
      </c>
      <c r="HN140" t="e">
        <f>AND(DATA!W898,"AAAAAH/du90=")</f>
        <v>#VALUE!</v>
      </c>
      <c r="HO140" t="e">
        <f>AND(DATA!X898,"AAAAAH/du94=")</f>
        <v>#VALUE!</v>
      </c>
      <c r="HP140" t="e">
        <f>AND(DATA!Y898,"AAAAAH/du98=")</f>
        <v>#VALUE!</v>
      </c>
      <c r="HQ140">
        <f>IF(DATA!899:899,"AAAAAH/du+A=",0)</f>
        <v>0</v>
      </c>
      <c r="HR140" t="e">
        <f>AND(DATA!A899,"AAAAAH/du+E=")</f>
        <v>#VALUE!</v>
      </c>
      <c r="HS140" t="e">
        <f>AND(DATA!B899,"AAAAAH/du+I=")</f>
        <v>#VALUE!</v>
      </c>
      <c r="HT140" t="e">
        <f>AND(DATA!C899,"AAAAAH/du+M=")</f>
        <v>#VALUE!</v>
      </c>
      <c r="HU140" t="e">
        <f>AND(DATA!D899,"AAAAAH/du+Q=")</f>
        <v>#VALUE!</v>
      </c>
      <c r="HV140" t="e">
        <f>AND(DATA!E899,"AAAAAH/du+U=")</f>
        <v>#VALUE!</v>
      </c>
      <c r="HW140" t="e">
        <f>AND(DATA!F899,"AAAAAH/du+Y=")</f>
        <v>#VALUE!</v>
      </c>
      <c r="HX140" t="e">
        <f>AND(DATA!G899,"AAAAAH/du+c=")</f>
        <v>#VALUE!</v>
      </c>
      <c r="HY140" t="e">
        <f>AND(DATA!H899,"AAAAAH/du+g=")</f>
        <v>#VALUE!</v>
      </c>
      <c r="HZ140" t="e">
        <f>AND(DATA!I899,"AAAAAH/du+k=")</f>
        <v>#VALUE!</v>
      </c>
      <c r="IA140" t="e">
        <f>AND(DATA!J899,"AAAAAH/du+o=")</f>
        <v>#VALUE!</v>
      </c>
      <c r="IB140" t="e">
        <f>AND(DATA!K899,"AAAAAH/du+s=")</f>
        <v>#VALUE!</v>
      </c>
      <c r="IC140" t="b">
        <f>AND(DATA!L900,"AAAAAH/du+w=")</f>
        <v>1</v>
      </c>
      <c r="ID140" t="b">
        <f>AND(DATA!M900,"AAAAAH/du+0=")</f>
        <v>1</v>
      </c>
      <c r="IE140" t="b">
        <f>AND(DATA!N900,"AAAAAH/du+4=")</f>
        <v>1</v>
      </c>
      <c r="IF140" t="b">
        <f>AND(DATA!O900,"AAAAAH/du+8=")</f>
        <v>1</v>
      </c>
      <c r="IG140" t="b">
        <f>AND(DATA!P900,"AAAAAH/du/A=")</f>
        <v>1</v>
      </c>
      <c r="IH140" t="b">
        <f>AND(DATA!Q900,"AAAAAH/du/E=")</f>
        <v>1</v>
      </c>
      <c r="II140" t="b">
        <f>AND(DATA!R900,"AAAAAH/du/I=")</f>
        <v>1</v>
      </c>
      <c r="IJ140" t="b">
        <f>AND(DATA!S900,"AAAAAH/du/M=")</f>
        <v>1</v>
      </c>
      <c r="IK140" t="b">
        <f>AND(DATA!T900,"AAAAAH/du/Q=")</f>
        <v>1</v>
      </c>
      <c r="IL140" t="b">
        <f>AND(DATA!U900,"AAAAAH/du/U=")</f>
        <v>1</v>
      </c>
      <c r="IM140" t="b">
        <f>AND(DATA!V900,"AAAAAH/du/Y=")</f>
        <v>1</v>
      </c>
      <c r="IN140" t="e">
        <f>AND(DATA!W899,"AAAAAH/du/c=")</f>
        <v>#VALUE!</v>
      </c>
      <c r="IO140" t="e">
        <f>AND(DATA!X899,"AAAAAH/du/g=")</f>
        <v>#VALUE!</v>
      </c>
      <c r="IP140" t="e">
        <f>AND(DATA!Y899,"AAAAAH/du/k=")</f>
        <v>#VALUE!</v>
      </c>
      <c r="IQ140">
        <f>IF(DATA!900:900,"AAAAAH/du/o=",0)</f>
        <v>0</v>
      </c>
      <c r="IR140" t="e">
        <f>AND(DATA!A900,"AAAAAH/du/s=")</f>
        <v>#VALUE!</v>
      </c>
      <c r="IS140" t="e">
        <f>AND(DATA!B900,"AAAAAH/du/w=")</f>
        <v>#VALUE!</v>
      </c>
      <c r="IT140" t="e">
        <f>AND(DATA!C900,"AAAAAH/du/0=")</f>
        <v>#VALUE!</v>
      </c>
      <c r="IU140" t="e">
        <f>AND(DATA!D900,"AAAAAH/du/4=")</f>
        <v>#VALUE!</v>
      </c>
      <c r="IV140" t="e">
        <f>AND(DATA!E900,"AAAAAH/du/8=")</f>
        <v>#VALUE!</v>
      </c>
    </row>
    <row r="141" spans="1:256" x14ac:dyDescent="0.25">
      <c r="A141" t="e">
        <f>AND(DATA!F900,"AAAAAH9vvAA=")</f>
        <v>#VALUE!</v>
      </c>
      <c r="B141" t="e">
        <f>AND(DATA!G900,"AAAAAH9vvAE=")</f>
        <v>#VALUE!</v>
      </c>
      <c r="C141" t="e">
        <f>AND(DATA!H900,"AAAAAH9vvAI=")</f>
        <v>#VALUE!</v>
      </c>
      <c r="D141" t="e">
        <f>AND(DATA!I900,"AAAAAH9vvAM=")</f>
        <v>#VALUE!</v>
      </c>
      <c r="E141" t="e">
        <f>AND(DATA!J900,"AAAAAH9vvAQ=")</f>
        <v>#VALUE!</v>
      </c>
      <c r="F141" t="e">
        <f>AND(DATA!K900,"AAAAAH9vvAU=")</f>
        <v>#VALUE!</v>
      </c>
      <c r="G141" t="b">
        <f>AND(DATA!L901,"AAAAAH9vvAY=")</f>
        <v>1</v>
      </c>
      <c r="H141" t="b">
        <f>AND(DATA!M901,"AAAAAH9vvAc=")</f>
        <v>1</v>
      </c>
      <c r="I141" t="b">
        <f>AND(DATA!N901,"AAAAAH9vvAg=")</f>
        <v>1</v>
      </c>
      <c r="J141" t="b">
        <f>AND(DATA!O901,"AAAAAH9vvAk=")</f>
        <v>1</v>
      </c>
      <c r="K141" t="b">
        <f>AND(DATA!P901,"AAAAAH9vvAo=")</f>
        <v>1</v>
      </c>
      <c r="L141" t="b">
        <f>AND(DATA!Q901,"AAAAAH9vvAs=")</f>
        <v>1</v>
      </c>
      <c r="M141" t="b">
        <f>AND(DATA!R901,"AAAAAH9vvAw=")</f>
        <v>1</v>
      </c>
      <c r="N141" t="b">
        <f>AND(DATA!S901,"AAAAAH9vvA0=")</f>
        <v>1</v>
      </c>
      <c r="O141" t="b">
        <f>AND(DATA!T901,"AAAAAH9vvA4=")</f>
        <v>1</v>
      </c>
      <c r="P141" t="b">
        <f>AND(DATA!U901,"AAAAAH9vvA8=")</f>
        <v>1</v>
      </c>
      <c r="Q141" t="b">
        <f>AND(DATA!V901,"AAAAAH9vvBA=")</f>
        <v>1</v>
      </c>
      <c r="R141" t="e">
        <f>AND(DATA!W900,"AAAAAH9vvBE=")</f>
        <v>#VALUE!</v>
      </c>
      <c r="S141" t="e">
        <f>AND(DATA!X900,"AAAAAH9vvBI=")</f>
        <v>#VALUE!</v>
      </c>
      <c r="T141" t="e">
        <f>AND(DATA!Y900,"AAAAAH9vvBM=")</f>
        <v>#VALUE!</v>
      </c>
      <c r="U141" t="str">
        <f>IF(DATA!901:901,"AAAAAH9vvBQ=",0)</f>
        <v>AAAAAH9vvBQ=</v>
      </c>
      <c r="V141" t="e">
        <f>AND(DATA!A901,"AAAAAH9vvBU=")</f>
        <v>#VALUE!</v>
      </c>
      <c r="W141" t="e">
        <f>AND(DATA!B901,"AAAAAH9vvBY=")</f>
        <v>#VALUE!</v>
      </c>
      <c r="X141" t="e">
        <f>AND(DATA!C901,"AAAAAH9vvBc=")</f>
        <v>#VALUE!</v>
      </c>
      <c r="Y141" t="e">
        <f>AND(DATA!D901,"AAAAAH9vvBg=")</f>
        <v>#VALUE!</v>
      </c>
      <c r="Z141" t="e">
        <f>AND(DATA!E901,"AAAAAH9vvBk=")</f>
        <v>#VALUE!</v>
      </c>
      <c r="AA141" t="e">
        <f>AND(DATA!F901,"AAAAAH9vvBo=")</f>
        <v>#VALUE!</v>
      </c>
      <c r="AB141" t="e">
        <f>AND(DATA!G901,"AAAAAH9vvBs=")</f>
        <v>#VALUE!</v>
      </c>
      <c r="AC141" t="e">
        <f>AND(DATA!H901,"AAAAAH9vvBw=")</f>
        <v>#VALUE!</v>
      </c>
      <c r="AD141" t="e">
        <f>AND(DATA!I901,"AAAAAH9vvB0=")</f>
        <v>#VALUE!</v>
      </c>
      <c r="AE141" t="e">
        <f>AND(DATA!J901,"AAAAAH9vvB4=")</f>
        <v>#VALUE!</v>
      </c>
      <c r="AF141" t="e">
        <f>AND(DATA!K901,"AAAAAH9vvB8=")</f>
        <v>#VALUE!</v>
      </c>
      <c r="AG141" t="b">
        <f>AND(DATA!L902,"AAAAAH9vvCA=")</f>
        <v>1</v>
      </c>
      <c r="AH141" t="b">
        <f>AND(DATA!M902,"AAAAAH9vvCE=")</f>
        <v>1</v>
      </c>
      <c r="AI141" t="b">
        <f>AND(DATA!N902,"AAAAAH9vvCI=")</f>
        <v>1</v>
      </c>
      <c r="AJ141" t="b">
        <f>AND(DATA!O902,"AAAAAH9vvCM=")</f>
        <v>1</v>
      </c>
      <c r="AK141" t="b">
        <f>AND(DATA!P902,"AAAAAH9vvCQ=")</f>
        <v>1</v>
      </c>
      <c r="AL141" t="b">
        <f>AND(DATA!Q902,"AAAAAH9vvCU=")</f>
        <v>1</v>
      </c>
      <c r="AM141" t="b">
        <f>AND(DATA!R902,"AAAAAH9vvCY=")</f>
        <v>1</v>
      </c>
      <c r="AN141" t="b">
        <f>AND(DATA!S902,"AAAAAH9vvCc=")</f>
        <v>1</v>
      </c>
      <c r="AO141" t="b">
        <f>AND(DATA!T902,"AAAAAH9vvCg=")</f>
        <v>1</v>
      </c>
      <c r="AP141" t="b">
        <f>AND(DATA!U902,"AAAAAH9vvCk=")</f>
        <v>1</v>
      </c>
      <c r="AQ141" t="b">
        <f>AND(DATA!V902,"AAAAAH9vvCo=")</f>
        <v>1</v>
      </c>
      <c r="AR141" t="e">
        <f>AND(DATA!W901,"AAAAAH9vvCs=")</f>
        <v>#VALUE!</v>
      </c>
      <c r="AS141" t="e">
        <f>AND(DATA!X901,"AAAAAH9vvCw=")</f>
        <v>#VALUE!</v>
      </c>
      <c r="AT141" t="e">
        <f>AND(DATA!Y901,"AAAAAH9vvC0=")</f>
        <v>#VALUE!</v>
      </c>
      <c r="AU141">
        <f>IF(DATA!902:902,"AAAAAH9vvC4=",0)</f>
        <v>0</v>
      </c>
      <c r="AV141" t="e">
        <f>AND(DATA!A902,"AAAAAH9vvC8=")</f>
        <v>#VALUE!</v>
      </c>
      <c r="AW141" t="e">
        <f>AND(DATA!B902,"AAAAAH9vvDA=")</f>
        <v>#VALUE!</v>
      </c>
      <c r="AX141" t="e">
        <f>AND(DATA!C902,"AAAAAH9vvDE=")</f>
        <v>#VALUE!</v>
      </c>
      <c r="AY141" t="e">
        <f>AND(DATA!D902,"AAAAAH9vvDI=")</f>
        <v>#VALUE!</v>
      </c>
      <c r="AZ141" t="e">
        <f>AND(DATA!E902,"AAAAAH9vvDM=")</f>
        <v>#VALUE!</v>
      </c>
      <c r="BA141" t="e">
        <f>AND(DATA!F902,"AAAAAH9vvDQ=")</f>
        <v>#VALUE!</v>
      </c>
      <c r="BB141" t="e">
        <f>AND(DATA!G902,"AAAAAH9vvDU=")</f>
        <v>#VALUE!</v>
      </c>
      <c r="BC141" t="e">
        <f>AND(DATA!H902,"AAAAAH9vvDY=")</f>
        <v>#VALUE!</v>
      </c>
      <c r="BD141" t="e">
        <f>AND(DATA!I902,"AAAAAH9vvDc=")</f>
        <v>#VALUE!</v>
      </c>
      <c r="BE141" t="e">
        <f>AND(DATA!J902,"AAAAAH9vvDg=")</f>
        <v>#VALUE!</v>
      </c>
      <c r="BF141" t="e">
        <f>AND(DATA!K902,"AAAAAH9vvDk=")</f>
        <v>#VALUE!</v>
      </c>
      <c r="BG141" t="b">
        <f>AND(DATA!L903,"AAAAAH9vvDo=")</f>
        <v>1</v>
      </c>
      <c r="BH141" t="b">
        <f>AND(DATA!M903,"AAAAAH9vvDs=")</f>
        <v>1</v>
      </c>
      <c r="BI141" t="b">
        <f>AND(DATA!N903,"AAAAAH9vvDw=")</f>
        <v>1</v>
      </c>
      <c r="BJ141" t="b">
        <f>AND(DATA!O903,"AAAAAH9vvD0=")</f>
        <v>1</v>
      </c>
      <c r="BK141" t="b">
        <f>AND(DATA!P903,"AAAAAH9vvD4=")</f>
        <v>1</v>
      </c>
      <c r="BL141" t="b">
        <f>AND(DATA!Q903,"AAAAAH9vvD8=")</f>
        <v>1</v>
      </c>
      <c r="BM141" t="b">
        <f>AND(DATA!R903,"AAAAAH9vvEA=")</f>
        <v>1</v>
      </c>
      <c r="BN141" t="b">
        <f>AND(DATA!S903,"AAAAAH9vvEE=")</f>
        <v>1</v>
      </c>
      <c r="BO141" t="b">
        <f>AND(DATA!T903,"AAAAAH9vvEI=")</f>
        <v>1</v>
      </c>
      <c r="BP141" t="b">
        <f>AND(DATA!U903,"AAAAAH9vvEM=")</f>
        <v>1</v>
      </c>
      <c r="BQ141" t="b">
        <f>AND(DATA!V903,"AAAAAH9vvEQ=")</f>
        <v>1</v>
      </c>
      <c r="BR141" t="e">
        <f>AND(DATA!W902,"AAAAAH9vvEU=")</f>
        <v>#VALUE!</v>
      </c>
      <c r="BS141" t="e">
        <f>AND(DATA!X902,"AAAAAH9vvEY=")</f>
        <v>#VALUE!</v>
      </c>
      <c r="BT141" t="e">
        <f>AND(DATA!Y902,"AAAAAH9vvEc=")</f>
        <v>#VALUE!</v>
      </c>
      <c r="BU141">
        <f>IF(DATA!903:903,"AAAAAH9vvEg=",0)</f>
        <v>0</v>
      </c>
      <c r="BV141" t="e">
        <f>AND(DATA!A903,"AAAAAH9vvEk=")</f>
        <v>#VALUE!</v>
      </c>
      <c r="BW141" t="e">
        <f>AND(DATA!B903,"AAAAAH9vvEo=")</f>
        <v>#VALUE!</v>
      </c>
      <c r="BX141" t="e">
        <f>AND(DATA!C903,"AAAAAH9vvEs=")</f>
        <v>#VALUE!</v>
      </c>
      <c r="BY141" t="e">
        <f>AND(DATA!D903,"AAAAAH9vvEw=")</f>
        <v>#VALUE!</v>
      </c>
      <c r="BZ141" t="e">
        <f>AND(DATA!E903,"AAAAAH9vvE0=")</f>
        <v>#VALUE!</v>
      </c>
      <c r="CA141" t="e">
        <f>AND(DATA!F903,"AAAAAH9vvE4=")</f>
        <v>#VALUE!</v>
      </c>
      <c r="CB141" t="e">
        <f>AND(DATA!G903,"AAAAAH9vvE8=")</f>
        <v>#VALUE!</v>
      </c>
      <c r="CC141" t="e">
        <f>AND(DATA!H903,"AAAAAH9vvFA=")</f>
        <v>#VALUE!</v>
      </c>
      <c r="CD141" t="e">
        <f>AND(DATA!I903,"AAAAAH9vvFE=")</f>
        <v>#VALUE!</v>
      </c>
      <c r="CE141" t="e">
        <f>AND(DATA!J903,"AAAAAH9vvFI=")</f>
        <v>#VALUE!</v>
      </c>
      <c r="CF141" t="e">
        <f>AND(DATA!K903,"AAAAAH9vvFM=")</f>
        <v>#VALUE!</v>
      </c>
      <c r="CG141" t="b">
        <f>AND(DATA!L904,"AAAAAH9vvFQ=")</f>
        <v>1</v>
      </c>
      <c r="CH141" t="b">
        <f>AND(DATA!M904,"AAAAAH9vvFU=")</f>
        <v>1</v>
      </c>
      <c r="CI141" t="b">
        <f>AND(DATA!N904,"AAAAAH9vvFY=")</f>
        <v>1</v>
      </c>
      <c r="CJ141" t="b">
        <f>AND(DATA!O904,"AAAAAH9vvFc=")</f>
        <v>1</v>
      </c>
      <c r="CK141" t="b">
        <f>AND(DATA!P904,"AAAAAH9vvFg=")</f>
        <v>1</v>
      </c>
      <c r="CL141" t="b">
        <f>AND(DATA!Q904,"AAAAAH9vvFk=")</f>
        <v>1</v>
      </c>
      <c r="CM141" t="b">
        <f>AND(DATA!R904,"AAAAAH9vvFo=")</f>
        <v>1</v>
      </c>
      <c r="CN141" t="b">
        <f>AND(DATA!S904,"AAAAAH9vvFs=")</f>
        <v>1</v>
      </c>
      <c r="CO141" t="b">
        <f>AND(DATA!T904,"AAAAAH9vvFw=")</f>
        <v>1</v>
      </c>
      <c r="CP141" t="b">
        <f>AND(DATA!U904,"AAAAAH9vvF0=")</f>
        <v>1</v>
      </c>
      <c r="CQ141" t="b">
        <f>AND(DATA!V904,"AAAAAH9vvF4=")</f>
        <v>1</v>
      </c>
      <c r="CR141" t="e">
        <f>AND(DATA!W903,"AAAAAH9vvF8=")</f>
        <v>#VALUE!</v>
      </c>
      <c r="CS141" t="e">
        <f>AND(DATA!X903,"AAAAAH9vvGA=")</f>
        <v>#VALUE!</v>
      </c>
      <c r="CT141" t="e">
        <f>AND(DATA!Y903,"AAAAAH9vvGE=")</f>
        <v>#VALUE!</v>
      </c>
      <c r="CU141">
        <f>IF(DATA!904:904,"AAAAAH9vvGI=",0)</f>
        <v>0</v>
      </c>
      <c r="CV141" t="e">
        <f>AND(DATA!A904,"AAAAAH9vvGM=")</f>
        <v>#VALUE!</v>
      </c>
      <c r="CW141" t="e">
        <f>AND(DATA!B904,"AAAAAH9vvGQ=")</f>
        <v>#VALUE!</v>
      </c>
      <c r="CX141" t="e">
        <f>AND(DATA!C904,"AAAAAH9vvGU=")</f>
        <v>#VALUE!</v>
      </c>
      <c r="CY141" t="e">
        <f>AND(DATA!D904,"AAAAAH9vvGY=")</f>
        <v>#VALUE!</v>
      </c>
      <c r="CZ141" t="e">
        <f>AND(DATA!E904,"AAAAAH9vvGc=")</f>
        <v>#VALUE!</v>
      </c>
      <c r="DA141" t="e">
        <f>AND(DATA!F904,"AAAAAH9vvGg=")</f>
        <v>#VALUE!</v>
      </c>
      <c r="DB141" t="e">
        <f>AND(DATA!G904,"AAAAAH9vvGk=")</f>
        <v>#VALUE!</v>
      </c>
      <c r="DC141" t="e">
        <f>AND(DATA!H904,"AAAAAH9vvGo=")</f>
        <v>#VALUE!</v>
      </c>
      <c r="DD141" t="e">
        <f>AND(DATA!I904,"AAAAAH9vvGs=")</f>
        <v>#VALUE!</v>
      </c>
      <c r="DE141" t="e">
        <f>AND(DATA!J904,"AAAAAH9vvGw=")</f>
        <v>#VALUE!</v>
      </c>
      <c r="DF141" t="e">
        <f>AND(DATA!K904,"AAAAAH9vvG0=")</f>
        <v>#VALUE!</v>
      </c>
      <c r="DG141" t="b">
        <f>AND(DATA!L905,"AAAAAH9vvG4=")</f>
        <v>1</v>
      </c>
      <c r="DH141" t="b">
        <f>AND(DATA!M905,"AAAAAH9vvG8=")</f>
        <v>1</v>
      </c>
      <c r="DI141" t="b">
        <f>AND(DATA!N905,"AAAAAH9vvHA=")</f>
        <v>1</v>
      </c>
      <c r="DJ141" t="b">
        <f>AND(DATA!O905,"AAAAAH9vvHE=")</f>
        <v>1</v>
      </c>
      <c r="DK141" t="b">
        <f>AND(DATA!P905,"AAAAAH9vvHI=")</f>
        <v>1</v>
      </c>
      <c r="DL141" t="b">
        <f>AND(DATA!Q905,"AAAAAH9vvHM=")</f>
        <v>1</v>
      </c>
      <c r="DM141" t="b">
        <f>AND(DATA!R905,"AAAAAH9vvHQ=")</f>
        <v>1</v>
      </c>
      <c r="DN141" t="b">
        <f>AND(DATA!S905,"AAAAAH9vvHU=")</f>
        <v>1</v>
      </c>
      <c r="DO141" t="b">
        <f>AND(DATA!T905,"AAAAAH9vvHY=")</f>
        <v>1</v>
      </c>
      <c r="DP141" t="b">
        <f>AND(DATA!U905,"AAAAAH9vvHc=")</f>
        <v>1</v>
      </c>
      <c r="DQ141" t="b">
        <f>AND(DATA!V905,"AAAAAH9vvHg=")</f>
        <v>1</v>
      </c>
      <c r="DR141" t="e">
        <f>AND(DATA!W904,"AAAAAH9vvHk=")</f>
        <v>#VALUE!</v>
      </c>
      <c r="DS141" t="e">
        <f>AND(DATA!X904,"AAAAAH9vvHo=")</f>
        <v>#VALUE!</v>
      </c>
      <c r="DT141" t="e">
        <f>AND(DATA!Y904,"AAAAAH9vvHs=")</f>
        <v>#VALUE!</v>
      </c>
      <c r="DU141">
        <f>IF(DATA!905:905,"AAAAAH9vvHw=",0)</f>
        <v>0</v>
      </c>
      <c r="DV141" t="e">
        <f>AND(DATA!A905,"AAAAAH9vvH0=")</f>
        <v>#VALUE!</v>
      </c>
      <c r="DW141" t="e">
        <f>AND(DATA!B905,"AAAAAH9vvH4=")</f>
        <v>#VALUE!</v>
      </c>
      <c r="DX141" t="e">
        <f>AND(DATA!C905,"AAAAAH9vvH8=")</f>
        <v>#VALUE!</v>
      </c>
      <c r="DY141" t="e">
        <f>AND(DATA!D905,"AAAAAH9vvIA=")</f>
        <v>#VALUE!</v>
      </c>
      <c r="DZ141" t="e">
        <f>AND(DATA!E905,"AAAAAH9vvIE=")</f>
        <v>#VALUE!</v>
      </c>
      <c r="EA141" t="e">
        <f>AND(DATA!F905,"AAAAAH9vvII=")</f>
        <v>#VALUE!</v>
      </c>
      <c r="EB141" t="e">
        <f>AND(DATA!G905,"AAAAAH9vvIM=")</f>
        <v>#VALUE!</v>
      </c>
      <c r="EC141" t="e">
        <f>AND(DATA!H905,"AAAAAH9vvIQ=")</f>
        <v>#VALUE!</v>
      </c>
      <c r="ED141" t="e">
        <f>AND(DATA!I905,"AAAAAH9vvIU=")</f>
        <v>#VALUE!</v>
      </c>
      <c r="EE141" t="e">
        <f>AND(DATA!J905,"AAAAAH9vvIY=")</f>
        <v>#VALUE!</v>
      </c>
      <c r="EF141" t="e">
        <f>AND(DATA!K905,"AAAAAH9vvIc=")</f>
        <v>#VALUE!</v>
      </c>
      <c r="EG141" t="b">
        <f>AND(DATA!L906,"AAAAAH9vvIg=")</f>
        <v>1</v>
      </c>
      <c r="EH141" t="b">
        <f>AND(DATA!M906,"AAAAAH9vvIk=")</f>
        <v>1</v>
      </c>
      <c r="EI141" t="b">
        <f>AND(DATA!N906,"AAAAAH9vvIo=")</f>
        <v>1</v>
      </c>
      <c r="EJ141" t="b">
        <f>AND(DATA!O906,"AAAAAH9vvIs=")</f>
        <v>1</v>
      </c>
      <c r="EK141" t="b">
        <f>AND(DATA!P906,"AAAAAH9vvIw=")</f>
        <v>1</v>
      </c>
      <c r="EL141" t="b">
        <f>AND(DATA!Q906,"AAAAAH9vvI0=")</f>
        <v>1</v>
      </c>
      <c r="EM141" t="b">
        <f>AND(DATA!R906,"AAAAAH9vvI4=")</f>
        <v>1</v>
      </c>
      <c r="EN141" t="b">
        <f>AND(DATA!S906,"AAAAAH9vvI8=")</f>
        <v>1</v>
      </c>
      <c r="EO141" t="b">
        <f>AND(DATA!T906,"AAAAAH9vvJA=")</f>
        <v>1</v>
      </c>
      <c r="EP141" t="b">
        <f>AND(DATA!U906,"AAAAAH9vvJE=")</f>
        <v>1</v>
      </c>
      <c r="EQ141" t="b">
        <f>AND(DATA!V906,"AAAAAH9vvJI=")</f>
        <v>1</v>
      </c>
      <c r="ER141" t="e">
        <f>AND(DATA!W905,"AAAAAH9vvJM=")</f>
        <v>#VALUE!</v>
      </c>
      <c r="ES141" t="e">
        <f>AND(DATA!X905,"AAAAAH9vvJQ=")</f>
        <v>#VALUE!</v>
      </c>
      <c r="ET141" t="e">
        <f>AND(DATA!Y905,"AAAAAH9vvJU=")</f>
        <v>#VALUE!</v>
      </c>
      <c r="EU141">
        <f>IF(DATA!906:906,"AAAAAH9vvJY=",0)</f>
        <v>0</v>
      </c>
      <c r="EV141" t="e">
        <f>AND(DATA!A906,"AAAAAH9vvJc=")</f>
        <v>#VALUE!</v>
      </c>
      <c r="EW141" t="e">
        <f>AND(DATA!B906,"AAAAAH9vvJg=")</f>
        <v>#VALUE!</v>
      </c>
      <c r="EX141" t="e">
        <f>AND(DATA!C906,"AAAAAH9vvJk=")</f>
        <v>#VALUE!</v>
      </c>
      <c r="EY141" t="e">
        <f>AND(DATA!D906,"AAAAAH9vvJo=")</f>
        <v>#VALUE!</v>
      </c>
      <c r="EZ141" t="e">
        <f>AND(DATA!E906,"AAAAAH9vvJs=")</f>
        <v>#VALUE!</v>
      </c>
      <c r="FA141" t="e">
        <f>AND(DATA!F906,"AAAAAH9vvJw=")</f>
        <v>#VALUE!</v>
      </c>
      <c r="FB141" t="e">
        <f>AND(DATA!G906,"AAAAAH9vvJ0=")</f>
        <v>#VALUE!</v>
      </c>
      <c r="FC141" t="e">
        <f>AND(DATA!H906,"AAAAAH9vvJ4=")</f>
        <v>#VALUE!</v>
      </c>
      <c r="FD141" t="e">
        <f>AND(DATA!I906,"AAAAAH9vvJ8=")</f>
        <v>#VALUE!</v>
      </c>
      <c r="FE141" t="e">
        <f>AND(DATA!J906,"AAAAAH9vvKA=")</f>
        <v>#VALUE!</v>
      </c>
      <c r="FF141" t="e">
        <f>AND(DATA!K906,"AAAAAH9vvKE=")</f>
        <v>#VALUE!</v>
      </c>
      <c r="FG141" t="b">
        <f>AND(DATA!L907,"AAAAAH9vvKI=")</f>
        <v>1</v>
      </c>
      <c r="FH141" t="b">
        <f>AND(DATA!M907,"AAAAAH9vvKM=")</f>
        <v>1</v>
      </c>
      <c r="FI141" t="b">
        <f>AND(DATA!N907,"AAAAAH9vvKQ=")</f>
        <v>1</v>
      </c>
      <c r="FJ141" t="b">
        <f>AND(DATA!O907,"AAAAAH9vvKU=")</f>
        <v>1</v>
      </c>
      <c r="FK141" t="b">
        <f>AND(DATA!P907,"AAAAAH9vvKY=")</f>
        <v>1</v>
      </c>
      <c r="FL141" t="b">
        <f>AND(DATA!Q907,"AAAAAH9vvKc=")</f>
        <v>1</v>
      </c>
      <c r="FM141" t="b">
        <f>AND(DATA!R907,"AAAAAH9vvKg=")</f>
        <v>1</v>
      </c>
      <c r="FN141" t="b">
        <f>AND(DATA!S907,"AAAAAH9vvKk=")</f>
        <v>1</v>
      </c>
      <c r="FO141" t="b">
        <f>AND(DATA!T907,"AAAAAH9vvKo=")</f>
        <v>1</v>
      </c>
      <c r="FP141" t="b">
        <f>AND(DATA!U907,"AAAAAH9vvKs=")</f>
        <v>1</v>
      </c>
      <c r="FQ141" t="b">
        <f>AND(DATA!V907,"AAAAAH9vvKw=")</f>
        <v>1</v>
      </c>
      <c r="FR141" t="e">
        <f>AND(DATA!W906,"AAAAAH9vvK0=")</f>
        <v>#VALUE!</v>
      </c>
      <c r="FS141" t="e">
        <f>AND(DATA!X906,"AAAAAH9vvK4=")</f>
        <v>#VALUE!</v>
      </c>
      <c r="FT141" t="e">
        <f>AND(DATA!Y906,"AAAAAH9vvK8=")</f>
        <v>#VALUE!</v>
      </c>
      <c r="FU141">
        <f>IF(DATA!907:907,"AAAAAH9vvLA=",0)</f>
        <v>0</v>
      </c>
      <c r="FV141" t="e">
        <f>AND(DATA!A907,"AAAAAH9vvLE=")</f>
        <v>#VALUE!</v>
      </c>
      <c r="FW141" t="e">
        <f>AND(DATA!B907,"AAAAAH9vvLI=")</f>
        <v>#VALUE!</v>
      </c>
      <c r="FX141" t="e">
        <f>AND(DATA!C907,"AAAAAH9vvLM=")</f>
        <v>#VALUE!</v>
      </c>
      <c r="FY141" t="e">
        <f>AND(DATA!D907,"AAAAAH9vvLQ=")</f>
        <v>#VALUE!</v>
      </c>
      <c r="FZ141" t="e">
        <f>AND(DATA!E907,"AAAAAH9vvLU=")</f>
        <v>#VALUE!</v>
      </c>
      <c r="GA141" t="e">
        <f>AND(DATA!F907,"AAAAAH9vvLY=")</f>
        <v>#VALUE!</v>
      </c>
      <c r="GB141" t="e">
        <f>AND(DATA!G907,"AAAAAH9vvLc=")</f>
        <v>#VALUE!</v>
      </c>
      <c r="GC141" t="e">
        <f>AND(DATA!H907,"AAAAAH9vvLg=")</f>
        <v>#VALUE!</v>
      </c>
      <c r="GD141" t="e">
        <f>AND(DATA!I907,"AAAAAH9vvLk=")</f>
        <v>#VALUE!</v>
      </c>
      <c r="GE141" t="e">
        <f>AND(DATA!J907,"AAAAAH9vvLo=")</f>
        <v>#VALUE!</v>
      </c>
      <c r="GF141" t="e">
        <f>AND(DATA!K907,"AAAAAH9vvLs=")</f>
        <v>#VALUE!</v>
      </c>
      <c r="GG141" t="b">
        <f>AND(DATA!L908,"AAAAAH9vvLw=")</f>
        <v>1</v>
      </c>
      <c r="GH141" t="b">
        <f>AND(DATA!M908,"AAAAAH9vvL0=")</f>
        <v>1</v>
      </c>
      <c r="GI141" t="b">
        <f>AND(DATA!N908,"AAAAAH9vvL4=")</f>
        <v>1</v>
      </c>
      <c r="GJ141" t="b">
        <f>AND(DATA!O908,"AAAAAH9vvL8=")</f>
        <v>1</v>
      </c>
      <c r="GK141" t="b">
        <f>AND(DATA!P908,"AAAAAH9vvMA=")</f>
        <v>1</v>
      </c>
      <c r="GL141" t="b">
        <f>AND(DATA!Q908,"AAAAAH9vvME=")</f>
        <v>1</v>
      </c>
      <c r="GM141" t="b">
        <f>AND(DATA!R908,"AAAAAH9vvMI=")</f>
        <v>1</v>
      </c>
      <c r="GN141" t="b">
        <f>AND(DATA!S908,"AAAAAH9vvMM=")</f>
        <v>1</v>
      </c>
      <c r="GO141" t="b">
        <f>AND(DATA!T908,"AAAAAH9vvMQ=")</f>
        <v>1</v>
      </c>
      <c r="GP141" t="b">
        <f>AND(DATA!U908,"AAAAAH9vvMU=")</f>
        <v>1</v>
      </c>
      <c r="GQ141" t="b">
        <f>AND(DATA!V908,"AAAAAH9vvMY=")</f>
        <v>1</v>
      </c>
      <c r="GR141" t="e">
        <f>AND(DATA!W907,"AAAAAH9vvMc=")</f>
        <v>#VALUE!</v>
      </c>
      <c r="GS141" t="e">
        <f>AND(DATA!X907,"AAAAAH9vvMg=")</f>
        <v>#VALUE!</v>
      </c>
      <c r="GT141" t="e">
        <f>AND(DATA!Y907,"AAAAAH9vvMk=")</f>
        <v>#VALUE!</v>
      </c>
      <c r="GU141">
        <f>IF(DATA!908:908,"AAAAAH9vvMo=",0)</f>
        <v>0</v>
      </c>
      <c r="GV141" t="e">
        <f>AND(DATA!A908,"AAAAAH9vvMs=")</f>
        <v>#VALUE!</v>
      </c>
      <c r="GW141" t="e">
        <f>AND(DATA!B908,"AAAAAH9vvMw=")</f>
        <v>#VALUE!</v>
      </c>
      <c r="GX141" t="e">
        <f>AND(DATA!C908,"AAAAAH9vvM0=")</f>
        <v>#VALUE!</v>
      </c>
      <c r="GY141" t="e">
        <f>AND(DATA!D908,"AAAAAH9vvM4=")</f>
        <v>#VALUE!</v>
      </c>
      <c r="GZ141" t="e">
        <f>AND(DATA!E908,"AAAAAH9vvM8=")</f>
        <v>#VALUE!</v>
      </c>
      <c r="HA141" t="e">
        <f>AND(DATA!F908,"AAAAAH9vvNA=")</f>
        <v>#VALUE!</v>
      </c>
      <c r="HB141" t="e">
        <f>AND(DATA!G908,"AAAAAH9vvNE=")</f>
        <v>#VALUE!</v>
      </c>
      <c r="HC141" t="e">
        <f>AND(DATA!H908,"AAAAAH9vvNI=")</f>
        <v>#VALUE!</v>
      </c>
      <c r="HD141" t="e">
        <f>AND(DATA!I908,"AAAAAH9vvNM=")</f>
        <v>#VALUE!</v>
      </c>
      <c r="HE141" t="e">
        <f>AND(DATA!J908,"AAAAAH9vvNQ=")</f>
        <v>#VALUE!</v>
      </c>
      <c r="HF141" t="e">
        <f>AND(DATA!K908,"AAAAAH9vvNU=")</f>
        <v>#VALUE!</v>
      </c>
      <c r="HG141" t="b">
        <f>AND(DATA!L909,"AAAAAH9vvNY=")</f>
        <v>1</v>
      </c>
      <c r="HH141" t="b">
        <f>AND(DATA!M909,"AAAAAH9vvNc=")</f>
        <v>1</v>
      </c>
      <c r="HI141" t="b">
        <f>AND(DATA!N909,"AAAAAH9vvNg=")</f>
        <v>1</v>
      </c>
      <c r="HJ141" t="b">
        <f>AND(DATA!O909,"AAAAAH9vvNk=")</f>
        <v>1</v>
      </c>
      <c r="HK141" t="b">
        <f>AND(DATA!P909,"AAAAAH9vvNo=")</f>
        <v>1</v>
      </c>
      <c r="HL141" t="b">
        <f>AND(DATA!Q909,"AAAAAH9vvNs=")</f>
        <v>1</v>
      </c>
      <c r="HM141" t="b">
        <f>AND(DATA!R909,"AAAAAH9vvNw=")</f>
        <v>1</v>
      </c>
      <c r="HN141" t="b">
        <f>AND(DATA!S909,"AAAAAH9vvN0=")</f>
        <v>1</v>
      </c>
      <c r="HO141" t="b">
        <f>AND(DATA!T909,"AAAAAH9vvN4=")</f>
        <v>1</v>
      </c>
      <c r="HP141" t="b">
        <f>AND(DATA!U909,"AAAAAH9vvN8=")</f>
        <v>1</v>
      </c>
      <c r="HQ141" t="b">
        <f>AND(DATA!V909,"AAAAAH9vvOA=")</f>
        <v>1</v>
      </c>
      <c r="HR141" t="e">
        <f>AND(DATA!W908,"AAAAAH9vvOE=")</f>
        <v>#VALUE!</v>
      </c>
      <c r="HS141" t="e">
        <f>AND(DATA!X908,"AAAAAH9vvOI=")</f>
        <v>#VALUE!</v>
      </c>
      <c r="HT141" t="e">
        <f>AND(DATA!Y908,"AAAAAH9vvOM=")</f>
        <v>#VALUE!</v>
      </c>
      <c r="HU141">
        <f>IF(DATA!909:909,"AAAAAH9vvOQ=",0)</f>
        <v>0</v>
      </c>
      <c r="HV141" t="e">
        <f>AND(DATA!A909,"AAAAAH9vvOU=")</f>
        <v>#VALUE!</v>
      </c>
      <c r="HW141" t="e">
        <f>AND(DATA!B909,"AAAAAH9vvOY=")</f>
        <v>#VALUE!</v>
      </c>
      <c r="HX141" t="e">
        <f>AND(DATA!C909,"AAAAAH9vvOc=")</f>
        <v>#VALUE!</v>
      </c>
      <c r="HY141" t="e">
        <f>AND(DATA!D909,"AAAAAH9vvOg=")</f>
        <v>#VALUE!</v>
      </c>
      <c r="HZ141" t="e">
        <f>AND(DATA!E909,"AAAAAH9vvOk=")</f>
        <v>#VALUE!</v>
      </c>
      <c r="IA141" t="e">
        <f>AND(DATA!F909,"AAAAAH9vvOo=")</f>
        <v>#VALUE!</v>
      </c>
      <c r="IB141" t="e">
        <f>AND(DATA!G909,"AAAAAH9vvOs=")</f>
        <v>#VALUE!</v>
      </c>
      <c r="IC141" t="e">
        <f>AND(DATA!H909,"AAAAAH9vvOw=")</f>
        <v>#VALUE!</v>
      </c>
      <c r="ID141" t="e">
        <f>AND(DATA!I909,"AAAAAH9vvO0=")</f>
        <v>#VALUE!</v>
      </c>
      <c r="IE141" t="e">
        <f>AND(DATA!J909,"AAAAAH9vvO4=")</f>
        <v>#VALUE!</v>
      </c>
      <c r="IF141" t="e">
        <f>AND(DATA!K909,"AAAAAH9vvO8=")</f>
        <v>#VALUE!</v>
      </c>
      <c r="IG141" t="b">
        <f>AND(DATA!L910,"AAAAAH9vvPA=")</f>
        <v>1</v>
      </c>
      <c r="IH141" t="b">
        <f>AND(DATA!M910,"AAAAAH9vvPE=")</f>
        <v>1</v>
      </c>
      <c r="II141" t="b">
        <f>AND(DATA!N910,"AAAAAH9vvPI=")</f>
        <v>1</v>
      </c>
      <c r="IJ141" t="b">
        <f>AND(DATA!O910,"AAAAAH9vvPM=")</f>
        <v>1</v>
      </c>
      <c r="IK141" t="b">
        <f>AND(DATA!P910,"AAAAAH9vvPQ=")</f>
        <v>1</v>
      </c>
      <c r="IL141" t="b">
        <f>AND(DATA!Q910,"AAAAAH9vvPU=")</f>
        <v>1</v>
      </c>
      <c r="IM141" t="b">
        <f>AND(DATA!R910,"AAAAAH9vvPY=")</f>
        <v>1</v>
      </c>
      <c r="IN141" t="b">
        <f>AND(DATA!S910,"AAAAAH9vvPc=")</f>
        <v>1</v>
      </c>
      <c r="IO141" t="b">
        <f>AND(DATA!T910,"AAAAAH9vvPg=")</f>
        <v>1</v>
      </c>
      <c r="IP141" t="b">
        <f>AND(DATA!U910,"AAAAAH9vvPk=")</f>
        <v>1</v>
      </c>
      <c r="IQ141" t="b">
        <f>AND(DATA!V910,"AAAAAH9vvPo=")</f>
        <v>1</v>
      </c>
      <c r="IR141" t="e">
        <f>AND(DATA!W909,"AAAAAH9vvPs=")</f>
        <v>#VALUE!</v>
      </c>
      <c r="IS141" t="e">
        <f>AND(DATA!X909,"AAAAAH9vvPw=")</f>
        <v>#VALUE!</v>
      </c>
      <c r="IT141" t="e">
        <f>AND(DATA!Y909,"AAAAAH9vvP0=")</f>
        <v>#VALUE!</v>
      </c>
      <c r="IU141">
        <f>IF(DATA!910:910,"AAAAAH9vvP4=",0)</f>
        <v>0</v>
      </c>
      <c r="IV141" t="e">
        <f>AND(DATA!A910,"AAAAAH9vvP8=")</f>
        <v>#VALUE!</v>
      </c>
    </row>
    <row r="142" spans="1:256" x14ac:dyDescent="0.25">
      <c r="A142" t="e">
        <f>AND(DATA!B910,"AAAAAF9LfwA=")</f>
        <v>#VALUE!</v>
      </c>
      <c r="B142" t="e">
        <f>AND(DATA!C910,"AAAAAF9LfwE=")</f>
        <v>#VALUE!</v>
      </c>
      <c r="C142" t="e">
        <f>AND(DATA!D910,"AAAAAF9LfwI=")</f>
        <v>#VALUE!</v>
      </c>
      <c r="D142" t="e">
        <f>AND(DATA!E910,"AAAAAF9LfwM=")</f>
        <v>#VALUE!</v>
      </c>
      <c r="E142" t="e">
        <f>AND(DATA!F910,"AAAAAF9LfwQ=")</f>
        <v>#VALUE!</v>
      </c>
      <c r="F142" t="e">
        <f>AND(DATA!G910,"AAAAAF9LfwU=")</f>
        <v>#VALUE!</v>
      </c>
      <c r="G142" t="e">
        <f>AND(DATA!H910,"AAAAAF9LfwY=")</f>
        <v>#VALUE!</v>
      </c>
      <c r="H142" t="e">
        <f>AND(DATA!I910,"AAAAAF9Lfwc=")</f>
        <v>#VALUE!</v>
      </c>
      <c r="I142" t="e">
        <f>AND(DATA!J910,"AAAAAF9Lfwg=")</f>
        <v>#VALUE!</v>
      </c>
      <c r="J142" t="e">
        <f>AND(DATA!K910,"AAAAAF9Lfwk=")</f>
        <v>#VALUE!</v>
      </c>
      <c r="K142" t="b">
        <f>AND(DATA!L911,"AAAAAF9Lfwo=")</f>
        <v>1</v>
      </c>
      <c r="L142" t="b">
        <f>AND(DATA!M911,"AAAAAF9Lfws=")</f>
        <v>1</v>
      </c>
      <c r="M142" t="b">
        <f>AND(DATA!N911,"AAAAAF9Lfww=")</f>
        <v>1</v>
      </c>
      <c r="N142" t="b">
        <f>AND(DATA!O911,"AAAAAF9Lfw0=")</f>
        <v>1</v>
      </c>
      <c r="O142" t="b">
        <f>AND(DATA!P911,"AAAAAF9Lfw4=")</f>
        <v>1</v>
      </c>
      <c r="P142" t="b">
        <f>AND(DATA!Q911,"AAAAAF9Lfw8=")</f>
        <v>1</v>
      </c>
      <c r="Q142" t="b">
        <f>AND(DATA!R911,"AAAAAF9LfxA=")</f>
        <v>1</v>
      </c>
      <c r="R142" t="b">
        <f>AND(DATA!S911,"AAAAAF9LfxE=")</f>
        <v>1</v>
      </c>
      <c r="S142" t="b">
        <f>AND(DATA!T911,"AAAAAF9LfxI=")</f>
        <v>1</v>
      </c>
      <c r="T142" t="b">
        <f>AND(DATA!U911,"AAAAAF9LfxM=")</f>
        <v>1</v>
      </c>
      <c r="U142" t="b">
        <f>AND(DATA!V911,"AAAAAF9LfxQ=")</f>
        <v>1</v>
      </c>
      <c r="V142" t="e">
        <f>AND(DATA!W910,"AAAAAF9LfxU=")</f>
        <v>#VALUE!</v>
      </c>
      <c r="W142" t="e">
        <f>AND(DATA!X910,"AAAAAF9LfxY=")</f>
        <v>#VALUE!</v>
      </c>
      <c r="X142" t="e">
        <f>AND(DATA!Y910,"AAAAAF9Lfxc=")</f>
        <v>#VALUE!</v>
      </c>
      <c r="Y142">
        <f>IF(DATA!911:911,"AAAAAF9Lfxg=",0)</f>
        <v>0</v>
      </c>
      <c r="Z142" t="e">
        <f>AND(DATA!A911,"AAAAAF9Lfxk=")</f>
        <v>#VALUE!</v>
      </c>
      <c r="AA142" t="e">
        <f>AND(DATA!B911,"AAAAAF9Lfxo=")</f>
        <v>#VALUE!</v>
      </c>
      <c r="AB142" t="e">
        <f>AND(DATA!C911,"AAAAAF9Lfxs=")</f>
        <v>#VALUE!</v>
      </c>
      <c r="AC142" t="e">
        <f>AND(DATA!D911,"AAAAAF9Lfxw=")</f>
        <v>#VALUE!</v>
      </c>
      <c r="AD142" t="e">
        <f>AND(DATA!E911,"AAAAAF9Lfx0=")</f>
        <v>#VALUE!</v>
      </c>
      <c r="AE142" t="e">
        <f>AND(DATA!F911,"AAAAAF9Lfx4=")</f>
        <v>#VALUE!</v>
      </c>
      <c r="AF142" t="e">
        <f>AND(DATA!G911,"AAAAAF9Lfx8=")</f>
        <v>#VALUE!</v>
      </c>
      <c r="AG142" t="e">
        <f>AND(DATA!H911,"AAAAAF9LfyA=")</f>
        <v>#VALUE!</v>
      </c>
      <c r="AH142" t="e">
        <f>AND(DATA!I911,"AAAAAF9LfyE=")</f>
        <v>#VALUE!</v>
      </c>
      <c r="AI142" t="e">
        <f>AND(DATA!J911,"AAAAAF9LfyI=")</f>
        <v>#VALUE!</v>
      </c>
      <c r="AJ142" t="e">
        <f>AND(DATA!K911,"AAAAAF9LfyM=")</f>
        <v>#VALUE!</v>
      </c>
      <c r="AK142" t="b">
        <f>AND(DATA!L912,"AAAAAF9LfyQ=")</f>
        <v>1</v>
      </c>
      <c r="AL142" t="b">
        <f>AND(DATA!M912,"AAAAAF9LfyU=")</f>
        <v>1</v>
      </c>
      <c r="AM142" t="b">
        <f>AND(DATA!N912,"AAAAAF9LfyY=")</f>
        <v>1</v>
      </c>
      <c r="AN142" t="b">
        <f>AND(DATA!O912,"AAAAAF9Lfyc=")</f>
        <v>1</v>
      </c>
      <c r="AO142" t="b">
        <f>AND(DATA!P912,"AAAAAF9Lfyg=")</f>
        <v>1</v>
      </c>
      <c r="AP142" t="b">
        <f>AND(DATA!Q912,"AAAAAF9Lfyk=")</f>
        <v>1</v>
      </c>
      <c r="AQ142" t="b">
        <f>AND(DATA!R912,"AAAAAF9Lfyo=")</f>
        <v>1</v>
      </c>
      <c r="AR142" t="b">
        <f>AND(DATA!S912,"AAAAAF9Lfys=")</f>
        <v>1</v>
      </c>
      <c r="AS142" t="b">
        <f>AND(DATA!T912,"AAAAAF9Lfyw=")</f>
        <v>1</v>
      </c>
      <c r="AT142" t="b">
        <f>AND(DATA!U912,"AAAAAF9Lfy0=")</f>
        <v>1</v>
      </c>
      <c r="AU142" t="b">
        <f>AND(DATA!V912,"AAAAAF9Lfy4=")</f>
        <v>1</v>
      </c>
      <c r="AV142" t="e">
        <f>AND(DATA!W911,"AAAAAF9Lfy8=")</f>
        <v>#VALUE!</v>
      </c>
      <c r="AW142" t="e">
        <f>AND(DATA!X911,"AAAAAF9LfzA=")</f>
        <v>#VALUE!</v>
      </c>
      <c r="AX142" t="e">
        <f>AND(DATA!Y911,"AAAAAF9LfzE=")</f>
        <v>#VALUE!</v>
      </c>
      <c r="AY142">
        <f>IF(DATA!912:912,"AAAAAF9LfzI=",0)</f>
        <v>0</v>
      </c>
      <c r="AZ142" t="e">
        <f>AND(DATA!A912,"AAAAAF9LfzM=")</f>
        <v>#VALUE!</v>
      </c>
      <c r="BA142" t="e">
        <f>AND(DATA!B912,"AAAAAF9LfzQ=")</f>
        <v>#VALUE!</v>
      </c>
      <c r="BB142" t="e">
        <f>AND(DATA!C912,"AAAAAF9LfzU=")</f>
        <v>#VALUE!</v>
      </c>
      <c r="BC142" t="e">
        <f>AND(DATA!D912,"AAAAAF9LfzY=")</f>
        <v>#VALUE!</v>
      </c>
      <c r="BD142" t="e">
        <f>AND(DATA!E912,"AAAAAF9Lfzc=")</f>
        <v>#VALUE!</v>
      </c>
      <c r="BE142" t="e">
        <f>AND(DATA!F912,"AAAAAF9Lfzg=")</f>
        <v>#VALUE!</v>
      </c>
      <c r="BF142" t="e">
        <f>AND(DATA!G912,"AAAAAF9Lfzk=")</f>
        <v>#VALUE!</v>
      </c>
      <c r="BG142" t="e">
        <f>AND(DATA!H912,"AAAAAF9Lfzo=")</f>
        <v>#VALUE!</v>
      </c>
      <c r="BH142" t="e">
        <f>AND(DATA!I912,"AAAAAF9Lfzs=")</f>
        <v>#VALUE!</v>
      </c>
      <c r="BI142" t="e">
        <f>AND(DATA!J912,"AAAAAF9Lfzw=")</f>
        <v>#VALUE!</v>
      </c>
      <c r="BJ142" t="e">
        <f>AND(DATA!K912,"AAAAAF9Lfz0=")</f>
        <v>#VALUE!</v>
      </c>
      <c r="BK142" t="b">
        <f>AND(DATA!L913,"AAAAAF9Lfz4=")</f>
        <v>1</v>
      </c>
      <c r="BL142" t="b">
        <f>AND(DATA!M913,"AAAAAF9Lfz8=")</f>
        <v>1</v>
      </c>
      <c r="BM142" t="b">
        <f>AND(DATA!N913,"AAAAAF9Lf0A=")</f>
        <v>1</v>
      </c>
      <c r="BN142" t="b">
        <f>AND(DATA!O913,"AAAAAF9Lf0E=")</f>
        <v>1</v>
      </c>
      <c r="BO142" t="b">
        <f>AND(DATA!P913,"AAAAAF9Lf0I=")</f>
        <v>1</v>
      </c>
      <c r="BP142" t="b">
        <f>AND(DATA!Q913,"AAAAAF9Lf0M=")</f>
        <v>1</v>
      </c>
      <c r="BQ142" t="b">
        <f>AND(DATA!R913,"AAAAAF9Lf0Q=")</f>
        <v>1</v>
      </c>
      <c r="BR142" t="b">
        <f>AND(DATA!S913,"AAAAAF9Lf0U=")</f>
        <v>1</v>
      </c>
      <c r="BS142" t="b">
        <f>AND(DATA!T913,"AAAAAF9Lf0Y=")</f>
        <v>1</v>
      </c>
      <c r="BT142" t="b">
        <f>AND(DATA!U913,"AAAAAF9Lf0c=")</f>
        <v>1</v>
      </c>
      <c r="BU142" t="b">
        <f>AND(DATA!V913,"AAAAAF9Lf0g=")</f>
        <v>1</v>
      </c>
      <c r="BV142" t="e">
        <f>AND(DATA!W912,"AAAAAF9Lf0k=")</f>
        <v>#VALUE!</v>
      </c>
      <c r="BW142" t="e">
        <f>AND(DATA!X912,"AAAAAF9Lf0o=")</f>
        <v>#VALUE!</v>
      </c>
      <c r="BX142" t="e">
        <f>AND(DATA!Y912,"AAAAAF9Lf0s=")</f>
        <v>#VALUE!</v>
      </c>
      <c r="BY142">
        <f>IF(DATA!913:913,"AAAAAF9Lf0w=",0)</f>
        <v>0</v>
      </c>
      <c r="BZ142" t="e">
        <f>AND(DATA!A913,"AAAAAF9Lf00=")</f>
        <v>#VALUE!</v>
      </c>
      <c r="CA142" t="e">
        <f>AND(DATA!B913,"AAAAAF9Lf04=")</f>
        <v>#VALUE!</v>
      </c>
      <c r="CB142" t="e">
        <f>AND(DATA!C913,"AAAAAF9Lf08=")</f>
        <v>#VALUE!</v>
      </c>
      <c r="CC142" t="e">
        <f>AND(DATA!D913,"AAAAAF9Lf1A=")</f>
        <v>#VALUE!</v>
      </c>
      <c r="CD142" t="e">
        <f>AND(DATA!E913,"AAAAAF9Lf1E=")</f>
        <v>#VALUE!</v>
      </c>
      <c r="CE142" t="e">
        <f>AND(DATA!F913,"AAAAAF9Lf1I=")</f>
        <v>#VALUE!</v>
      </c>
      <c r="CF142" t="e">
        <f>AND(DATA!G913,"AAAAAF9Lf1M=")</f>
        <v>#VALUE!</v>
      </c>
      <c r="CG142" t="e">
        <f>AND(DATA!H913,"AAAAAF9Lf1Q=")</f>
        <v>#VALUE!</v>
      </c>
      <c r="CH142" t="e">
        <f>AND(DATA!I913,"AAAAAF9Lf1U=")</f>
        <v>#VALUE!</v>
      </c>
      <c r="CI142" t="e">
        <f>AND(DATA!J913,"AAAAAF9Lf1Y=")</f>
        <v>#VALUE!</v>
      </c>
      <c r="CJ142" t="e">
        <f>AND(DATA!K913,"AAAAAF9Lf1c=")</f>
        <v>#VALUE!</v>
      </c>
      <c r="CK142" t="b">
        <f>AND(DATA!L914,"AAAAAF9Lf1g=")</f>
        <v>1</v>
      </c>
      <c r="CL142" t="b">
        <f>AND(DATA!M914,"AAAAAF9Lf1k=")</f>
        <v>1</v>
      </c>
      <c r="CM142" t="b">
        <f>AND(DATA!N914,"AAAAAF9Lf1o=")</f>
        <v>1</v>
      </c>
      <c r="CN142" t="b">
        <f>AND(DATA!O914,"AAAAAF9Lf1s=")</f>
        <v>1</v>
      </c>
      <c r="CO142" t="b">
        <f>AND(DATA!P914,"AAAAAF9Lf1w=")</f>
        <v>1</v>
      </c>
      <c r="CP142" t="b">
        <f>AND(DATA!Q914,"AAAAAF9Lf10=")</f>
        <v>1</v>
      </c>
      <c r="CQ142" t="b">
        <f>AND(DATA!R914,"AAAAAF9Lf14=")</f>
        <v>1</v>
      </c>
      <c r="CR142" t="b">
        <f>AND(DATA!S914,"AAAAAF9Lf18=")</f>
        <v>1</v>
      </c>
      <c r="CS142" t="b">
        <f>AND(DATA!T914,"AAAAAF9Lf2A=")</f>
        <v>1</v>
      </c>
      <c r="CT142" t="b">
        <f>AND(DATA!U914,"AAAAAF9Lf2E=")</f>
        <v>1</v>
      </c>
      <c r="CU142" t="b">
        <f>AND(DATA!V914,"AAAAAF9Lf2I=")</f>
        <v>1</v>
      </c>
      <c r="CV142" t="e">
        <f>AND(DATA!W913,"AAAAAF9Lf2M=")</f>
        <v>#VALUE!</v>
      </c>
      <c r="CW142" t="e">
        <f>AND(DATA!X913,"AAAAAF9Lf2Q=")</f>
        <v>#VALUE!</v>
      </c>
      <c r="CX142" t="e">
        <f>AND(DATA!Y913,"AAAAAF9Lf2U=")</f>
        <v>#VALUE!</v>
      </c>
      <c r="CY142">
        <f>IF(DATA!914:914,"AAAAAF9Lf2Y=",0)</f>
        <v>0</v>
      </c>
      <c r="CZ142" t="e">
        <f>AND(DATA!A914,"AAAAAF9Lf2c=")</f>
        <v>#VALUE!</v>
      </c>
      <c r="DA142" t="e">
        <f>AND(DATA!B914,"AAAAAF9Lf2g=")</f>
        <v>#VALUE!</v>
      </c>
      <c r="DB142" t="e">
        <f>AND(DATA!C914,"AAAAAF9Lf2k=")</f>
        <v>#VALUE!</v>
      </c>
      <c r="DC142" t="e">
        <f>AND(DATA!D914,"AAAAAF9Lf2o=")</f>
        <v>#VALUE!</v>
      </c>
      <c r="DD142" t="e">
        <f>AND(DATA!E914,"AAAAAF9Lf2s=")</f>
        <v>#VALUE!</v>
      </c>
      <c r="DE142" t="e">
        <f>AND(DATA!F914,"AAAAAF9Lf2w=")</f>
        <v>#VALUE!</v>
      </c>
      <c r="DF142" t="e">
        <f>AND(DATA!G914,"AAAAAF9Lf20=")</f>
        <v>#VALUE!</v>
      </c>
      <c r="DG142" t="e">
        <f>AND(DATA!H914,"AAAAAF9Lf24=")</f>
        <v>#VALUE!</v>
      </c>
      <c r="DH142" t="e">
        <f>AND(DATA!I914,"AAAAAF9Lf28=")</f>
        <v>#VALUE!</v>
      </c>
      <c r="DI142" t="e">
        <f>AND(DATA!J914,"AAAAAF9Lf3A=")</f>
        <v>#VALUE!</v>
      </c>
      <c r="DJ142" t="e">
        <f>AND(DATA!K914,"AAAAAF9Lf3E=")</f>
        <v>#VALUE!</v>
      </c>
      <c r="DK142" t="b">
        <f>AND(DATA!L915,"AAAAAF9Lf3I=")</f>
        <v>1</v>
      </c>
      <c r="DL142" t="b">
        <f>AND(DATA!M915,"AAAAAF9Lf3M=")</f>
        <v>1</v>
      </c>
      <c r="DM142" t="b">
        <f>AND(DATA!N915,"AAAAAF9Lf3Q=")</f>
        <v>1</v>
      </c>
      <c r="DN142" t="b">
        <f>AND(DATA!O915,"AAAAAF9Lf3U=")</f>
        <v>1</v>
      </c>
      <c r="DO142" t="b">
        <f>AND(DATA!P915,"AAAAAF9Lf3Y=")</f>
        <v>1</v>
      </c>
      <c r="DP142" t="b">
        <f>AND(DATA!Q915,"AAAAAF9Lf3c=")</f>
        <v>1</v>
      </c>
      <c r="DQ142" t="b">
        <f>AND(DATA!R915,"AAAAAF9Lf3g=")</f>
        <v>1</v>
      </c>
      <c r="DR142" t="b">
        <f>AND(DATA!S915,"AAAAAF9Lf3k=")</f>
        <v>1</v>
      </c>
      <c r="DS142" t="b">
        <f>AND(DATA!T915,"AAAAAF9Lf3o=")</f>
        <v>1</v>
      </c>
      <c r="DT142" t="b">
        <f>AND(DATA!U915,"AAAAAF9Lf3s=")</f>
        <v>1</v>
      </c>
      <c r="DU142" t="b">
        <f>AND(DATA!V915,"AAAAAF9Lf3w=")</f>
        <v>1</v>
      </c>
      <c r="DV142" t="e">
        <f>AND(DATA!W914,"AAAAAF9Lf30=")</f>
        <v>#VALUE!</v>
      </c>
      <c r="DW142" t="e">
        <f>AND(DATA!X914,"AAAAAF9Lf34=")</f>
        <v>#VALUE!</v>
      </c>
      <c r="DX142" t="e">
        <f>AND(DATA!Y914,"AAAAAF9Lf38=")</f>
        <v>#VALUE!</v>
      </c>
      <c r="DY142">
        <f>IF(DATA!915:915,"AAAAAF9Lf4A=",0)</f>
        <v>0</v>
      </c>
      <c r="DZ142" t="e">
        <f>AND(DATA!A915,"AAAAAF9Lf4E=")</f>
        <v>#VALUE!</v>
      </c>
      <c r="EA142" t="e">
        <f>AND(DATA!B915,"AAAAAF9Lf4I=")</f>
        <v>#VALUE!</v>
      </c>
      <c r="EB142" t="e">
        <f>AND(DATA!C915,"AAAAAF9Lf4M=")</f>
        <v>#VALUE!</v>
      </c>
      <c r="EC142" t="e">
        <f>AND(DATA!D915,"AAAAAF9Lf4Q=")</f>
        <v>#VALUE!</v>
      </c>
      <c r="ED142" t="e">
        <f>AND(DATA!E915,"AAAAAF9Lf4U=")</f>
        <v>#VALUE!</v>
      </c>
      <c r="EE142" t="e">
        <f>AND(DATA!F915,"AAAAAF9Lf4Y=")</f>
        <v>#VALUE!</v>
      </c>
      <c r="EF142" t="e">
        <f>AND(DATA!G915,"AAAAAF9Lf4c=")</f>
        <v>#VALUE!</v>
      </c>
      <c r="EG142" t="e">
        <f>AND(DATA!H915,"AAAAAF9Lf4g=")</f>
        <v>#VALUE!</v>
      </c>
      <c r="EH142" t="e">
        <f>AND(DATA!I915,"AAAAAF9Lf4k=")</f>
        <v>#VALUE!</v>
      </c>
      <c r="EI142" t="e">
        <f>AND(DATA!J915,"AAAAAF9Lf4o=")</f>
        <v>#VALUE!</v>
      </c>
      <c r="EJ142" t="e">
        <f>AND(DATA!K915,"AAAAAF9Lf4s=")</f>
        <v>#VALUE!</v>
      </c>
      <c r="EK142" t="b">
        <f>AND(DATA!L916,"AAAAAF9Lf4w=")</f>
        <v>1</v>
      </c>
      <c r="EL142" t="b">
        <f>AND(DATA!M916,"AAAAAF9Lf40=")</f>
        <v>1</v>
      </c>
      <c r="EM142" t="b">
        <f>AND(DATA!N916,"AAAAAF9Lf44=")</f>
        <v>1</v>
      </c>
      <c r="EN142" t="b">
        <f>AND(DATA!O916,"AAAAAF9Lf48=")</f>
        <v>1</v>
      </c>
      <c r="EO142" t="b">
        <f>AND(DATA!P916,"AAAAAF9Lf5A=")</f>
        <v>1</v>
      </c>
      <c r="EP142" t="b">
        <f>AND(DATA!Q916,"AAAAAF9Lf5E=")</f>
        <v>1</v>
      </c>
      <c r="EQ142" t="b">
        <f>AND(DATA!R916,"AAAAAF9Lf5I=")</f>
        <v>1</v>
      </c>
      <c r="ER142" t="b">
        <f>AND(DATA!S916,"AAAAAF9Lf5M=")</f>
        <v>1</v>
      </c>
      <c r="ES142" t="b">
        <f>AND(DATA!T916,"AAAAAF9Lf5Q=")</f>
        <v>1</v>
      </c>
      <c r="ET142" t="b">
        <f>AND(DATA!U916,"AAAAAF9Lf5U=")</f>
        <v>1</v>
      </c>
      <c r="EU142" t="b">
        <f>AND(DATA!V916,"AAAAAF9Lf5Y=")</f>
        <v>1</v>
      </c>
      <c r="EV142" t="e">
        <f>AND(DATA!W915,"AAAAAF9Lf5c=")</f>
        <v>#VALUE!</v>
      </c>
      <c r="EW142" t="e">
        <f>AND(DATA!X915,"AAAAAF9Lf5g=")</f>
        <v>#VALUE!</v>
      </c>
      <c r="EX142" t="e">
        <f>AND(DATA!Y915,"AAAAAF9Lf5k=")</f>
        <v>#VALUE!</v>
      </c>
      <c r="EY142">
        <f>IF(DATA!916:916,"AAAAAF9Lf5o=",0)</f>
        <v>0</v>
      </c>
      <c r="EZ142" t="e">
        <f>AND(DATA!A916,"AAAAAF9Lf5s=")</f>
        <v>#VALUE!</v>
      </c>
      <c r="FA142" t="e">
        <f>AND(DATA!B916,"AAAAAF9Lf5w=")</f>
        <v>#VALUE!</v>
      </c>
      <c r="FB142" t="e">
        <f>AND(DATA!C916,"AAAAAF9Lf50=")</f>
        <v>#VALUE!</v>
      </c>
      <c r="FC142" t="e">
        <f>AND(DATA!D916,"AAAAAF9Lf54=")</f>
        <v>#VALUE!</v>
      </c>
      <c r="FD142" t="e">
        <f>AND(DATA!E916,"AAAAAF9Lf58=")</f>
        <v>#VALUE!</v>
      </c>
      <c r="FE142" t="e">
        <f>AND(DATA!F916,"AAAAAF9Lf6A=")</f>
        <v>#VALUE!</v>
      </c>
      <c r="FF142" t="e">
        <f>AND(DATA!G916,"AAAAAF9Lf6E=")</f>
        <v>#VALUE!</v>
      </c>
      <c r="FG142" t="e">
        <f>AND(DATA!H916,"AAAAAF9Lf6I=")</f>
        <v>#VALUE!</v>
      </c>
      <c r="FH142" t="e">
        <f>AND(DATA!I916,"AAAAAF9Lf6M=")</f>
        <v>#VALUE!</v>
      </c>
      <c r="FI142" t="e">
        <f>AND(DATA!J916,"AAAAAF9Lf6Q=")</f>
        <v>#VALUE!</v>
      </c>
      <c r="FJ142" t="e">
        <f>AND(DATA!K916,"AAAAAF9Lf6U=")</f>
        <v>#VALUE!</v>
      </c>
      <c r="FK142" t="b">
        <f>AND(DATA!L917,"AAAAAF9Lf6Y=")</f>
        <v>1</v>
      </c>
      <c r="FL142" t="b">
        <f>AND(DATA!M917,"AAAAAF9Lf6c=")</f>
        <v>1</v>
      </c>
      <c r="FM142" t="b">
        <f>AND(DATA!N917,"AAAAAF9Lf6g=")</f>
        <v>1</v>
      </c>
      <c r="FN142" t="b">
        <f>AND(DATA!O917,"AAAAAF9Lf6k=")</f>
        <v>1</v>
      </c>
      <c r="FO142" t="b">
        <f>AND(DATA!P917,"AAAAAF9Lf6o=")</f>
        <v>1</v>
      </c>
      <c r="FP142" t="b">
        <f>AND(DATA!Q917,"AAAAAF9Lf6s=")</f>
        <v>1</v>
      </c>
      <c r="FQ142" t="b">
        <f>AND(DATA!R917,"AAAAAF9Lf6w=")</f>
        <v>1</v>
      </c>
      <c r="FR142" t="b">
        <f>AND(DATA!S917,"AAAAAF9Lf60=")</f>
        <v>1</v>
      </c>
      <c r="FS142" t="b">
        <f>AND(DATA!T917,"AAAAAF9Lf64=")</f>
        <v>1</v>
      </c>
      <c r="FT142" t="b">
        <f>AND(DATA!U917,"AAAAAF9Lf68=")</f>
        <v>1</v>
      </c>
      <c r="FU142" t="b">
        <f>AND(DATA!V917,"AAAAAF9Lf7A=")</f>
        <v>1</v>
      </c>
      <c r="FV142" t="e">
        <f>AND(DATA!W916,"AAAAAF9Lf7E=")</f>
        <v>#VALUE!</v>
      </c>
      <c r="FW142" t="e">
        <f>AND(DATA!X916,"AAAAAF9Lf7I=")</f>
        <v>#VALUE!</v>
      </c>
      <c r="FX142" t="e">
        <f>AND(DATA!Y916,"AAAAAF9Lf7M=")</f>
        <v>#VALUE!</v>
      </c>
      <c r="FY142">
        <f>IF(DATA!917:917,"AAAAAF9Lf7Q=",0)</f>
        <v>0</v>
      </c>
      <c r="FZ142" t="e">
        <f>AND(DATA!A917,"AAAAAF9Lf7U=")</f>
        <v>#VALUE!</v>
      </c>
      <c r="GA142" t="e">
        <f>AND(DATA!B917,"AAAAAF9Lf7Y=")</f>
        <v>#VALUE!</v>
      </c>
      <c r="GB142" t="e">
        <f>AND(DATA!C917,"AAAAAF9Lf7c=")</f>
        <v>#VALUE!</v>
      </c>
      <c r="GC142" t="e">
        <f>AND(DATA!D917,"AAAAAF9Lf7g=")</f>
        <v>#VALUE!</v>
      </c>
      <c r="GD142" t="e">
        <f>AND(DATA!E917,"AAAAAF9Lf7k=")</f>
        <v>#VALUE!</v>
      </c>
      <c r="GE142" t="e">
        <f>AND(DATA!F917,"AAAAAF9Lf7o=")</f>
        <v>#VALUE!</v>
      </c>
      <c r="GF142" t="e">
        <f>AND(DATA!G917,"AAAAAF9Lf7s=")</f>
        <v>#VALUE!</v>
      </c>
      <c r="GG142" t="e">
        <f>AND(DATA!H917,"AAAAAF9Lf7w=")</f>
        <v>#VALUE!</v>
      </c>
      <c r="GH142" t="e">
        <f>AND(DATA!I917,"AAAAAF9Lf70=")</f>
        <v>#VALUE!</v>
      </c>
      <c r="GI142" t="e">
        <f>AND(DATA!J917,"AAAAAF9Lf74=")</f>
        <v>#VALUE!</v>
      </c>
      <c r="GJ142" t="e">
        <f>AND(DATA!K917,"AAAAAF9Lf78=")</f>
        <v>#VALUE!</v>
      </c>
      <c r="GK142" t="b">
        <f>AND(DATA!L918,"AAAAAF9Lf8A=")</f>
        <v>1</v>
      </c>
      <c r="GL142" t="b">
        <f>AND(DATA!M918,"AAAAAF9Lf8E=")</f>
        <v>1</v>
      </c>
      <c r="GM142" t="b">
        <f>AND(DATA!N918,"AAAAAF9Lf8I=")</f>
        <v>1</v>
      </c>
      <c r="GN142" t="b">
        <f>AND(DATA!O918,"AAAAAF9Lf8M=")</f>
        <v>1</v>
      </c>
      <c r="GO142" t="b">
        <f>AND(DATA!P918,"AAAAAF9Lf8Q=")</f>
        <v>1</v>
      </c>
      <c r="GP142" t="b">
        <f>AND(DATA!Q918,"AAAAAF9Lf8U=")</f>
        <v>1</v>
      </c>
      <c r="GQ142" t="b">
        <f>AND(DATA!R918,"AAAAAF9Lf8Y=")</f>
        <v>1</v>
      </c>
      <c r="GR142" t="b">
        <f>AND(DATA!S918,"AAAAAF9Lf8c=")</f>
        <v>1</v>
      </c>
      <c r="GS142" t="b">
        <f>AND(DATA!T918,"AAAAAF9Lf8g=")</f>
        <v>1</v>
      </c>
      <c r="GT142" t="b">
        <f>AND(DATA!U918,"AAAAAF9Lf8k=")</f>
        <v>1</v>
      </c>
      <c r="GU142" t="b">
        <f>AND(DATA!V918,"AAAAAF9Lf8o=")</f>
        <v>1</v>
      </c>
      <c r="GV142" t="e">
        <f>AND(DATA!W917,"AAAAAF9Lf8s=")</f>
        <v>#VALUE!</v>
      </c>
      <c r="GW142" t="e">
        <f>AND(DATA!X917,"AAAAAF9Lf8w=")</f>
        <v>#VALUE!</v>
      </c>
      <c r="GX142" t="e">
        <f>AND(DATA!Y917,"AAAAAF9Lf80=")</f>
        <v>#VALUE!</v>
      </c>
      <c r="GY142">
        <f>IF(DATA!918:918,"AAAAAF9Lf84=",0)</f>
        <v>0</v>
      </c>
      <c r="GZ142" t="e">
        <f>AND(DATA!A918,"AAAAAF9Lf88=")</f>
        <v>#VALUE!</v>
      </c>
      <c r="HA142" t="e">
        <f>AND(DATA!B918,"AAAAAF9Lf9A=")</f>
        <v>#VALUE!</v>
      </c>
      <c r="HB142" t="e">
        <f>AND(DATA!C918,"AAAAAF9Lf9E=")</f>
        <v>#VALUE!</v>
      </c>
      <c r="HC142" t="e">
        <f>AND(DATA!D918,"AAAAAF9Lf9I=")</f>
        <v>#VALUE!</v>
      </c>
      <c r="HD142" t="e">
        <f>AND(DATA!E918,"AAAAAF9Lf9M=")</f>
        <v>#VALUE!</v>
      </c>
      <c r="HE142" t="e">
        <f>AND(DATA!F918,"AAAAAF9Lf9Q=")</f>
        <v>#VALUE!</v>
      </c>
      <c r="HF142" t="e">
        <f>AND(DATA!G918,"AAAAAF9Lf9U=")</f>
        <v>#VALUE!</v>
      </c>
      <c r="HG142" t="e">
        <f>AND(DATA!H918,"AAAAAF9Lf9Y=")</f>
        <v>#VALUE!</v>
      </c>
      <c r="HH142" t="e">
        <f>AND(DATA!I918,"AAAAAF9Lf9c=")</f>
        <v>#VALUE!</v>
      </c>
      <c r="HI142" t="e">
        <f>AND(DATA!J918,"AAAAAF9Lf9g=")</f>
        <v>#VALUE!</v>
      </c>
      <c r="HJ142" t="e">
        <f>AND(DATA!K918,"AAAAAF9Lf9k=")</f>
        <v>#VALUE!</v>
      </c>
      <c r="HK142" t="b">
        <f>AND(DATA!L919,"AAAAAF9Lf9o=")</f>
        <v>1</v>
      </c>
      <c r="HL142" t="b">
        <f>AND(DATA!M919,"AAAAAF9Lf9s=")</f>
        <v>1</v>
      </c>
      <c r="HM142" t="b">
        <f>AND(DATA!N919,"AAAAAF9Lf9w=")</f>
        <v>1</v>
      </c>
      <c r="HN142" t="b">
        <f>AND(DATA!O919,"AAAAAF9Lf90=")</f>
        <v>1</v>
      </c>
      <c r="HO142" t="b">
        <f>AND(DATA!P919,"AAAAAF9Lf94=")</f>
        <v>1</v>
      </c>
      <c r="HP142" t="b">
        <f>AND(DATA!Q919,"AAAAAF9Lf98=")</f>
        <v>1</v>
      </c>
      <c r="HQ142" t="b">
        <f>AND(DATA!R919,"AAAAAF9Lf+A=")</f>
        <v>1</v>
      </c>
      <c r="HR142" t="b">
        <f>AND(DATA!S919,"AAAAAF9Lf+E=")</f>
        <v>1</v>
      </c>
      <c r="HS142" t="b">
        <f>AND(DATA!T919,"AAAAAF9Lf+I=")</f>
        <v>1</v>
      </c>
      <c r="HT142" t="b">
        <f>AND(DATA!U919,"AAAAAF9Lf+M=")</f>
        <v>1</v>
      </c>
      <c r="HU142" t="b">
        <f>AND(DATA!V919,"AAAAAF9Lf+Q=")</f>
        <v>1</v>
      </c>
      <c r="HV142" t="e">
        <f>AND(DATA!W918,"AAAAAF9Lf+U=")</f>
        <v>#VALUE!</v>
      </c>
      <c r="HW142" t="e">
        <f>AND(DATA!X918,"AAAAAF9Lf+Y=")</f>
        <v>#VALUE!</v>
      </c>
      <c r="HX142" t="e">
        <f>AND(DATA!Y918,"AAAAAF9Lf+c=")</f>
        <v>#VALUE!</v>
      </c>
      <c r="HY142">
        <f>IF(DATA!919:919,"AAAAAF9Lf+g=",0)</f>
        <v>0</v>
      </c>
      <c r="HZ142" t="e">
        <f>AND(DATA!A919,"AAAAAF9Lf+k=")</f>
        <v>#VALUE!</v>
      </c>
      <c r="IA142" t="e">
        <f>AND(DATA!B919,"AAAAAF9Lf+o=")</f>
        <v>#VALUE!</v>
      </c>
      <c r="IB142" t="e">
        <f>AND(DATA!C919,"AAAAAF9Lf+s=")</f>
        <v>#VALUE!</v>
      </c>
      <c r="IC142" t="e">
        <f>AND(DATA!D919,"AAAAAF9Lf+w=")</f>
        <v>#VALUE!</v>
      </c>
      <c r="ID142" t="e">
        <f>AND(DATA!E919,"AAAAAF9Lf+0=")</f>
        <v>#VALUE!</v>
      </c>
      <c r="IE142" t="e">
        <f>AND(DATA!F919,"AAAAAF9Lf+4=")</f>
        <v>#VALUE!</v>
      </c>
      <c r="IF142" t="e">
        <f>AND(DATA!G919,"AAAAAF9Lf+8=")</f>
        <v>#VALUE!</v>
      </c>
      <c r="IG142" t="e">
        <f>AND(DATA!H919,"AAAAAF9Lf/A=")</f>
        <v>#VALUE!</v>
      </c>
      <c r="IH142" t="e">
        <f>AND(DATA!I919,"AAAAAF9Lf/E=")</f>
        <v>#VALUE!</v>
      </c>
      <c r="II142" t="e">
        <f>AND(DATA!J919,"AAAAAF9Lf/I=")</f>
        <v>#VALUE!</v>
      </c>
      <c r="IJ142" t="e">
        <f>AND(DATA!K919,"AAAAAF9Lf/M=")</f>
        <v>#VALUE!</v>
      </c>
      <c r="IK142" t="b">
        <f>AND(DATA!L920,"AAAAAF9Lf/Q=")</f>
        <v>1</v>
      </c>
      <c r="IL142" t="b">
        <f>AND(DATA!M920,"AAAAAF9Lf/U=")</f>
        <v>1</v>
      </c>
      <c r="IM142" t="b">
        <f>AND(DATA!N920,"AAAAAF9Lf/Y=")</f>
        <v>1</v>
      </c>
      <c r="IN142" t="b">
        <f>AND(DATA!O920,"AAAAAF9Lf/c=")</f>
        <v>1</v>
      </c>
      <c r="IO142" t="b">
        <f>AND(DATA!P920,"AAAAAF9Lf/g=")</f>
        <v>1</v>
      </c>
      <c r="IP142" t="b">
        <f>AND(DATA!Q920,"AAAAAF9Lf/k=")</f>
        <v>1</v>
      </c>
      <c r="IQ142" t="b">
        <f>AND(DATA!R920,"AAAAAF9Lf/o=")</f>
        <v>1</v>
      </c>
      <c r="IR142" t="b">
        <f>AND(DATA!S920,"AAAAAF9Lf/s=")</f>
        <v>1</v>
      </c>
      <c r="IS142" t="b">
        <f>AND(DATA!T920,"AAAAAF9Lf/w=")</f>
        <v>1</v>
      </c>
      <c r="IT142" t="b">
        <f>AND(DATA!U920,"AAAAAF9Lf/0=")</f>
        <v>1</v>
      </c>
      <c r="IU142" t="b">
        <f>AND(DATA!V920,"AAAAAF9Lf/4=")</f>
        <v>1</v>
      </c>
      <c r="IV142" t="e">
        <f>AND(DATA!W919,"AAAAAF9Lf/8=")</f>
        <v>#VALUE!</v>
      </c>
    </row>
    <row r="143" spans="1:256" x14ac:dyDescent="0.25">
      <c r="A143" t="e">
        <f>AND(DATA!X919,"AAAAAHvU0QA=")</f>
        <v>#VALUE!</v>
      </c>
      <c r="B143" t="e">
        <f>AND(DATA!Y919,"AAAAAHvU0QE=")</f>
        <v>#VALUE!</v>
      </c>
      <c r="C143">
        <f>IF(DATA!920:920,"AAAAAHvU0QI=",0)</f>
        <v>0</v>
      </c>
      <c r="D143" t="e">
        <f>AND(DATA!A920,"AAAAAHvU0QM=")</f>
        <v>#VALUE!</v>
      </c>
      <c r="E143" t="e">
        <f>AND(DATA!B920,"AAAAAHvU0QQ=")</f>
        <v>#VALUE!</v>
      </c>
      <c r="F143" t="e">
        <f>AND(DATA!C920,"AAAAAHvU0QU=")</f>
        <v>#VALUE!</v>
      </c>
      <c r="G143" t="e">
        <f>AND(DATA!D920,"AAAAAHvU0QY=")</f>
        <v>#VALUE!</v>
      </c>
      <c r="H143" t="e">
        <f>AND(DATA!E920,"AAAAAHvU0Qc=")</f>
        <v>#VALUE!</v>
      </c>
      <c r="I143" t="e">
        <f>AND(DATA!F920,"AAAAAHvU0Qg=")</f>
        <v>#VALUE!</v>
      </c>
      <c r="J143" t="e">
        <f>AND(DATA!G920,"AAAAAHvU0Qk=")</f>
        <v>#VALUE!</v>
      </c>
      <c r="K143" t="e">
        <f>AND(DATA!H920,"AAAAAHvU0Qo=")</f>
        <v>#VALUE!</v>
      </c>
      <c r="L143" t="e">
        <f>AND(DATA!I920,"AAAAAHvU0Qs=")</f>
        <v>#VALUE!</v>
      </c>
      <c r="M143" t="e">
        <f>AND(DATA!J920,"AAAAAHvU0Qw=")</f>
        <v>#VALUE!</v>
      </c>
      <c r="N143" t="e">
        <f>AND(DATA!K920,"AAAAAHvU0Q0=")</f>
        <v>#VALUE!</v>
      </c>
      <c r="O143" t="b">
        <f>AND(DATA!L921,"AAAAAHvU0Q4=")</f>
        <v>1</v>
      </c>
      <c r="P143" t="b">
        <f>AND(DATA!M921,"AAAAAHvU0Q8=")</f>
        <v>1</v>
      </c>
      <c r="Q143" t="b">
        <f>AND(DATA!N921,"AAAAAHvU0RA=")</f>
        <v>1</v>
      </c>
      <c r="R143" t="b">
        <f>AND(DATA!O921,"AAAAAHvU0RE=")</f>
        <v>1</v>
      </c>
      <c r="S143" t="b">
        <f>AND(DATA!P921,"AAAAAHvU0RI=")</f>
        <v>1</v>
      </c>
      <c r="T143" t="b">
        <f>AND(DATA!Q921,"AAAAAHvU0RM=")</f>
        <v>1</v>
      </c>
      <c r="U143" t="b">
        <f>AND(DATA!R921,"AAAAAHvU0RQ=")</f>
        <v>1</v>
      </c>
      <c r="V143" t="b">
        <f>AND(DATA!S921,"AAAAAHvU0RU=")</f>
        <v>1</v>
      </c>
      <c r="W143" t="b">
        <f>AND(DATA!T921,"AAAAAHvU0RY=")</f>
        <v>1</v>
      </c>
      <c r="X143" t="b">
        <f>AND(DATA!U921,"AAAAAHvU0Rc=")</f>
        <v>1</v>
      </c>
      <c r="Y143" t="b">
        <f>AND(DATA!V921,"AAAAAHvU0Rg=")</f>
        <v>1</v>
      </c>
      <c r="Z143" t="e">
        <f>AND(DATA!W920,"AAAAAHvU0Rk=")</f>
        <v>#VALUE!</v>
      </c>
      <c r="AA143" t="e">
        <f>AND(DATA!X920,"AAAAAHvU0Ro=")</f>
        <v>#VALUE!</v>
      </c>
      <c r="AB143" t="e">
        <f>AND(DATA!Y920,"AAAAAHvU0Rs=")</f>
        <v>#VALUE!</v>
      </c>
      <c r="AC143">
        <f>IF(DATA!921:921,"AAAAAHvU0Rw=",0)</f>
        <v>0</v>
      </c>
      <c r="AD143" t="e">
        <f>AND(DATA!A921,"AAAAAHvU0R0=")</f>
        <v>#VALUE!</v>
      </c>
      <c r="AE143" t="e">
        <f>AND(DATA!B921,"AAAAAHvU0R4=")</f>
        <v>#VALUE!</v>
      </c>
      <c r="AF143" t="e">
        <f>AND(DATA!C921,"AAAAAHvU0R8=")</f>
        <v>#VALUE!</v>
      </c>
      <c r="AG143" t="e">
        <f>AND(DATA!D921,"AAAAAHvU0SA=")</f>
        <v>#VALUE!</v>
      </c>
      <c r="AH143" t="e">
        <f>AND(DATA!E921,"AAAAAHvU0SE=")</f>
        <v>#VALUE!</v>
      </c>
      <c r="AI143" t="e">
        <f>AND(DATA!F921,"AAAAAHvU0SI=")</f>
        <v>#VALUE!</v>
      </c>
      <c r="AJ143" t="e">
        <f>AND(DATA!G921,"AAAAAHvU0SM=")</f>
        <v>#VALUE!</v>
      </c>
      <c r="AK143" t="e">
        <f>AND(DATA!H921,"AAAAAHvU0SQ=")</f>
        <v>#VALUE!</v>
      </c>
      <c r="AL143" t="e">
        <f>AND(DATA!I921,"AAAAAHvU0SU=")</f>
        <v>#VALUE!</v>
      </c>
      <c r="AM143" t="e">
        <f>AND(DATA!J921,"AAAAAHvU0SY=")</f>
        <v>#VALUE!</v>
      </c>
      <c r="AN143" t="e">
        <f>AND(DATA!K921,"AAAAAHvU0Sc=")</f>
        <v>#VALUE!</v>
      </c>
      <c r="AO143" t="b">
        <f>AND(DATA!L922,"AAAAAHvU0Sg=")</f>
        <v>1</v>
      </c>
      <c r="AP143" t="b">
        <f>AND(DATA!M922,"AAAAAHvU0Sk=")</f>
        <v>1</v>
      </c>
      <c r="AQ143" t="b">
        <f>AND(DATA!N922,"AAAAAHvU0So=")</f>
        <v>1</v>
      </c>
      <c r="AR143" t="b">
        <f>AND(DATA!O922,"AAAAAHvU0Ss=")</f>
        <v>1</v>
      </c>
      <c r="AS143" t="b">
        <f>AND(DATA!P922,"AAAAAHvU0Sw=")</f>
        <v>1</v>
      </c>
      <c r="AT143" t="b">
        <f>AND(DATA!Q922,"AAAAAHvU0S0=")</f>
        <v>1</v>
      </c>
      <c r="AU143" t="b">
        <f>AND(DATA!R922,"AAAAAHvU0S4=")</f>
        <v>1</v>
      </c>
      <c r="AV143" t="b">
        <f>AND(DATA!S922,"AAAAAHvU0S8=")</f>
        <v>1</v>
      </c>
      <c r="AW143" t="b">
        <f>AND(DATA!T922,"AAAAAHvU0TA=")</f>
        <v>1</v>
      </c>
      <c r="AX143" t="b">
        <f>AND(DATA!U922,"AAAAAHvU0TE=")</f>
        <v>1</v>
      </c>
      <c r="AY143" t="b">
        <f>AND(DATA!V922,"AAAAAHvU0TI=")</f>
        <v>1</v>
      </c>
      <c r="AZ143" t="e">
        <f>AND(DATA!W921,"AAAAAHvU0TM=")</f>
        <v>#VALUE!</v>
      </c>
      <c r="BA143" t="e">
        <f>AND(DATA!X921,"AAAAAHvU0TQ=")</f>
        <v>#VALUE!</v>
      </c>
      <c r="BB143" t="e">
        <f>AND(DATA!Y921,"AAAAAHvU0TU=")</f>
        <v>#VALUE!</v>
      </c>
      <c r="BC143">
        <f>IF(DATA!922:922,"AAAAAHvU0TY=",0)</f>
        <v>0</v>
      </c>
      <c r="BD143" t="e">
        <f>AND(DATA!A922,"AAAAAHvU0Tc=")</f>
        <v>#VALUE!</v>
      </c>
      <c r="BE143" t="e">
        <f>AND(DATA!B922,"AAAAAHvU0Tg=")</f>
        <v>#VALUE!</v>
      </c>
      <c r="BF143" t="e">
        <f>AND(DATA!C922,"AAAAAHvU0Tk=")</f>
        <v>#VALUE!</v>
      </c>
      <c r="BG143" t="e">
        <f>AND(DATA!D922,"AAAAAHvU0To=")</f>
        <v>#VALUE!</v>
      </c>
      <c r="BH143" t="e">
        <f>AND(DATA!E922,"AAAAAHvU0Ts=")</f>
        <v>#VALUE!</v>
      </c>
      <c r="BI143" t="e">
        <f>AND(DATA!F922,"AAAAAHvU0Tw=")</f>
        <v>#VALUE!</v>
      </c>
      <c r="BJ143" t="e">
        <f>AND(DATA!G922,"AAAAAHvU0T0=")</f>
        <v>#VALUE!</v>
      </c>
      <c r="BK143" t="e">
        <f>AND(DATA!H922,"AAAAAHvU0T4=")</f>
        <v>#VALUE!</v>
      </c>
      <c r="BL143" t="e">
        <f>AND(DATA!I922,"AAAAAHvU0T8=")</f>
        <v>#VALUE!</v>
      </c>
      <c r="BM143" t="e">
        <f>AND(DATA!J922,"AAAAAHvU0UA=")</f>
        <v>#VALUE!</v>
      </c>
      <c r="BN143" t="e">
        <f>AND(DATA!K922,"AAAAAHvU0UE=")</f>
        <v>#VALUE!</v>
      </c>
      <c r="BO143" t="b">
        <f>AND(DATA!L923,"AAAAAHvU0UI=")</f>
        <v>1</v>
      </c>
      <c r="BP143" t="b">
        <f>AND(DATA!M923,"AAAAAHvU0UM=")</f>
        <v>1</v>
      </c>
      <c r="BQ143" t="b">
        <f>AND(DATA!N923,"AAAAAHvU0UQ=")</f>
        <v>1</v>
      </c>
      <c r="BR143" t="b">
        <f>AND(DATA!O923,"AAAAAHvU0UU=")</f>
        <v>1</v>
      </c>
      <c r="BS143" t="b">
        <f>AND(DATA!P923,"AAAAAHvU0UY=")</f>
        <v>1</v>
      </c>
      <c r="BT143" t="b">
        <f>AND(DATA!Q923,"AAAAAHvU0Uc=")</f>
        <v>1</v>
      </c>
      <c r="BU143" t="b">
        <f>AND(DATA!R923,"AAAAAHvU0Ug=")</f>
        <v>1</v>
      </c>
      <c r="BV143" t="b">
        <f>AND(DATA!S923,"AAAAAHvU0Uk=")</f>
        <v>1</v>
      </c>
      <c r="BW143" t="b">
        <f>AND(DATA!T923,"AAAAAHvU0Uo=")</f>
        <v>1</v>
      </c>
      <c r="BX143" t="b">
        <f>AND(DATA!U923,"AAAAAHvU0Us=")</f>
        <v>1</v>
      </c>
      <c r="BY143" t="b">
        <f>AND(DATA!V923,"AAAAAHvU0Uw=")</f>
        <v>1</v>
      </c>
      <c r="BZ143" t="e">
        <f>AND(DATA!W922,"AAAAAHvU0U0=")</f>
        <v>#VALUE!</v>
      </c>
      <c r="CA143" t="e">
        <f>AND(DATA!X922,"AAAAAHvU0U4=")</f>
        <v>#VALUE!</v>
      </c>
      <c r="CB143" t="e">
        <f>AND(DATA!Y922,"AAAAAHvU0U8=")</f>
        <v>#VALUE!</v>
      </c>
      <c r="CC143">
        <f>IF(DATA!923:923,"AAAAAHvU0VA=",0)</f>
        <v>0</v>
      </c>
      <c r="CD143" t="e">
        <f>AND(DATA!A923,"AAAAAHvU0VE=")</f>
        <v>#VALUE!</v>
      </c>
      <c r="CE143" t="e">
        <f>AND(DATA!B923,"AAAAAHvU0VI=")</f>
        <v>#VALUE!</v>
      </c>
      <c r="CF143" t="e">
        <f>AND(DATA!C923,"AAAAAHvU0VM=")</f>
        <v>#VALUE!</v>
      </c>
      <c r="CG143" t="e">
        <f>AND(DATA!D923,"AAAAAHvU0VQ=")</f>
        <v>#VALUE!</v>
      </c>
      <c r="CH143" t="e">
        <f>AND(DATA!E923,"AAAAAHvU0VU=")</f>
        <v>#VALUE!</v>
      </c>
      <c r="CI143" t="e">
        <f>AND(DATA!F923,"AAAAAHvU0VY=")</f>
        <v>#VALUE!</v>
      </c>
      <c r="CJ143" t="e">
        <f>AND(DATA!G923,"AAAAAHvU0Vc=")</f>
        <v>#VALUE!</v>
      </c>
      <c r="CK143" t="e">
        <f>AND(DATA!H923,"AAAAAHvU0Vg=")</f>
        <v>#VALUE!</v>
      </c>
      <c r="CL143" t="e">
        <f>AND(DATA!I923,"AAAAAHvU0Vk=")</f>
        <v>#VALUE!</v>
      </c>
      <c r="CM143" t="e">
        <f>AND(DATA!J923,"AAAAAHvU0Vo=")</f>
        <v>#VALUE!</v>
      </c>
      <c r="CN143" t="e">
        <f>AND(DATA!K923,"AAAAAHvU0Vs=")</f>
        <v>#VALUE!</v>
      </c>
      <c r="CO143" t="b">
        <f>AND(DATA!L924,"AAAAAHvU0Vw=")</f>
        <v>1</v>
      </c>
      <c r="CP143" t="b">
        <f>AND(DATA!M924,"AAAAAHvU0V0=")</f>
        <v>1</v>
      </c>
      <c r="CQ143" t="b">
        <f>AND(DATA!N924,"AAAAAHvU0V4=")</f>
        <v>1</v>
      </c>
      <c r="CR143" t="b">
        <f>AND(DATA!O924,"AAAAAHvU0V8=")</f>
        <v>1</v>
      </c>
      <c r="CS143" t="b">
        <f>AND(DATA!P924,"AAAAAHvU0WA=")</f>
        <v>1</v>
      </c>
      <c r="CT143" t="b">
        <f>AND(DATA!Q924,"AAAAAHvU0WE=")</f>
        <v>1</v>
      </c>
      <c r="CU143" t="b">
        <f>AND(DATA!R924,"AAAAAHvU0WI=")</f>
        <v>1</v>
      </c>
      <c r="CV143" t="b">
        <f>AND(DATA!S924,"AAAAAHvU0WM=")</f>
        <v>1</v>
      </c>
      <c r="CW143" t="b">
        <f>AND(DATA!T924,"AAAAAHvU0WQ=")</f>
        <v>1</v>
      </c>
      <c r="CX143" t="b">
        <f>AND(DATA!U924,"AAAAAHvU0WU=")</f>
        <v>1</v>
      </c>
      <c r="CY143" t="b">
        <f>AND(DATA!V924,"AAAAAHvU0WY=")</f>
        <v>1</v>
      </c>
      <c r="CZ143" t="e">
        <f>AND(DATA!W923,"AAAAAHvU0Wc=")</f>
        <v>#VALUE!</v>
      </c>
      <c r="DA143" t="e">
        <f>AND(DATA!X923,"AAAAAHvU0Wg=")</f>
        <v>#VALUE!</v>
      </c>
      <c r="DB143" t="e">
        <f>AND(DATA!Y923,"AAAAAHvU0Wk=")</f>
        <v>#VALUE!</v>
      </c>
      <c r="DC143">
        <f>IF(DATA!924:924,"AAAAAHvU0Wo=",0)</f>
        <v>0</v>
      </c>
      <c r="DD143" t="e">
        <f>AND(DATA!A924,"AAAAAHvU0Ws=")</f>
        <v>#VALUE!</v>
      </c>
      <c r="DE143" t="e">
        <f>AND(DATA!B924,"AAAAAHvU0Ww=")</f>
        <v>#VALUE!</v>
      </c>
      <c r="DF143" t="e">
        <f>AND(DATA!C924,"AAAAAHvU0W0=")</f>
        <v>#VALUE!</v>
      </c>
      <c r="DG143" t="e">
        <f>AND(DATA!D924,"AAAAAHvU0W4=")</f>
        <v>#VALUE!</v>
      </c>
      <c r="DH143" t="e">
        <f>AND(DATA!E924,"AAAAAHvU0W8=")</f>
        <v>#VALUE!</v>
      </c>
      <c r="DI143" t="e">
        <f>AND(DATA!F924,"AAAAAHvU0XA=")</f>
        <v>#VALUE!</v>
      </c>
      <c r="DJ143" t="e">
        <f>AND(DATA!G924,"AAAAAHvU0XE=")</f>
        <v>#VALUE!</v>
      </c>
      <c r="DK143" t="e">
        <f>AND(DATA!H924,"AAAAAHvU0XI=")</f>
        <v>#VALUE!</v>
      </c>
      <c r="DL143" t="e">
        <f>AND(DATA!I924,"AAAAAHvU0XM=")</f>
        <v>#VALUE!</v>
      </c>
      <c r="DM143" t="e">
        <f>AND(DATA!J924,"AAAAAHvU0XQ=")</f>
        <v>#VALUE!</v>
      </c>
      <c r="DN143" t="e">
        <f>AND(DATA!K924,"AAAAAHvU0XU=")</f>
        <v>#VALUE!</v>
      </c>
      <c r="DO143" t="b">
        <f>AND(DATA!L925,"AAAAAHvU0XY=")</f>
        <v>1</v>
      </c>
      <c r="DP143" t="b">
        <f>AND(DATA!M925,"AAAAAHvU0Xc=")</f>
        <v>1</v>
      </c>
      <c r="DQ143" t="b">
        <f>AND(DATA!N925,"AAAAAHvU0Xg=")</f>
        <v>1</v>
      </c>
      <c r="DR143" t="b">
        <f>AND(DATA!O925,"AAAAAHvU0Xk=")</f>
        <v>1</v>
      </c>
      <c r="DS143" t="b">
        <f>AND(DATA!P925,"AAAAAHvU0Xo=")</f>
        <v>1</v>
      </c>
      <c r="DT143" t="b">
        <f>AND(DATA!Q925,"AAAAAHvU0Xs=")</f>
        <v>1</v>
      </c>
      <c r="DU143" t="b">
        <f>AND(DATA!R925,"AAAAAHvU0Xw=")</f>
        <v>1</v>
      </c>
      <c r="DV143" t="b">
        <f>AND(DATA!S925,"AAAAAHvU0X0=")</f>
        <v>1</v>
      </c>
      <c r="DW143" t="b">
        <f>AND(DATA!T925,"AAAAAHvU0X4=")</f>
        <v>1</v>
      </c>
      <c r="DX143" t="b">
        <f>AND(DATA!U925,"AAAAAHvU0X8=")</f>
        <v>1</v>
      </c>
      <c r="DY143" t="b">
        <f>AND(DATA!V925,"AAAAAHvU0YA=")</f>
        <v>1</v>
      </c>
      <c r="DZ143" t="e">
        <f>AND(DATA!W924,"AAAAAHvU0YE=")</f>
        <v>#VALUE!</v>
      </c>
      <c r="EA143" t="e">
        <f>AND(DATA!X924,"AAAAAHvU0YI=")</f>
        <v>#VALUE!</v>
      </c>
      <c r="EB143" t="e">
        <f>AND(DATA!Y924,"AAAAAHvU0YM=")</f>
        <v>#VALUE!</v>
      </c>
      <c r="EC143">
        <f>IF(DATA!925:925,"AAAAAHvU0YQ=",0)</f>
        <v>0</v>
      </c>
      <c r="ED143" t="e">
        <f>AND(DATA!A925,"AAAAAHvU0YU=")</f>
        <v>#VALUE!</v>
      </c>
      <c r="EE143" t="e">
        <f>AND(DATA!B925,"AAAAAHvU0YY=")</f>
        <v>#VALUE!</v>
      </c>
      <c r="EF143" t="e">
        <f>AND(DATA!C925,"AAAAAHvU0Yc=")</f>
        <v>#VALUE!</v>
      </c>
      <c r="EG143" t="e">
        <f>AND(DATA!D925,"AAAAAHvU0Yg=")</f>
        <v>#VALUE!</v>
      </c>
      <c r="EH143" t="e">
        <f>AND(DATA!E925,"AAAAAHvU0Yk=")</f>
        <v>#VALUE!</v>
      </c>
      <c r="EI143" t="e">
        <f>AND(DATA!F925,"AAAAAHvU0Yo=")</f>
        <v>#VALUE!</v>
      </c>
      <c r="EJ143" t="e">
        <f>AND(DATA!G925,"AAAAAHvU0Ys=")</f>
        <v>#VALUE!</v>
      </c>
      <c r="EK143" t="e">
        <f>AND(DATA!H925,"AAAAAHvU0Yw=")</f>
        <v>#VALUE!</v>
      </c>
      <c r="EL143" t="e">
        <f>AND(DATA!I925,"AAAAAHvU0Y0=")</f>
        <v>#VALUE!</v>
      </c>
      <c r="EM143" t="e">
        <f>AND(DATA!J925,"AAAAAHvU0Y4=")</f>
        <v>#VALUE!</v>
      </c>
      <c r="EN143" t="e">
        <f>AND(DATA!K925,"AAAAAHvU0Y8=")</f>
        <v>#VALUE!</v>
      </c>
      <c r="EO143" t="b">
        <f>AND(DATA!L926,"AAAAAHvU0ZA=")</f>
        <v>1</v>
      </c>
      <c r="EP143" t="b">
        <f>AND(DATA!M926,"AAAAAHvU0ZE=")</f>
        <v>1</v>
      </c>
      <c r="EQ143" t="b">
        <f>AND(DATA!N926,"AAAAAHvU0ZI=")</f>
        <v>1</v>
      </c>
      <c r="ER143" t="b">
        <f>AND(DATA!O926,"AAAAAHvU0ZM=")</f>
        <v>1</v>
      </c>
      <c r="ES143" t="b">
        <f>AND(DATA!P926,"AAAAAHvU0ZQ=")</f>
        <v>1</v>
      </c>
      <c r="ET143" t="b">
        <f>AND(DATA!Q926,"AAAAAHvU0ZU=")</f>
        <v>1</v>
      </c>
      <c r="EU143" t="b">
        <f>AND(DATA!R926,"AAAAAHvU0ZY=")</f>
        <v>1</v>
      </c>
      <c r="EV143" t="b">
        <f>AND(DATA!S926,"AAAAAHvU0Zc=")</f>
        <v>1</v>
      </c>
      <c r="EW143" t="b">
        <f>AND(DATA!T926,"AAAAAHvU0Zg=")</f>
        <v>1</v>
      </c>
      <c r="EX143" t="b">
        <f>AND(DATA!U926,"AAAAAHvU0Zk=")</f>
        <v>1</v>
      </c>
      <c r="EY143" t="b">
        <f>AND(DATA!V926,"AAAAAHvU0Zo=")</f>
        <v>1</v>
      </c>
      <c r="EZ143" t="e">
        <f>AND(DATA!W925,"AAAAAHvU0Zs=")</f>
        <v>#VALUE!</v>
      </c>
      <c r="FA143" t="e">
        <f>AND(DATA!X925,"AAAAAHvU0Zw=")</f>
        <v>#VALUE!</v>
      </c>
      <c r="FB143" t="e">
        <f>AND(DATA!Y925,"AAAAAHvU0Z0=")</f>
        <v>#VALUE!</v>
      </c>
      <c r="FC143">
        <f>IF(DATA!926:926,"AAAAAHvU0Z4=",0)</f>
        <v>0</v>
      </c>
      <c r="FD143" t="e">
        <f>AND(DATA!A926,"AAAAAHvU0Z8=")</f>
        <v>#VALUE!</v>
      </c>
      <c r="FE143" t="e">
        <f>AND(DATA!B926,"AAAAAHvU0aA=")</f>
        <v>#VALUE!</v>
      </c>
      <c r="FF143" t="e">
        <f>AND(DATA!C926,"AAAAAHvU0aE=")</f>
        <v>#VALUE!</v>
      </c>
      <c r="FG143" t="e">
        <f>AND(DATA!D926,"AAAAAHvU0aI=")</f>
        <v>#VALUE!</v>
      </c>
      <c r="FH143" t="e">
        <f>AND(DATA!E926,"AAAAAHvU0aM=")</f>
        <v>#VALUE!</v>
      </c>
      <c r="FI143" t="e">
        <f>AND(DATA!F926,"AAAAAHvU0aQ=")</f>
        <v>#VALUE!</v>
      </c>
      <c r="FJ143" t="e">
        <f>AND(DATA!G926,"AAAAAHvU0aU=")</f>
        <v>#VALUE!</v>
      </c>
      <c r="FK143" t="e">
        <f>AND(DATA!H926,"AAAAAHvU0aY=")</f>
        <v>#VALUE!</v>
      </c>
      <c r="FL143" t="e">
        <f>AND(DATA!I926,"AAAAAHvU0ac=")</f>
        <v>#VALUE!</v>
      </c>
      <c r="FM143" t="e">
        <f>AND(DATA!J926,"AAAAAHvU0ag=")</f>
        <v>#VALUE!</v>
      </c>
      <c r="FN143" t="e">
        <f>AND(DATA!K926,"AAAAAHvU0ak=")</f>
        <v>#VALUE!</v>
      </c>
      <c r="FO143" t="b">
        <f>AND(DATA!L927,"AAAAAHvU0ao=")</f>
        <v>1</v>
      </c>
      <c r="FP143" t="b">
        <f>AND(DATA!M927,"AAAAAHvU0as=")</f>
        <v>1</v>
      </c>
      <c r="FQ143" t="b">
        <f>AND(DATA!N927,"AAAAAHvU0aw=")</f>
        <v>1</v>
      </c>
      <c r="FR143" t="b">
        <f>AND(DATA!O927,"AAAAAHvU0a0=")</f>
        <v>1</v>
      </c>
      <c r="FS143" t="b">
        <f>AND(DATA!P927,"AAAAAHvU0a4=")</f>
        <v>1</v>
      </c>
      <c r="FT143" t="b">
        <f>AND(DATA!Q927,"AAAAAHvU0a8=")</f>
        <v>1</v>
      </c>
      <c r="FU143" t="b">
        <f>AND(DATA!R927,"AAAAAHvU0bA=")</f>
        <v>1</v>
      </c>
      <c r="FV143" t="b">
        <f>AND(DATA!S927,"AAAAAHvU0bE=")</f>
        <v>1</v>
      </c>
      <c r="FW143" t="b">
        <f>AND(DATA!T927,"AAAAAHvU0bI=")</f>
        <v>1</v>
      </c>
      <c r="FX143" t="b">
        <f>AND(DATA!U927,"AAAAAHvU0bM=")</f>
        <v>1</v>
      </c>
      <c r="FY143" t="b">
        <f>AND(DATA!V927,"AAAAAHvU0bQ=")</f>
        <v>1</v>
      </c>
      <c r="FZ143" t="e">
        <f>AND(DATA!W926,"AAAAAHvU0bU=")</f>
        <v>#VALUE!</v>
      </c>
      <c r="GA143" t="e">
        <f>AND(DATA!X926,"AAAAAHvU0bY=")</f>
        <v>#VALUE!</v>
      </c>
      <c r="GB143" t="e">
        <f>AND(DATA!Y926,"AAAAAHvU0bc=")</f>
        <v>#VALUE!</v>
      </c>
      <c r="GC143">
        <f>IF(DATA!927:927,"AAAAAHvU0bg=",0)</f>
        <v>0</v>
      </c>
      <c r="GD143" t="e">
        <f>AND(DATA!A927,"AAAAAHvU0bk=")</f>
        <v>#VALUE!</v>
      </c>
      <c r="GE143" t="e">
        <f>AND(DATA!B927,"AAAAAHvU0bo=")</f>
        <v>#VALUE!</v>
      </c>
      <c r="GF143" t="e">
        <f>AND(DATA!C927,"AAAAAHvU0bs=")</f>
        <v>#VALUE!</v>
      </c>
      <c r="GG143" t="e">
        <f>AND(DATA!D927,"AAAAAHvU0bw=")</f>
        <v>#VALUE!</v>
      </c>
      <c r="GH143" t="e">
        <f>AND(DATA!E927,"AAAAAHvU0b0=")</f>
        <v>#VALUE!</v>
      </c>
      <c r="GI143" t="e">
        <f>AND(DATA!F927,"AAAAAHvU0b4=")</f>
        <v>#VALUE!</v>
      </c>
      <c r="GJ143" t="e">
        <f>AND(DATA!G927,"AAAAAHvU0b8=")</f>
        <v>#VALUE!</v>
      </c>
      <c r="GK143" t="e">
        <f>AND(DATA!H927,"AAAAAHvU0cA=")</f>
        <v>#VALUE!</v>
      </c>
      <c r="GL143" t="e">
        <f>AND(DATA!I927,"AAAAAHvU0cE=")</f>
        <v>#VALUE!</v>
      </c>
      <c r="GM143" t="e">
        <f>AND(DATA!J927,"AAAAAHvU0cI=")</f>
        <v>#VALUE!</v>
      </c>
      <c r="GN143" t="e">
        <f>AND(DATA!K927,"AAAAAHvU0cM=")</f>
        <v>#VALUE!</v>
      </c>
      <c r="GO143" t="b">
        <f>AND(DATA!L928,"AAAAAHvU0cQ=")</f>
        <v>1</v>
      </c>
      <c r="GP143" t="b">
        <f>AND(DATA!M928,"AAAAAHvU0cU=")</f>
        <v>1</v>
      </c>
      <c r="GQ143" t="b">
        <f>AND(DATA!N928,"AAAAAHvU0cY=")</f>
        <v>1</v>
      </c>
      <c r="GR143" t="b">
        <f>AND(DATA!O928,"AAAAAHvU0cc=")</f>
        <v>1</v>
      </c>
      <c r="GS143" t="b">
        <f>AND(DATA!P928,"AAAAAHvU0cg=")</f>
        <v>1</v>
      </c>
      <c r="GT143" t="b">
        <f>AND(DATA!Q928,"AAAAAHvU0ck=")</f>
        <v>1</v>
      </c>
      <c r="GU143" t="b">
        <f>AND(DATA!R928,"AAAAAHvU0co=")</f>
        <v>1</v>
      </c>
      <c r="GV143" t="b">
        <f>AND(DATA!S928,"AAAAAHvU0cs=")</f>
        <v>1</v>
      </c>
      <c r="GW143" t="b">
        <f>AND(DATA!T928,"AAAAAHvU0cw=")</f>
        <v>1</v>
      </c>
      <c r="GX143" t="b">
        <f>AND(DATA!U928,"AAAAAHvU0c0=")</f>
        <v>1</v>
      </c>
      <c r="GY143" t="b">
        <f>AND(DATA!V928,"AAAAAHvU0c4=")</f>
        <v>1</v>
      </c>
      <c r="GZ143" t="e">
        <f>AND(DATA!W927,"AAAAAHvU0c8=")</f>
        <v>#VALUE!</v>
      </c>
      <c r="HA143" t="e">
        <f>AND(DATA!X927,"AAAAAHvU0dA=")</f>
        <v>#VALUE!</v>
      </c>
      <c r="HB143" t="e">
        <f>AND(DATA!Y927,"AAAAAHvU0dE=")</f>
        <v>#VALUE!</v>
      </c>
      <c r="HC143">
        <f>IF(DATA!928:928,"AAAAAHvU0dI=",0)</f>
        <v>0</v>
      </c>
      <c r="HD143" t="e">
        <f>AND(DATA!A928,"AAAAAHvU0dM=")</f>
        <v>#VALUE!</v>
      </c>
      <c r="HE143" t="e">
        <f>AND(DATA!B928,"AAAAAHvU0dQ=")</f>
        <v>#VALUE!</v>
      </c>
      <c r="HF143" t="e">
        <f>AND(DATA!C928,"AAAAAHvU0dU=")</f>
        <v>#VALUE!</v>
      </c>
      <c r="HG143" t="e">
        <f>AND(DATA!D928,"AAAAAHvU0dY=")</f>
        <v>#VALUE!</v>
      </c>
      <c r="HH143" t="e">
        <f>AND(DATA!E928,"AAAAAHvU0dc=")</f>
        <v>#VALUE!</v>
      </c>
      <c r="HI143" t="e">
        <f>AND(DATA!F928,"AAAAAHvU0dg=")</f>
        <v>#VALUE!</v>
      </c>
      <c r="HJ143" t="e">
        <f>AND(DATA!G928,"AAAAAHvU0dk=")</f>
        <v>#VALUE!</v>
      </c>
      <c r="HK143" t="e">
        <f>AND(DATA!H928,"AAAAAHvU0do=")</f>
        <v>#VALUE!</v>
      </c>
      <c r="HL143" t="e">
        <f>AND(DATA!I928,"AAAAAHvU0ds=")</f>
        <v>#VALUE!</v>
      </c>
      <c r="HM143" t="e">
        <f>AND(DATA!J928,"AAAAAHvU0dw=")</f>
        <v>#VALUE!</v>
      </c>
      <c r="HN143" t="e">
        <f>AND(DATA!K928,"AAAAAHvU0d0=")</f>
        <v>#VALUE!</v>
      </c>
      <c r="HO143" t="b">
        <f>AND(DATA!L929,"AAAAAHvU0d4=")</f>
        <v>1</v>
      </c>
      <c r="HP143" t="b">
        <f>AND(DATA!M929,"AAAAAHvU0d8=")</f>
        <v>1</v>
      </c>
      <c r="HQ143" t="b">
        <f>AND(DATA!N929,"AAAAAHvU0eA=")</f>
        <v>1</v>
      </c>
      <c r="HR143" t="b">
        <f>AND(DATA!O929,"AAAAAHvU0eE=")</f>
        <v>1</v>
      </c>
      <c r="HS143" t="b">
        <f>AND(DATA!P929,"AAAAAHvU0eI=")</f>
        <v>1</v>
      </c>
      <c r="HT143" t="b">
        <f>AND(DATA!Q929,"AAAAAHvU0eM=")</f>
        <v>1</v>
      </c>
      <c r="HU143" t="b">
        <f>AND(DATA!R929,"AAAAAHvU0eQ=")</f>
        <v>1</v>
      </c>
      <c r="HV143" t="b">
        <f>AND(DATA!S929,"AAAAAHvU0eU=")</f>
        <v>1</v>
      </c>
      <c r="HW143" t="b">
        <f>AND(DATA!T929,"AAAAAHvU0eY=")</f>
        <v>1</v>
      </c>
      <c r="HX143" t="b">
        <f>AND(DATA!U929,"AAAAAHvU0ec=")</f>
        <v>1</v>
      </c>
      <c r="HY143" t="b">
        <f>AND(DATA!V929,"AAAAAHvU0eg=")</f>
        <v>1</v>
      </c>
      <c r="HZ143" t="e">
        <f>AND(DATA!W928,"AAAAAHvU0ek=")</f>
        <v>#VALUE!</v>
      </c>
      <c r="IA143" t="e">
        <f>AND(DATA!X928,"AAAAAHvU0eo=")</f>
        <v>#VALUE!</v>
      </c>
      <c r="IB143" t="e">
        <f>AND(DATA!Y928,"AAAAAHvU0es=")</f>
        <v>#VALUE!</v>
      </c>
      <c r="IC143">
        <f>IF(DATA!929:929,"AAAAAHvU0ew=",0)</f>
        <v>0</v>
      </c>
      <c r="ID143" t="e">
        <f>AND(DATA!A929,"AAAAAHvU0e0=")</f>
        <v>#VALUE!</v>
      </c>
      <c r="IE143" t="e">
        <f>AND(DATA!B929,"AAAAAHvU0e4=")</f>
        <v>#VALUE!</v>
      </c>
      <c r="IF143" t="e">
        <f>AND(DATA!C929,"AAAAAHvU0e8=")</f>
        <v>#VALUE!</v>
      </c>
      <c r="IG143" t="e">
        <f>AND(DATA!D929,"AAAAAHvU0fA=")</f>
        <v>#VALUE!</v>
      </c>
      <c r="IH143" t="e">
        <f>AND(DATA!E929,"AAAAAHvU0fE=")</f>
        <v>#VALUE!</v>
      </c>
      <c r="II143" t="e">
        <f>AND(DATA!F929,"AAAAAHvU0fI=")</f>
        <v>#VALUE!</v>
      </c>
      <c r="IJ143" t="e">
        <f>AND(DATA!G929,"AAAAAHvU0fM=")</f>
        <v>#VALUE!</v>
      </c>
      <c r="IK143" t="e">
        <f>AND(DATA!H929,"AAAAAHvU0fQ=")</f>
        <v>#VALUE!</v>
      </c>
      <c r="IL143" t="e">
        <f>AND(DATA!I929,"AAAAAHvU0fU=")</f>
        <v>#VALUE!</v>
      </c>
      <c r="IM143" t="e">
        <f>AND(DATA!J929,"AAAAAHvU0fY=")</f>
        <v>#VALUE!</v>
      </c>
      <c r="IN143" t="e">
        <f>AND(DATA!K929,"AAAAAHvU0fc=")</f>
        <v>#VALUE!</v>
      </c>
      <c r="IO143" t="b">
        <f>AND(DATA!L930,"AAAAAHvU0fg=")</f>
        <v>1</v>
      </c>
      <c r="IP143" t="b">
        <f>AND(DATA!M930,"AAAAAHvU0fk=")</f>
        <v>1</v>
      </c>
      <c r="IQ143" t="b">
        <f>AND(DATA!N930,"AAAAAHvU0fo=")</f>
        <v>1</v>
      </c>
      <c r="IR143" t="b">
        <f>AND(DATA!O930,"AAAAAHvU0fs=")</f>
        <v>1</v>
      </c>
      <c r="IS143" t="b">
        <f>AND(DATA!P930,"AAAAAHvU0fw=")</f>
        <v>1</v>
      </c>
      <c r="IT143" t="b">
        <f>AND(DATA!Q930,"AAAAAHvU0f0=")</f>
        <v>1</v>
      </c>
      <c r="IU143" t="b">
        <f>AND(DATA!R930,"AAAAAHvU0f4=")</f>
        <v>1</v>
      </c>
      <c r="IV143" t="b">
        <f>AND(DATA!S930,"AAAAAHvU0f8=")</f>
        <v>1</v>
      </c>
    </row>
    <row r="144" spans="1:256" x14ac:dyDescent="0.25">
      <c r="A144" t="b">
        <f>AND(DATA!T930,"AAAAAH9u3QA=")</f>
        <v>1</v>
      </c>
      <c r="B144" t="b">
        <f>AND(DATA!U930,"AAAAAH9u3QE=")</f>
        <v>1</v>
      </c>
      <c r="C144" t="b">
        <f>AND(DATA!V930,"AAAAAH9u3QI=")</f>
        <v>1</v>
      </c>
      <c r="D144" t="e">
        <f>AND(DATA!W929,"AAAAAH9u3QM=")</f>
        <v>#VALUE!</v>
      </c>
      <c r="E144" t="e">
        <f>AND(DATA!X929,"AAAAAH9u3QQ=")</f>
        <v>#VALUE!</v>
      </c>
      <c r="F144" t="e">
        <f>AND(DATA!Y929,"AAAAAH9u3QU=")</f>
        <v>#VALUE!</v>
      </c>
      <c r="G144">
        <f>IF(DATA!930:930,"AAAAAH9u3QY=",0)</f>
        <v>0</v>
      </c>
      <c r="H144" t="e">
        <f>AND(DATA!A930,"AAAAAH9u3Qc=")</f>
        <v>#VALUE!</v>
      </c>
      <c r="I144" t="e">
        <f>AND(DATA!B930,"AAAAAH9u3Qg=")</f>
        <v>#VALUE!</v>
      </c>
      <c r="J144" t="e">
        <f>AND(DATA!C930,"AAAAAH9u3Qk=")</f>
        <v>#VALUE!</v>
      </c>
      <c r="K144" t="e">
        <f>AND(DATA!D930,"AAAAAH9u3Qo=")</f>
        <v>#VALUE!</v>
      </c>
      <c r="L144" t="e">
        <f>AND(DATA!E930,"AAAAAH9u3Qs=")</f>
        <v>#VALUE!</v>
      </c>
      <c r="M144" t="e">
        <f>AND(DATA!F930,"AAAAAH9u3Qw=")</f>
        <v>#VALUE!</v>
      </c>
      <c r="N144" t="e">
        <f>AND(DATA!G930,"AAAAAH9u3Q0=")</f>
        <v>#VALUE!</v>
      </c>
      <c r="O144" t="e">
        <f>AND(DATA!H930,"AAAAAH9u3Q4=")</f>
        <v>#VALUE!</v>
      </c>
      <c r="P144" t="e">
        <f>AND(DATA!I930,"AAAAAH9u3Q8=")</f>
        <v>#VALUE!</v>
      </c>
      <c r="Q144" t="e">
        <f>AND(DATA!J930,"AAAAAH9u3RA=")</f>
        <v>#VALUE!</v>
      </c>
      <c r="R144" t="e">
        <f>AND(DATA!K930,"AAAAAH9u3RE=")</f>
        <v>#VALUE!</v>
      </c>
      <c r="S144" t="b">
        <f>AND(DATA!L931,"AAAAAH9u3RI=")</f>
        <v>1</v>
      </c>
      <c r="T144" t="b">
        <f>AND(DATA!M931,"AAAAAH9u3RM=")</f>
        <v>1</v>
      </c>
      <c r="U144" t="b">
        <f>AND(DATA!N931,"AAAAAH9u3RQ=")</f>
        <v>1</v>
      </c>
      <c r="V144" t="b">
        <f>AND(DATA!O931,"AAAAAH9u3RU=")</f>
        <v>1</v>
      </c>
      <c r="W144" t="b">
        <f>AND(DATA!P931,"AAAAAH9u3RY=")</f>
        <v>1</v>
      </c>
      <c r="X144" t="b">
        <f>AND(DATA!Q931,"AAAAAH9u3Rc=")</f>
        <v>1</v>
      </c>
      <c r="Y144" t="b">
        <f>AND(DATA!R931,"AAAAAH9u3Rg=")</f>
        <v>1</v>
      </c>
      <c r="Z144" t="b">
        <f>AND(DATA!S931,"AAAAAH9u3Rk=")</f>
        <v>1</v>
      </c>
      <c r="AA144" t="b">
        <f>AND(DATA!T931,"AAAAAH9u3Ro=")</f>
        <v>1</v>
      </c>
      <c r="AB144" t="b">
        <f>AND(DATA!U931,"AAAAAH9u3Rs=")</f>
        <v>1</v>
      </c>
      <c r="AC144" t="b">
        <f>AND(DATA!V931,"AAAAAH9u3Rw=")</f>
        <v>1</v>
      </c>
      <c r="AD144" t="e">
        <f>AND(DATA!W930,"AAAAAH9u3R0=")</f>
        <v>#VALUE!</v>
      </c>
      <c r="AE144" t="e">
        <f>AND(DATA!X930,"AAAAAH9u3R4=")</f>
        <v>#VALUE!</v>
      </c>
      <c r="AF144" t="e">
        <f>AND(DATA!Y930,"AAAAAH9u3R8=")</f>
        <v>#VALUE!</v>
      </c>
      <c r="AG144">
        <f>IF(DATA!931:931,"AAAAAH9u3SA=",0)</f>
        <v>0</v>
      </c>
      <c r="AH144" t="e">
        <f>AND(DATA!A931,"AAAAAH9u3SE=")</f>
        <v>#VALUE!</v>
      </c>
      <c r="AI144" t="e">
        <f>AND(DATA!B931,"AAAAAH9u3SI=")</f>
        <v>#VALUE!</v>
      </c>
      <c r="AJ144" t="e">
        <f>AND(DATA!C931,"AAAAAH9u3SM=")</f>
        <v>#VALUE!</v>
      </c>
      <c r="AK144" t="e">
        <f>AND(DATA!D931,"AAAAAH9u3SQ=")</f>
        <v>#VALUE!</v>
      </c>
      <c r="AL144" t="e">
        <f>AND(DATA!E931,"AAAAAH9u3SU=")</f>
        <v>#VALUE!</v>
      </c>
      <c r="AM144" t="e">
        <f>AND(DATA!F931,"AAAAAH9u3SY=")</f>
        <v>#VALUE!</v>
      </c>
      <c r="AN144" t="e">
        <f>AND(DATA!G931,"AAAAAH9u3Sc=")</f>
        <v>#VALUE!</v>
      </c>
      <c r="AO144" t="e">
        <f>AND(DATA!H931,"AAAAAH9u3Sg=")</f>
        <v>#VALUE!</v>
      </c>
      <c r="AP144" t="e">
        <f>AND(DATA!I931,"AAAAAH9u3Sk=")</f>
        <v>#VALUE!</v>
      </c>
      <c r="AQ144" t="e">
        <f>AND(DATA!J931,"AAAAAH9u3So=")</f>
        <v>#VALUE!</v>
      </c>
      <c r="AR144" t="e">
        <f>AND(DATA!K931,"AAAAAH9u3Ss=")</f>
        <v>#VALUE!</v>
      </c>
      <c r="AS144" t="b">
        <f>AND(DATA!L932,"AAAAAH9u3Sw=")</f>
        <v>1</v>
      </c>
      <c r="AT144" t="b">
        <f>AND(DATA!M932,"AAAAAH9u3S0=")</f>
        <v>1</v>
      </c>
      <c r="AU144" t="b">
        <f>AND(DATA!N932,"AAAAAH9u3S4=")</f>
        <v>1</v>
      </c>
      <c r="AV144" t="b">
        <f>AND(DATA!O932,"AAAAAH9u3S8=")</f>
        <v>1</v>
      </c>
      <c r="AW144" t="b">
        <f>AND(DATA!P932,"AAAAAH9u3TA=")</f>
        <v>1</v>
      </c>
      <c r="AX144" t="b">
        <f>AND(DATA!Q932,"AAAAAH9u3TE=")</f>
        <v>1</v>
      </c>
      <c r="AY144" t="b">
        <f>AND(DATA!R932,"AAAAAH9u3TI=")</f>
        <v>1</v>
      </c>
      <c r="AZ144" t="b">
        <f>AND(DATA!S932,"AAAAAH9u3TM=")</f>
        <v>1</v>
      </c>
      <c r="BA144" t="b">
        <f>AND(DATA!T932,"AAAAAH9u3TQ=")</f>
        <v>1</v>
      </c>
      <c r="BB144" t="b">
        <f>AND(DATA!U932,"AAAAAH9u3TU=")</f>
        <v>1</v>
      </c>
      <c r="BC144" t="b">
        <f>AND(DATA!V932,"AAAAAH9u3TY=")</f>
        <v>1</v>
      </c>
      <c r="BD144" t="e">
        <f>AND(DATA!W931,"AAAAAH9u3Tc=")</f>
        <v>#VALUE!</v>
      </c>
      <c r="BE144" t="e">
        <f>AND(DATA!X931,"AAAAAH9u3Tg=")</f>
        <v>#VALUE!</v>
      </c>
      <c r="BF144" t="e">
        <f>AND(DATA!Y931,"AAAAAH9u3Tk=")</f>
        <v>#VALUE!</v>
      </c>
      <c r="BG144">
        <f>IF(DATA!932:932,"AAAAAH9u3To=",0)</f>
        <v>0</v>
      </c>
      <c r="BH144" t="e">
        <f>AND(DATA!A932,"AAAAAH9u3Ts=")</f>
        <v>#VALUE!</v>
      </c>
      <c r="BI144" t="e">
        <f>AND(DATA!B932,"AAAAAH9u3Tw=")</f>
        <v>#VALUE!</v>
      </c>
      <c r="BJ144" t="e">
        <f>AND(DATA!C932,"AAAAAH9u3T0=")</f>
        <v>#VALUE!</v>
      </c>
      <c r="BK144" t="e">
        <f>AND(DATA!D932,"AAAAAH9u3T4=")</f>
        <v>#VALUE!</v>
      </c>
      <c r="BL144" t="e">
        <f>AND(DATA!E932,"AAAAAH9u3T8=")</f>
        <v>#VALUE!</v>
      </c>
      <c r="BM144" t="e">
        <f>AND(DATA!F932,"AAAAAH9u3UA=")</f>
        <v>#VALUE!</v>
      </c>
      <c r="BN144" t="e">
        <f>AND(DATA!G932,"AAAAAH9u3UE=")</f>
        <v>#VALUE!</v>
      </c>
      <c r="BO144" t="e">
        <f>AND(DATA!H932,"AAAAAH9u3UI=")</f>
        <v>#VALUE!</v>
      </c>
      <c r="BP144" t="e">
        <f>AND(DATA!I932,"AAAAAH9u3UM=")</f>
        <v>#VALUE!</v>
      </c>
      <c r="BQ144" t="e">
        <f>AND(DATA!J932,"AAAAAH9u3UQ=")</f>
        <v>#VALUE!</v>
      </c>
      <c r="BR144" t="e">
        <f>AND(DATA!K932,"AAAAAH9u3UU=")</f>
        <v>#VALUE!</v>
      </c>
      <c r="BS144" t="b">
        <f>AND(DATA!L933,"AAAAAH9u3UY=")</f>
        <v>1</v>
      </c>
      <c r="BT144" t="b">
        <f>AND(DATA!M933,"AAAAAH9u3Uc=")</f>
        <v>1</v>
      </c>
      <c r="BU144" t="b">
        <f>AND(DATA!N933,"AAAAAH9u3Ug=")</f>
        <v>1</v>
      </c>
      <c r="BV144" t="b">
        <f>AND(DATA!O933,"AAAAAH9u3Uk=")</f>
        <v>1</v>
      </c>
      <c r="BW144" t="b">
        <f>AND(DATA!P933,"AAAAAH9u3Uo=")</f>
        <v>1</v>
      </c>
      <c r="BX144" t="b">
        <f>AND(DATA!Q933,"AAAAAH9u3Us=")</f>
        <v>1</v>
      </c>
      <c r="BY144" t="b">
        <f>AND(DATA!R933,"AAAAAH9u3Uw=")</f>
        <v>1</v>
      </c>
      <c r="BZ144" t="b">
        <f>AND(DATA!S933,"AAAAAH9u3U0=")</f>
        <v>1</v>
      </c>
      <c r="CA144" t="b">
        <f>AND(DATA!T933,"AAAAAH9u3U4=")</f>
        <v>1</v>
      </c>
      <c r="CB144" t="b">
        <f>AND(DATA!U933,"AAAAAH9u3U8=")</f>
        <v>1</v>
      </c>
      <c r="CC144" t="b">
        <f>AND(DATA!V933,"AAAAAH9u3VA=")</f>
        <v>1</v>
      </c>
      <c r="CD144" t="e">
        <f>AND(DATA!W932,"AAAAAH9u3VE=")</f>
        <v>#VALUE!</v>
      </c>
      <c r="CE144" t="e">
        <f>AND(DATA!X932,"AAAAAH9u3VI=")</f>
        <v>#VALUE!</v>
      </c>
      <c r="CF144" t="e">
        <f>AND(DATA!Y932,"AAAAAH9u3VM=")</f>
        <v>#VALUE!</v>
      </c>
      <c r="CG144">
        <f>IF(DATA!933:933,"AAAAAH9u3VQ=",0)</f>
        <v>0</v>
      </c>
      <c r="CH144" t="e">
        <f>AND(DATA!A933,"AAAAAH9u3VU=")</f>
        <v>#VALUE!</v>
      </c>
      <c r="CI144" t="e">
        <f>AND(DATA!B933,"AAAAAH9u3VY=")</f>
        <v>#VALUE!</v>
      </c>
      <c r="CJ144" t="e">
        <f>AND(DATA!C933,"AAAAAH9u3Vc=")</f>
        <v>#VALUE!</v>
      </c>
      <c r="CK144" t="e">
        <f>AND(DATA!D933,"AAAAAH9u3Vg=")</f>
        <v>#VALUE!</v>
      </c>
      <c r="CL144" t="e">
        <f>AND(DATA!E933,"AAAAAH9u3Vk=")</f>
        <v>#VALUE!</v>
      </c>
      <c r="CM144" t="e">
        <f>AND(DATA!F933,"AAAAAH9u3Vo=")</f>
        <v>#VALUE!</v>
      </c>
      <c r="CN144" t="e">
        <f>AND(DATA!G933,"AAAAAH9u3Vs=")</f>
        <v>#VALUE!</v>
      </c>
      <c r="CO144" t="e">
        <f>AND(DATA!H933,"AAAAAH9u3Vw=")</f>
        <v>#VALUE!</v>
      </c>
      <c r="CP144" t="e">
        <f>AND(DATA!I933,"AAAAAH9u3V0=")</f>
        <v>#VALUE!</v>
      </c>
      <c r="CQ144" t="e">
        <f>AND(DATA!J933,"AAAAAH9u3V4=")</f>
        <v>#VALUE!</v>
      </c>
      <c r="CR144" t="e">
        <f>AND(DATA!K933,"AAAAAH9u3V8=")</f>
        <v>#VALUE!</v>
      </c>
      <c r="CS144" t="b">
        <f>AND(DATA!L934,"AAAAAH9u3WA=")</f>
        <v>1</v>
      </c>
      <c r="CT144" t="b">
        <f>AND(DATA!M934,"AAAAAH9u3WE=")</f>
        <v>1</v>
      </c>
      <c r="CU144" t="b">
        <f>AND(DATA!N934,"AAAAAH9u3WI=")</f>
        <v>1</v>
      </c>
      <c r="CV144" t="b">
        <f>AND(DATA!O934,"AAAAAH9u3WM=")</f>
        <v>1</v>
      </c>
      <c r="CW144" t="b">
        <f>AND(DATA!P934,"AAAAAH9u3WQ=")</f>
        <v>1</v>
      </c>
      <c r="CX144" t="b">
        <f>AND(DATA!Q934,"AAAAAH9u3WU=")</f>
        <v>1</v>
      </c>
      <c r="CY144" t="b">
        <f>AND(DATA!R934,"AAAAAH9u3WY=")</f>
        <v>1</v>
      </c>
      <c r="CZ144" t="b">
        <f>AND(DATA!S934,"AAAAAH9u3Wc=")</f>
        <v>1</v>
      </c>
      <c r="DA144" t="b">
        <f>AND(DATA!T934,"AAAAAH9u3Wg=")</f>
        <v>1</v>
      </c>
      <c r="DB144" t="b">
        <f>AND(DATA!U934,"AAAAAH9u3Wk=")</f>
        <v>1</v>
      </c>
      <c r="DC144" t="b">
        <f>AND(DATA!V934,"AAAAAH9u3Wo=")</f>
        <v>1</v>
      </c>
      <c r="DD144" t="e">
        <f>AND(DATA!W933,"AAAAAH9u3Ws=")</f>
        <v>#VALUE!</v>
      </c>
      <c r="DE144" t="e">
        <f>AND(DATA!X933,"AAAAAH9u3Ww=")</f>
        <v>#VALUE!</v>
      </c>
      <c r="DF144" t="e">
        <f>AND(DATA!Y933,"AAAAAH9u3W0=")</f>
        <v>#VALUE!</v>
      </c>
      <c r="DG144">
        <f>IF(DATA!934:934,"AAAAAH9u3W4=",0)</f>
        <v>0</v>
      </c>
      <c r="DH144" t="e">
        <f>AND(DATA!A934,"AAAAAH9u3W8=")</f>
        <v>#VALUE!</v>
      </c>
      <c r="DI144" t="e">
        <f>AND(DATA!B934,"AAAAAH9u3XA=")</f>
        <v>#VALUE!</v>
      </c>
      <c r="DJ144" t="e">
        <f>AND(DATA!C934,"AAAAAH9u3XE=")</f>
        <v>#VALUE!</v>
      </c>
      <c r="DK144" t="e">
        <f>AND(DATA!D934,"AAAAAH9u3XI=")</f>
        <v>#VALUE!</v>
      </c>
      <c r="DL144" t="e">
        <f>AND(DATA!E934,"AAAAAH9u3XM=")</f>
        <v>#VALUE!</v>
      </c>
      <c r="DM144" t="e">
        <f>AND(DATA!F934,"AAAAAH9u3XQ=")</f>
        <v>#VALUE!</v>
      </c>
      <c r="DN144" t="e">
        <f>AND(DATA!G934,"AAAAAH9u3XU=")</f>
        <v>#VALUE!</v>
      </c>
      <c r="DO144" t="e">
        <f>AND(DATA!H934,"AAAAAH9u3XY=")</f>
        <v>#VALUE!</v>
      </c>
      <c r="DP144" t="e">
        <f>AND(DATA!I934,"AAAAAH9u3Xc=")</f>
        <v>#VALUE!</v>
      </c>
      <c r="DQ144" t="e">
        <f>AND(DATA!J934,"AAAAAH9u3Xg=")</f>
        <v>#VALUE!</v>
      </c>
      <c r="DR144" t="e">
        <f>AND(DATA!K934,"AAAAAH9u3Xk=")</f>
        <v>#VALUE!</v>
      </c>
      <c r="DS144" t="b">
        <f>AND(DATA!L935,"AAAAAH9u3Xo=")</f>
        <v>1</v>
      </c>
      <c r="DT144" t="b">
        <f>AND(DATA!M935,"AAAAAH9u3Xs=")</f>
        <v>1</v>
      </c>
      <c r="DU144" t="b">
        <f>AND(DATA!N935,"AAAAAH9u3Xw=")</f>
        <v>1</v>
      </c>
      <c r="DV144" t="b">
        <f>AND(DATA!O935,"AAAAAH9u3X0=")</f>
        <v>1</v>
      </c>
      <c r="DW144" t="b">
        <f>AND(DATA!P935,"AAAAAH9u3X4=")</f>
        <v>1</v>
      </c>
      <c r="DX144" t="b">
        <f>AND(DATA!Q935,"AAAAAH9u3X8=")</f>
        <v>1</v>
      </c>
      <c r="DY144" t="b">
        <f>AND(DATA!R935,"AAAAAH9u3YA=")</f>
        <v>1</v>
      </c>
      <c r="DZ144" t="b">
        <f>AND(DATA!S935,"AAAAAH9u3YE=")</f>
        <v>1</v>
      </c>
      <c r="EA144" t="b">
        <f>AND(DATA!T935,"AAAAAH9u3YI=")</f>
        <v>1</v>
      </c>
      <c r="EB144" t="b">
        <f>AND(DATA!U935,"AAAAAH9u3YM=")</f>
        <v>1</v>
      </c>
      <c r="EC144" t="b">
        <f>AND(DATA!V935,"AAAAAH9u3YQ=")</f>
        <v>1</v>
      </c>
      <c r="ED144" t="e">
        <f>AND(DATA!W934,"AAAAAH9u3YU=")</f>
        <v>#VALUE!</v>
      </c>
      <c r="EE144" t="e">
        <f>AND(DATA!X934,"AAAAAH9u3YY=")</f>
        <v>#VALUE!</v>
      </c>
      <c r="EF144" t="e">
        <f>AND(DATA!Y934,"AAAAAH9u3Yc=")</f>
        <v>#VALUE!</v>
      </c>
      <c r="EG144">
        <f>IF(DATA!935:935,"AAAAAH9u3Yg=",0)</f>
        <v>0</v>
      </c>
      <c r="EH144" t="e">
        <f>AND(DATA!A935,"AAAAAH9u3Yk=")</f>
        <v>#VALUE!</v>
      </c>
      <c r="EI144" t="e">
        <f>AND(DATA!B935,"AAAAAH9u3Yo=")</f>
        <v>#VALUE!</v>
      </c>
      <c r="EJ144" t="e">
        <f>AND(DATA!C935,"AAAAAH9u3Ys=")</f>
        <v>#VALUE!</v>
      </c>
      <c r="EK144" t="e">
        <f>AND(DATA!D935,"AAAAAH9u3Yw=")</f>
        <v>#VALUE!</v>
      </c>
      <c r="EL144" t="e">
        <f>AND(DATA!E935,"AAAAAH9u3Y0=")</f>
        <v>#VALUE!</v>
      </c>
      <c r="EM144" t="e">
        <f>AND(DATA!F935,"AAAAAH9u3Y4=")</f>
        <v>#VALUE!</v>
      </c>
      <c r="EN144" t="e">
        <f>AND(DATA!G935,"AAAAAH9u3Y8=")</f>
        <v>#VALUE!</v>
      </c>
      <c r="EO144" t="e">
        <f>AND(DATA!H935,"AAAAAH9u3ZA=")</f>
        <v>#VALUE!</v>
      </c>
      <c r="EP144" t="e">
        <f>AND(DATA!I935,"AAAAAH9u3ZE=")</f>
        <v>#VALUE!</v>
      </c>
      <c r="EQ144" t="e">
        <f>AND(DATA!J935,"AAAAAH9u3ZI=")</f>
        <v>#VALUE!</v>
      </c>
      <c r="ER144" t="e">
        <f>AND(DATA!K935,"AAAAAH9u3ZM=")</f>
        <v>#VALUE!</v>
      </c>
      <c r="ES144" t="b">
        <f>AND(DATA!L936,"AAAAAH9u3ZQ=")</f>
        <v>1</v>
      </c>
      <c r="ET144" t="b">
        <f>AND(DATA!M936,"AAAAAH9u3ZU=")</f>
        <v>1</v>
      </c>
      <c r="EU144" t="b">
        <f>AND(DATA!N936,"AAAAAH9u3ZY=")</f>
        <v>1</v>
      </c>
      <c r="EV144" t="b">
        <f>AND(DATA!O936,"AAAAAH9u3Zc=")</f>
        <v>1</v>
      </c>
      <c r="EW144" t="b">
        <f>AND(DATA!P936,"AAAAAH9u3Zg=")</f>
        <v>1</v>
      </c>
      <c r="EX144" t="b">
        <f>AND(DATA!Q936,"AAAAAH9u3Zk=")</f>
        <v>1</v>
      </c>
      <c r="EY144" t="b">
        <f>AND(DATA!R936,"AAAAAH9u3Zo=")</f>
        <v>1</v>
      </c>
      <c r="EZ144" t="b">
        <f>AND(DATA!S936,"AAAAAH9u3Zs=")</f>
        <v>1</v>
      </c>
      <c r="FA144" t="b">
        <f>AND(DATA!T936,"AAAAAH9u3Zw=")</f>
        <v>1</v>
      </c>
      <c r="FB144" t="b">
        <f>AND(DATA!U936,"AAAAAH9u3Z0=")</f>
        <v>1</v>
      </c>
      <c r="FC144" t="b">
        <f>AND(DATA!V936,"AAAAAH9u3Z4=")</f>
        <v>1</v>
      </c>
      <c r="FD144" t="e">
        <f>AND(DATA!W935,"AAAAAH9u3Z8=")</f>
        <v>#VALUE!</v>
      </c>
      <c r="FE144" t="e">
        <f>AND(DATA!X935,"AAAAAH9u3aA=")</f>
        <v>#VALUE!</v>
      </c>
      <c r="FF144" t="e">
        <f>AND(DATA!Y935,"AAAAAH9u3aE=")</f>
        <v>#VALUE!</v>
      </c>
      <c r="FG144">
        <f>IF(DATA!936:936,"AAAAAH9u3aI=",0)</f>
        <v>0</v>
      </c>
      <c r="FH144" t="e">
        <f>AND(DATA!A936,"AAAAAH9u3aM=")</f>
        <v>#VALUE!</v>
      </c>
      <c r="FI144" t="e">
        <f>AND(DATA!B936,"AAAAAH9u3aQ=")</f>
        <v>#VALUE!</v>
      </c>
      <c r="FJ144" t="e">
        <f>AND(DATA!C936,"AAAAAH9u3aU=")</f>
        <v>#VALUE!</v>
      </c>
      <c r="FK144" t="e">
        <f>AND(DATA!D936,"AAAAAH9u3aY=")</f>
        <v>#VALUE!</v>
      </c>
      <c r="FL144" t="e">
        <f>AND(DATA!E936,"AAAAAH9u3ac=")</f>
        <v>#VALUE!</v>
      </c>
      <c r="FM144" t="e">
        <f>AND(DATA!F936,"AAAAAH9u3ag=")</f>
        <v>#VALUE!</v>
      </c>
      <c r="FN144" t="e">
        <f>AND(DATA!G936,"AAAAAH9u3ak=")</f>
        <v>#VALUE!</v>
      </c>
      <c r="FO144" t="e">
        <f>AND(DATA!H936,"AAAAAH9u3ao=")</f>
        <v>#VALUE!</v>
      </c>
      <c r="FP144" t="e">
        <f>AND(DATA!I936,"AAAAAH9u3as=")</f>
        <v>#VALUE!</v>
      </c>
      <c r="FQ144" t="e">
        <f>AND(DATA!J936,"AAAAAH9u3aw=")</f>
        <v>#VALUE!</v>
      </c>
      <c r="FR144" t="e">
        <f>AND(DATA!K936,"AAAAAH9u3a0=")</f>
        <v>#VALUE!</v>
      </c>
      <c r="FS144" t="b">
        <f>AND(DATA!L937,"AAAAAH9u3a4=")</f>
        <v>1</v>
      </c>
      <c r="FT144" t="b">
        <f>AND(DATA!M937,"AAAAAH9u3a8=")</f>
        <v>1</v>
      </c>
      <c r="FU144" t="b">
        <f>AND(DATA!N937,"AAAAAH9u3bA=")</f>
        <v>1</v>
      </c>
      <c r="FV144" t="b">
        <f>AND(DATA!O937,"AAAAAH9u3bE=")</f>
        <v>1</v>
      </c>
      <c r="FW144" t="b">
        <f>AND(DATA!P937,"AAAAAH9u3bI=")</f>
        <v>1</v>
      </c>
      <c r="FX144" t="b">
        <f>AND(DATA!Q937,"AAAAAH9u3bM=")</f>
        <v>1</v>
      </c>
      <c r="FY144" t="b">
        <f>AND(DATA!R937,"AAAAAH9u3bQ=")</f>
        <v>1</v>
      </c>
      <c r="FZ144" t="b">
        <f>AND(DATA!S937,"AAAAAH9u3bU=")</f>
        <v>1</v>
      </c>
      <c r="GA144" t="b">
        <f>AND(DATA!T937,"AAAAAH9u3bY=")</f>
        <v>1</v>
      </c>
      <c r="GB144" t="b">
        <f>AND(DATA!U937,"AAAAAH9u3bc=")</f>
        <v>1</v>
      </c>
      <c r="GC144" t="b">
        <f>AND(DATA!V937,"AAAAAH9u3bg=")</f>
        <v>1</v>
      </c>
      <c r="GD144" t="e">
        <f>AND(DATA!W936,"AAAAAH9u3bk=")</f>
        <v>#VALUE!</v>
      </c>
      <c r="GE144" t="e">
        <f>AND(DATA!X936,"AAAAAH9u3bo=")</f>
        <v>#VALUE!</v>
      </c>
      <c r="GF144" t="e">
        <f>AND(DATA!Y936,"AAAAAH9u3bs=")</f>
        <v>#VALUE!</v>
      </c>
      <c r="GG144">
        <f>IF(DATA!937:937,"AAAAAH9u3bw=",0)</f>
        <v>0</v>
      </c>
      <c r="GH144" t="e">
        <f>AND(DATA!A937,"AAAAAH9u3b0=")</f>
        <v>#VALUE!</v>
      </c>
      <c r="GI144" t="e">
        <f>AND(DATA!B937,"AAAAAH9u3b4=")</f>
        <v>#VALUE!</v>
      </c>
      <c r="GJ144" t="e">
        <f>AND(DATA!C937,"AAAAAH9u3b8=")</f>
        <v>#VALUE!</v>
      </c>
      <c r="GK144" t="e">
        <f>AND(DATA!D937,"AAAAAH9u3cA=")</f>
        <v>#VALUE!</v>
      </c>
      <c r="GL144" t="e">
        <f>AND(DATA!E937,"AAAAAH9u3cE=")</f>
        <v>#VALUE!</v>
      </c>
      <c r="GM144" t="e">
        <f>AND(DATA!F937,"AAAAAH9u3cI=")</f>
        <v>#VALUE!</v>
      </c>
      <c r="GN144" t="e">
        <f>AND(DATA!G937,"AAAAAH9u3cM=")</f>
        <v>#VALUE!</v>
      </c>
      <c r="GO144" t="e">
        <f>AND(DATA!H937,"AAAAAH9u3cQ=")</f>
        <v>#VALUE!</v>
      </c>
      <c r="GP144" t="e">
        <f>AND(DATA!I937,"AAAAAH9u3cU=")</f>
        <v>#VALUE!</v>
      </c>
      <c r="GQ144" t="e">
        <f>AND(DATA!J937,"AAAAAH9u3cY=")</f>
        <v>#VALUE!</v>
      </c>
      <c r="GR144" t="e">
        <f>AND(DATA!K937,"AAAAAH9u3cc=")</f>
        <v>#VALUE!</v>
      </c>
      <c r="GS144" t="b">
        <f>AND(DATA!L938,"AAAAAH9u3cg=")</f>
        <v>1</v>
      </c>
      <c r="GT144" t="b">
        <f>AND(DATA!M938,"AAAAAH9u3ck=")</f>
        <v>1</v>
      </c>
      <c r="GU144" t="b">
        <f>AND(DATA!N938,"AAAAAH9u3co=")</f>
        <v>1</v>
      </c>
      <c r="GV144" t="b">
        <f>AND(DATA!O938,"AAAAAH9u3cs=")</f>
        <v>1</v>
      </c>
      <c r="GW144" t="b">
        <f>AND(DATA!P938,"AAAAAH9u3cw=")</f>
        <v>1</v>
      </c>
      <c r="GX144" t="b">
        <f>AND(DATA!Q938,"AAAAAH9u3c0=")</f>
        <v>1</v>
      </c>
      <c r="GY144" t="b">
        <f>AND(DATA!R938,"AAAAAH9u3c4=")</f>
        <v>1</v>
      </c>
      <c r="GZ144" t="b">
        <f>AND(DATA!S938,"AAAAAH9u3c8=")</f>
        <v>1</v>
      </c>
      <c r="HA144" t="b">
        <f>AND(DATA!T938,"AAAAAH9u3dA=")</f>
        <v>1</v>
      </c>
      <c r="HB144" t="b">
        <f>AND(DATA!U938,"AAAAAH9u3dE=")</f>
        <v>1</v>
      </c>
      <c r="HC144" t="b">
        <f>AND(DATA!V938,"AAAAAH9u3dI=")</f>
        <v>1</v>
      </c>
      <c r="HD144" t="e">
        <f>AND(DATA!W937,"AAAAAH9u3dM=")</f>
        <v>#VALUE!</v>
      </c>
      <c r="HE144" t="e">
        <f>AND(DATA!X937,"AAAAAH9u3dQ=")</f>
        <v>#VALUE!</v>
      </c>
      <c r="HF144" t="e">
        <f>AND(DATA!Y937,"AAAAAH9u3dU=")</f>
        <v>#VALUE!</v>
      </c>
      <c r="HG144">
        <f>IF(DATA!938:938,"AAAAAH9u3dY=",0)</f>
        <v>0</v>
      </c>
      <c r="HH144" t="e">
        <f>AND(DATA!A938,"AAAAAH9u3dc=")</f>
        <v>#VALUE!</v>
      </c>
      <c r="HI144" t="e">
        <f>AND(DATA!B938,"AAAAAH9u3dg=")</f>
        <v>#VALUE!</v>
      </c>
      <c r="HJ144" t="e">
        <f>AND(DATA!C938,"AAAAAH9u3dk=")</f>
        <v>#VALUE!</v>
      </c>
      <c r="HK144" t="e">
        <f>AND(DATA!D938,"AAAAAH9u3do=")</f>
        <v>#VALUE!</v>
      </c>
      <c r="HL144" t="e">
        <f>AND(DATA!E938,"AAAAAH9u3ds=")</f>
        <v>#VALUE!</v>
      </c>
      <c r="HM144" t="e">
        <f>AND(DATA!F938,"AAAAAH9u3dw=")</f>
        <v>#VALUE!</v>
      </c>
      <c r="HN144" t="e">
        <f>AND(DATA!G938,"AAAAAH9u3d0=")</f>
        <v>#VALUE!</v>
      </c>
      <c r="HO144" t="e">
        <f>AND(DATA!H938,"AAAAAH9u3d4=")</f>
        <v>#VALUE!</v>
      </c>
      <c r="HP144" t="e">
        <f>AND(DATA!I938,"AAAAAH9u3d8=")</f>
        <v>#VALUE!</v>
      </c>
      <c r="HQ144" t="e">
        <f>AND(DATA!J938,"AAAAAH9u3eA=")</f>
        <v>#VALUE!</v>
      </c>
      <c r="HR144" t="e">
        <f>AND(DATA!K938,"AAAAAH9u3eE=")</f>
        <v>#VALUE!</v>
      </c>
      <c r="HS144" t="b">
        <f>AND(DATA!L939,"AAAAAH9u3eI=")</f>
        <v>1</v>
      </c>
      <c r="HT144" t="b">
        <f>AND(DATA!M939,"AAAAAH9u3eM=")</f>
        <v>1</v>
      </c>
      <c r="HU144" t="b">
        <f>AND(DATA!N939,"AAAAAH9u3eQ=")</f>
        <v>1</v>
      </c>
      <c r="HV144" t="b">
        <f>AND(DATA!O939,"AAAAAH9u3eU=")</f>
        <v>1</v>
      </c>
      <c r="HW144" t="b">
        <f>AND(DATA!P939,"AAAAAH9u3eY=")</f>
        <v>1</v>
      </c>
      <c r="HX144" t="b">
        <f>AND(DATA!Q939,"AAAAAH9u3ec=")</f>
        <v>1</v>
      </c>
      <c r="HY144" t="b">
        <f>AND(DATA!R939,"AAAAAH9u3eg=")</f>
        <v>1</v>
      </c>
      <c r="HZ144" t="b">
        <f>AND(DATA!S939,"AAAAAH9u3ek=")</f>
        <v>1</v>
      </c>
      <c r="IA144" t="b">
        <f>AND(DATA!T939,"AAAAAH9u3eo=")</f>
        <v>1</v>
      </c>
      <c r="IB144" t="b">
        <f>AND(DATA!U939,"AAAAAH9u3es=")</f>
        <v>1</v>
      </c>
      <c r="IC144" t="b">
        <f>AND(DATA!V939,"AAAAAH9u3ew=")</f>
        <v>1</v>
      </c>
      <c r="ID144" t="e">
        <f>AND(DATA!W938,"AAAAAH9u3e0=")</f>
        <v>#VALUE!</v>
      </c>
      <c r="IE144" t="e">
        <f>AND(DATA!X938,"AAAAAH9u3e4=")</f>
        <v>#VALUE!</v>
      </c>
      <c r="IF144" t="e">
        <f>AND(DATA!Y938,"AAAAAH9u3e8=")</f>
        <v>#VALUE!</v>
      </c>
      <c r="IG144">
        <f>IF(DATA!939:939,"AAAAAH9u3fA=",0)</f>
        <v>0</v>
      </c>
      <c r="IH144" t="e">
        <f>AND(DATA!A939,"AAAAAH9u3fE=")</f>
        <v>#VALUE!</v>
      </c>
      <c r="II144" t="e">
        <f>AND(DATA!B939,"AAAAAH9u3fI=")</f>
        <v>#VALUE!</v>
      </c>
      <c r="IJ144" t="e">
        <f>AND(DATA!C939,"AAAAAH9u3fM=")</f>
        <v>#VALUE!</v>
      </c>
      <c r="IK144" t="e">
        <f>AND(DATA!D939,"AAAAAH9u3fQ=")</f>
        <v>#VALUE!</v>
      </c>
      <c r="IL144" t="e">
        <f>AND(DATA!E939,"AAAAAH9u3fU=")</f>
        <v>#VALUE!</v>
      </c>
      <c r="IM144" t="e">
        <f>AND(DATA!F939,"AAAAAH9u3fY=")</f>
        <v>#VALUE!</v>
      </c>
      <c r="IN144" t="e">
        <f>AND(DATA!G939,"AAAAAH9u3fc=")</f>
        <v>#VALUE!</v>
      </c>
      <c r="IO144" t="e">
        <f>AND(DATA!H939,"AAAAAH9u3fg=")</f>
        <v>#VALUE!</v>
      </c>
      <c r="IP144" t="e">
        <f>AND(DATA!I939,"AAAAAH9u3fk=")</f>
        <v>#VALUE!</v>
      </c>
      <c r="IQ144" t="e">
        <f>AND(DATA!J939,"AAAAAH9u3fo=")</f>
        <v>#VALUE!</v>
      </c>
      <c r="IR144" t="e">
        <f>AND(DATA!K939,"AAAAAH9u3fs=")</f>
        <v>#VALUE!</v>
      </c>
      <c r="IS144" t="b">
        <f>AND(DATA!L940,"AAAAAH9u3fw=")</f>
        <v>1</v>
      </c>
      <c r="IT144" t="b">
        <f>AND(DATA!M940,"AAAAAH9u3f0=")</f>
        <v>1</v>
      </c>
      <c r="IU144" t="b">
        <f>AND(DATA!N940,"AAAAAH9u3f4=")</f>
        <v>1</v>
      </c>
      <c r="IV144" t="b">
        <f>AND(DATA!O940,"AAAAAH9u3f8=")</f>
        <v>1</v>
      </c>
    </row>
    <row r="145" spans="1:256" x14ac:dyDescent="0.25">
      <c r="A145" t="b">
        <f>AND(DATA!P940,"AAAAAH9/iwA=")</f>
        <v>1</v>
      </c>
      <c r="B145" t="b">
        <f>AND(DATA!Q940,"AAAAAH9/iwE=")</f>
        <v>1</v>
      </c>
      <c r="C145" t="b">
        <f>AND(DATA!R940,"AAAAAH9/iwI=")</f>
        <v>1</v>
      </c>
      <c r="D145" t="b">
        <f>AND(DATA!S940,"AAAAAH9/iwM=")</f>
        <v>1</v>
      </c>
      <c r="E145" t="b">
        <f>AND(DATA!T940,"AAAAAH9/iwQ=")</f>
        <v>1</v>
      </c>
      <c r="F145" t="b">
        <f>AND(DATA!U940,"AAAAAH9/iwU=")</f>
        <v>1</v>
      </c>
      <c r="G145" t="b">
        <f>AND(DATA!V940,"AAAAAH9/iwY=")</f>
        <v>1</v>
      </c>
      <c r="H145" t="e">
        <f>AND(DATA!W939,"AAAAAH9/iwc=")</f>
        <v>#VALUE!</v>
      </c>
      <c r="I145" t="e">
        <f>AND(DATA!X939,"AAAAAH9/iwg=")</f>
        <v>#VALUE!</v>
      </c>
      <c r="J145" t="e">
        <f>AND(DATA!Y939,"AAAAAH9/iwk=")</f>
        <v>#VALUE!</v>
      </c>
      <c r="K145">
        <f>IF(DATA!940:940,"AAAAAH9/iwo=",0)</f>
        <v>0</v>
      </c>
      <c r="L145" t="e">
        <f>AND(DATA!A940,"AAAAAH9/iws=")</f>
        <v>#VALUE!</v>
      </c>
      <c r="M145" t="e">
        <f>AND(DATA!B940,"AAAAAH9/iww=")</f>
        <v>#VALUE!</v>
      </c>
      <c r="N145" t="e">
        <f>AND(DATA!C940,"AAAAAH9/iw0=")</f>
        <v>#VALUE!</v>
      </c>
      <c r="O145" t="e">
        <f>AND(DATA!D940,"AAAAAH9/iw4=")</f>
        <v>#VALUE!</v>
      </c>
      <c r="P145" t="e">
        <f>AND(DATA!E940,"AAAAAH9/iw8=")</f>
        <v>#VALUE!</v>
      </c>
      <c r="Q145" t="e">
        <f>AND(DATA!F940,"AAAAAH9/ixA=")</f>
        <v>#VALUE!</v>
      </c>
      <c r="R145" t="e">
        <f>AND(DATA!G940,"AAAAAH9/ixE=")</f>
        <v>#VALUE!</v>
      </c>
      <c r="S145" t="e">
        <f>AND(DATA!H940,"AAAAAH9/ixI=")</f>
        <v>#VALUE!</v>
      </c>
      <c r="T145" t="e">
        <f>AND(DATA!I940,"AAAAAH9/ixM=")</f>
        <v>#VALUE!</v>
      </c>
      <c r="U145" t="e">
        <f>AND(DATA!J940,"AAAAAH9/ixQ=")</f>
        <v>#VALUE!</v>
      </c>
      <c r="V145" t="e">
        <f>AND(DATA!K940,"AAAAAH9/ixU=")</f>
        <v>#VALUE!</v>
      </c>
      <c r="W145" t="b">
        <f>AND(DATA!L941,"AAAAAH9/ixY=")</f>
        <v>1</v>
      </c>
      <c r="X145" t="b">
        <f>AND(DATA!M941,"AAAAAH9/ixc=")</f>
        <v>1</v>
      </c>
      <c r="Y145" t="b">
        <f>AND(DATA!N941,"AAAAAH9/ixg=")</f>
        <v>1</v>
      </c>
      <c r="Z145" t="b">
        <f>AND(DATA!O941,"AAAAAH9/ixk=")</f>
        <v>1</v>
      </c>
      <c r="AA145" t="b">
        <f>AND(DATA!P941,"AAAAAH9/ixo=")</f>
        <v>1</v>
      </c>
      <c r="AB145" t="b">
        <f>AND(DATA!Q941,"AAAAAH9/ixs=")</f>
        <v>1</v>
      </c>
      <c r="AC145" t="b">
        <f>AND(DATA!R941,"AAAAAH9/ixw=")</f>
        <v>1</v>
      </c>
      <c r="AD145" t="b">
        <f>AND(DATA!S941,"AAAAAH9/ix0=")</f>
        <v>1</v>
      </c>
      <c r="AE145" t="b">
        <f>AND(DATA!T941,"AAAAAH9/ix4=")</f>
        <v>1</v>
      </c>
      <c r="AF145" t="b">
        <f>AND(DATA!U941,"AAAAAH9/ix8=")</f>
        <v>1</v>
      </c>
      <c r="AG145" t="b">
        <f>AND(DATA!V941,"AAAAAH9/iyA=")</f>
        <v>1</v>
      </c>
      <c r="AH145" t="e">
        <f>AND(DATA!W940,"AAAAAH9/iyE=")</f>
        <v>#VALUE!</v>
      </c>
      <c r="AI145" t="e">
        <f>AND(DATA!X940,"AAAAAH9/iyI=")</f>
        <v>#VALUE!</v>
      </c>
      <c r="AJ145" t="e">
        <f>AND(DATA!Y940,"AAAAAH9/iyM=")</f>
        <v>#VALUE!</v>
      </c>
      <c r="AK145">
        <f>IF(DATA!941:941,"AAAAAH9/iyQ=",0)</f>
        <v>0</v>
      </c>
      <c r="AL145" t="e">
        <f>AND(DATA!A941,"AAAAAH9/iyU=")</f>
        <v>#VALUE!</v>
      </c>
      <c r="AM145" t="e">
        <f>AND(DATA!B941,"AAAAAH9/iyY=")</f>
        <v>#VALUE!</v>
      </c>
      <c r="AN145" t="e">
        <f>AND(DATA!C941,"AAAAAH9/iyc=")</f>
        <v>#VALUE!</v>
      </c>
      <c r="AO145" t="e">
        <f>AND(DATA!D941,"AAAAAH9/iyg=")</f>
        <v>#VALUE!</v>
      </c>
      <c r="AP145" t="e">
        <f>AND(DATA!E941,"AAAAAH9/iyk=")</f>
        <v>#VALUE!</v>
      </c>
      <c r="AQ145" t="e">
        <f>AND(DATA!F941,"AAAAAH9/iyo=")</f>
        <v>#VALUE!</v>
      </c>
      <c r="AR145" t="e">
        <f>AND(DATA!G941,"AAAAAH9/iys=")</f>
        <v>#VALUE!</v>
      </c>
      <c r="AS145" t="e">
        <f>AND(DATA!H941,"AAAAAH9/iyw=")</f>
        <v>#VALUE!</v>
      </c>
      <c r="AT145" t="e">
        <f>AND(DATA!I941,"AAAAAH9/iy0=")</f>
        <v>#VALUE!</v>
      </c>
      <c r="AU145" t="e">
        <f>AND(DATA!J941,"AAAAAH9/iy4=")</f>
        <v>#VALUE!</v>
      </c>
      <c r="AV145" t="e">
        <f>AND(DATA!K941,"AAAAAH9/iy8=")</f>
        <v>#VALUE!</v>
      </c>
      <c r="AW145" t="b">
        <f>AND(DATA!L942,"AAAAAH9/izA=")</f>
        <v>1</v>
      </c>
      <c r="AX145" t="b">
        <f>AND(DATA!M942,"AAAAAH9/izE=")</f>
        <v>1</v>
      </c>
      <c r="AY145" t="b">
        <f>AND(DATA!N942,"AAAAAH9/izI=")</f>
        <v>1</v>
      </c>
      <c r="AZ145" t="b">
        <f>AND(DATA!O942,"AAAAAH9/izM=")</f>
        <v>1</v>
      </c>
      <c r="BA145" t="b">
        <f>AND(DATA!P942,"AAAAAH9/izQ=")</f>
        <v>1</v>
      </c>
      <c r="BB145" t="b">
        <f>AND(DATA!Q942,"AAAAAH9/izU=")</f>
        <v>1</v>
      </c>
      <c r="BC145" t="b">
        <f>AND(DATA!R942,"AAAAAH9/izY=")</f>
        <v>1</v>
      </c>
      <c r="BD145" t="b">
        <f>AND(DATA!S942,"AAAAAH9/izc=")</f>
        <v>1</v>
      </c>
      <c r="BE145" t="b">
        <f>AND(DATA!T942,"AAAAAH9/izg=")</f>
        <v>1</v>
      </c>
      <c r="BF145" t="b">
        <f>AND(DATA!U942,"AAAAAH9/izk=")</f>
        <v>1</v>
      </c>
      <c r="BG145" t="b">
        <f>AND(DATA!V942,"AAAAAH9/izo=")</f>
        <v>1</v>
      </c>
      <c r="BH145" t="e">
        <f>AND(DATA!W941,"AAAAAH9/izs=")</f>
        <v>#VALUE!</v>
      </c>
      <c r="BI145" t="e">
        <f>AND(DATA!X941,"AAAAAH9/izw=")</f>
        <v>#VALUE!</v>
      </c>
      <c r="BJ145" t="e">
        <f>AND(DATA!Y941,"AAAAAH9/iz0=")</f>
        <v>#VALUE!</v>
      </c>
      <c r="BK145">
        <f>IF(DATA!942:942,"AAAAAH9/iz4=",0)</f>
        <v>0</v>
      </c>
      <c r="BL145" t="e">
        <f>AND(DATA!A942,"AAAAAH9/iz8=")</f>
        <v>#VALUE!</v>
      </c>
      <c r="BM145" t="e">
        <f>AND(DATA!B942,"AAAAAH9/i0A=")</f>
        <v>#VALUE!</v>
      </c>
      <c r="BN145" t="e">
        <f>AND(DATA!C942,"AAAAAH9/i0E=")</f>
        <v>#VALUE!</v>
      </c>
      <c r="BO145" t="e">
        <f>AND(DATA!D942,"AAAAAH9/i0I=")</f>
        <v>#VALUE!</v>
      </c>
      <c r="BP145" t="e">
        <f>AND(DATA!E942,"AAAAAH9/i0M=")</f>
        <v>#VALUE!</v>
      </c>
      <c r="BQ145" t="e">
        <f>AND(DATA!F942,"AAAAAH9/i0Q=")</f>
        <v>#VALUE!</v>
      </c>
      <c r="BR145" t="e">
        <f>AND(DATA!G942,"AAAAAH9/i0U=")</f>
        <v>#VALUE!</v>
      </c>
      <c r="BS145" t="e">
        <f>AND(DATA!H942,"AAAAAH9/i0Y=")</f>
        <v>#VALUE!</v>
      </c>
      <c r="BT145" t="e">
        <f>AND(DATA!I942,"AAAAAH9/i0c=")</f>
        <v>#VALUE!</v>
      </c>
      <c r="BU145" t="e">
        <f>AND(DATA!J942,"AAAAAH9/i0g=")</f>
        <v>#VALUE!</v>
      </c>
      <c r="BV145" t="e">
        <f>AND(DATA!K942,"AAAAAH9/i0k=")</f>
        <v>#VALUE!</v>
      </c>
      <c r="BW145" t="b">
        <f>AND(DATA!L943,"AAAAAH9/i0o=")</f>
        <v>1</v>
      </c>
      <c r="BX145" t="b">
        <f>AND(DATA!M943,"AAAAAH9/i0s=")</f>
        <v>1</v>
      </c>
      <c r="BY145" t="b">
        <f>AND(DATA!N943,"AAAAAH9/i0w=")</f>
        <v>1</v>
      </c>
      <c r="BZ145" t="b">
        <f>AND(DATA!O943,"AAAAAH9/i00=")</f>
        <v>1</v>
      </c>
      <c r="CA145" t="b">
        <f>AND(DATA!P943,"AAAAAH9/i04=")</f>
        <v>1</v>
      </c>
      <c r="CB145" t="b">
        <f>AND(DATA!Q943,"AAAAAH9/i08=")</f>
        <v>1</v>
      </c>
      <c r="CC145" t="b">
        <f>AND(DATA!R943,"AAAAAH9/i1A=")</f>
        <v>1</v>
      </c>
      <c r="CD145" t="b">
        <f>AND(DATA!S943,"AAAAAH9/i1E=")</f>
        <v>1</v>
      </c>
      <c r="CE145" t="b">
        <f>AND(DATA!T943,"AAAAAH9/i1I=")</f>
        <v>1</v>
      </c>
      <c r="CF145" t="b">
        <f>AND(DATA!U943,"AAAAAH9/i1M=")</f>
        <v>1</v>
      </c>
      <c r="CG145" t="b">
        <f>AND(DATA!V943,"AAAAAH9/i1Q=")</f>
        <v>1</v>
      </c>
      <c r="CH145" t="e">
        <f>AND(DATA!W942,"AAAAAH9/i1U=")</f>
        <v>#VALUE!</v>
      </c>
      <c r="CI145" t="e">
        <f>AND(DATA!X942,"AAAAAH9/i1Y=")</f>
        <v>#VALUE!</v>
      </c>
      <c r="CJ145" t="e">
        <f>AND(DATA!Y942,"AAAAAH9/i1c=")</f>
        <v>#VALUE!</v>
      </c>
      <c r="CK145">
        <f>IF(DATA!943:943,"AAAAAH9/i1g=",0)</f>
        <v>0</v>
      </c>
      <c r="CL145" t="e">
        <f>AND(DATA!A943,"AAAAAH9/i1k=")</f>
        <v>#VALUE!</v>
      </c>
      <c r="CM145" t="e">
        <f>AND(DATA!B943,"AAAAAH9/i1o=")</f>
        <v>#VALUE!</v>
      </c>
      <c r="CN145" t="e">
        <f>AND(DATA!C943,"AAAAAH9/i1s=")</f>
        <v>#VALUE!</v>
      </c>
      <c r="CO145" t="e">
        <f>AND(DATA!D943,"AAAAAH9/i1w=")</f>
        <v>#VALUE!</v>
      </c>
      <c r="CP145" t="e">
        <f>AND(DATA!E943,"AAAAAH9/i10=")</f>
        <v>#VALUE!</v>
      </c>
      <c r="CQ145" t="e">
        <f>AND(DATA!F943,"AAAAAH9/i14=")</f>
        <v>#VALUE!</v>
      </c>
      <c r="CR145" t="e">
        <f>AND(DATA!G943,"AAAAAH9/i18=")</f>
        <v>#VALUE!</v>
      </c>
      <c r="CS145" t="e">
        <f>AND(DATA!H943,"AAAAAH9/i2A=")</f>
        <v>#VALUE!</v>
      </c>
      <c r="CT145" t="e">
        <f>AND(DATA!I943,"AAAAAH9/i2E=")</f>
        <v>#VALUE!</v>
      </c>
      <c r="CU145" t="e">
        <f>AND(DATA!J943,"AAAAAH9/i2I=")</f>
        <v>#VALUE!</v>
      </c>
      <c r="CV145" t="e">
        <f>AND(DATA!K943,"AAAAAH9/i2M=")</f>
        <v>#VALUE!</v>
      </c>
      <c r="CW145" t="b">
        <f>AND(DATA!L944,"AAAAAH9/i2Q=")</f>
        <v>1</v>
      </c>
      <c r="CX145" t="b">
        <f>AND(DATA!M944,"AAAAAH9/i2U=")</f>
        <v>1</v>
      </c>
      <c r="CY145" t="b">
        <f>AND(DATA!N944,"AAAAAH9/i2Y=")</f>
        <v>1</v>
      </c>
      <c r="CZ145" t="b">
        <f>AND(DATA!O944,"AAAAAH9/i2c=")</f>
        <v>1</v>
      </c>
      <c r="DA145" t="b">
        <f>AND(DATA!P944,"AAAAAH9/i2g=")</f>
        <v>1</v>
      </c>
      <c r="DB145" t="b">
        <f>AND(DATA!Q944,"AAAAAH9/i2k=")</f>
        <v>1</v>
      </c>
      <c r="DC145" t="b">
        <f>AND(DATA!R944,"AAAAAH9/i2o=")</f>
        <v>1</v>
      </c>
      <c r="DD145" t="b">
        <f>AND(DATA!S944,"AAAAAH9/i2s=")</f>
        <v>1</v>
      </c>
      <c r="DE145" t="b">
        <f>AND(DATA!T944,"AAAAAH9/i2w=")</f>
        <v>1</v>
      </c>
      <c r="DF145" t="b">
        <f>AND(DATA!U944,"AAAAAH9/i20=")</f>
        <v>1</v>
      </c>
      <c r="DG145" t="b">
        <f>AND(DATA!V944,"AAAAAH9/i24=")</f>
        <v>1</v>
      </c>
      <c r="DH145" t="e">
        <f>AND(DATA!W943,"AAAAAH9/i28=")</f>
        <v>#VALUE!</v>
      </c>
      <c r="DI145" t="e">
        <f>AND(DATA!X943,"AAAAAH9/i3A=")</f>
        <v>#VALUE!</v>
      </c>
      <c r="DJ145" t="e">
        <f>AND(DATA!Y943,"AAAAAH9/i3E=")</f>
        <v>#VALUE!</v>
      </c>
      <c r="DK145">
        <f>IF(DATA!944:944,"AAAAAH9/i3I=",0)</f>
        <v>0</v>
      </c>
      <c r="DL145" t="e">
        <f>AND(DATA!A944,"AAAAAH9/i3M=")</f>
        <v>#VALUE!</v>
      </c>
      <c r="DM145" t="e">
        <f>AND(DATA!B944,"AAAAAH9/i3Q=")</f>
        <v>#VALUE!</v>
      </c>
      <c r="DN145" t="e">
        <f>AND(DATA!C944,"AAAAAH9/i3U=")</f>
        <v>#VALUE!</v>
      </c>
      <c r="DO145" t="e">
        <f>AND(DATA!D944,"AAAAAH9/i3Y=")</f>
        <v>#VALUE!</v>
      </c>
      <c r="DP145" t="e">
        <f>AND(DATA!E944,"AAAAAH9/i3c=")</f>
        <v>#VALUE!</v>
      </c>
      <c r="DQ145" t="e">
        <f>AND(DATA!F944,"AAAAAH9/i3g=")</f>
        <v>#VALUE!</v>
      </c>
      <c r="DR145" t="e">
        <f>AND(DATA!G944,"AAAAAH9/i3k=")</f>
        <v>#VALUE!</v>
      </c>
      <c r="DS145" t="e">
        <f>AND(DATA!H944,"AAAAAH9/i3o=")</f>
        <v>#VALUE!</v>
      </c>
      <c r="DT145" t="e">
        <f>AND(DATA!I944,"AAAAAH9/i3s=")</f>
        <v>#VALUE!</v>
      </c>
      <c r="DU145" t="e">
        <f>AND(DATA!J944,"AAAAAH9/i3w=")</f>
        <v>#VALUE!</v>
      </c>
      <c r="DV145" t="e">
        <f>AND(DATA!K944,"AAAAAH9/i30=")</f>
        <v>#VALUE!</v>
      </c>
      <c r="DW145" t="b">
        <f>AND(DATA!L945,"AAAAAH9/i34=")</f>
        <v>1</v>
      </c>
      <c r="DX145" t="b">
        <f>AND(DATA!M945,"AAAAAH9/i38=")</f>
        <v>1</v>
      </c>
      <c r="DY145" t="b">
        <f>AND(DATA!N945,"AAAAAH9/i4A=")</f>
        <v>1</v>
      </c>
      <c r="DZ145" t="b">
        <f>AND(DATA!O945,"AAAAAH9/i4E=")</f>
        <v>1</v>
      </c>
      <c r="EA145" t="b">
        <f>AND(DATA!P945,"AAAAAH9/i4I=")</f>
        <v>1</v>
      </c>
      <c r="EB145" t="b">
        <f>AND(DATA!Q945,"AAAAAH9/i4M=")</f>
        <v>1</v>
      </c>
      <c r="EC145" t="b">
        <f>AND(DATA!R945,"AAAAAH9/i4Q=")</f>
        <v>1</v>
      </c>
      <c r="ED145" t="b">
        <f>AND(DATA!S945,"AAAAAH9/i4U=")</f>
        <v>1</v>
      </c>
      <c r="EE145" t="b">
        <f>AND(DATA!T945,"AAAAAH9/i4Y=")</f>
        <v>1</v>
      </c>
      <c r="EF145" t="b">
        <f>AND(DATA!U945,"AAAAAH9/i4c=")</f>
        <v>1</v>
      </c>
      <c r="EG145" t="b">
        <f>AND(DATA!V945,"AAAAAH9/i4g=")</f>
        <v>1</v>
      </c>
      <c r="EH145" t="e">
        <f>AND(DATA!W944,"AAAAAH9/i4k=")</f>
        <v>#VALUE!</v>
      </c>
      <c r="EI145" t="e">
        <f>AND(DATA!X944,"AAAAAH9/i4o=")</f>
        <v>#VALUE!</v>
      </c>
      <c r="EJ145" t="e">
        <f>AND(DATA!Y944,"AAAAAH9/i4s=")</f>
        <v>#VALUE!</v>
      </c>
      <c r="EK145">
        <f>IF(DATA!945:945,"AAAAAH9/i4w=",0)</f>
        <v>0</v>
      </c>
      <c r="EL145" t="e">
        <f>AND(DATA!A945,"AAAAAH9/i40=")</f>
        <v>#VALUE!</v>
      </c>
      <c r="EM145" t="e">
        <f>AND(DATA!B945,"AAAAAH9/i44=")</f>
        <v>#VALUE!</v>
      </c>
      <c r="EN145" t="e">
        <f>AND(DATA!C945,"AAAAAH9/i48=")</f>
        <v>#VALUE!</v>
      </c>
      <c r="EO145" t="e">
        <f>AND(DATA!D945,"AAAAAH9/i5A=")</f>
        <v>#VALUE!</v>
      </c>
      <c r="EP145" t="e">
        <f>AND(DATA!E945,"AAAAAH9/i5E=")</f>
        <v>#VALUE!</v>
      </c>
      <c r="EQ145" t="e">
        <f>AND(DATA!F945,"AAAAAH9/i5I=")</f>
        <v>#VALUE!</v>
      </c>
      <c r="ER145" t="e">
        <f>AND(DATA!G945,"AAAAAH9/i5M=")</f>
        <v>#VALUE!</v>
      </c>
      <c r="ES145" t="e">
        <f>AND(DATA!H945,"AAAAAH9/i5Q=")</f>
        <v>#VALUE!</v>
      </c>
      <c r="ET145" t="e">
        <f>AND(DATA!I945,"AAAAAH9/i5U=")</f>
        <v>#VALUE!</v>
      </c>
      <c r="EU145" t="e">
        <f>AND(DATA!J945,"AAAAAH9/i5Y=")</f>
        <v>#VALUE!</v>
      </c>
      <c r="EV145" t="e">
        <f>AND(DATA!K945,"AAAAAH9/i5c=")</f>
        <v>#VALUE!</v>
      </c>
      <c r="EW145" t="b">
        <f>AND(DATA!L946,"AAAAAH9/i5g=")</f>
        <v>1</v>
      </c>
      <c r="EX145" t="b">
        <f>AND(DATA!M946,"AAAAAH9/i5k=")</f>
        <v>1</v>
      </c>
      <c r="EY145" t="b">
        <f>AND(DATA!N946,"AAAAAH9/i5o=")</f>
        <v>1</v>
      </c>
      <c r="EZ145" t="b">
        <f>AND(DATA!O946,"AAAAAH9/i5s=")</f>
        <v>1</v>
      </c>
      <c r="FA145" t="b">
        <f>AND(DATA!P946,"AAAAAH9/i5w=")</f>
        <v>1</v>
      </c>
      <c r="FB145" t="b">
        <f>AND(DATA!Q946,"AAAAAH9/i50=")</f>
        <v>1</v>
      </c>
      <c r="FC145" t="b">
        <f>AND(DATA!R946,"AAAAAH9/i54=")</f>
        <v>1</v>
      </c>
      <c r="FD145" t="b">
        <f>AND(DATA!S946,"AAAAAH9/i58=")</f>
        <v>1</v>
      </c>
      <c r="FE145" t="b">
        <f>AND(DATA!T946,"AAAAAH9/i6A=")</f>
        <v>1</v>
      </c>
      <c r="FF145" t="b">
        <f>AND(DATA!U946,"AAAAAH9/i6E=")</f>
        <v>1</v>
      </c>
      <c r="FG145" t="b">
        <f>AND(DATA!V946,"AAAAAH9/i6I=")</f>
        <v>1</v>
      </c>
      <c r="FH145" t="e">
        <f>AND(DATA!W945,"AAAAAH9/i6M=")</f>
        <v>#VALUE!</v>
      </c>
      <c r="FI145" t="e">
        <f>AND(DATA!X945,"AAAAAH9/i6Q=")</f>
        <v>#VALUE!</v>
      </c>
      <c r="FJ145" t="e">
        <f>AND(DATA!Y945,"AAAAAH9/i6U=")</f>
        <v>#VALUE!</v>
      </c>
      <c r="FK145">
        <f>IF(DATA!946:946,"AAAAAH9/i6Y=",0)</f>
        <v>0</v>
      </c>
      <c r="FL145" t="e">
        <f>AND(DATA!A946,"AAAAAH9/i6c=")</f>
        <v>#VALUE!</v>
      </c>
      <c r="FM145" t="e">
        <f>AND(DATA!B946,"AAAAAH9/i6g=")</f>
        <v>#VALUE!</v>
      </c>
      <c r="FN145" t="e">
        <f>AND(DATA!C946,"AAAAAH9/i6k=")</f>
        <v>#VALUE!</v>
      </c>
      <c r="FO145" t="e">
        <f>AND(DATA!D946,"AAAAAH9/i6o=")</f>
        <v>#VALUE!</v>
      </c>
      <c r="FP145" t="e">
        <f>AND(DATA!E946,"AAAAAH9/i6s=")</f>
        <v>#VALUE!</v>
      </c>
      <c r="FQ145" t="e">
        <f>AND(DATA!F946,"AAAAAH9/i6w=")</f>
        <v>#VALUE!</v>
      </c>
      <c r="FR145" t="e">
        <f>AND(DATA!G946,"AAAAAH9/i60=")</f>
        <v>#VALUE!</v>
      </c>
      <c r="FS145" t="e">
        <f>AND(DATA!H946,"AAAAAH9/i64=")</f>
        <v>#VALUE!</v>
      </c>
      <c r="FT145" t="e">
        <f>AND(DATA!I946,"AAAAAH9/i68=")</f>
        <v>#VALUE!</v>
      </c>
      <c r="FU145" t="e">
        <f>AND(DATA!J946,"AAAAAH9/i7A=")</f>
        <v>#VALUE!</v>
      </c>
      <c r="FV145" t="e">
        <f>AND(DATA!K946,"AAAAAH9/i7E=")</f>
        <v>#VALUE!</v>
      </c>
      <c r="FW145" t="b">
        <f>AND(DATA!L947,"AAAAAH9/i7I=")</f>
        <v>1</v>
      </c>
      <c r="FX145" t="b">
        <f>AND(DATA!M947,"AAAAAH9/i7M=")</f>
        <v>1</v>
      </c>
      <c r="FY145" t="b">
        <f>AND(DATA!N947,"AAAAAH9/i7Q=")</f>
        <v>1</v>
      </c>
      <c r="FZ145" t="b">
        <f>AND(DATA!O947,"AAAAAH9/i7U=")</f>
        <v>1</v>
      </c>
      <c r="GA145" t="b">
        <f>AND(DATA!P947,"AAAAAH9/i7Y=")</f>
        <v>1</v>
      </c>
      <c r="GB145" t="b">
        <f>AND(DATA!Q947,"AAAAAH9/i7c=")</f>
        <v>1</v>
      </c>
      <c r="GC145" t="b">
        <f>AND(DATA!R947,"AAAAAH9/i7g=")</f>
        <v>1</v>
      </c>
      <c r="GD145" t="b">
        <f>AND(DATA!S947,"AAAAAH9/i7k=")</f>
        <v>1</v>
      </c>
      <c r="GE145" t="b">
        <f>AND(DATA!T947,"AAAAAH9/i7o=")</f>
        <v>1</v>
      </c>
      <c r="GF145" t="b">
        <f>AND(DATA!U947,"AAAAAH9/i7s=")</f>
        <v>1</v>
      </c>
      <c r="GG145" t="b">
        <f>AND(DATA!V947,"AAAAAH9/i7w=")</f>
        <v>1</v>
      </c>
      <c r="GH145" t="e">
        <f>AND(DATA!W946,"AAAAAH9/i70=")</f>
        <v>#VALUE!</v>
      </c>
      <c r="GI145" t="e">
        <f>AND(DATA!X946,"AAAAAH9/i74=")</f>
        <v>#VALUE!</v>
      </c>
      <c r="GJ145" t="e">
        <f>AND(DATA!Y946,"AAAAAH9/i78=")</f>
        <v>#VALUE!</v>
      </c>
      <c r="GK145">
        <f>IF(DATA!947:947,"AAAAAH9/i8A=",0)</f>
        <v>0</v>
      </c>
      <c r="GL145" t="e">
        <f>AND(DATA!A947,"AAAAAH9/i8E=")</f>
        <v>#VALUE!</v>
      </c>
      <c r="GM145" t="e">
        <f>AND(DATA!B947,"AAAAAH9/i8I=")</f>
        <v>#VALUE!</v>
      </c>
      <c r="GN145" t="e">
        <f>AND(DATA!C947,"AAAAAH9/i8M=")</f>
        <v>#VALUE!</v>
      </c>
      <c r="GO145" t="e">
        <f>AND(DATA!D947,"AAAAAH9/i8Q=")</f>
        <v>#VALUE!</v>
      </c>
      <c r="GP145" t="e">
        <f>AND(DATA!E947,"AAAAAH9/i8U=")</f>
        <v>#VALUE!</v>
      </c>
      <c r="GQ145" t="e">
        <f>AND(DATA!F947,"AAAAAH9/i8Y=")</f>
        <v>#VALUE!</v>
      </c>
      <c r="GR145" t="e">
        <f>AND(DATA!G947,"AAAAAH9/i8c=")</f>
        <v>#VALUE!</v>
      </c>
      <c r="GS145" t="e">
        <f>AND(DATA!H947,"AAAAAH9/i8g=")</f>
        <v>#VALUE!</v>
      </c>
      <c r="GT145" t="e">
        <f>AND(DATA!I947,"AAAAAH9/i8k=")</f>
        <v>#VALUE!</v>
      </c>
      <c r="GU145" t="e">
        <f>AND(DATA!J947,"AAAAAH9/i8o=")</f>
        <v>#VALUE!</v>
      </c>
      <c r="GV145" t="e">
        <f>AND(DATA!K947,"AAAAAH9/i8s=")</f>
        <v>#VALUE!</v>
      </c>
      <c r="GW145" t="b">
        <f>AND(DATA!L948,"AAAAAH9/i8w=")</f>
        <v>1</v>
      </c>
      <c r="GX145" t="b">
        <f>AND(DATA!M948,"AAAAAH9/i80=")</f>
        <v>1</v>
      </c>
      <c r="GY145" t="b">
        <f>AND(DATA!N948,"AAAAAH9/i84=")</f>
        <v>1</v>
      </c>
      <c r="GZ145" t="b">
        <f>AND(DATA!O948,"AAAAAH9/i88=")</f>
        <v>1</v>
      </c>
      <c r="HA145" t="b">
        <f>AND(DATA!P948,"AAAAAH9/i9A=")</f>
        <v>1</v>
      </c>
      <c r="HB145" t="b">
        <f>AND(DATA!Q948,"AAAAAH9/i9E=")</f>
        <v>1</v>
      </c>
      <c r="HC145" t="b">
        <f>AND(DATA!R948,"AAAAAH9/i9I=")</f>
        <v>1</v>
      </c>
      <c r="HD145" t="b">
        <f>AND(DATA!S948,"AAAAAH9/i9M=")</f>
        <v>1</v>
      </c>
      <c r="HE145" t="b">
        <f>AND(DATA!T948,"AAAAAH9/i9Q=")</f>
        <v>1</v>
      </c>
      <c r="HF145" t="b">
        <f>AND(DATA!U948,"AAAAAH9/i9U=")</f>
        <v>1</v>
      </c>
      <c r="HG145" t="b">
        <f>AND(DATA!V948,"AAAAAH9/i9Y=")</f>
        <v>1</v>
      </c>
      <c r="HH145" t="e">
        <f>AND(DATA!W947,"AAAAAH9/i9c=")</f>
        <v>#VALUE!</v>
      </c>
      <c r="HI145" t="e">
        <f>AND(DATA!X947,"AAAAAH9/i9g=")</f>
        <v>#VALUE!</v>
      </c>
      <c r="HJ145" t="e">
        <f>AND(DATA!Y947,"AAAAAH9/i9k=")</f>
        <v>#VALUE!</v>
      </c>
      <c r="HK145">
        <f>IF(DATA!948:948,"AAAAAH9/i9o=",0)</f>
        <v>0</v>
      </c>
      <c r="HL145" t="e">
        <f>AND(DATA!A948,"AAAAAH9/i9s=")</f>
        <v>#VALUE!</v>
      </c>
      <c r="HM145" t="e">
        <f>AND(DATA!B948,"AAAAAH9/i9w=")</f>
        <v>#VALUE!</v>
      </c>
      <c r="HN145" t="e">
        <f>AND(DATA!C948,"AAAAAH9/i90=")</f>
        <v>#VALUE!</v>
      </c>
      <c r="HO145" t="e">
        <f>AND(DATA!D948,"AAAAAH9/i94=")</f>
        <v>#VALUE!</v>
      </c>
      <c r="HP145" t="e">
        <f>AND(DATA!E948,"AAAAAH9/i98=")</f>
        <v>#VALUE!</v>
      </c>
      <c r="HQ145" t="e">
        <f>AND(DATA!F948,"AAAAAH9/i+A=")</f>
        <v>#VALUE!</v>
      </c>
      <c r="HR145" t="e">
        <f>AND(DATA!G948,"AAAAAH9/i+E=")</f>
        <v>#VALUE!</v>
      </c>
      <c r="HS145" t="e">
        <f>AND(DATA!H948,"AAAAAH9/i+I=")</f>
        <v>#VALUE!</v>
      </c>
      <c r="HT145" t="e">
        <f>AND(DATA!I948,"AAAAAH9/i+M=")</f>
        <v>#VALUE!</v>
      </c>
      <c r="HU145" t="e">
        <f>AND(DATA!J948,"AAAAAH9/i+Q=")</f>
        <v>#VALUE!</v>
      </c>
      <c r="HV145" t="e">
        <f>AND(DATA!K948,"AAAAAH9/i+U=")</f>
        <v>#VALUE!</v>
      </c>
      <c r="HW145" t="b">
        <f>AND(DATA!L949,"AAAAAH9/i+Y=")</f>
        <v>1</v>
      </c>
      <c r="HX145" t="b">
        <f>AND(DATA!M949,"AAAAAH9/i+c=")</f>
        <v>1</v>
      </c>
      <c r="HY145" t="b">
        <f>AND(DATA!N949,"AAAAAH9/i+g=")</f>
        <v>1</v>
      </c>
      <c r="HZ145" t="b">
        <f>AND(DATA!O949,"AAAAAH9/i+k=")</f>
        <v>1</v>
      </c>
      <c r="IA145" t="b">
        <f>AND(DATA!P949,"AAAAAH9/i+o=")</f>
        <v>1</v>
      </c>
      <c r="IB145" t="b">
        <f>AND(DATA!Q949,"AAAAAH9/i+s=")</f>
        <v>1</v>
      </c>
      <c r="IC145" t="b">
        <f>AND(DATA!R949,"AAAAAH9/i+w=")</f>
        <v>1</v>
      </c>
      <c r="ID145" t="b">
        <f>AND(DATA!S949,"AAAAAH9/i+0=")</f>
        <v>1</v>
      </c>
      <c r="IE145" t="b">
        <f>AND(DATA!T949,"AAAAAH9/i+4=")</f>
        <v>1</v>
      </c>
      <c r="IF145" t="b">
        <f>AND(DATA!U949,"AAAAAH9/i+8=")</f>
        <v>1</v>
      </c>
      <c r="IG145" t="b">
        <f>AND(DATA!V949,"AAAAAH9/i/A=")</f>
        <v>1</v>
      </c>
      <c r="IH145" t="e">
        <f>AND(DATA!W948,"AAAAAH9/i/E=")</f>
        <v>#VALUE!</v>
      </c>
      <c r="II145" t="e">
        <f>AND(DATA!X948,"AAAAAH9/i/I=")</f>
        <v>#VALUE!</v>
      </c>
      <c r="IJ145" t="e">
        <f>AND(DATA!Y948,"AAAAAH9/i/M=")</f>
        <v>#VALUE!</v>
      </c>
      <c r="IK145">
        <f>IF(DATA!949:949,"AAAAAH9/i/Q=",0)</f>
        <v>0</v>
      </c>
      <c r="IL145" t="e">
        <f>AND(DATA!A949,"AAAAAH9/i/U=")</f>
        <v>#VALUE!</v>
      </c>
      <c r="IM145" t="e">
        <f>AND(DATA!B949,"AAAAAH9/i/Y=")</f>
        <v>#VALUE!</v>
      </c>
      <c r="IN145" t="e">
        <f>AND(DATA!C949,"AAAAAH9/i/c=")</f>
        <v>#VALUE!</v>
      </c>
      <c r="IO145" t="e">
        <f>AND(DATA!D949,"AAAAAH9/i/g=")</f>
        <v>#VALUE!</v>
      </c>
      <c r="IP145" t="e">
        <f>AND(DATA!E949,"AAAAAH9/i/k=")</f>
        <v>#VALUE!</v>
      </c>
      <c r="IQ145" t="e">
        <f>AND(DATA!F949,"AAAAAH9/i/o=")</f>
        <v>#VALUE!</v>
      </c>
      <c r="IR145" t="e">
        <f>AND(DATA!G949,"AAAAAH9/i/s=")</f>
        <v>#VALUE!</v>
      </c>
      <c r="IS145" t="e">
        <f>AND(DATA!H949,"AAAAAH9/i/w=")</f>
        <v>#VALUE!</v>
      </c>
      <c r="IT145" t="e">
        <f>AND(DATA!I949,"AAAAAH9/i/0=")</f>
        <v>#VALUE!</v>
      </c>
      <c r="IU145" t="e">
        <f>AND(DATA!J949,"AAAAAH9/i/4=")</f>
        <v>#VALUE!</v>
      </c>
      <c r="IV145" t="e">
        <f>AND(DATA!K949,"AAAAAH9/i/8=")</f>
        <v>#VALUE!</v>
      </c>
    </row>
    <row r="146" spans="1:256" x14ac:dyDescent="0.25">
      <c r="A146" t="b">
        <f>AND(DATA!L950,"AAAAAHP+fwA=")</f>
        <v>1</v>
      </c>
      <c r="B146" t="b">
        <f>AND(DATA!M950,"AAAAAHP+fwE=")</f>
        <v>1</v>
      </c>
      <c r="C146" t="b">
        <f>AND(DATA!N950,"AAAAAHP+fwI=")</f>
        <v>1</v>
      </c>
      <c r="D146" t="b">
        <f>AND(DATA!O950,"AAAAAHP+fwM=")</f>
        <v>1</v>
      </c>
      <c r="E146" t="b">
        <f>AND(DATA!P950,"AAAAAHP+fwQ=")</f>
        <v>1</v>
      </c>
      <c r="F146" t="b">
        <f>AND(DATA!Q950,"AAAAAHP+fwU=")</f>
        <v>1</v>
      </c>
      <c r="G146" t="b">
        <f>AND(DATA!R950,"AAAAAHP+fwY=")</f>
        <v>1</v>
      </c>
      <c r="H146" t="b">
        <f>AND(DATA!S950,"AAAAAHP+fwc=")</f>
        <v>1</v>
      </c>
      <c r="I146" t="b">
        <f>AND(DATA!T950,"AAAAAHP+fwg=")</f>
        <v>1</v>
      </c>
      <c r="J146" t="b">
        <f>AND(DATA!U950,"AAAAAHP+fwk=")</f>
        <v>1</v>
      </c>
      <c r="K146" t="b">
        <f>AND(DATA!V950,"AAAAAHP+fwo=")</f>
        <v>1</v>
      </c>
      <c r="L146" t="e">
        <f>AND(DATA!W949,"AAAAAHP+fws=")</f>
        <v>#VALUE!</v>
      </c>
      <c r="M146" t="e">
        <f>AND(DATA!X949,"AAAAAHP+fww=")</f>
        <v>#VALUE!</v>
      </c>
      <c r="N146" t="e">
        <f>AND(DATA!Y949,"AAAAAHP+fw0=")</f>
        <v>#VALUE!</v>
      </c>
      <c r="O146" t="str">
        <f>IF(DATA!950:950,"AAAAAHP+fw4=",0)</f>
        <v>AAAAAHP+fw4=</v>
      </c>
      <c r="P146" t="e">
        <f>AND(DATA!A950,"AAAAAHP+fw8=")</f>
        <v>#VALUE!</v>
      </c>
      <c r="Q146" t="e">
        <f>AND(DATA!B950,"AAAAAHP+fxA=")</f>
        <v>#VALUE!</v>
      </c>
      <c r="R146" t="e">
        <f>AND(DATA!C950,"AAAAAHP+fxE=")</f>
        <v>#VALUE!</v>
      </c>
      <c r="S146" t="e">
        <f>AND(DATA!D950,"AAAAAHP+fxI=")</f>
        <v>#VALUE!</v>
      </c>
      <c r="T146" t="e">
        <f>AND(DATA!E950,"AAAAAHP+fxM=")</f>
        <v>#VALUE!</v>
      </c>
      <c r="U146" t="e">
        <f>AND(DATA!F950,"AAAAAHP+fxQ=")</f>
        <v>#VALUE!</v>
      </c>
      <c r="V146" t="e">
        <f>AND(DATA!G950,"AAAAAHP+fxU=")</f>
        <v>#VALUE!</v>
      </c>
      <c r="W146" t="e">
        <f>AND(DATA!H950,"AAAAAHP+fxY=")</f>
        <v>#VALUE!</v>
      </c>
      <c r="X146" t="e">
        <f>AND(DATA!I950,"AAAAAHP+fxc=")</f>
        <v>#VALUE!</v>
      </c>
      <c r="Y146" t="e">
        <f>AND(DATA!J950,"AAAAAHP+fxg=")</f>
        <v>#VALUE!</v>
      </c>
      <c r="Z146" t="e">
        <f>AND(DATA!K950,"AAAAAHP+fxk=")</f>
        <v>#VALUE!</v>
      </c>
      <c r="AA146" t="b">
        <f>AND(DATA!L951,"AAAAAHP+fxo=")</f>
        <v>1</v>
      </c>
      <c r="AB146" t="b">
        <f>AND(DATA!M951,"AAAAAHP+fxs=")</f>
        <v>1</v>
      </c>
      <c r="AC146" t="b">
        <f>AND(DATA!N951,"AAAAAHP+fxw=")</f>
        <v>1</v>
      </c>
      <c r="AD146" t="b">
        <f>AND(DATA!O951,"AAAAAHP+fx0=")</f>
        <v>1</v>
      </c>
      <c r="AE146" t="b">
        <f>AND(DATA!P951,"AAAAAHP+fx4=")</f>
        <v>1</v>
      </c>
      <c r="AF146" t="b">
        <f>AND(DATA!Q951,"AAAAAHP+fx8=")</f>
        <v>1</v>
      </c>
      <c r="AG146" t="b">
        <f>AND(DATA!R951,"AAAAAHP+fyA=")</f>
        <v>1</v>
      </c>
      <c r="AH146" t="b">
        <f>AND(DATA!S951,"AAAAAHP+fyE=")</f>
        <v>1</v>
      </c>
      <c r="AI146" t="b">
        <f>AND(DATA!T951,"AAAAAHP+fyI=")</f>
        <v>1</v>
      </c>
      <c r="AJ146" t="b">
        <f>AND(DATA!U951,"AAAAAHP+fyM=")</f>
        <v>1</v>
      </c>
      <c r="AK146" t="b">
        <f>AND(DATA!V951,"AAAAAHP+fyQ=")</f>
        <v>1</v>
      </c>
      <c r="AL146" t="e">
        <f>AND(DATA!W950,"AAAAAHP+fyU=")</f>
        <v>#VALUE!</v>
      </c>
      <c r="AM146" t="e">
        <f>AND(DATA!X950,"AAAAAHP+fyY=")</f>
        <v>#VALUE!</v>
      </c>
      <c r="AN146" t="e">
        <f>AND(DATA!Y950,"AAAAAHP+fyc=")</f>
        <v>#VALUE!</v>
      </c>
      <c r="AO146">
        <f>IF(DATA!951:951,"AAAAAHP+fyg=",0)</f>
        <v>0</v>
      </c>
      <c r="AP146" t="e">
        <f>AND(DATA!A951,"AAAAAHP+fyk=")</f>
        <v>#VALUE!</v>
      </c>
      <c r="AQ146" t="e">
        <f>AND(DATA!B951,"AAAAAHP+fyo=")</f>
        <v>#VALUE!</v>
      </c>
      <c r="AR146" t="e">
        <f>AND(DATA!C951,"AAAAAHP+fys=")</f>
        <v>#VALUE!</v>
      </c>
      <c r="AS146" t="e">
        <f>AND(DATA!D951,"AAAAAHP+fyw=")</f>
        <v>#VALUE!</v>
      </c>
      <c r="AT146" t="e">
        <f>AND(DATA!E951,"AAAAAHP+fy0=")</f>
        <v>#VALUE!</v>
      </c>
      <c r="AU146" t="e">
        <f>AND(DATA!F951,"AAAAAHP+fy4=")</f>
        <v>#VALUE!</v>
      </c>
      <c r="AV146" t="e">
        <f>AND(DATA!G951,"AAAAAHP+fy8=")</f>
        <v>#VALUE!</v>
      </c>
      <c r="AW146" t="e">
        <f>AND(DATA!H951,"AAAAAHP+fzA=")</f>
        <v>#VALUE!</v>
      </c>
      <c r="AX146" t="e">
        <f>AND(DATA!I951,"AAAAAHP+fzE=")</f>
        <v>#VALUE!</v>
      </c>
      <c r="AY146" t="e">
        <f>AND(DATA!J951,"AAAAAHP+fzI=")</f>
        <v>#VALUE!</v>
      </c>
      <c r="AZ146" t="e">
        <f>AND(DATA!K951,"AAAAAHP+fzM=")</f>
        <v>#VALUE!</v>
      </c>
      <c r="BA146" t="b">
        <f>AND(DATA!L952,"AAAAAHP+fzQ=")</f>
        <v>1</v>
      </c>
      <c r="BB146" t="b">
        <f>AND(DATA!M952,"AAAAAHP+fzU=")</f>
        <v>1</v>
      </c>
      <c r="BC146" t="b">
        <f>AND(DATA!N952,"AAAAAHP+fzY=")</f>
        <v>1</v>
      </c>
      <c r="BD146" t="b">
        <f>AND(DATA!O952,"AAAAAHP+fzc=")</f>
        <v>1</v>
      </c>
      <c r="BE146" t="b">
        <f>AND(DATA!P952,"AAAAAHP+fzg=")</f>
        <v>1</v>
      </c>
      <c r="BF146" t="b">
        <f>AND(DATA!Q952,"AAAAAHP+fzk=")</f>
        <v>1</v>
      </c>
      <c r="BG146" t="b">
        <f>AND(DATA!R952,"AAAAAHP+fzo=")</f>
        <v>1</v>
      </c>
      <c r="BH146" t="b">
        <f>AND(DATA!S952,"AAAAAHP+fzs=")</f>
        <v>1</v>
      </c>
      <c r="BI146" t="b">
        <f>AND(DATA!T952,"AAAAAHP+fzw=")</f>
        <v>1</v>
      </c>
      <c r="BJ146" t="b">
        <f>AND(DATA!U952,"AAAAAHP+fz0=")</f>
        <v>1</v>
      </c>
      <c r="BK146" t="b">
        <f>AND(DATA!V952,"AAAAAHP+fz4=")</f>
        <v>1</v>
      </c>
      <c r="BL146" t="e">
        <f>AND(DATA!W951,"AAAAAHP+fz8=")</f>
        <v>#VALUE!</v>
      </c>
      <c r="BM146" t="e">
        <f>AND(DATA!X951,"AAAAAHP+f0A=")</f>
        <v>#VALUE!</v>
      </c>
      <c r="BN146" t="e">
        <f>AND(DATA!Y951,"AAAAAHP+f0E=")</f>
        <v>#VALUE!</v>
      </c>
      <c r="BO146">
        <f>IF(DATA!952:952,"AAAAAHP+f0I=",0)</f>
        <v>0</v>
      </c>
      <c r="BP146" t="e">
        <f>AND(DATA!A952,"AAAAAHP+f0M=")</f>
        <v>#VALUE!</v>
      </c>
      <c r="BQ146" t="e">
        <f>AND(DATA!B952,"AAAAAHP+f0Q=")</f>
        <v>#VALUE!</v>
      </c>
      <c r="BR146" t="e">
        <f>AND(DATA!C952,"AAAAAHP+f0U=")</f>
        <v>#VALUE!</v>
      </c>
      <c r="BS146" t="e">
        <f>AND(DATA!D952,"AAAAAHP+f0Y=")</f>
        <v>#VALUE!</v>
      </c>
      <c r="BT146" t="e">
        <f>AND(DATA!E952,"AAAAAHP+f0c=")</f>
        <v>#VALUE!</v>
      </c>
      <c r="BU146" t="e">
        <f>AND(DATA!F952,"AAAAAHP+f0g=")</f>
        <v>#VALUE!</v>
      </c>
      <c r="BV146" t="e">
        <f>AND(DATA!G952,"AAAAAHP+f0k=")</f>
        <v>#VALUE!</v>
      </c>
      <c r="BW146" t="e">
        <f>AND(DATA!H952,"AAAAAHP+f0o=")</f>
        <v>#VALUE!</v>
      </c>
      <c r="BX146" t="e">
        <f>AND(DATA!I952,"AAAAAHP+f0s=")</f>
        <v>#VALUE!</v>
      </c>
      <c r="BY146" t="e">
        <f>AND(DATA!J952,"AAAAAHP+f0w=")</f>
        <v>#VALUE!</v>
      </c>
      <c r="BZ146" t="e">
        <f>AND(DATA!K952,"AAAAAHP+f00=")</f>
        <v>#VALUE!</v>
      </c>
      <c r="CA146" t="b">
        <f>AND(DATA!L953,"AAAAAHP+f04=")</f>
        <v>1</v>
      </c>
      <c r="CB146" t="b">
        <f>AND(DATA!M953,"AAAAAHP+f08=")</f>
        <v>1</v>
      </c>
      <c r="CC146" t="b">
        <f>AND(DATA!N953,"AAAAAHP+f1A=")</f>
        <v>1</v>
      </c>
      <c r="CD146" t="b">
        <f>AND(DATA!O953,"AAAAAHP+f1E=")</f>
        <v>1</v>
      </c>
      <c r="CE146" t="b">
        <f>AND(DATA!P953,"AAAAAHP+f1I=")</f>
        <v>1</v>
      </c>
      <c r="CF146" t="b">
        <f>AND(DATA!Q953,"AAAAAHP+f1M=")</f>
        <v>1</v>
      </c>
      <c r="CG146" t="b">
        <f>AND(DATA!R953,"AAAAAHP+f1Q=")</f>
        <v>1</v>
      </c>
      <c r="CH146" t="b">
        <f>AND(DATA!S953,"AAAAAHP+f1U=")</f>
        <v>1</v>
      </c>
      <c r="CI146" t="b">
        <f>AND(DATA!T953,"AAAAAHP+f1Y=")</f>
        <v>1</v>
      </c>
      <c r="CJ146" t="b">
        <f>AND(DATA!U953,"AAAAAHP+f1c=")</f>
        <v>1</v>
      </c>
      <c r="CK146" t="b">
        <f>AND(DATA!V953,"AAAAAHP+f1g=")</f>
        <v>1</v>
      </c>
      <c r="CL146" t="e">
        <f>AND(DATA!W952,"AAAAAHP+f1k=")</f>
        <v>#VALUE!</v>
      </c>
      <c r="CM146" t="e">
        <f>AND(DATA!X952,"AAAAAHP+f1o=")</f>
        <v>#VALUE!</v>
      </c>
      <c r="CN146" t="e">
        <f>AND(DATA!Y952,"AAAAAHP+f1s=")</f>
        <v>#VALUE!</v>
      </c>
      <c r="CO146">
        <f>IF(DATA!953:953,"AAAAAHP+f1w=",0)</f>
        <v>0</v>
      </c>
      <c r="CP146" t="e">
        <f>AND(DATA!A953,"AAAAAHP+f10=")</f>
        <v>#VALUE!</v>
      </c>
      <c r="CQ146" t="e">
        <f>AND(DATA!B953,"AAAAAHP+f14=")</f>
        <v>#VALUE!</v>
      </c>
      <c r="CR146" t="e">
        <f>AND(DATA!C953,"AAAAAHP+f18=")</f>
        <v>#VALUE!</v>
      </c>
      <c r="CS146" t="e">
        <f>AND(DATA!D953,"AAAAAHP+f2A=")</f>
        <v>#VALUE!</v>
      </c>
      <c r="CT146" t="e">
        <f>AND(DATA!E953,"AAAAAHP+f2E=")</f>
        <v>#VALUE!</v>
      </c>
      <c r="CU146" t="e">
        <f>AND(DATA!F953,"AAAAAHP+f2I=")</f>
        <v>#VALUE!</v>
      </c>
      <c r="CV146" t="e">
        <f>AND(DATA!G953,"AAAAAHP+f2M=")</f>
        <v>#VALUE!</v>
      </c>
      <c r="CW146" t="e">
        <f>AND(DATA!H953,"AAAAAHP+f2Q=")</f>
        <v>#VALUE!</v>
      </c>
      <c r="CX146" t="e">
        <f>AND(DATA!I953,"AAAAAHP+f2U=")</f>
        <v>#VALUE!</v>
      </c>
      <c r="CY146" t="e">
        <f>AND(DATA!J953,"AAAAAHP+f2Y=")</f>
        <v>#VALUE!</v>
      </c>
      <c r="CZ146" t="e">
        <f>AND(DATA!K953,"AAAAAHP+f2c=")</f>
        <v>#VALUE!</v>
      </c>
      <c r="DA146" t="b">
        <f>AND(DATA!L954,"AAAAAHP+f2g=")</f>
        <v>1</v>
      </c>
      <c r="DB146" t="b">
        <f>AND(DATA!M954,"AAAAAHP+f2k=")</f>
        <v>1</v>
      </c>
      <c r="DC146" t="b">
        <f>AND(DATA!N954,"AAAAAHP+f2o=")</f>
        <v>1</v>
      </c>
      <c r="DD146" t="b">
        <f>AND(DATA!O954,"AAAAAHP+f2s=")</f>
        <v>1</v>
      </c>
      <c r="DE146" t="b">
        <f>AND(DATA!P954,"AAAAAHP+f2w=")</f>
        <v>1</v>
      </c>
      <c r="DF146" t="b">
        <f>AND(DATA!Q954,"AAAAAHP+f20=")</f>
        <v>1</v>
      </c>
      <c r="DG146" t="b">
        <f>AND(DATA!R954,"AAAAAHP+f24=")</f>
        <v>1</v>
      </c>
      <c r="DH146" t="b">
        <f>AND(DATA!S954,"AAAAAHP+f28=")</f>
        <v>1</v>
      </c>
      <c r="DI146" t="b">
        <f>AND(DATA!T954,"AAAAAHP+f3A=")</f>
        <v>1</v>
      </c>
      <c r="DJ146" t="b">
        <f>AND(DATA!U954,"AAAAAHP+f3E=")</f>
        <v>1</v>
      </c>
      <c r="DK146" t="b">
        <f>AND(DATA!V954,"AAAAAHP+f3I=")</f>
        <v>1</v>
      </c>
      <c r="DL146" t="e">
        <f>AND(DATA!W953,"AAAAAHP+f3M=")</f>
        <v>#VALUE!</v>
      </c>
      <c r="DM146" t="e">
        <f>AND(DATA!X953,"AAAAAHP+f3Q=")</f>
        <v>#VALUE!</v>
      </c>
      <c r="DN146" t="e">
        <f>AND(DATA!Y953,"AAAAAHP+f3U=")</f>
        <v>#VALUE!</v>
      </c>
      <c r="DO146">
        <f>IF(DATA!954:954,"AAAAAHP+f3Y=",0)</f>
        <v>0</v>
      </c>
      <c r="DP146" t="e">
        <f>AND(DATA!A954,"AAAAAHP+f3c=")</f>
        <v>#VALUE!</v>
      </c>
      <c r="DQ146" t="e">
        <f>AND(DATA!B954,"AAAAAHP+f3g=")</f>
        <v>#VALUE!</v>
      </c>
      <c r="DR146" t="e">
        <f>AND(DATA!C954,"AAAAAHP+f3k=")</f>
        <v>#VALUE!</v>
      </c>
      <c r="DS146" t="e">
        <f>AND(DATA!D954,"AAAAAHP+f3o=")</f>
        <v>#VALUE!</v>
      </c>
      <c r="DT146" t="e">
        <f>AND(DATA!E954,"AAAAAHP+f3s=")</f>
        <v>#VALUE!</v>
      </c>
      <c r="DU146" t="e">
        <f>AND(DATA!F954,"AAAAAHP+f3w=")</f>
        <v>#VALUE!</v>
      </c>
      <c r="DV146" t="e">
        <f>AND(DATA!G954,"AAAAAHP+f30=")</f>
        <v>#VALUE!</v>
      </c>
      <c r="DW146" t="e">
        <f>AND(DATA!H954,"AAAAAHP+f34=")</f>
        <v>#VALUE!</v>
      </c>
      <c r="DX146" t="e">
        <f>AND(DATA!I954,"AAAAAHP+f38=")</f>
        <v>#VALUE!</v>
      </c>
      <c r="DY146" t="e">
        <f>AND(DATA!J954,"AAAAAHP+f4A=")</f>
        <v>#VALUE!</v>
      </c>
      <c r="DZ146" t="e">
        <f>AND(DATA!K954,"AAAAAHP+f4E=")</f>
        <v>#VALUE!</v>
      </c>
      <c r="EA146" t="b">
        <f>AND(DATA!L955,"AAAAAHP+f4I=")</f>
        <v>1</v>
      </c>
      <c r="EB146" t="b">
        <f>AND(DATA!M955,"AAAAAHP+f4M=")</f>
        <v>1</v>
      </c>
      <c r="EC146" t="b">
        <f>AND(DATA!N955,"AAAAAHP+f4Q=")</f>
        <v>1</v>
      </c>
      <c r="ED146" t="b">
        <f>AND(DATA!O955,"AAAAAHP+f4U=")</f>
        <v>1</v>
      </c>
      <c r="EE146" t="b">
        <f>AND(DATA!P955,"AAAAAHP+f4Y=")</f>
        <v>1</v>
      </c>
      <c r="EF146" t="b">
        <f>AND(DATA!Q955,"AAAAAHP+f4c=")</f>
        <v>1</v>
      </c>
      <c r="EG146" t="b">
        <f>AND(DATA!R955,"AAAAAHP+f4g=")</f>
        <v>1</v>
      </c>
      <c r="EH146" t="b">
        <f>AND(DATA!S955,"AAAAAHP+f4k=")</f>
        <v>1</v>
      </c>
      <c r="EI146" t="b">
        <f>AND(DATA!T955,"AAAAAHP+f4o=")</f>
        <v>1</v>
      </c>
      <c r="EJ146" t="b">
        <f>AND(DATA!U955,"AAAAAHP+f4s=")</f>
        <v>1</v>
      </c>
      <c r="EK146" t="b">
        <f>AND(DATA!V955,"AAAAAHP+f4w=")</f>
        <v>1</v>
      </c>
      <c r="EL146" t="e">
        <f>AND(DATA!W954,"AAAAAHP+f40=")</f>
        <v>#VALUE!</v>
      </c>
      <c r="EM146" t="e">
        <f>AND(DATA!X954,"AAAAAHP+f44=")</f>
        <v>#VALUE!</v>
      </c>
      <c r="EN146" t="e">
        <f>AND(DATA!Y954,"AAAAAHP+f48=")</f>
        <v>#VALUE!</v>
      </c>
      <c r="EO146">
        <f>IF(DATA!955:955,"AAAAAHP+f5A=",0)</f>
        <v>0</v>
      </c>
      <c r="EP146" t="e">
        <f>AND(DATA!A955,"AAAAAHP+f5E=")</f>
        <v>#VALUE!</v>
      </c>
      <c r="EQ146" t="e">
        <f>AND(DATA!B955,"AAAAAHP+f5I=")</f>
        <v>#VALUE!</v>
      </c>
      <c r="ER146" t="e">
        <f>AND(DATA!C955,"AAAAAHP+f5M=")</f>
        <v>#VALUE!</v>
      </c>
      <c r="ES146" t="e">
        <f>AND(DATA!D955,"AAAAAHP+f5Q=")</f>
        <v>#VALUE!</v>
      </c>
      <c r="ET146" t="e">
        <f>AND(DATA!E955,"AAAAAHP+f5U=")</f>
        <v>#VALUE!</v>
      </c>
      <c r="EU146" t="e">
        <f>AND(DATA!F955,"AAAAAHP+f5Y=")</f>
        <v>#VALUE!</v>
      </c>
      <c r="EV146" t="e">
        <f>AND(DATA!G955,"AAAAAHP+f5c=")</f>
        <v>#VALUE!</v>
      </c>
      <c r="EW146" t="e">
        <f>AND(DATA!H955,"AAAAAHP+f5g=")</f>
        <v>#VALUE!</v>
      </c>
      <c r="EX146" t="e">
        <f>AND(DATA!I955,"AAAAAHP+f5k=")</f>
        <v>#VALUE!</v>
      </c>
      <c r="EY146" t="e">
        <f>AND(DATA!J955,"AAAAAHP+f5o=")</f>
        <v>#VALUE!</v>
      </c>
      <c r="EZ146" t="e">
        <f>AND(DATA!K955,"AAAAAHP+f5s=")</f>
        <v>#VALUE!</v>
      </c>
      <c r="FA146" t="b">
        <f>AND(DATA!L956,"AAAAAHP+f5w=")</f>
        <v>1</v>
      </c>
      <c r="FB146" t="b">
        <f>AND(DATA!M956,"AAAAAHP+f50=")</f>
        <v>1</v>
      </c>
      <c r="FC146" t="b">
        <f>AND(DATA!N956,"AAAAAHP+f54=")</f>
        <v>1</v>
      </c>
      <c r="FD146" t="b">
        <f>AND(DATA!O956,"AAAAAHP+f58=")</f>
        <v>1</v>
      </c>
      <c r="FE146" t="b">
        <f>AND(DATA!P956,"AAAAAHP+f6A=")</f>
        <v>1</v>
      </c>
      <c r="FF146" t="b">
        <f>AND(DATA!Q956,"AAAAAHP+f6E=")</f>
        <v>1</v>
      </c>
      <c r="FG146" t="b">
        <f>AND(DATA!R956,"AAAAAHP+f6I=")</f>
        <v>1</v>
      </c>
      <c r="FH146" t="b">
        <f>AND(DATA!S956,"AAAAAHP+f6M=")</f>
        <v>1</v>
      </c>
      <c r="FI146" t="b">
        <f>AND(DATA!T956,"AAAAAHP+f6Q=")</f>
        <v>1</v>
      </c>
      <c r="FJ146" t="b">
        <f>AND(DATA!U956,"AAAAAHP+f6U=")</f>
        <v>1</v>
      </c>
      <c r="FK146" t="b">
        <f>AND(DATA!V956,"AAAAAHP+f6Y=")</f>
        <v>1</v>
      </c>
      <c r="FL146" t="e">
        <f>AND(DATA!W955,"AAAAAHP+f6c=")</f>
        <v>#VALUE!</v>
      </c>
      <c r="FM146" t="e">
        <f>AND(DATA!X955,"AAAAAHP+f6g=")</f>
        <v>#VALUE!</v>
      </c>
      <c r="FN146" t="e">
        <f>AND(DATA!Y955,"AAAAAHP+f6k=")</f>
        <v>#VALUE!</v>
      </c>
      <c r="FO146">
        <f>IF(DATA!956:956,"AAAAAHP+f6o=",0)</f>
        <v>0</v>
      </c>
      <c r="FP146" t="e">
        <f>AND(DATA!A956,"AAAAAHP+f6s=")</f>
        <v>#VALUE!</v>
      </c>
      <c r="FQ146" t="e">
        <f>AND(DATA!B956,"AAAAAHP+f6w=")</f>
        <v>#VALUE!</v>
      </c>
      <c r="FR146" t="e">
        <f>AND(DATA!C956,"AAAAAHP+f60=")</f>
        <v>#VALUE!</v>
      </c>
      <c r="FS146" t="e">
        <f>AND(DATA!D956,"AAAAAHP+f64=")</f>
        <v>#VALUE!</v>
      </c>
      <c r="FT146" t="e">
        <f>AND(DATA!E956,"AAAAAHP+f68=")</f>
        <v>#VALUE!</v>
      </c>
      <c r="FU146" t="e">
        <f>AND(DATA!F956,"AAAAAHP+f7A=")</f>
        <v>#VALUE!</v>
      </c>
      <c r="FV146" t="e">
        <f>AND(DATA!G956,"AAAAAHP+f7E=")</f>
        <v>#VALUE!</v>
      </c>
      <c r="FW146" t="e">
        <f>AND(DATA!H956,"AAAAAHP+f7I=")</f>
        <v>#VALUE!</v>
      </c>
      <c r="FX146" t="e">
        <f>AND(DATA!I956,"AAAAAHP+f7M=")</f>
        <v>#VALUE!</v>
      </c>
      <c r="FY146" t="e">
        <f>AND(DATA!J956,"AAAAAHP+f7Q=")</f>
        <v>#VALUE!</v>
      </c>
      <c r="FZ146" t="e">
        <f>AND(DATA!K956,"AAAAAHP+f7U=")</f>
        <v>#VALUE!</v>
      </c>
      <c r="GA146" t="b">
        <f>AND(DATA!L957,"AAAAAHP+f7Y=")</f>
        <v>1</v>
      </c>
      <c r="GB146" t="b">
        <f>AND(DATA!M957,"AAAAAHP+f7c=")</f>
        <v>1</v>
      </c>
      <c r="GC146" t="b">
        <f>AND(DATA!N957,"AAAAAHP+f7g=")</f>
        <v>1</v>
      </c>
      <c r="GD146" t="b">
        <f>AND(DATA!O957,"AAAAAHP+f7k=")</f>
        <v>1</v>
      </c>
      <c r="GE146" t="b">
        <f>AND(DATA!P957,"AAAAAHP+f7o=")</f>
        <v>1</v>
      </c>
      <c r="GF146" t="b">
        <f>AND(DATA!Q957,"AAAAAHP+f7s=")</f>
        <v>1</v>
      </c>
      <c r="GG146" t="b">
        <f>AND(DATA!R957,"AAAAAHP+f7w=")</f>
        <v>1</v>
      </c>
      <c r="GH146" t="b">
        <f>AND(DATA!S957,"AAAAAHP+f70=")</f>
        <v>1</v>
      </c>
      <c r="GI146" t="b">
        <f>AND(DATA!T957,"AAAAAHP+f74=")</f>
        <v>1</v>
      </c>
      <c r="GJ146" t="b">
        <f>AND(DATA!U957,"AAAAAHP+f78=")</f>
        <v>1</v>
      </c>
      <c r="GK146" t="b">
        <f>AND(DATA!V957,"AAAAAHP+f8A=")</f>
        <v>1</v>
      </c>
      <c r="GL146" t="e">
        <f>AND(DATA!W956,"AAAAAHP+f8E=")</f>
        <v>#VALUE!</v>
      </c>
      <c r="GM146" t="e">
        <f>AND(DATA!X956,"AAAAAHP+f8I=")</f>
        <v>#VALUE!</v>
      </c>
      <c r="GN146" t="e">
        <f>AND(DATA!Y956,"AAAAAHP+f8M=")</f>
        <v>#VALUE!</v>
      </c>
      <c r="GO146">
        <f>IF(DATA!957:957,"AAAAAHP+f8Q=",0)</f>
        <v>0</v>
      </c>
      <c r="GP146" t="e">
        <f>AND(DATA!A957,"AAAAAHP+f8U=")</f>
        <v>#VALUE!</v>
      </c>
      <c r="GQ146" t="e">
        <f>AND(DATA!B957,"AAAAAHP+f8Y=")</f>
        <v>#VALUE!</v>
      </c>
      <c r="GR146" t="e">
        <f>AND(DATA!C957,"AAAAAHP+f8c=")</f>
        <v>#VALUE!</v>
      </c>
      <c r="GS146" t="e">
        <f>AND(DATA!D957,"AAAAAHP+f8g=")</f>
        <v>#VALUE!</v>
      </c>
      <c r="GT146" t="e">
        <f>AND(DATA!E957,"AAAAAHP+f8k=")</f>
        <v>#VALUE!</v>
      </c>
      <c r="GU146" t="e">
        <f>AND(DATA!F957,"AAAAAHP+f8o=")</f>
        <v>#VALUE!</v>
      </c>
      <c r="GV146" t="e">
        <f>AND(DATA!G957,"AAAAAHP+f8s=")</f>
        <v>#VALUE!</v>
      </c>
      <c r="GW146" t="e">
        <f>AND(DATA!H957,"AAAAAHP+f8w=")</f>
        <v>#VALUE!</v>
      </c>
      <c r="GX146" t="e">
        <f>AND(DATA!I957,"AAAAAHP+f80=")</f>
        <v>#VALUE!</v>
      </c>
      <c r="GY146" t="e">
        <f>AND(DATA!J957,"AAAAAHP+f84=")</f>
        <v>#VALUE!</v>
      </c>
      <c r="GZ146" t="e">
        <f>AND(DATA!K957,"AAAAAHP+f88=")</f>
        <v>#VALUE!</v>
      </c>
      <c r="HA146" t="b">
        <f>AND(DATA!L958,"AAAAAHP+f9A=")</f>
        <v>1</v>
      </c>
      <c r="HB146" t="b">
        <f>AND(DATA!M958,"AAAAAHP+f9E=")</f>
        <v>1</v>
      </c>
      <c r="HC146" t="b">
        <f>AND(DATA!N958,"AAAAAHP+f9I=")</f>
        <v>1</v>
      </c>
      <c r="HD146" t="b">
        <f>AND(DATA!O958,"AAAAAHP+f9M=")</f>
        <v>1</v>
      </c>
      <c r="HE146" t="b">
        <f>AND(DATA!P958,"AAAAAHP+f9Q=")</f>
        <v>1</v>
      </c>
      <c r="HF146" t="b">
        <f>AND(DATA!Q958,"AAAAAHP+f9U=")</f>
        <v>1</v>
      </c>
      <c r="HG146" t="b">
        <f>AND(DATA!R958,"AAAAAHP+f9Y=")</f>
        <v>1</v>
      </c>
      <c r="HH146" t="b">
        <f>AND(DATA!S958,"AAAAAHP+f9c=")</f>
        <v>1</v>
      </c>
      <c r="HI146" t="b">
        <f>AND(DATA!T958,"AAAAAHP+f9g=")</f>
        <v>1</v>
      </c>
      <c r="HJ146" t="b">
        <f>AND(DATA!U958,"AAAAAHP+f9k=")</f>
        <v>1</v>
      </c>
      <c r="HK146" t="b">
        <f>AND(DATA!V958,"AAAAAHP+f9o=")</f>
        <v>1</v>
      </c>
      <c r="HL146" t="e">
        <f>AND(DATA!W957,"AAAAAHP+f9s=")</f>
        <v>#VALUE!</v>
      </c>
      <c r="HM146" t="e">
        <f>AND(DATA!X957,"AAAAAHP+f9w=")</f>
        <v>#VALUE!</v>
      </c>
      <c r="HN146" t="e">
        <f>AND(DATA!Y957,"AAAAAHP+f90=")</f>
        <v>#VALUE!</v>
      </c>
      <c r="HO146">
        <f>IF(DATA!958:958,"AAAAAHP+f94=",0)</f>
        <v>0</v>
      </c>
      <c r="HP146" t="e">
        <f>AND(DATA!A958,"AAAAAHP+f98=")</f>
        <v>#VALUE!</v>
      </c>
      <c r="HQ146" t="e">
        <f>AND(DATA!B958,"AAAAAHP+f+A=")</f>
        <v>#VALUE!</v>
      </c>
      <c r="HR146" t="e">
        <f>AND(DATA!C958,"AAAAAHP+f+E=")</f>
        <v>#VALUE!</v>
      </c>
      <c r="HS146" t="e">
        <f>AND(DATA!D958,"AAAAAHP+f+I=")</f>
        <v>#VALUE!</v>
      </c>
      <c r="HT146" t="e">
        <f>AND(DATA!E958,"AAAAAHP+f+M=")</f>
        <v>#VALUE!</v>
      </c>
      <c r="HU146" t="e">
        <f>AND(DATA!F958,"AAAAAHP+f+Q=")</f>
        <v>#VALUE!</v>
      </c>
      <c r="HV146" t="e">
        <f>AND(DATA!G958,"AAAAAHP+f+U=")</f>
        <v>#VALUE!</v>
      </c>
      <c r="HW146" t="e">
        <f>AND(DATA!H958,"AAAAAHP+f+Y=")</f>
        <v>#VALUE!</v>
      </c>
      <c r="HX146" t="e">
        <f>AND(DATA!I958,"AAAAAHP+f+c=")</f>
        <v>#VALUE!</v>
      </c>
      <c r="HY146" t="e">
        <f>AND(DATA!J958,"AAAAAHP+f+g=")</f>
        <v>#VALUE!</v>
      </c>
      <c r="HZ146" t="e">
        <f>AND(DATA!K958,"AAAAAHP+f+k=")</f>
        <v>#VALUE!</v>
      </c>
      <c r="IA146" t="b">
        <f>AND(DATA!L959,"AAAAAHP+f+o=")</f>
        <v>1</v>
      </c>
      <c r="IB146" t="b">
        <f>AND(DATA!M959,"AAAAAHP+f+s=")</f>
        <v>1</v>
      </c>
      <c r="IC146" t="b">
        <f>AND(DATA!N959,"AAAAAHP+f+w=")</f>
        <v>1</v>
      </c>
      <c r="ID146" t="b">
        <f>AND(DATA!O959,"AAAAAHP+f+0=")</f>
        <v>1</v>
      </c>
      <c r="IE146" t="b">
        <f>AND(DATA!P959,"AAAAAHP+f+4=")</f>
        <v>1</v>
      </c>
      <c r="IF146" t="b">
        <f>AND(DATA!Q959,"AAAAAHP+f+8=")</f>
        <v>1</v>
      </c>
      <c r="IG146" t="b">
        <f>AND(DATA!R959,"AAAAAHP+f/A=")</f>
        <v>1</v>
      </c>
      <c r="IH146" t="b">
        <f>AND(DATA!S959,"AAAAAHP+f/E=")</f>
        <v>1</v>
      </c>
      <c r="II146" t="b">
        <f>AND(DATA!T959,"AAAAAHP+f/I=")</f>
        <v>1</v>
      </c>
      <c r="IJ146" t="b">
        <f>AND(DATA!U959,"AAAAAHP+f/M=")</f>
        <v>1</v>
      </c>
      <c r="IK146" t="b">
        <f>AND(DATA!V959,"AAAAAHP+f/Q=")</f>
        <v>1</v>
      </c>
      <c r="IL146" t="e">
        <f>AND(DATA!W958,"AAAAAHP+f/U=")</f>
        <v>#VALUE!</v>
      </c>
      <c r="IM146" t="e">
        <f>AND(DATA!X958,"AAAAAHP+f/Y=")</f>
        <v>#VALUE!</v>
      </c>
      <c r="IN146" t="e">
        <f>AND(DATA!Y958,"AAAAAHP+f/c=")</f>
        <v>#VALUE!</v>
      </c>
      <c r="IO146">
        <f>IF(DATA!959:959,"AAAAAHP+f/g=",0)</f>
        <v>0</v>
      </c>
      <c r="IP146" t="e">
        <f>AND(DATA!A959,"AAAAAHP+f/k=")</f>
        <v>#VALUE!</v>
      </c>
      <c r="IQ146" t="e">
        <f>AND(DATA!B959,"AAAAAHP+f/o=")</f>
        <v>#VALUE!</v>
      </c>
      <c r="IR146" t="e">
        <f>AND(DATA!C959,"AAAAAHP+f/s=")</f>
        <v>#VALUE!</v>
      </c>
      <c r="IS146" t="e">
        <f>AND(DATA!D959,"AAAAAHP+f/w=")</f>
        <v>#VALUE!</v>
      </c>
      <c r="IT146" t="e">
        <f>AND(DATA!E959,"AAAAAHP+f/0=")</f>
        <v>#VALUE!</v>
      </c>
      <c r="IU146" t="e">
        <f>AND(DATA!F959,"AAAAAHP+f/4=")</f>
        <v>#VALUE!</v>
      </c>
      <c r="IV146" t="e">
        <f>AND(DATA!G959,"AAAAAHP+f/8=")</f>
        <v>#VALUE!</v>
      </c>
    </row>
    <row r="147" spans="1:256" x14ac:dyDescent="0.25">
      <c r="A147" t="e">
        <f>AND(DATA!H959,"AAAAADvqegA=")</f>
        <v>#VALUE!</v>
      </c>
      <c r="B147" t="e">
        <f>AND(DATA!I959,"AAAAADvqegE=")</f>
        <v>#VALUE!</v>
      </c>
      <c r="C147" t="e">
        <f>AND(DATA!J959,"AAAAADvqegI=")</f>
        <v>#VALUE!</v>
      </c>
      <c r="D147" t="e">
        <f>AND(DATA!K959,"AAAAADvqegM=")</f>
        <v>#VALUE!</v>
      </c>
      <c r="E147" t="b">
        <f>AND(DATA!L960,"AAAAADvqegQ=")</f>
        <v>1</v>
      </c>
      <c r="F147" t="b">
        <f>AND(DATA!M960,"AAAAADvqegU=")</f>
        <v>1</v>
      </c>
      <c r="G147" t="b">
        <f>AND(DATA!N960,"AAAAADvqegY=")</f>
        <v>1</v>
      </c>
      <c r="H147" t="b">
        <f>AND(DATA!O960,"AAAAADvqegc=")</f>
        <v>1</v>
      </c>
      <c r="I147" t="b">
        <f>AND(DATA!P960,"AAAAADvqegg=")</f>
        <v>1</v>
      </c>
      <c r="J147" t="b">
        <f>AND(DATA!Q960,"AAAAADvqegk=")</f>
        <v>1</v>
      </c>
      <c r="K147" t="b">
        <f>AND(DATA!R960,"AAAAADvqego=")</f>
        <v>1</v>
      </c>
      <c r="L147" t="b">
        <f>AND(DATA!S960,"AAAAADvqegs=")</f>
        <v>1</v>
      </c>
      <c r="M147" t="b">
        <f>AND(DATA!T960,"AAAAADvqegw=")</f>
        <v>1</v>
      </c>
      <c r="N147" t="b">
        <f>AND(DATA!U960,"AAAAADvqeg0=")</f>
        <v>1</v>
      </c>
      <c r="O147" t="b">
        <f>AND(DATA!V960,"AAAAADvqeg4=")</f>
        <v>1</v>
      </c>
      <c r="P147" t="e">
        <f>AND(DATA!W959,"AAAAADvqeg8=")</f>
        <v>#VALUE!</v>
      </c>
      <c r="Q147" t="e">
        <f>AND(DATA!X959,"AAAAADvqehA=")</f>
        <v>#VALUE!</v>
      </c>
      <c r="R147" t="e">
        <f>AND(DATA!Y959,"AAAAADvqehE=")</f>
        <v>#VALUE!</v>
      </c>
      <c r="S147" t="str">
        <f>IF(DATA!960:960,"AAAAADvqehI=",0)</f>
        <v>AAAAADvqehI=</v>
      </c>
      <c r="T147" t="e">
        <f>AND(DATA!A960,"AAAAADvqehM=")</f>
        <v>#VALUE!</v>
      </c>
      <c r="U147" t="e">
        <f>AND(DATA!B960,"AAAAADvqehQ=")</f>
        <v>#VALUE!</v>
      </c>
      <c r="V147" t="e">
        <f>AND(DATA!C960,"AAAAADvqehU=")</f>
        <v>#VALUE!</v>
      </c>
      <c r="W147" t="e">
        <f>AND(DATA!D960,"AAAAADvqehY=")</f>
        <v>#VALUE!</v>
      </c>
      <c r="X147" t="e">
        <f>AND(DATA!E960,"AAAAADvqehc=")</f>
        <v>#VALUE!</v>
      </c>
      <c r="Y147" t="e">
        <f>AND(DATA!F960,"AAAAADvqehg=")</f>
        <v>#VALUE!</v>
      </c>
      <c r="Z147" t="e">
        <f>AND(DATA!G960,"AAAAADvqehk=")</f>
        <v>#VALUE!</v>
      </c>
      <c r="AA147" t="e">
        <f>AND(DATA!H960,"AAAAADvqeho=")</f>
        <v>#VALUE!</v>
      </c>
      <c r="AB147" t="e">
        <f>AND(DATA!I960,"AAAAADvqehs=")</f>
        <v>#VALUE!</v>
      </c>
      <c r="AC147" t="e">
        <f>AND(DATA!J960,"AAAAADvqehw=")</f>
        <v>#VALUE!</v>
      </c>
      <c r="AD147" t="e">
        <f>AND(DATA!K960,"AAAAADvqeh0=")</f>
        <v>#VALUE!</v>
      </c>
      <c r="AE147" t="b">
        <f>AND(DATA!L961,"AAAAADvqeh4=")</f>
        <v>1</v>
      </c>
      <c r="AF147" t="b">
        <f>AND(DATA!M961,"AAAAADvqeh8=")</f>
        <v>1</v>
      </c>
      <c r="AG147" t="b">
        <f>AND(DATA!N961,"AAAAADvqeiA=")</f>
        <v>1</v>
      </c>
      <c r="AH147" t="b">
        <f>AND(DATA!O961,"AAAAADvqeiE=")</f>
        <v>1</v>
      </c>
      <c r="AI147" t="b">
        <f>AND(DATA!P961,"AAAAADvqeiI=")</f>
        <v>1</v>
      </c>
      <c r="AJ147" t="b">
        <f>AND(DATA!Q961,"AAAAADvqeiM=")</f>
        <v>1</v>
      </c>
      <c r="AK147" t="b">
        <f>AND(DATA!R961,"AAAAADvqeiQ=")</f>
        <v>1</v>
      </c>
      <c r="AL147" t="b">
        <f>AND(DATA!S961,"AAAAADvqeiU=")</f>
        <v>1</v>
      </c>
      <c r="AM147" t="b">
        <f>AND(DATA!T961,"AAAAADvqeiY=")</f>
        <v>1</v>
      </c>
      <c r="AN147" t="b">
        <f>AND(DATA!U961,"AAAAADvqeic=")</f>
        <v>1</v>
      </c>
      <c r="AO147" t="b">
        <f>AND(DATA!V961,"AAAAADvqeig=")</f>
        <v>1</v>
      </c>
      <c r="AP147" t="e">
        <f>AND(DATA!W960,"AAAAADvqeik=")</f>
        <v>#VALUE!</v>
      </c>
      <c r="AQ147" t="e">
        <f>AND(DATA!X960,"AAAAADvqeio=")</f>
        <v>#VALUE!</v>
      </c>
      <c r="AR147" t="e">
        <f>AND(DATA!Y960,"AAAAADvqeis=")</f>
        <v>#VALUE!</v>
      </c>
      <c r="AS147">
        <f>IF(DATA!961:961,"AAAAADvqeiw=",0)</f>
        <v>0</v>
      </c>
      <c r="AT147" t="e">
        <f>AND(DATA!A961,"AAAAADvqei0=")</f>
        <v>#VALUE!</v>
      </c>
      <c r="AU147" t="e">
        <f>AND(DATA!B961,"AAAAADvqei4=")</f>
        <v>#VALUE!</v>
      </c>
      <c r="AV147" t="e">
        <f>AND(DATA!C961,"AAAAADvqei8=")</f>
        <v>#VALUE!</v>
      </c>
      <c r="AW147" t="e">
        <f>AND(DATA!D961,"AAAAADvqejA=")</f>
        <v>#VALUE!</v>
      </c>
      <c r="AX147" t="e">
        <f>AND(DATA!E961,"AAAAADvqejE=")</f>
        <v>#VALUE!</v>
      </c>
      <c r="AY147" t="e">
        <f>AND(DATA!F961,"AAAAADvqejI=")</f>
        <v>#VALUE!</v>
      </c>
      <c r="AZ147" t="e">
        <f>AND(DATA!G961,"AAAAADvqejM=")</f>
        <v>#VALUE!</v>
      </c>
      <c r="BA147" t="e">
        <f>AND(DATA!H961,"AAAAADvqejQ=")</f>
        <v>#VALUE!</v>
      </c>
      <c r="BB147" t="e">
        <f>AND(DATA!I961,"AAAAADvqejU=")</f>
        <v>#VALUE!</v>
      </c>
      <c r="BC147" t="e">
        <f>AND(DATA!J961,"AAAAADvqejY=")</f>
        <v>#VALUE!</v>
      </c>
      <c r="BD147" t="e">
        <f>AND(DATA!K961,"AAAAADvqejc=")</f>
        <v>#VALUE!</v>
      </c>
      <c r="BE147" t="b">
        <f>AND(DATA!L962,"AAAAADvqejg=")</f>
        <v>1</v>
      </c>
      <c r="BF147" t="b">
        <f>AND(DATA!M962,"AAAAADvqejk=")</f>
        <v>1</v>
      </c>
      <c r="BG147" t="b">
        <f>AND(DATA!N962,"AAAAADvqejo=")</f>
        <v>1</v>
      </c>
      <c r="BH147" t="b">
        <f>AND(DATA!O962,"AAAAADvqejs=")</f>
        <v>1</v>
      </c>
      <c r="BI147" t="b">
        <f>AND(DATA!P962,"AAAAADvqejw=")</f>
        <v>1</v>
      </c>
      <c r="BJ147" t="b">
        <f>AND(DATA!Q962,"AAAAADvqej0=")</f>
        <v>1</v>
      </c>
      <c r="BK147" t="b">
        <f>AND(DATA!R962,"AAAAADvqej4=")</f>
        <v>1</v>
      </c>
      <c r="BL147" t="b">
        <f>AND(DATA!S962,"AAAAADvqej8=")</f>
        <v>1</v>
      </c>
      <c r="BM147" t="b">
        <f>AND(DATA!T962,"AAAAADvqekA=")</f>
        <v>1</v>
      </c>
      <c r="BN147" t="b">
        <f>AND(DATA!U962,"AAAAADvqekE=")</f>
        <v>1</v>
      </c>
      <c r="BO147" t="b">
        <f>AND(DATA!V962,"AAAAADvqekI=")</f>
        <v>1</v>
      </c>
      <c r="BP147" t="e">
        <f>AND(DATA!W961,"AAAAADvqekM=")</f>
        <v>#VALUE!</v>
      </c>
      <c r="BQ147" t="e">
        <f>AND(DATA!X961,"AAAAADvqekQ=")</f>
        <v>#VALUE!</v>
      </c>
      <c r="BR147" t="e">
        <f>AND(DATA!Y961,"AAAAADvqekU=")</f>
        <v>#VALUE!</v>
      </c>
      <c r="BS147">
        <f>IF(DATA!962:962,"AAAAADvqekY=",0)</f>
        <v>0</v>
      </c>
      <c r="BT147" t="e">
        <f>AND(DATA!A962,"AAAAADvqekc=")</f>
        <v>#VALUE!</v>
      </c>
      <c r="BU147" t="e">
        <f>AND(DATA!B962,"AAAAADvqekg=")</f>
        <v>#VALUE!</v>
      </c>
      <c r="BV147" t="e">
        <f>AND(DATA!C962,"AAAAADvqekk=")</f>
        <v>#VALUE!</v>
      </c>
      <c r="BW147" t="e">
        <f>AND(DATA!D962,"AAAAADvqeko=")</f>
        <v>#VALUE!</v>
      </c>
      <c r="BX147" t="e">
        <f>AND(DATA!E962,"AAAAADvqeks=")</f>
        <v>#VALUE!</v>
      </c>
      <c r="BY147" t="e">
        <f>AND(DATA!F962,"AAAAADvqekw=")</f>
        <v>#VALUE!</v>
      </c>
      <c r="BZ147" t="e">
        <f>AND(DATA!G962,"AAAAADvqek0=")</f>
        <v>#VALUE!</v>
      </c>
      <c r="CA147" t="e">
        <f>AND(DATA!H962,"AAAAADvqek4=")</f>
        <v>#VALUE!</v>
      </c>
      <c r="CB147" t="e">
        <f>AND(DATA!I962,"AAAAADvqek8=")</f>
        <v>#VALUE!</v>
      </c>
      <c r="CC147" t="e">
        <f>AND(DATA!J962,"AAAAADvqelA=")</f>
        <v>#VALUE!</v>
      </c>
      <c r="CD147" t="e">
        <f>AND(DATA!K962,"AAAAADvqelE=")</f>
        <v>#VALUE!</v>
      </c>
      <c r="CE147" t="b">
        <f>AND(DATA!L963,"AAAAADvqelI=")</f>
        <v>1</v>
      </c>
      <c r="CF147" t="b">
        <f>AND(DATA!M963,"AAAAADvqelM=")</f>
        <v>1</v>
      </c>
      <c r="CG147" t="b">
        <f>AND(DATA!N963,"AAAAADvqelQ=")</f>
        <v>1</v>
      </c>
      <c r="CH147" t="b">
        <f>AND(DATA!O963,"AAAAADvqelU=")</f>
        <v>1</v>
      </c>
      <c r="CI147" t="b">
        <f>AND(DATA!P963,"AAAAADvqelY=")</f>
        <v>1</v>
      </c>
      <c r="CJ147" t="b">
        <f>AND(DATA!Q963,"AAAAADvqelc=")</f>
        <v>1</v>
      </c>
      <c r="CK147" t="b">
        <f>AND(DATA!R963,"AAAAADvqelg=")</f>
        <v>1</v>
      </c>
      <c r="CL147" t="b">
        <f>AND(DATA!S963,"AAAAADvqelk=")</f>
        <v>1</v>
      </c>
      <c r="CM147" t="b">
        <f>AND(DATA!T963,"AAAAADvqelo=")</f>
        <v>1</v>
      </c>
      <c r="CN147" t="b">
        <f>AND(DATA!U963,"AAAAADvqels=")</f>
        <v>1</v>
      </c>
      <c r="CO147" t="b">
        <f>AND(DATA!V963,"AAAAADvqelw=")</f>
        <v>1</v>
      </c>
      <c r="CP147" t="e">
        <f>AND(DATA!W962,"AAAAADvqel0=")</f>
        <v>#VALUE!</v>
      </c>
      <c r="CQ147" t="e">
        <f>AND(DATA!X962,"AAAAADvqel4=")</f>
        <v>#VALUE!</v>
      </c>
      <c r="CR147" t="e">
        <f>AND(DATA!Y962,"AAAAADvqel8=")</f>
        <v>#VALUE!</v>
      </c>
      <c r="CS147">
        <f>IF(DATA!963:963,"AAAAADvqemA=",0)</f>
        <v>0</v>
      </c>
      <c r="CT147" t="e">
        <f>AND(DATA!A963,"AAAAADvqemE=")</f>
        <v>#VALUE!</v>
      </c>
      <c r="CU147" t="e">
        <f>AND(DATA!B963,"AAAAADvqemI=")</f>
        <v>#VALUE!</v>
      </c>
      <c r="CV147" t="e">
        <f>AND(DATA!C963,"AAAAADvqemM=")</f>
        <v>#VALUE!</v>
      </c>
      <c r="CW147" t="e">
        <f>AND(DATA!D963,"AAAAADvqemQ=")</f>
        <v>#VALUE!</v>
      </c>
      <c r="CX147" t="e">
        <f>AND(DATA!E963,"AAAAADvqemU=")</f>
        <v>#VALUE!</v>
      </c>
      <c r="CY147" t="e">
        <f>AND(DATA!F963,"AAAAADvqemY=")</f>
        <v>#VALUE!</v>
      </c>
      <c r="CZ147" t="e">
        <f>AND(DATA!G963,"AAAAADvqemc=")</f>
        <v>#VALUE!</v>
      </c>
      <c r="DA147" t="e">
        <f>AND(DATA!H963,"AAAAADvqemg=")</f>
        <v>#VALUE!</v>
      </c>
      <c r="DB147" t="e">
        <f>AND(DATA!I963,"AAAAADvqemk=")</f>
        <v>#VALUE!</v>
      </c>
      <c r="DC147" t="e">
        <f>AND(DATA!J963,"AAAAADvqemo=")</f>
        <v>#VALUE!</v>
      </c>
      <c r="DD147" t="e">
        <f>AND(DATA!K963,"AAAAADvqems=")</f>
        <v>#VALUE!</v>
      </c>
      <c r="DE147" t="b">
        <f>AND(DATA!L964,"AAAAADvqemw=")</f>
        <v>1</v>
      </c>
      <c r="DF147" t="b">
        <f>AND(DATA!M964,"AAAAADvqem0=")</f>
        <v>1</v>
      </c>
      <c r="DG147" t="b">
        <f>AND(DATA!N964,"AAAAADvqem4=")</f>
        <v>1</v>
      </c>
      <c r="DH147" t="b">
        <f>AND(DATA!O964,"AAAAADvqem8=")</f>
        <v>1</v>
      </c>
      <c r="DI147" t="b">
        <f>AND(DATA!P964,"AAAAADvqenA=")</f>
        <v>1</v>
      </c>
      <c r="DJ147" t="b">
        <f>AND(DATA!Q964,"AAAAADvqenE=")</f>
        <v>1</v>
      </c>
      <c r="DK147" t="b">
        <f>AND(DATA!R964,"AAAAADvqenI=")</f>
        <v>1</v>
      </c>
      <c r="DL147" t="b">
        <f>AND(DATA!S964,"AAAAADvqenM=")</f>
        <v>1</v>
      </c>
      <c r="DM147" t="b">
        <f>AND(DATA!T964,"AAAAADvqenQ=")</f>
        <v>1</v>
      </c>
      <c r="DN147" t="b">
        <f>AND(DATA!U964,"AAAAADvqenU=")</f>
        <v>1</v>
      </c>
      <c r="DO147" t="b">
        <f>AND(DATA!V964,"AAAAADvqenY=")</f>
        <v>1</v>
      </c>
      <c r="DP147" t="e">
        <f>AND(DATA!W963,"AAAAADvqenc=")</f>
        <v>#VALUE!</v>
      </c>
      <c r="DQ147" t="e">
        <f>AND(DATA!X963,"AAAAADvqeng=")</f>
        <v>#VALUE!</v>
      </c>
      <c r="DR147" t="e">
        <f>AND(DATA!Y963,"AAAAADvqenk=")</f>
        <v>#VALUE!</v>
      </c>
      <c r="DS147">
        <f>IF(DATA!964:964,"AAAAADvqeno=",0)</f>
        <v>0</v>
      </c>
      <c r="DT147" t="e">
        <f>AND(DATA!A964,"AAAAADvqens=")</f>
        <v>#VALUE!</v>
      </c>
      <c r="DU147" t="e">
        <f>AND(DATA!B964,"AAAAADvqenw=")</f>
        <v>#VALUE!</v>
      </c>
      <c r="DV147" t="e">
        <f>AND(DATA!C964,"AAAAADvqen0=")</f>
        <v>#VALUE!</v>
      </c>
      <c r="DW147" t="e">
        <f>AND(DATA!D964,"AAAAADvqen4=")</f>
        <v>#VALUE!</v>
      </c>
      <c r="DX147" t="e">
        <f>AND(DATA!E964,"AAAAADvqen8=")</f>
        <v>#VALUE!</v>
      </c>
      <c r="DY147" t="e">
        <f>AND(DATA!F964,"AAAAADvqeoA=")</f>
        <v>#VALUE!</v>
      </c>
      <c r="DZ147" t="e">
        <f>AND(DATA!G964,"AAAAADvqeoE=")</f>
        <v>#VALUE!</v>
      </c>
      <c r="EA147" t="e">
        <f>AND(DATA!H964,"AAAAADvqeoI=")</f>
        <v>#VALUE!</v>
      </c>
      <c r="EB147" t="e">
        <f>AND(DATA!I964,"AAAAADvqeoM=")</f>
        <v>#VALUE!</v>
      </c>
      <c r="EC147" t="e">
        <f>AND(DATA!J964,"AAAAADvqeoQ=")</f>
        <v>#VALUE!</v>
      </c>
      <c r="ED147" t="e">
        <f>AND(DATA!K964,"AAAAADvqeoU=")</f>
        <v>#VALUE!</v>
      </c>
      <c r="EE147" t="b">
        <f>AND(DATA!L965,"AAAAADvqeoY=")</f>
        <v>1</v>
      </c>
      <c r="EF147" t="b">
        <f>AND(DATA!M965,"AAAAADvqeoc=")</f>
        <v>1</v>
      </c>
      <c r="EG147" t="b">
        <f>AND(DATA!N965,"AAAAADvqeog=")</f>
        <v>1</v>
      </c>
      <c r="EH147" t="b">
        <f>AND(DATA!O965,"AAAAADvqeok=")</f>
        <v>1</v>
      </c>
      <c r="EI147" t="b">
        <f>AND(DATA!P965,"AAAAADvqeoo=")</f>
        <v>1</v>
      </c>
      <c r="EJ147" t="b">
        <f>AND(DATA!Q965,"AAAAADvqeos=")</f>
        <v>1</v>
      </c>
      <c r="EK147" t="b">
        <f>AND(DATA!R965,"AAAAADvqeow=")</f>
        <v>1</v>
      </c>
      <c r="EL147" t="b">
        <f>AND(DATA!S965,"AAAAADvqeo0=")</f>
        <v>1</v>
      </c>
      <c r="EM147" t="b">
        <f>AND(DATA!T965,"AAAAADvqeo4=")</f>
        <v>1</v>
      </c>
      <c r="EN147" t="b">
        <f>AND(DATA!U965,"AAAAADvqeo8=")</f>
        <v>1</v>
      </c>
      <c r="EO147" t="b">
        <f>AND(DATA!V965,"AAAAADvqepA=")</f>
        <v>1</v>
      </c>
      <c r="EP147" t="e">
        <f>AND(DATA!W964,"AAAAADvqepE=")</f>
        <v>#VALUE!</v>
      </c>
      <c r="EQ147" t="e">
        <f>AND(DATA!X964,"AAAAADvqepI=")</f>
        <v>#VALUE!</v>
      </c>
      <c r="ER147" t="e">
        <f>AND(DATA!Y964,"AAAAADvqepM=")</f>
        <v>#VALUE!</v>
      </c>
      <c r="ES147">
        <f>IF(DATA!965:965,"AAAAADvqepQ=",0)</f>
        <v>0</v>
      </c>
      <c r="ET147" t="e">
        <f>AND(DATA!A965,"AAAAADvqepU=")</f>
        <v>#VALUE!</v>
      </c>
      <c r="EU147" t="e">
        <f>AND(DATA!B965,"AAAAADvqepY=")</f>
        <v>#VALUE!</v>
      </c>
      <c r="EV147" t="e">
        <f>AND(DATA!C965,"AAAAADvqepc=")</f>
        <v>#VALUE!</v>
      </c>
      <c r="EW147" t="e">
        <f>AND(DATA!D965,"AAAAADvqepg=")</f>
        <v>#VALUE!</v>
      </c>
      <c r="EX147" t="e">
        <f>AND(DATA!E965,"AAAAADvqepk=")</f>
        <v>#VALUE!</v>
      </c>
      <c r="EY147" t="e">
        <f>AND(DATA!F965,"AAAAADvqepo=")</f>
        <v>#VALUE!</v>
      </c>
      <c r="EZ147" t="e">
        <f>AND(DATA!G965,"AAAAADvqeps=")</f>
        <v>#VALUE!</v>
      </c>
      <c r="FA147" t="e">
        <f>AND(DATA!H965,"AAAAADvqepw=")</f>
        <v>#VALUE!</v>
      </c>
      <c r="FB147" t="e">
        <f>AND(DATA!I965,"AAAAADvqep0=")</f>
        <v>#VALUE!</v>
      </c>
      <c r="FC147" t="e">
        <f>AND(DATA!J965,"AAAAADvqep4=")</f>
        <v>#VALUE!</v>
      </c>
      <c r="FD147" t="e">
        <f>AND(DATA!K965,"AAAAADvqep8=")</f>
        <v>#VALUE!</v>
      </c>
      <c r="FE147" t="b">
        <f>AND(DATA!L966,"AAAAADvqeqA=")</f>
        <v>1</v>
      </c>
      <c r="FF147" t="b">
        <f>AND(DATA!M966,"AAAAADvqeqE=")</f>
        <v>1</v>
      </c>
      <c r="FG147" t="b">
        <f>AND(DATA!N966,"AAAAADvqeqI=")</f>
        <v>1</v>
      </c>
      <c r="FH147" t="b">
        <f>AND(DATA!O966,"AAAAADvqeqM=")</f>
        <v>1</v>
      </c>
      <c r="FI147" t="b">
        <f>AND(DATA!P966,"AAAAADvqeqQ=")</f>
        <v>1</v>
      </c>
      <c r="FJ147" t="b">
        <f>AND(DATA!Q966,"AAAAADvqeqU=")</f>
        <v>1</v>
      </c>
      <c r="FK147" t="b">
        <f>AND(DATA!R966,"AAAAADvqeqY=")</f>
        <v>1</v>
      </c>
      <c r="FL147" t="b">
        <f>AND(DATA!S966,"AAAAADvqeqc=")</f>
        <v>1</v>
      </c>
      <c r="FM147" t="b">
        <f>AND(DATA!T966,"AAAAADvqeqg=")</f>
        <v>1</v>
      </c>
      <c r="FN147" t="b">
        <f>AND(DATA!U966,"AAAAADvqeqk=")</f>
        <v>1</v>
      </c>
      <c r="FO147" t="b">
        <f>AND(DATA!V966,"AAAAADvqeqo=")</f>
        <v>1</v>
      </c>
      <c r="FP147" t="e">
        <f>AND(DATA!W965,"AAAAADvqeqs=")</f>
        <v>#VALUE!</v>
      </c>
      <c r="FQ147" t="e">
        <f>AND(DATA!X965,"AAAAADvqeqw=")</f>
        <v>#VALUE!</v>
      </c>
      <c r="FR147" t="e">
        <f>AND(DATA!Y965,"AAAAADvqeq0=")</f>
        <v>#VALUE!</v>
      </c>
      <c r="FS147">
        <f>IF(DATA!966:966,"AAAAADvqeq4=",0)</f>
        <v>0</v>
      </c>
      <c r="FT147" t="e">
        <f>AND(DATA!A966,"AAAAADvqeq8=")</f>
        <v>#VALUE!</v>
      </c>
      <c r="FU147" t="e">
        <f>AND(DATA!B966,"AAAAADvqerA=")</f>
        <v>#VALUE!</v>
      </c>
      <c r="FV147" t="e">
        <f>AND(DATA!C966,"AAAAADvqerE=")</f>
        <v>#VALUE!</v>
      </c>
      <c r="FW147" t="e">
        <f>AND(DATA!D966,"AAAAADvqerI=")</f>
        <v>#VALUE!</v>
      </c>
      <c r="FX147" t="e">
        <f>AND(DATA!E966,"AAAAADvqerM=")</f>
        <v>#VALUE!</v>
      </c>
      <c r="FY147" t="e">
        <f>AND(DATA!F966,"AAAAADvqerQ=")</f>
        <v>#VALUE!</v>
      </c>
      <c r="FZ147" t="e">
        <f>AND(DATA!G966,"AAAAADvqerU=")</f>
        <v>#VALUE!</v>
      </c>
      <c r="GA147" t="e">
        <f>AND(DATA!H966,"AAAAADvqerY=")</f>
        <v>#VALUE!</v>
      </c>
      <c r="GB147" t="e">
        <f>AND(DATA!I966,"AAAAADvqerc=")</f>
        <v>#VALUE!</v>
      </c>
      <c r="GC147" t="e">
        <f>AND(DATA!J966,"AAAAADvqerg=")</f>
        <v>#VALUE!</v>
      </c>
      <c r="GD147" t="e">
        <f>AND(DATA!K966,"AAAAADvqerk=")</f>
        <v>#VALUE!</v>
      </c>
      <c r="GE147" t="b">
        <f>AND(DATA!L967,"AAAAADvqero=")</f>
        <v>1</v>
      </c>
      <c r="GF147" t="b">
        <f>AND(DATA!M967,"AAAAADvqers=")</f>
        <v>1</v>
      </c>
      <c r="GG147" t="b">
        <f>AND(DATA!N967,"AAAAADvqerw=")</f>
        <v>1</v>
      </c>
      <c r="GH147" t="b">
        <f>AND(DATA!O967,"AAAAADvqer0=")</f>
        <v>1</v>
      </c>
      <c r="GI147" t="b">
        <f>AND(DATA!P967,"AAAAADvqer4=")</f>
        <v>1</v>
      </c>
      <c r="GJ147" t="b">
        <f>AND(DATA!Q967,"AAAAADvqer8=")</f>
        <v>1</v>
      </c>
      <c r="GK147" t="b">
        <f>AND(DATA!R967,"AAAAADvqesA=")</f>
        <v>1</v>
      </c>
      <c r="GL147" t="b">
        <f>AND(DATA!S967,"AAAAADvqesE=")</f>
        <v>1</v>
      </c>
      <c r="GM147" t="b">
        <f>AND(DATA!T967,"AAAAADvqesI=")</f>
        <v>1</v>
      </c>
      <c r="GN147" t="b">
        <f>AND(DATA!U967,"AAAAADvqesM=")</f>
        <v>1</v>
      </c>
      <c r="GO147" t="b">
        <f>AND(DATA!V967,"AAAAADvqesQ=")</f>
        <v>1</v>
      </c>
      <c r="GP147" t="e">
        <f>AND(DATA!W966,"AAAAADvqesU=")</f>
        <v>#VALUE!</v>
      </c>
      <c r="GQ147" t="e">
        <f>AND(DATA!X966,"AAAAADvqesY=")</f>
        <v>#VALUE!</v>
      </c>
      <c r="GR147" t="e">
        <f>AND(DATA!Y966,"AAAAADvqesc=")</f>
        <v>#VALUE!</v>
      </c>
      <c r="GS147">
        <f>IF(DATA!967:967,"AAAAADvqesg=",0)</f>
        <v>0</v>
      </c>
      <c r="GT147" t="e">
        <f>AND(DATA!A967,"AAAAADvqesk=")</f>
        <v>#VALUE!</v>
      </c>
      <c r="GU147" t="e">
        <f>AND(DATA!B967,"AAAAADvqeso=")</f>
        <v>#VALUE!</v>
      </c>
      <c r="GV147" t="e">
        <f>AND(DATA!C967,"AAAAADvqess=")</f>
        <v>#VALUE!</v>
      </c>
      <c r="GW147" t="e">
        <f>AND(DATA!D967,"AAAAADvqesw=")</f>
        <v>#VALUE!</v>
      </c>
      <c r="GX147" t="e">
        <f>AND(DATA!E967,"AAAAADvqes0=")</f>
        <v>#VALUE!</v>
      </c>
      <c r="GY147" t="e">
        <f>AND(DATA!F967,"AAAAADvqes4=")</f>
        <v>#VALUE!</v>
      </c>
      <c r="GZ147" t="e">
        <f>AND(DATA!G967,"AAAAADvqes8=")</f>
        <v>#VALUE!</v>
      </c>
      <c r="HA147" t="e">
        <f>AND(DATA!H967,"AAAAADvqetA=")</f>
        <v>#VALUE!</v>
      </c>
      <c r="HB147" t="e">
        <f>AND(DATA!I967,"AAAAADvqetE=")</f>
        <v>#VALUE!</v>
      </c>
      <c r="HC147" t="e">
        <f>AND(DATA!J967,"AAAAADvqetI=")</f>
        <v>#VALUE!</v>
      </c>
      <c r="HD147" t="e">
        <f>AND(DATA!K967,"AAAAADvqetM=")</f>
        <v>#VALUE!</v>
      </c>
      <c r="HE147" t="b">
        <f>AND(DATA!L968,"AAAAADvqetQ=")</f>
        <v>1</v>
      </c>
      <c r="HF147" t="b">
        <f>AND(DATA!M968,"AAAAADvqetU=")</f>
        <v>1</v>
      </c>
      <c r="HG147" t="b">
        <f>AND(DATA!N968,"AAAAADvqetY=")</f>
        <v>1</v>
      </c>
      <c r="HH147" t="b">
        <f>AND(DATA!O968,"AAAAADvqetc=")</f>
        <v>1</v>
      </c>
      <c r="HI147" t="b">
        <f>AND(DATA!P968,"AAAAADvqetg=")</f>
        <v>1</v>
      </c>
      <c r="HJ147" t="b">
        <f>AND(DATA!Q968,"AAAAADvqetk=")</f>
        <v>1</v>
      </c>
      <c r="HK147" t="b">
        <f>AND(DATA!R968,"AAAAADvqeto=")</f>
        <v>1</v>
      </c>
      <c r="HL147" t="b">
        <f>AND(DATA!S968,"AAAAADvqets=")</f>
        <v>1</v>
      </c>
      <c r="HM147" t="b">
        <f>AND(DATA!T968,"AAAAADvqetw=")</f>
        <v>1</v>
      </c>
      <c r="HN147" t="b">
        <f>AND(DATA!U968,"AAAAADvqet0=")</f>
        <v>1</v>
      </c>
      <c r="HO147" t="b">
        <f>AND(DATA!V968,"AAAAADvqet4=")</f>
        <v>1</v>
      </c>
      <c r="HP147" t="e">
        <f>AND(DATA!W967,"AAAAADvqet8=")</f>
        <v>#VALUE!</v>
      </c>
      <c r="HQ147" t="e">
        <f>AND(DATA!X967,"AAAAADvqeuA=")</f>
        <v>#VALUE!</v>
      </c>
      <c r="HR147" t="e">
        <f>AND(DATA!Y967,"AAAAADvqeuE=")</f>
        <v>#VALUE!</v>
      </c>
      <c r="HS147">
        <f>IF(DATA!968:968,"AAAAADvqeuI=",0)</f>
        <v>0</v>
      </c>
      <c r="HT147" t="e">
        <f>AND(DATA!A968,"AAAAADvqeuM=")</f>
        <v>#VALUE!</v>
      </c>
      <c r="HU147" t="e">
        <f>AND(DATA!B968,"AAAAADvqeuQ=")</f>
        <v>#VALUE!</v>
      </c>
      <c r="HV147" t="e">
        <f>AND(DATA!C968,"AAAAADvqeuU=")</f>
        <v>#VALUE!</v>
      </c>
      <c r="HW147" t="e">
        <f>AND(DATA!D968,"AAAAADvqeuY=")</f>
        <v>#VALUE!</v>
      </c>
      <c r="HX147" t="e">
        <f>AND(DATA!E968,"AAAAADvqeuc=")</f>
        <v>#VALUE!</v>
      </c>
      <c r="HY147" t="e">
        <f>AND(DATA!F968,"AAAAADvqeug=")</f>
        <v>#VALUE!</v>
      </c>
      <c r="HZ147" t="e">
        <f>AND(DATA!G968,"AAAAADvqeuk=")</f>
        <v>#VALUE!</v>
      </c>
      <c r="IA147" t="e">
        <f>AND(DATA!H968,"AAAAADvqeuo=")</f>
        <v>#VALUE!</v>
      </c>
      <c r="IB147" t="e">
        <f>AND(DATA!I968,"AAAAADvqeus=")</f>
        <v>#VALUE!</v>
      </c>
      <c r="IC147" t="e">
        <f>AND(DATA!J968,"AAAAADvqeuw=")</f>
        <v>#VALUE!</v>
      </c>
      <c r="ID147" t="e">
        <f>AND(DATA!K968,"AAAAADvqeu0=")</f>
        <v>#VALUE!</v>
      </c>
      <c r="IE147" t="b">
        <f>AND(DATA!L969,"AAAAADvqeu4=")</f>
        <v>1</v>
      </c>
      <c r="IF147" t="b">
        <f>AND(DATA!M969,"AAAAADvqeu8=")</f>
        <v>1</v>
      </c>
      <c r="IG147" t="b">
        <f>AND(DATA!N969,"AAAAADvqevA=")</f>
        <v>1</v>
      </c>
      <c r="IH147" t="b">
        <f>AND(DATA!O969,"AAAAADvqevE=")</f>
        <v>1</v>
      </c>
      <c r="II147" t="b">
        <f>AND(DATA!P969,"AAAAADvqevI=")</f>
        <v>1</v>
      </c>
      <c r="IJ147" t="b">
        <f>AND(DATA!Q969,"AAAAADvqevM=")</f>
        <v>1</v>
      </c>
      <c r="IK147" t="b">
        <f>AND(DATA!R969,"AAAAADvqevQ=")</f>
        <v>1</v>
      </c>
      <c r="IL147" t="b">
        <f>AND(DATA!S969,"AAAAADvqevU=")</f>
        <v>1</v>
      </c>
      <c r="IM147" t="b">
        <f>AND(DATA!T969,"AAAAADvqevY=")</f>
        <v>1</v>
      </c>
      <c r="IN147" t="b">
        <f>AND(DATA!U969,"AAAAADvqevc=")</f>
        <v>1</v>
      </c>
      <c r="IO147" t="b">
        <f>AND(DATA!V969,"AAAAADvqevg=")</f>
        <v>1</v>
      </c>
      <c r="IP147" t="e">
        <f>AND(DATA!W968,"AAAAADvqevk=")</f>
        <v>#VALUE!</v>
      </c>
      <c r="IQ147" t="e">
        <f>AND(DATA!X968,"AAAAADvqevo=")</f>
        <v>#VALUE!</v>
      </c>
      <c r="IR147" t="e">
        <f>AND(DATA!Y968,"AAAAADvqevs=")</f>
        <v>#VALUE!</v>
      </c>
      <c r="IS147">
        <f>IF(DATA!969:969,"AAAAADvqevw=",0)</f>
        <v>0</v>
      </c>
      <c r="IT147" t="e">
        <f>AND(DATA!A969,"AAAAADvqev0=")</f>
        <v>#VALUE!</v>
      </c>
      <c r="IU147" t="e">
        <f>AND(DATA!B969,"AAAAADvqev4=")</f>
        <v>#VALUE!</v>
      </c>
      <c r="IV147" t="e">
        <f>AND(DATA!C969,"AAAAADvqev8=")</f>
        <v>#VALUE!</v>
      </c>
    </row>
    <row r="148" spans="1:256" x14ac:dyDescent="0.25">
      <c r="A148" t="e">
        <f>AND(DATA!D969,"AAAAAH7+9wA=")</f>
        <v>#VALUE!</v>
      </c>
      <c r="B148" t="e">
        <f>AND(DATA!E969,"AAAAAH7+9wE=")</f>
        <v>#VALUE!</v>
      </c>
      <c r="C148" t="e">
        <f>AND(DATA!F969,"AAAAAH7+9wI=")</f>
        <v>#VALUE!</v>
      </c>
      <c r="D148" t="e">
        <f>AND(DATA!G969,"AAAAAH7+9wM=")</f>
        <v>#VALUE!</v>
      </c>
      <c r="E148" t="e">
        <f>AND(DATA!H969,"AAAAAH7+9wQ=")</f>
        <v>#VALUE!</v>
      </c>
      <c r="F148" t="e">
        <f>AND(DATA!I969,"AAAAAH7+9wU=")</f>
        <v>#VALUE!</v>
      </c>
      <c r="G148" t="e">
        <f>AND(DATA!J969,"AAAAAH7+9wY=")</f>
        <v>#VALUE!</v>
      </c>
      <c r="H148" t="e">
        <f>AND(DATA!K969,"AAAAAH7+9wc=")</f>
        <v>#VALUE!</v>
      </c>
      <c r="I148" t="b">
        <f>AND(DATA!L970,"AAAAAH7+9wg=")</f>
        <v>1</v>
      </c>
      <c r="J148" t="b">
        <f>AND(DATA!M970,"AAAAAH7+9wk=")</f>
        <v>1</v>
      </c>
      <c r="K148" t="b">
        <f>AND(DATA!N970,"AAAAAH7+9wo=")</f>
        <v>1</v>
      </c>
      <c r="L148" t="b">
        <f>AND(DATA!O970,"AAAAAH7+9ws=")</f>
        <v>1</v>
      </c>
      <c r="M148" t="b">
        <f>AND(DATA!P970,"AAAAAH7+9ww=")</f>
        <v>1</v>
      </c>
      <c r="N148" t="b">
        <f>AND(DATA!Q970,"AAAAAH7+9w0=")</f>
        <v>1</v>
      </c>
      <c r="O148" t="b">
        <f>AND(DATA!R970,"AAAAAH7+9w4=")</f>
        <v>1</v>
      </c>
      <c r="P148" t="b">
        <f>AND(DATA!S970,"AAAAAH7+9w8=")</f>
        <v>1</v>
      </c>
      <c r="Q148" t="b">
        <f>AND(DATA!T970,"AAAAAH7+9xA=")</f>
        <v>1</v>
      </c>
      <c r="R148" t="b">
        <f>AND(DATA!U970,"AAAAAH7+9xE=")</f>
        <v>1</v>
      </c>
      <c r="S148" t="b">
        <f>AND(DATA!V970,"AAAAAH7+9xI=")</f>
        <v>1</v>
      </c>
      <c r="T148" t="e">
        <f>AND(DATA!W969,"AAAAAH7+9xM=")</f>
        <v>#VALUE!</v>
      </c>
      <c r="U148" t="e">
        <f>AND(DATA!X969,"AAAAAH7+9xQ=")</f>
        <v>#VALUE!</v>
      </c>
      <c r="V148" t="e">
        <f>AND(DATA!Y969,"AAAAAH7+9xU=")</f>
        <v>#VALUE!</v>
      </c>
      <c r="W148">
        <f>IF(DATA!970:970,"AAAAAH7+9xY=",0)</f>
        <v>0</v>
      </c>
      <c r="X148" t="e">
        <f>AND(DATA!A970,"AAAAAH7+9xc=")</f>
        <v>#VALUE!</v>
      </c>
      <c r="Y148" t="e">
        <f>AND(DATA!B970,"AAAAAH7+9xg=")</f>
        <v>#VALUE!</v>
      </c>
      <c r="Z148" t="e">
        <f>AND(DATA!C970,"AAAAAH7+9xk=")</f>
        <v>#VALUE!</v>
      </c>
      <c r="AA148" t="e">
        <f>AND(DATA!D970,"AAAAAH7+9xo=")</f>
        <v>#VALUE!</v>
      </c>
      <c r="AB148" t="e">
        <f>AND(DATA!E970,"AAAAAH7+9xs=")</f>
        <v>#VALUE!</v>
      </c>
      <c r="AC148" t="e">
        <f>AND(DATA!F970,"AAAAAH7+9xw=")</f>
        <v>#VALUE!</v>
      </c>
      <c r="AD148" t="e">
        <f>AND(DATA!G970,"AAAAAH7+9x0=")</f>
        <v>#VALUE!</v>
      </c>
      <c r="AE148" t="e">
        <f>AND(DATA!H970,"AAAAAH7+9x4=")</f>
        <v>#VALUE!</v>
      </c>
      <c r="AF148" t="e">
        <f>AND(DATA!I970,"AAAAAH7+9x8=")</f>
        <v>#VALUE!</v>
      </c>
      <c r="AG148" t="e">
        <f>AND(DATA!J970,"AAAAAH7+9yA=")</f>
        <v>#VALUE!</v>
      </c>
      <c r="AH148" t="e">
        <f>AND(DATA!K970,"AAAAAH7+9yE=")</f>
        <v>#VALUE!</v>
      </c>
      <c r="AI148" t="b">
        <f>AND(DATA!L971,"AAAAAH7+9yI=")</f>
        <v>1</v>
      </c>
      <c r="AJ148" t="b">
        <f>AND(DATA!M971,"AAAAAH7+9yM=")</f>
        <v>1</v>
      </c>
      <c r="AK148" t="b">
        <f>AND(DATA!N971,"AAAAAH7+9yQ=")</f>
        <v>1</v>
      </c>
      <c r="AL148" t="b">
        <f>AND(DATA!O971,"AAAAAH7+9yU=")</f>
        <v>1</v>
      </c>
      <c r="AM148" t="b">
        <f>AND(DATA!P971,"AAAAAH7+9yY=")</f>
        <v>1</v>
      </c>
      <c r="AN148" t="b">
        <f>AND(DATA!Q971,"AAAAAH7+9yc=")</f>
        <v>1</v>
      </c>
      <c r="AO148" t="b">
        <f>AND(DATA!R971,"AAAAAH7+9yg=")</f>
        <v>1</v>
      </c>
      <c r="AP148" t="b">
        <f>AND(DATA!S971,"AAAAAH7+9yk=")</f>
        <v>1</v>
      </c>
      <c r="AQ148" t="b">
        <f>AND(DATA!T971,"AAAAAH7+9yo=")</f>
        <v>1</v>
      </c>
      <c r="AR148" t="b">
        <f>AND(DATA!U971,"AAAAAH7+9ys=")</f>
        <v>1</v>
      </c>
      <c r="AS148" t="b">
        <f>AND(DATA!V971,"AAAAAH7+9yw=")</f>
        <v>1</v>
      </c>
      <c r="AT148" t="e">
        <f>AND(DATA!W970,"AAAAAH7+9y0=")</f>
        <v>#VALUE!</v>
      </c>
      <c r="AU148" t="e">
        <f>AND(DATA!X970,"AAAAAH7+9y4=")</f>
        <v>#VALUE!</v>
      </c>
      <c r="AV148" t="e">
        <f>AND(DATA!Y970,"AAAAAH7+9y8=")</f>
        <v>#VALUE!</v>
      </c>
      <c r="AW148">
        <f>IF(DATA!971:971,"AAAAAH7+9zA=",0)</f>
        <v>0</v>
      </c>
      <c r="AX148" t="e">
        <f>AND(DATA!A971,"AAAAAH7+9zE=")</f>
        <v>#VALUE!</v>
      </c>
      <c r="AY148" t="e">
        <f>AND(DATA!B971,"AAAAAH7+9zI=")</f>
        <v>#VALUE!</v>
      </c>
      <c r="AZ148" t="e">
        <f>AND(DATA!C971,"AAAAAH7+9zM=")</f>
        <v>#VALUE!</v>
      </c>
      <c r="BA148" t="e">
        <f>AND(DATA!D971,"AAAAAH7+9zQ=")</f>
        <v>#VALUE!</v>
      </c>
      <c r="BB148" t="e">
        <f>AND(DATA!E971,"AAAAAH7+9zU=")</f>
        <v>#VALUE!</v>
      </c>
      <c r="BC148" t="e">
        <f>AND(DATA!F971,"AAAAAH7+9zY=")</f>
        <v>#VALUE!</v>
      </c>
      <c r="BD148" t="e">
        <f>AND(DATA!G971,"AAAAAH7+9zc=")</f>
        <v>#VALUE!</v>
      </c>
      <c r="BE148" t="e">
        <f>AND(DATA!H971,"AAAAAH7+9zg=")</f>
        <v>#VALUE!</v>
      </c>
      <c r="BF148" t="e">
        <f>AND(DATA!I971,"AAAAAH7+9zk=")</f>
        <v>#VALUE!</v>
      </c>
      <c r="BG148" t="e">
        <f>AND(DATA!J971,"AAAAAH7+9zo=")</f>
        <v>#VALUE!</v>
      </c>
      <c r="BH148" t="e">
        <f>AND(DATA!K971,"AAAAAH7+9zs=")</f>
        <v>#VALUE!</v>
      </c>
      <c r="BI148" t="b">
        <f>AND(DATA!L972,"AAAAAH7+9zw=")</f>
        <v>1</v>
      </c>
      <c r="BJ148" t="b">
        <f>AND(DATA!M972,"AAAAAH7+9z0=")</f>
        <v>1</v>
      </c>
      <c r="BK148" t="b">
        <f>AND(DATA!N972,"AAAAAH7+9z4=")</f>
        <v>1</v>
      </c>
      <c r="BL148" t="b">
        <f>AND(DATA!O972,"AAAAAH7+9z8=")</f>
        <v>1</v>
      </c>
      <c r="BM148" t="b">
        <f>AND(DATA!P972,"AAAAAH7+90A=")</f>
        <v>1</v>
      </c>
      <c r="BN148" t="b">
        <f>AND(DATA!Q972,"AAAAAH7+90E=")</f>
        <v>1</v>
      </c>
      <c r="BO148" t="b">
        <f>AND(DATA!R972,"AAAAAH7+90I=")</f>
        <v>1</v>
      </c>
      <c r="BP148" t="b">
        <f>AND(DATA!S972,"AAAAAH7+90M=")</f>
        <v>1</v>
      </c>
      <c r="BQ148" t="b">
        <f>AND(DATA!T972,"AAAAAH7+90Q=")</f>
        <v>1</v>
      </c>
      <c r="BR148" t="b">
        <f>AND(DATA!U972,"AAAAAH7+90U=")</f>
        <v>1</v>
      </c>
      <c r="BS148" t="b">
        <f>AND(DATA!V972,"AAAAAH7+90Y=")</f>
        <v>1</v>
      </c>
      <c r="BT148" t="e">
        <f>AND(DATA!W971,"AAAAAH7+90c=")</f>
        <v>#VALUE!</v>
      </c>
      <c r="BU148" t="e">
        <f>AND(DATA!X971,"AAAAAH7+90g=")</f>
        <v>#VALUE!</v>
      </c>
      <c r="BV148" t="e">
        <f>AND(DATA!Y971,"AAAAAH7+90k=")</f>
        <v>#VALUE!</v>
      </c>
      <c r="BW148">
        <f>IF(DATA!972:972,"AAAAAH7+90o=",0)</f>
        <v>0</v>
      </c>
      <c r="BX148" t="e">
        <f>AND(DATA!A972,"AAAAAH7+90s=")</f>
        <v>#VALUE!</v>
      </c>
      <c r="BY148" t="e">
        <f>AND(DATA!B972,"AAAAAH7+90w=")</f>
        <v>#VALUE!</v>
      </c>
      <c r="BZ148" t="e">
        <f>AND(DATA!C972,"AAAAAH7+900=")</f>
        <v>#VALUE!</v>
      </c>
      <c r="CA148" t="e">
        <f>AND(DATA!D972,"AAAAAH7+904=")</f>
        <v>#VALUE!</v>
      </c>
      <c r="CB148" t="e">
        <f>AND(DATA!E972,"AAAAAH7+908=")</f>
        <v>#VALUE!</v>
      </c>
      <c r="CC148" t="e">
        <f>AND(DATA!F972,"AAAAAH7+91A=")</f>
        <v>#VALUE!</v>
      </c>
      <c r="CD148" t="e">
        <f>AND(DATA!G972,"AAAAAH7+91E=")</f>
        <v>#VALUE!</v>
      </c>
      <c r="CE148" t="e">
        <f>AND(DATA!H972,"AAAAAH7+91I=")</f>
        <v>#VALUE!</v>
      </c>
      <c r="CF148" t="e">
        <f>AND(DATA!I972,"AAAAAH7+91M=")</f>
        <v>#VALUE!</v>
      </c>
      <c r="CG148" t="e">
        <f>AND(DATA!J972,"AAAAAH7+91Q=")</f>
        <v>#VALUE!</v>
      </c>
      <c r="CH148" t="e">
        <f>AND(DATA!K972,"AAAAAH7+91U=")</f>
        <v>#VALUE!</v>
      </c>
      <c r="CI148" t="b">
        <f>AND(DATA!L973,"AAAAAH7+91Y=")</f>
        <v>1</v>
      </c>
      <c r="CJ148" t="b">
        <f>AND(DATA!M973,"AAAAAH7+91c=")</f>
        <v>1</v>
      </c>
      <c r="CK148" t="b">
        <f>AND(DATA!N973,"AAAAAH7+91g=")</f>
        <v>1</v>
      </c>
      <c r="CL148" t="b">
        <f>AND(DATA!O973,"AAAAAH7+91k=")</f>
        <v>1</v>
      </c>
      <c r="CM148" t="b">
        <f>AND(DATA!P973,"AAAAAH7+91o=")</f>
        <v>1</v>
      </c>
      <c r="CN148" t="b">
        <f>AND(DATA!Q973,"AAAAAH7+91s=")</f>
        <v>1</v>
      </c>
      <c r="CO148" t="b">
        <f>AND(DATA!R973,"AAAAAH7+91w=")</f>
        <v>1</v>
      </c>
      <c r="CP148" t="b">
        <f>AND(DATA!S973,"AAAAAH7+910=")</f>
        <v>1</v>
      </c>
      <c r="CQ148" t="b">
        <f>AND(DATA!T973,"AAAAAH7+914=")</f>
        <v>1</v>
      </c>
      <c r="CR148" t="b">
        <f>AND(DATA!U973,"AAAAAH7+918=")</f>
        <v>1</v>
      </c>
      <c r="CS148" t="b">
        <f>AND(DATA!V973,"AAAAAH7+92A=")</f>
        <v>1</v>
      </c>
      <c r="CT148" t="e">
        <f>AND(DATA!W972,"AAAAAH7+92E=")</f>
        <v>#VALUE!</v>
      </c>
      <c r="CU148" t="e">
        <f>AND(DATA!X972,"AAAAAH7+92I=")</f>
        <v>#VALUE!</v>
      </c>
      <c r="CV148" t="e">
        <f>AND(DATA!Y972,"AAAAAH7+92M=")</f>
        <v>#VALUE!</v>
      </c>
      <c r="CW148">
        <f>IF(DATA!973:973,"AAAAAH7+92Q=",0)</f>
        <v>0</v>
      </c>
      <c r="CX148" t="e">
        <f>AND(DATA!A973,"AAAAAH7+92U=")</f>
        <v>#VALUE!</v>
      </c>
      <c r="CY148" t="e">
        <f>AND(DATA!B973,"AAAAAH7+92Y=")</f>
        <v>#VALUE!</v>
      </c>
      <c r="CZ148" t="e">
        <f>AND(DATA!C973,"AAAAAH7+92c=")</f>
        <v>#VALUE!</v>
      </c>
      <c r="DA148" t="e">
        <f>AND(DATA!D973,"AAAAAH7+92g=")</f>
        <v>#VALUE!</v>
      </c>
      <c r="DB148" t="e">
        <f>AND(DATA!E973,"AAAAAH7+92k=")</f>
        <v>#VALUE!</v>
      </c>
      <c r="DC148" t="e">
        <f>AND(DATA!F973,"AAAAAH7+92o=")</f>
        <v>#VALUE!</v>
      </c>
      <c r="DD148" t="e">
        <f>AND(DATA!G973,"AAAAAH7+92s=")</f>
        <v>#VALUE!</v>
      </c>
      <c r="DE148" t="e">
        <f>AND(DATA!H973,"AAAAAH7+92w=")</f>
        <v>#VALUE!</v>
      </c>
      <c r="DF148" t="e">
        <f>AND(DATA!I973,"AAAAAH7+920=")</f>
        <v>#VALUE!</v>
      </c>
      <c r="DG148" t="e">
        <f>AND(DATA!J973,"AAAAAH7+924=")</f>
        <v>#VALUE!</v>
      </c>
      <c r="DH148" t="e">
        <f>AND(DATA!K973,"AAAAAH7+928=")</f>
        <v>#VALUE!</v>
      </c>
      <c r="DI148" t="b">
        <f>AND(DATA!L974,"AAAAAH7+93A=")</f>
        <v>1</v>
      </c>
      <c r="DJ148" t="b">
        <f>AND(DATA!M974,"AAAAAH7+93E=")</f>
        <v>1</v>
      </c>
      <c r="DK148" t="b">
        <f>AND(DATA!N974,"AAAAAH7+93I=")</f>
        <v>1</v>
      </c>
      <c r="DL148" t="b">
        <f>AND(DATA!O974,"AAAAAH7+93M=")</f>
        <v>1</v>
      </c>
      <c r="DM148" t="b">
        <f>AND(DATA!P974,"AAAAAH7+93Q=")</f>
        <v>1</v>
      </c>
      <c r="DN148" t="b">
        <f>AND(DATA!Q974,"AAAAAH7+93U=")</f>
        <v>1</v>
      </c>
      <c r="DO148" t="b">
        <f>AND(DATA!R974,"AAAAAH7+93Y=")</f>
        <v>1</v>
      </c>
      <c r="DP148" t="b">
        <f>AND(DATA!S974,"AAAAAH7+93c=")</f>
        <v>1</v>
      </c>
      <c r="DQ148" t="b">
        <f>AND(DATA!T974,"AAAAAH7+93g=")</f>
        <v>1</v>
      </c>
      <c r="DR148" t="b">
        <f>AND(DATA!U974,"AAAAAH7+93k=")</f>
        <v>1</v>
      </c>
      <c r="DS148" t="b">
        <f>AND(DATA!V974,"AAAAAH7+93o=")</f>
        <v>1</v>
      </c>
      <c r="DT148" t="e">
        <f>AND(DATA!W973,"AAAAAH7+93s=")</f>
        <v>#VALUE!</v>
      </c>
      <c r="DU148" t="e">
        <f>AND(DATA!X973,"AAAAAH7+93w=")</f>
        <v>#VALUE!</v>
      </c>
      <c r="DV148" t="e">
        <f>AND(DATA!Y973,"AAAAAH7+930=")</f>
        <v>#VALUE!</v>
      </c>
      <c r="DW148">
        <f>IF(DATA!974:974,"AAAAAH7+934=",0)</f>
        <v>0</v>
      </c>
      <c r="DX148" t="e">
        <f>AND(DATA!A974,"AAAAAH7+938=")</f>
        <v>#VALUE!</v>
      </c>
      <c r="DY148" t="e">
        <f>AND(DATA!B974,"AAAAAH7+94A=")</f>
        <v>#VALUE!</v>
      </c>
      <c r="DZ148" t="e">
        <f>AND(DATA!C974,"AAAAAH7+94E=")</f>
        <v>#VALUE!</v>
      </c>
      <c r="EA148" t="e">
        <f>AND(DATA!D974,"AAAAAH7+94I=")</f>
        <v>#VALUE!</v>
      </c>
      <c r="EB148" t="e">
        <f>AND(DATA!E974,"AAAAAH7+94M=")</f>
        <v>#VALUE!</v>
      </c>
      <c r="EC148" t="e">
        <f>AND(DATA!F974,"AAAAAH7+94Q=")</f>
        <v>#VALUE!</v>
      </c>
      <c r="ED148" t="e">
        <f>AND(DATA!G974,"AAAAAH7+94U=")</f>
        <v>#VALUE!</v>
      </c>
      <c r="EE148" t="e">
        <f>AND(DATA!H974,"AAAAAH7+94Y=")</f>
        <v>#VALUE!</v>
      </c>
      <c r="EF148" t="e">
        <f>AND(DATA!I974,"AAAAAH7+94c=")</f>
        <v>#VALUE!</v>
      </c>
      <c r="EG148" t="e">
        <f>AND(DATA!J974,"AAAAAH7+94g=")</f>
        <v>#VALUE!</v>
      </c>
      <c r="EH148" t="e">
        <f>AND(DATA!K974,"AAAAAH7+94k=")</f>
        <v>#VALUE!</v>
      </c>
      <c r="EI148" t="b">
        <f>AND(DATA!L975,"AAAAAH7+94o=")</f>
        <v>1</v>
      </c>
      <c r="EJ148" t="b">
        <f>AND(DATA!M975,"AAAAAH7+94s=")</f>
        <v>1</v>
      </c>
      <c r="EK148" t="b">
        <f>AND(DATA!N975,"AAAAAH7+94w=")</f>
        <v>1</v>
      </c>
      <c r="EL148" t="b">
        <f>AND(DATA!O975,"AAAAAH7+940=")</f>
        <v>1</v>
      </c>
      <c r="EM148" t="b">
        <f>AND(DATA!P975,"AAAAAH7+944=")</f>
        <v>1</v>
      </c>
      <c r="EN148" t="b">
        <f>AND(DATA!Q975,"AAAAAH7+948=")</f>
        <v>1</v>
      </c>
      <c r="EO148" t="b">
        <f>AND(DATA!R975,"AAAAAH7+95A=")</f>
        <v>1</v>
      </c>
      <c r="EP148" t="b">
        <f>AND(DATA!S975,"AAAAAH7+95E=")</f>
        <v>1</v>
      </c>
      <c r="EQ148" t="b">
        <f>AND(DATA!T975,"AAAAAH7+95I=")</f>
        <v>1</v>
      </c>
      <c r="ER148" t="b">
        <f>AND(DATA!U975,"AAAAAH7+95M=")</f>
        <v>1</v>
      </c>
      <c r="ES148" t="b">
        <f>AND(DATA!V975,"AAAAAH7+95Q=")</f>
        <v>1</v>
      </c>
      <c r="ET148" t="e">
        <f>AND(DATA!W974,"AAAAAH7+95U=")</f>
        <v>#VALUE!</v>
      </c>
      <c r="EU148" t="e">
        <f>AND(DATA!X974,"AAAAAH7+95Y=")</f>
        <v>#VALUE!</v>
      </c>
      <c r="EV148" t="e">
        <f>AND(DATA!Y974,"AAAAAH7+95c=")</f>
        <v>#VALUE!</v>
      </c>
      <c r="EW148">
        <f>IF(DATA!975:975,"AAAAAH7+95g=",0)</f>
        <v>0</v>
      </c>
      <c r="EX148" t="e">
        <f>AND(DATA!A975,"AAAAAH7+95k=")</f>
        <v>#VALUE!</v>
      </c>
      <c r="EY148" t="e">
        <f>AND(DATA!B975,"AAAAAH7+95o=")</f>
        <v>#VALUE!</v>
      </c>
      <c r="EZ148" t="e">
        <f>AND(DATA!C975,"AAAAAH7+95s=")</f>
        <v>#VALUE!</v>
      </c>
      <c r="FA148" t="e">
        <f>AND(DATA!D975,"AAAAAH7+95w=")</f>
        <v>#VALUE!</v>
      </c>
      <c r="FB148" t="e">
        <f>AND(DATA!E975,"AAAAAH7+950=")</f>
        <v>#VALUE!</v>
      </c>
      <c r="FC148" t="e">
        <f>AND(DATA!F975,"AAAAAH7+954=")</f>
        <v>#VALUE!</v>
      </c>
      <c r="FD148" t="e">
        <f>AND(DATA!G975,"AAAAAH7+958=")</f>
        <v>#VALUE!</v>
      </c>
      <c r="FE148" t="e">
        <f>AND(DATA!H975,"AAAAAH7+96A=")</f>
        <v>#VALUE!</v>
      </c>
      <c r="FF148" t="e">
        <f>AND(DATA!I975,"AAAAAH7+96E=")</f>
        <v>#VALUE!</v>
      </c>
      <c r="FG148" t="e">
        <f>AND(DATA!J975,"AAAAAH7+96I=")</f>
        <v>#VALUE!</v>
      </c>
      <c r="FH148" t="e">
        <f>AND(DATA!K975,"AAAAAH7+96M=")</f>
        <v>#VALUE!</v>
      </c>
      <c r="FI148" t="b">
        <f>AND(DATA!L976,"AAAAAH7+96Q=")</f>
        <v>1</v>
      </c>
      <c r="FJ148" t="b">
        <f>AND(DATA!M976,"AAAAAH7+96U=")</f>
        <v>1</v>
      </c>
      <c r="FK148" t="b">
        <f>AND(DATA!N976,"AAAAAH7+96Y=")</f>
        <v>1</v>
      </c>
      <c r="FL148" t="b">
        <f>AND(DATA!O976,"AAAAAH7+96c=")</f>
        <v>1</v>
      </c>
      <c r="FM148" t="b">
        <f>AND(DATA!P976,"AAAAAH7+96g=")</f>
        <v>1</v>
      </c>
      <c r="FN148" t="b">
        <f>AND(DATA!Q976,"AAAAAH7+96k=")</f>
        <v>1</v>
      </c>
      <c r="FO148" t="b">
        <f>AND(DATA!R976,"AAAAAH7+96o=")</f>
        <v>1</v>
      </c>
      <c r="FP148" t="b">
        <f>AND(DATA!S976,"AAAAAH7+96s=")</f>
        <v>1</v>
      </c>
      <c r="FQ148" t="b">
        <f>AND(DATA!T976,"AAAAAH7+96w=")</f>
        <v>1</v>
      </c>
      <c r="FR148" t="b">
        <f>AND(DATA!U976,"AAAAAH7+960=")</f>
        <v>1</v>
      </c>
      <c r="FS148" t="b">
        <f>AND(DATA!V976,"AAAAAH7+964=")</f>
        <v>1</v>
      </c>
      <c r="FT148" t="e">
        <f>AND(DATA!W975,"AAAAAH7+968=")</f>
        <v>#VALUE!</v>
      </c>
      <c r="FU148" t="e">
        <f>AND(DATA!X975,"AAAAAH7+97A=")</f>
        <v>#VALUE!</v>
      </c>
      <c r="FV148" t="e">
        <f>AND(DATA!Y975,"AAAAAH7+97E=")</f>
        <v>#VALUE!</v>
      </c>
      <c r="FW148">
        <f>IF(DATA!976:976,"AAAAAH7+97I=",0)</f>
        <v>0</v>
      </c>
      <c r="FX148" t="e">
        <f>AND(DATA!A976,"AAAAAH7+97M=")</f>
        <v>#VALUE!</v>
      </c>
      <c r="FY148" t="e">
        <f>AND(DATA!B976,"AAAAAH7+97Q=")</f>
        <v>#VALUE!</v>
      </c>
      <c r="FZ148" t="e">
        <f>AND(DATA!C976,"AAAAAH7+97U=")</f>
        <v>#VALUE!</v>
      </c>
      <c r="GA148" t="e">
        <f>AND(DATA!D976,"AAAAAH7+97Y=")</f>
        <v>#VALUE!</v>
      </c>
      <c r="GB148" t="e">
        <f>AND(DATA!E976,"AAAAAH7+97c=")</f>
        <v>#VALUE!</v>
      </c>
      <c r="GC148" t="e">
        <f>AND(DATA!F976,"AAAAAH7+97g=")</f>
        <v>#VALUE!</v>
      </c>
      <c r="GD148" t="e">
        <f>AND(DATA!G976,"AAAAAH7+97k=")</f>
        <v>#VALUE!</v>
      </c>
      <c r="GE148" t="e">
        <f>AND(DATA!H976,"AAAAAH7+97o=")</f>
        <v>#VALUE!</v>
      </c>
      <c r="GF148" t="e">
        <f>AND(DATA!I976,"AAAAAH7+97s=")</f>
        <v>#VALUE!</v>
      </c>
      <c r="GG148" t="e">
        <f>AND(DATA!J976,"AAAAAH7+97w=")</f>
        <v>#VALUE!</v>
      </c>
      <c r="GH148" t="e">
        <f>AND(DATA!K976,"AAAAAH7+970=")</f>
        <v>#VALUE!</v>
      </c>
      <c r="GI148" t="b">
        <f>AND(DATA!L977,"AAAAAH7+974=")</f>
        <v>1</v>
      </c>
      <c r="GJ148" t="b">
        <f>AND(DATA!M977,"AAAAAH7+978=")</f>
        <v>1</v>
      </c>
      <c r="GK148" t="b">
        <f>AND(DATA!N977,"AAAAAH7+98A=")</f>
        <v>1</v>
      </c>
      <c r="GL148" t="b">
        <f>AND(DATA!O977,"AAAAAH7+98E=")</f>
        <v>1</v>
      </c>
      <c r="GM148" t="b">
        <f>AND(DATA!P977,"AAAAAH7+98I=")</f>
        <v>1</v>
      </c>
      <c r="GN148" t="b">
        <f>AND(DATA!Q977,"AAAAAH7+98M=")</f>
        <v>1</v>
      </c>
      <c r="GO148" t="b">
        <f>AND(DATA!R977,"AAAAAH7+98Q=")</f>
        <v>1</v>
      </c>
      <c r="GP148" t="b">
        <f>AND(DATA!S977,"AAAAAH7+98U=")</f>
        <v>1</v>
      </c>
      <c r="GQ148" t="b">
        <f>AND(DATA!T977,"AAAAAH7+98Y=")</f>
        <v>1</v>
      </c>
      <c r="GR148" t="b">
        <f>AND(DATA!U977,"AAAAAH7+98c=")</f>
        <v>1</v>
      </c>
      <c r="GS148" t="b">
        <f>AND(DATA!V977,"AAAAAH7+98g=")</f>
        <v>1</v>
      </c>
      <c r="GT148" t="e">
        <f>AND(DATA!W976,"AAAAAH7+98k=")</f>
        <v>#VALUE!</v>
      </c>
      <c r="GU148" t="e">
        <f>AND(DATA!X976,"AAAAAH7+98o=")</f>
        <v>#VALUE!</v>
      </c>
      <c r="GV148" t="e">
        <f>AND(DATA!Y976,"AAAAAH7+98s=")</f>
        <v>#VALUE!</v>
      </c>
      <c r="GW148">
        <f>IF(DATA!977:977,"AAAAAH7+98w=",0)</f>
        <v>0</v>
      </c>
      <c r="GX148" t="e">
        <f>AND(DATA!A977,"AAAAAH7+980=")</f>
        <v>#VALUE!</v>
      </c>
      <c r="GY148" t="e">
        <f>AND(DATA!B977,"AAAAAH7+984=")</f>
        <v>#VALUE!</v>
      </c>
      <c r="GZ148" t="e">
        <f>AND(DATA!C977,"AAAAAH7+988=")</f>
        <v>#VALUE!</v>
      </c>
      <c r="HA148" t="e">
        <f>AND(DATA!D977,"AAAAAH7+99A=")</f>
        <v>#VALUE!</v>
      </c>
      <c r="HB148" t="e">
        <f>AND(DATA!E977,"AAAAAH7+99E=")</f>
        <v>#VALUE!</v>
      </c>
      <c r="HC148" t="e">
        <f>AND(DATA!F977,"AAAAAH7+99I=")</f>
        <v>#VALUE!</v>
      </c>
      <c r="HD148" t="e">
        <f>AND(DATA!G977,"AAAAAH7+99M=")</f>
        <v>#VALUE!</v>
      </c>
      <c r="HE148" t="e">
        <f>AND(DATA!H977,"AAAAAH7+99Q=")</f>
        <v>#VALUE!</v>
      </c>
      <c r="HF148" t="e">
        <f>AND(DATA!I977,"AAAAAH7+99U=")</f>
        <v>#VALUE!</v>
      </c>
      <c r="HG148" t="e">
        <f>AND(DATA!J977,"AAAAAH7+99Y=")</f>
        <v>#VALUE!</v>
      </c>
      <c r="HH148" t="e">
        <f>AND(DATA!K977,"AAAAAH7+99c=")</f>
        <v>#VALUE!</v>
      </c>
      <c r="HI148" t="b">
        <f>AND(DATA!L978,"AAAAAH7+99g=")</f>
        <v>1</v>
      </c>
      <c r="HJ148" t="b">
        <f>AND(DATA!M978,"AAAAAH7+99k=")</f>
        <v>1</v>
      </c>
      <c r="HK148" t="b">
        <f>AND(DATA!N978,"AAAAAH7+99o=")</f>
        <v>1</v>
      </c>
      <c r="HL148" t="b">
        <f>AND(DATA!O978,"AAAAAH7+99s=")</f>
        <v>1</v>
      </c>
      <c r="HM148" t="b">
        <f>AND(DATA!P978,"AAAAAH7+99w=")</f>
        <v>1</v>
      </c>
      <c r="HN148" t="b">
        <f>AND(DATA!Q978,"AAAAAH7+990=")</f>
        <v>1</v>
      </c>
      <c r="HO148" t="b">
        <f>AND(DATA!R978,"AAAAAH7+994=")</f>
        <v>1</v>
      </c>
      <c r="HP148" t="b">
        <f>AND(DATA!S978,"AAAAAH7+998=")</f>
        <v>1</v>
      </c>
      <c r="HQ148" t="b">
        <f>AND(DATA!T978,"AAAAAH7+9+A=")</f>
        <v>1</v>
      </c>
      <c r="HR148" t="b">
        <f>AND(DATA!U978,"AAAAAH7+9+E=")</f>
        <v>1</v>
      </c>
      <c r="HS148" t="b">
        <f>AND(DATA!V978,"AAAAAH7+9+I=")</f>
        <v>1</v>
      </c>
      <c r="HT148" t="e">
        <f>AND(DATA!W977,"AAAAAH7+9+M=")</f>
        <v>#VALUE!</v>
      </c>
      <c r="HU148" t="e">
        <f>AND(DATA!X977,"AAAAAH7+9+Q=")</f>
        <v>#VALUE!</v>
      </c>
      <c r="HV148" t="e">
        <f>AND(DATA!Y977,"AAAAAH7+9+U=")</f>
        <v>#VALUE!</v>
      </c>
      <c r="HW148">
        <f>IF(DATA!978:978,"AAAAAH7+9+Y=",0)</f>
        <v>0</v>
      </c>
      <c r="HX148" t="e">
        <f>AND(DATA!A978,"AAAAAH7+9+c=")</f>
        <v>#VALUE!</v>
      </c>
      <c r="HY148" t="e">
        <f>AND(DATA!B978,"AAAAAH7+9+g=")</f>
        <v>#VALUE!</v>
      </c>
      <c r="HZ148" t="e">
        <f>AND(DATA!C978,"AAAAAH7+9+k=")</f>
        <v>#VALUE!</v>
      </c>
      <c r="IA148" t="e">
        <f>AND(DATA!D978,"AAAAAH7+9+o=")</f>
        <v>#VALUE!</v>
      </c>
      <c r="IB148" t="e">
        <f>AND(DATA!E978,"AAAAAH7+9+s=")</f>
        <v>#VALUE!</v>
      </c>
      <c r="IC148" t="e">
        <f>AND(DATA!F978,"AAAAAH7+9+w=")</f>
        <v>#VALUE!</v>
      </c>
      <c r="ID148" t="e">
        <f>AND(DATA!G978,"AAAAAH7+9+0=")</f>
        <v>#VALUE!</v>
      </c>
      <c r="IE148" t="e">
        <f>AND(DATA!H978,"AAAAAH7+9+4=")</f>
        <v>#VALUE!</v>
      </c>
      <c r="IF148" t="e">
        <f>AND(DATA!I978,"AAAAAH7+9+8=")</f>
        <v>#VALUE!</v>
      </c>
      <c r="IG148" t="e">
        <f>AND(DATA!J978,"AAAAAH7+9/A=")</f>
        <v>#VALUE!</v>
      </c>
      <c r="IH148" t="e">
        <f>AND(DATA!K978,"AAAAAH7+9/E=")</f>
        <v>#VALUE!</v>
      </c>
      <c r="II148" t="b">
        <f>AND(DATA!L979,"AAAAAH7+9/I=")</f>
        <v>1</v>
      </c>
      <c r="IJ148" t="b">
        <f>AND(DATA!M979,"AAAAAH7+9/M=")</f>
        <v>1</v>
      </c>
      <c r="IK148" t="b">
        <f>AND(DATA!N979,"AAAAAH7+9/Q=")</f>
        <v>1</v>
      </c>
      <c r="IL148" t="b">
        <f>AND(DATA!O979,"AAAAAH7+9/U=")</f>
        <v>1</v>
      </c>
      <c r="IM148" t="b">
        <f>AND(DATA!P979,"AAAAAH7+9/Y=")</f>
        <v>1</v>
      </c>
      <c r="IN148" t="b">
        <f>AND(DATA!Q979,"AAAAAH7+9/c=")</f>
        <v>1</v>
      </c>
      <c r="IO148" t="b">
        <f>AND(DATA!R979,"AAAAAH7+9/g=")</f>
        <v>1</v>
      </c>
      <c r="IP148" t="b">
        <f>AND(DATA!S979,"AAAAAH7+9/k=")</f>
        <v>1</v>
      </c>
      <c r="IQ148" t="b">
        <f>AND(DATA!T979,"AAAAAH7+9/o=")</f>
        <v>1</v>
      </c>
      <c r="IR148" t="b">
        <f>AND(DATA!U979,"AAAAAH7+9/s=")</f>
        <v>1</v>
      </c>
      <c r="IS148" t="b">
        <f>AND(DATA!V979,"AAAAAH7+9/w=")</f>
        <v>1</v>
      </c>
      <c r="IT148" t="e">
        <f>AND(DATA!W978,"AAAAAH7+9/0=")</f>
        <v>#VALUE!</v>
      </c>
      <c r="IU148" t="e">
        <f>AND(DATA!X978,"AAAAAH7+9/4=")</f>
        <v>#VALUE!</v>
      </c>
      <c r="IV148" t="e">
        <f>AND(DATA!Y978,"AAAAAH7+9/8=")</f>
        <v>#VALUE!</v>
      </c>
    </row>
    <row r="149" spans="1:256" x14ac:dyDescent="0.25">
      <c r="A149">
        <f>IF(DATA!979:979,"AAAAAHTfvwA=",0)</f>
        <v>0</v>
      </c>
      <c r="B149" t="e">
        <f>AND(DATA!A979,"AAAAAHTfvwE=")</f>
        <v>#VALUE!</v>
      </c>
      <c r="C149" t="e">
        <f>AND(DATA!B979,"AAAAAHTfvwI=")</f>
        <v>#VALUE!</v>
      </c>
      <c r="D149" t="e">
        <f>AND(DATA!C979,"AAAAAHTfvwM=")</f>
        <v>#VALUE!</v>
      </c>
      <c r="E149" t="e">
        <f>AND(DATA!D979,"AAAAAHTfvwQ=")</f>
        <v>#VALUE!</v>
      </c>
      <c r="F149" t="e">
        <f>AND(DATA!E979,"AAAAAHTfvwU=")</f>
        <v>#VALUE!</v>
      </c>
      <c r="G149" t="e">
        <f>AND(DATA!F979,"AAAAAHTfvwY=")</f>
        <v>#VALUE!</v>
      </c>
      <c r="H149" t="e">
        <f>AND(DATA!G979,"AAAAAHTfvwc=")</f>
        <v>#VALUE!</v>
      </c>
      <c r="I149" t="e">
        <f>AND(DATA!H979,"AAAAAHTfvwg=")</f>
        <v>#VALUE!</v>
      </c>
      <c r="J149" t="e">
        <f>AND(DATA!I979,"AAAAAHTfvwk=")</f>
        <v>#VALUE!</v>
      </c>
      <c r="K149" t="e">
        <f>AND(DATA!J979,"AAAAAHTfvwo=")</f>
        <v>#VALUE!</v>
      </c>
      <c r="L149" t="e">
        <f>AND(DATA!K979,"AAAAAHTfvws=")</f>
        <v>#VALUE!</v>
      </c>
      <c r="M149" t="b">
        <f>AND(DATA!L980,"AAAAAHTfvww=")</f>
        <v>1</v>
      </c>
      <c r="N149" t="b">
        <f>AND(DATA!M980,"AAAAAHTfvw0=")</f>
        <v>1</v>
      </c>
      <c r="O149" t="b">
        <f>AND(DATA!N980,"AAAAAHTfvw4=")</f>
        <v>1</v>
      </c>
      <c r="P149" t="b">
        <f>AND(DATA!O980,"AAAAAHTfvw8=")</f>
        <v>1</v>
      </c>
      <c r="Q149" t="b">
        <f>AND(DATA!P980,"AAAAAHTfvxA=")</f>
        <v>1</v>
      </c>
      <c r="R149" t="b">
        <f>AND(DATA!Q980,"AAAAAHTfvxE=")</f>
        <v>1</v>
      </c>
      <c r="S149" t="b">
        <f>AND(DATA!R980,"AAAAAHTfvxI=")</f>
        <v>1</v>
      </c>
      <c r="T149" t="b">
        <f>AND(DATA!S980,"AAAAAHTfvxM=")</f>
        <v>1</v>
      </c>
      <c r="U149" t="b">
        <f>AND(DATA!T980,"AAAAAHTfvxQ=")</f>
        <v>1</v>
      </c>
      <c r="V149" t="b">
        <f>AND(DATA!U980,"AAAAAHTfvxU=")</f>
        <v>1</v>
      </c>
      <c r="W149" t="b">
        <f>AND(DATA!V980,"AAAAAHTfvxY=")</f>
        <v>1</v>
      </c>
      <c r="X149" t="e">
        <f>AND(DATA!W979,"AAAAAHTfvxc=")</f>
        <v>#VALUE!</v>
      </c>
      <c r="Y149" t="e">
        <f>AND(DATA!X979,"AAAAAHTfvxg=")</f>
        <v>#VALUE!</v>
      </c>
      <c r="Z149" t="e">
        <f>AND(DATA!Y979,"AAAAAHTfvxk=")</f>
        <v>#VALUE!</v>
      </c>
      <c r="AA149">
        <f>IF(DATA!980:980,"AAAAAHTfvxo=",0)</f>
        <v>0</v>
      </c>
      <c r="AB149" t="e">
        <f>AND(DATA!A980,"AAAAAHTfvxs=")</f>
        <v>#VALUE!</v>
      </c>
      <c r="AC149" t="e">
        <f>AND(DATA!B980,"AAAAAHTfvxw=")</f>
        <v>#VALUE!</v>
      </c>
      <c r="AD149" t="e">
        <f>AND(DATA!C980,"AAAAAHTfvx0=")</f>
        <v>#VALUE!</v>
      </c>
      <c r="AE149" t="e">
        <f>AND(DATA!D980,"AAAAAHTfvx4=")</f>
        <v>#VALUE!</v>
      </c>
      <c r="AF149" t="e">
        <f>AND(DATA!E980,"AAAAAHTfvx8=")</f>
        <v>#VALUE!</v>
      </c>
      <c r="AG149" t="e">
        <f>AND(DATA!F980,"AAAAAHTfvyA=")</f>
        <v>#VALUE!</v>
      </c>
      <c r="AH149" t="e">
        <f>AND(DATA!G980,"AAAAAHTfvyE=")</f>
        <v>#VALUE!</v>
      </c>
      <c r="AI149" t="e">
        <f>AND(DATA!H980,"AAAAAHTfvyI=")</f>
        <v>#VALUE!</v>
      </c>
      <c r="AJ149" t="e">
        <f>AND(DATA!I980,"AAAAAHTfvyM=")</f>
        <v>#VALUE!</v>
      </c>
      <c r="AK149" t="e">
        <f>AND(DATA!J980,"AAAAAHTfvyQ=")</f>
        <v>#VALUE!</v>
      </c>
      <c r="AL149" t="e">
        <f>AND(DATA!K980,"AAAAAHTfvyU=")</f>
        <v>#VALUE!</v>
      </c>
      <c r="AM149" t="b">
        <f>AND(DATA!L981,"AAAAAHTfvyY=")</f>
        <v>1</v>
      </c>
      <c r="AN149" t="b">
        <f>AND(DATA!M981,"AAAAAHTfvyc=")</f>
        <v>1</v>
      </c>
      <c r="AO149" t="b">
        <f>AND(DATA!N981,"AAAAAHTfvyg=")</f>
        <v>1</v>
      </c>
      <c r="AP149" t="b">
        <f>AND(DATA!O981,"AAAAAHTfvyk=")</f>
        <v>1</v>
      </c>
      <c r="AQ149" t="b">
        <f>AND(DATA!P981,"AAAAAHTfvyo=")</f>
        <v>1</v>
      </c>
      <c r="AR149" t="b">
        <f>AND(DATA!Q981,"AAAAAHTfvys=")</f>
        <v>1</v>
      </c>
      <c r="AS149" t="b">
        <f>AND(DATA!R981,"AAAAAHTfvyw=")</f>
        <v>1</v>
      </c>
      <c r="AT149" t="b">
        <f>AND(DATA!S981,"AAAAAHTfvy0=")</f>
        <v>1</v>
      </c>
      <c r="AU149" t="b">
        <f>AND(DATA!T981,"AAAAAHTfvy4=")</f>
        <v>1</v>
      </c>
      <c r="AV149" t="b">
        <f>AND(DATA!U981,"AAAAAHTfvy8=")</f>
        <v>1</v>
      </c>
      <c r="AW149" t="b">
        <f>AND(DATA!V981,"AAAAAHTfvzA=")</f>
        <v>1</v>
      </c>
      <c r="AX149" t="e">
        <f>AND(DATA!W980,"AAAAAHTfvzE=")</f>
        <v>#VALUE!</v>
      </c>
      <c r="AY149" t="e">
        <f>AND(DATA!X980,"AAAAAHTfvzI=")</f>
        <v>#VALUE!</v>
      </c>
      <c r="AZ149" t="e">
        <f>AND(DATA!Y980,"AAAAAHTfvzM=")</f>
        <v>#VALUE!</v>
      </c>
      <c r="BA149">
        <f>IF(DATA!981:981,"AAAAAHTfvzQ=",0)</f>
        <v>0</v>
      </c>
      <c r="BB149" t="e">
        <f>AND(DATA!A981,"AAAAAHTfvzU=")</f>
        <v>#VALUE!</v>
      </c>
      <c r="BC149" t="e">
        <f>AND(DATA!B981,"AAAAAHTfvzY=")</f>
        <v>#VALUE!</v>
      </c>
      <c r="BD149" t="e">
        <f>AND(DATA!C981,"AAAAAHTfvzc=")</f>
        <v>#VALUE!</v>
      </c>
      <c r="BE149" t="e">
        <f>AND(DATA!D981,"AAAAAHTfvzg=")</f>
        <v>#VALUE!</v>
      </c>
      <c r="BF149" t="e">
        <f>AND(DATA!E981,"AAAAAHTfvzk=")</f>
        <v>#VALUE!</v>
      </c>
      <c r="BG149" t="e">
        <f>AND(DATA!F981,"AAAAAHTfvzo=")</f>
        <v>#VALUE!</v>
      </c>
      <c r="BH149" t="e">
        <f>AND(DATA!G981,"AAAAAHTfvzs=")</f>
        <v>#VALUE!</v>
      </c>
      <c r="BI149" t="e">
        <f>AND(DATA!H981,"AAAAAHTfvzw=")</f>
        <v>#VALUE!</v>
      </c>
      <c r="BJ149" t="e">
        <f>AND(DATA!I981,"AAAAAHTfvz0=")</f>
        <v>#VALUE!</v>
      </c>
      <c r="BK149" t="e">
        <f>AND(DATA!J981,"AAAAAHTfvz4=")</f>
        <v>#VALUE!</v>
      </c>
      <c r="BL149" t="e">
        <f>AND(DATA!K981,"AAAAAHTfvz8=")</f>
        <v>#VALUE!</v>
      </c>
      <c r="BM149" t="b">
        <f>AND(DATA!L982,"AAAAAHTfv0A=")</f>
        <v>1</v>
      </c>
      <c r="BN149" t="b">
        <f>AND(DATA!M982,"AAAAAHTfv0E=")</f>
        <v>1</v>
      </c>
      <c r="BO149" t="b">
        <f>AND(DATA!N982,"AAAAAHTfv0I=")</f>
        <v>1</v>
      </c>
      <c r="BP149" t="b">
        <f>AND(DATA!O982,"AAAAAHTfv0M=")</f>
        <v>1</v>
      </c>
      <c r="BQ149" t="b">
        <f>AND(DATA!P982,"AAAAAHTfv0Q=")</f>
        <v>1</v>
      </c>
      <c r="BR149" t="b">
        <f>AND(DATA!Q982,"AAAAAHTfv0U=")</f>
        <v>1</v>
      </c>
      <c r="BS149" t="b">
        <f>AND(DATA!R982,"AAAAAHTfv0Y=")</f>
        <v>1</v>
      </c>
      <c r="BT149" t="b">
        <f>AND(DATA!S982,"AAAAAHTfv0c=")</f>
        <v>1</v>
      </c>
      <c r="BU149" t="b">
        <f>AND(DATA!T982,"AAAAAHTfv0g=")</f>
        <v>1</v>
      </c>
      <c r="BV149" t="b">
        <f>AND(DATA!U982,"AAAAAHTfv0k=")</f>
        <v>1</v>
      </c>
      <c r="BW149" t="b">
        <f>AND(DATA!V982,"AAAAAHTfv0o=")</f>
        <v>1</v>
      </c>
      <c r="BX149" t="e">
        <f>AND(DATA!W981,"AAAAAHTfv0s=")</f>
        <v>#VALUE!</v>
      </c>
      <c r="BY149" t="e">
        <f>AND(DATA!X981,"AAAAAHTfv0w=")</f>
        <v>#VALUE!</v>
      </c>
      <c r="BZ149" t="e">
        <f>AND(DATA!Y981,"AAAAAHTfv00=")</f>
        <v>#VALUE!</v>
      </c>
      <c r="CA149">
        <f>IF(DATA!982:982,"AAAAAHTfv04=",0)</f>
        <v>0</v>
      </c>
      <c r="CB149" t="e">
        <f>AND(DATA!A982,"AAAAAHTfv08=")</f>
        <v>#VALUE!</v>
      </c>
      <c r="CC149" t="e">
        <f>AND(DATA!B982,"AAAAAHTfv1A=")</f>
        <v>#VALUE!</v>
      </c>
      <c r="CD149" t="e">
        <f>AND(DATA!C982,"AAAAAHTfv1E=")</f>
        <v>#VALUE!</v>
      </c>
      <c r="CE149" t="e">
        <f>AND(DATA!D982,"AAAAAHTfv1I=")</f>
        <v>#VALUE!</v>
      </c>
      <c r="CF149" t="e">
        <f>AND(DATA!E982,"AAAAAHTfv1M=")</f>
        <v>#VALUE!</v>
      </c>
      <c r="CG149" t="e">
        <f>AND(DATA!F982,"AAAAAHTfv1Q=")</f>
        <v>#VALUE!</v>
      </c>
      <c r="CH149" t="e">
        <f>AND(DATA!G982,"AAAAAHTfv1U=")</f>
        <v>#VALUE!</v>
      </c>
      <c r="CI149" t="e">
        <f>AND(DATA!H982,"AAAAAHTfv1Y=")</f>
        <v>#VALUE!</v>
      </c>
      <c r="CJ149" t="e">
        <f>AND(DATA!I982,"AAAAAHTfv1c=")</f>
        <v>#VALUE!</v>
      </c>
      <c r="CK149" t="e">
        <f>AND(DATA!J982,"AAAAAHTfv1g=")</f>
        <v>#VALUE!</v>
      </c>
      <c r="CL149" t="e">
        <f>AND(DATA!K982,"AAAAAHTfv1k=")</f>
        <v>#VALUE!</v>
      </c>
      <c r="CM149" t="b">
        <f>AND(DATA!L983,"AAAAAHTfv1o=")</f>
        <v>1</v>
      </c>
      <c r="CN149" t="b">
        <f>AND(DATA!M983,"AAAAAHTfv1s=")</f>
        <v>1</v>
      </c>
      <c r="CO149" t="b">
        <f>AND(DATA!N983,"AAAAAHTfv1w=")</f>
        <v>1</v>
      </c>
      <c r="CP149" t="b">
        <f>AND(DATA!O983,"AAAAAHTfv10=")</f>
        <v>1</v>
      </c>
      <c r="CQ149" t="b">
        <f>AND(DATA!P983,"AAAAAHTfv14=")</f>
        <v>1</v>
      </c>
      <c r="CR149" t="b">
        <f>AND(DATA!Q983,"AAAAAHTfv18=")</f>
        <v>1</v>
      </c>
      <c r="CS149" t="b">
        <f>AND(DATA!R983,"AAAAAHTfv2A=")</f>
        <v>1</v>
      </c>
      <c r="CT149" t="b">
        <f>AND(DATA!S983,"AAAAAHTfv2E=")</f>
        <v>1</v>
      </c>
      <c r="CU149" t="b">
        <f>AND(DATA!T983,"AAAAAHTfv2I=")</f>
        <v>1</v>
      </c>
      <c r="CV149" t="b">
        <f>AND(DATA!U983,"AAAAAHTfv2M=")</f>
        <v>1</v>
      </c>
      <c r="CW149" t="b">
        <f>AND(DATA!V983,"AAAAAHTfv2Q=")</f>
        <v>1</v>
      </c>
      <c r="CX149" t="e">
        <f>AND(DATA!W982,"AAAAAHTfv2U=")</f>
        <v>#VALUE!</v>
      </c>
      <c r="CY149" t="e">
        <f>AND(DATA!X982,"AAAAAHTfv2Y=")</f>
        <v>#VALUE!</v>
      </c>
      <c r="CZ149" t="e">
        <f>AND(DATA!Y982,"AAAAAHTfv2c=")</f>
        <v>#VALUE!</v>
      </c>
      <c r="DA149">
        <f>IF(DATA!983:983,"AAAAAHTfv2g=",0)</f>
        <v>0</v>
      </c>
      <c r="DB149" t="e">
        <f>AND(DATA!A983,"AAAAAHTfv2k=")</f>
        <v>#VALUE!</v>
      </c>
      <c r="DC149" t="e">
        <f>AND(DATA!B983,"AAAAAHTfv2o=")</f>
        <v>#VALUE!</v>
      </c>
      <c r="DD149" t="e">
        <f>AND(DATA!C983,"AAAAAHTfv2s=")</f>
        <v>#VALUE!</v>
      </c>
      <c r="DE149" t="e">
        <f>AND(DATA!D983,"AAAAAHTfv2w=")</f>
        <v>#VALUE!</v>
      </c>
      <c r="DF149" t="e">
        <f>AND(DATA!E983,"AAAAAHTfv20=")</f>
        <v>#VALUE!</v>
      </c>
      <c r="DG149" t="e">
        <f>AND(DATA!F983,"AAAAAHTfv24=")</f>
        <v>#VALUE!</v>
      </c>
      <c r="DH149" t="e">
        <f>AND(DATA!G983,"AAAAAHTfv28=")</f>
        <v>#VALUE!</v>
      </c>
      <c r="DI149" t="e">
        <f>AND(DATA!H983,"AAAAAHTfv3A=")</f>
        <v>#VALUE!</v>
      </c>
      <c r="DJ149" t="e">
        <f>AND(DATA!I983,"AAAAAHTfv3E=")</f>
        <v>#VALUE!</v>
      </c>
      <c r="DK149" t="e">
        <f>AND(DATA!J983,"AAAAAHTfv3I=")</f>
        <v>#VALUE!</v>
      </c>
      <c r="DL149" t="e">
        <f>AND(DATA!K983,"AAAAAHTfv3M=")</f>
        <v>#VALUE!</v>
      </c>
      <c r="DM149" t="b">
        <f>AND(DATA!L984,"AAAAAHTfv3Q=")</f>
        <v>1</v>
      </c>
      <c r="DN149" t="b">
        <f>AND(DATA!M984,"AAAAAHTfv3U=")</f>
        <v>1</v>
      </c>
      <c r="DO149" t="b">
        <f>AND(DATA!N984,"AAAAAHTfv3Y=")</f>
        <v>1</v>
      </c>
      <c r="DP149" t="b">
        <f>AND(DATA!O984,"AAAAAHTfv3c=")</f>
        <v>1</v>
      </c>
      <c r="DQ149" t="b">
        <f>AND(DATA!P984,"AAAAAHTfv3g=")</f>
        <v>1</v>
      </c>
      <c r="DR149" t="b">
        <f>AND(DATA!Q984,"AAAAAHTfv3k=")</f>
        <v>1</v>
      </c>
      <c r="DS149" t="b">
        <f>AND(DATA!R984,"AAAAAHTfv3o=")</f>
        <v>1</v>
      </c>
      <c r="DT149" t="b">
        <f>AND(DATA!S984,"AAAAAHTfv3s=")</f>
        <v>1</v>
      </c>
      <c r="DU149" t="b">
        <f>AND(DATA!T984,"AAAAAHTfv3w=")</f>
        <v>1</v>
      </c>
      <c r="DV149" t="b">
        <f>AND(DATA!U984,"AAAAAHTfv30=")</f>
        <v>1</v>
      </c>
      <c r="DW149" t="b">
        <f>AND(DATA!V984,"AAAAAHTfv34=")</f>
        <v>1</v>
      </c>
      <c r="DX149" t="e">
        <f>AND(DATA!W983,"AAAAAHTfv38=")</f>
        <v>#VALUE!</v>
      </c>
      <c r="DY149" t="e">
        <f>AND(DATA!X983,"AAAAAHTfv4A=")</f>
        <v>#VALUE!</v>
      </c>
      <c r="DZ149" t="e">
        <f>AND(DATA!Y983,"AAAAAHTfv4E=")</f>
        <v>#VALUE!</v>
      </c>
      <c r="EA149">
        <f>IF(DATA!984:984,"AAAAAHTfv4I=",0)</f>
        <v>0</v>
      </c>
      <c r="EB149" t="e">
        <f>AND(DATA!A984,"AAAAAHTfv4M=")</f>
        <v>#VALUE!</v>
      </c>
      <c r="EC149" t="e">
        <f>AND(DATA!B984,"AAAAAHTfv4Q=")</f>
        <v>#VALUE!</v>
      </c>
      <c r="ED149" t="e">
        <f>AND(DATA!C984,"AAAAAHTfv4U=")</f>
        <v>#VALUE!</v>
      </c>
      <c r="EE149" t="e">
        <f>AND(DATA!D984,"AAAAAHTfv4Y=")</f>
        <v>#VALUE!</v>
      </c>
      <c r="EF149" t="e">
        <f>AND(DATA!E984,"AAAAAHTfv4c=")</f>
        <v>#VALUE!</v>
      </c>
      <c r="EG149" t="e">
        <f>AND(DATA!F984,"AAAAAHTfv4g=")</f>
        <v>#VALUE!</v>
      </c>
      <c r="EH149" t="e">
        <f>AND(DATA!G984,"AAAAAHTfv4k=")</f>
        <v>#VALUE!</v>
      </c>
      <c r="EI149" t="e">
        <f>AND(DATA!H984,"AAAAAHTfv4o=")</f>
        <v>#VALUE!</v>
      </c>
      <c r="EJ149" t="e">
        <f>AND(DATA!I984,"AAAAAHTfv4s=")</f>
        <v>#VALUE!</v>
      </c>
      <c r="EK149" t="e">
        <f>AND(DATA!J984,"AAAAAHTfv4w=")</f>
        <v>#VALUE!</v>
      </c>
      <c r="EL149" t="e">
        <f>AND(DATA!K984,"AAAAAHTfv40=")</f>
        <v>#VALUE!</v>
      </c>
      <c r="EM149" t="b">
        <f>AND(DATA!L985,"AAAAAHTfv44=")</f>
        <v>1</v>
      </c>
      <c r="EN149" t="b">
        <f>AND(DATA!M985,"AAAAAHTfv48=")</f>
        <v>1</v>
      </c>
      <c r="EO149" t="b">
        <f>AND(DATA!N985,"AAAAAHTfv5A=")</f>
        <v>1</v>
      </c>
      <c r="EP149" t="b">
        <f>AND(DATA!O985,"AAAAAHTfv5E=")</f>
        <v>1</v>
      </c>
      <c r="EQ149" t="b">
        <f>AND(DATA!P985,"AAAAAHTfv5I=")</f>
        <v>1</v>
      </c>
      <c r="ER149" t="b">
        <f>AND(DATA!Q985,"AAAAAHTfv5M=")</f>
        <v>1</v>
      </c>
      <c r="ES149" t="b">
        <f>AND(DATA!R985,"AAAAAHTfv5Q=")</f>
        <v>1</v>
      </c>
      <c r="ET149" t="b">
        <f>AND(DATA!S985,"AAAAAHTfv5U=")</f>
        <v>1</v>
      </c>
      <c r="EU149" t="b">
        <f>AND(DATA!T985,"AAAAAHTfv5Y=")</f>
        <v>1</v>
      </c>
      <c r="EV149" t="b">
        <f>AND(DATA!U985,"AAAAAHTfv5c=")</f>
        <v>1</v>
      </c>
      <c r="EW149" t="b">
        <f>AND(DATA!V985,"AAAAAHTfv5g=")</f>
        <v>1</v>
      </c>
      <c r="EX149" t="e">
        <f>AND(DATA!W984,"AAAAAHTfv5k=")</f>
        <v>#VALUE!</v>
      </c>
      <c r="EY149" t="e">
        <f>AND(DATA!X984,"AAAAAHTfv5o=")</f>
        <v>#VALUE!</v>
      </c>
      <c r="EZ149" t="e">
        <f>AND(DATA!Y984,"AAAAAHTfv5s=")</f>
        <v>#VALUE!</v>
      </c>
      <c r="FA149">
        <f>IF(DATA!985:985,"AAAAAHTfv5w=",0)</f>
        <v>0</v>
      </c>
      <c r="FB149" t="e">
        <f>AND(DATA!A985,"AAAAAHTfv50=")</f>
        <v>#VALUE!</v>
      </c>
      <c r="FC149" t="e">
        <f>AND(DATA!B985,"AAAAAHTfv54=")</f>
        <v>#VALUE!</v>
      </c>
      <c r="FD149" t="e">
        <f>AND(DATA!C985,"AAAAAHTfv58=")</f>
        <v>#VALUE!</v>
      </c>
      <c r="FE149" t="e">
        <f>AND(DATA!D985,"AAAAAHTfv6A=")</f>
        <v>#VALUE!</v>
      </c>
      <c r="FF149" t="e">
        <f>AND(DATA!E985,"AAAAAHTfv6E=")</f>
        <v>#VALUE!</v>
      </c>
      <c r="FG149" t="e">
        <f>AND(DATA!F985,"AAAAAHTfv6I=")</f>
        <v>#VALUE!</v>
      </c>
      <c r="FH149" t="e">
        <f>AND(DATA!G985,"AAAAAHTfv6M=")</f>
        <v>#VALUE!</v>
      </c>
      <c r="FI149" t="e">
        <f>AND(DATA!H985,"AAAAAHTfv6Q=")</f>
        <v>#VALUE!</v>
      </c>
      <c r="FJ149" t="e">
        <f>AND(DATA!I985,"AAAAAHTfv6U=")</f>
        <v>#VALUE!</v>
      </c>
      <c r="FK149" t="e">
        <f>AND(DATA!J985,"AAAAAHTfv6Y=")</f>
        <v>#VALUE!</v>
      </c>
      <c r="FL149" t="e">
        <f>AND(DATA!K985,"AAAAAHTfv6c=")</f>
        <v>#VALUE!</v>
      </c>
      <c r="FM149" t="b">
        <f>AND(DATA!L986,"AAAAAHTfv6g=")</f>
        <v>1</v>
      </c>
      <c r="FN149" t="b">
        <f>AND(DATA!M986,"AAAAAHTfv6k=")</f>
        <v>1</v>
      </c>
      <c r="FO149" t="b">
        <f>AND(DATA!N986,"AAAAAHTfv6o=")</f>
        <v>1</v>
      </c>
      <c r="FP149" t="b">
        <f>AND(DATA!O986,"AAAAAHTfv6s=")</f>
        <v>1</v>
      </c>
      <c r="FQ149" t="b">
        <f>AND(DATA!P986,"AAAAAHTfv6w=")</f>
        <v>1</v>
      </c>
      <c r="FR149" t="b">
        <f>AND(DATA!Q986,"AAAAAHTfv60=")</f>
        <v>1</v>
      </c>
      <c r="FS149" t="b">
        <f>AND(DATA!R986,"AAAAAHTfv64=")</f>
        <v>1</v>
      </c>
      <c r="FT149" t="b">
        <f>AND(DATA!S986,"AAAAAHTfv68=")</f>
        <v>1</v>
      </c>
      <c r="FU149" t="b">
        <f>AND(DATA!T986,"AAAAAHTfv7A=")</f>
        <v>1</v>
      </c>
      <c r="FV149" t="b">
        <f>AND(DATA!U986,"AAAAAHTfv7E=")</f>
        <v>1</v>
      </c>
      <c r="FW149" t="b">
        <f>AND(DATA!V986,"AAAAAHTfv7I=")</f>
        <v>1</v>
      </c>
      <c r="FX149" t="e">
        <f>AND(DATA!W985,"AAAAAHTfv7M=")</f>
        <v>#VALUE!</v>
      </c>
      <c r="FY149" t="e">
        <f>AND(DATA!X985,"AAAAAHTfv7Q=")</f>
        <v>#VALUE!</v>
      </c>
      <c r="FZ149" t="e">
        <f>AND(DATA!Y985,"AAAAAHTfv7U=")</f>
        <v>#VALUE!</v>
      </c>
      <c r="GA149">
        <f>IF(DATA!986:986,"AAAAAHTfv7Y=",0)</f>
        <v>0</v>
      </c>
      <c r="GB149" t="e">
        <f>AND(DATA!A986,"AAAAAHTfv7c=")</f>
        <v>#VALUE!</v>
      </c>
      <c r="GC149" t="e">
        <f>AND(DATA!B986,"AAAAAHTfv7g=")</f>
        <v>#VALUE!</v>
      </c>
      <c r="GD149" t="e">
        <f>AND(DATA!C986,"AAAAAHTfv7k=")</f>
        <v>#VALUE!</v>
      </c>
      <c r="GE149" t="e">
        <f>AND(DATA!D986,"AAAAAHTfv7o=")</f>
        <v>#VALUE!</v>
      </c>
      <c r="GF149" t="e">
        <f>AND(DATA!E986,"AAAAAHTfv7s=")</f>
        <v>#VALUE!</v>
      </c>
      <c r="GG149" t="e">
        <f>AND(DATA!F986,"AAAAAHTfv7w=")</f>
        <v>#VALUE!</v>
      </c>
      <c r="GH149" t="e">
        <f>AND(DATA!G986,"AAAAAHTfv70=")</f>
        <v>#VALUE!</v>
      </c>
      <c r="GI149" t="e">
        <f>AND(DATA!H986,"AAAAAHTfv74=")</f>
        <v>#VALUE!</v>
      </c>
      <c r="GJ149" t="e">
        <f>AND(DATA!I986,"AAAAAHTfv78=")</f>
        <v>#VALUE!</v>
      </c>
      <c r="GK149" t="e">
        <f>AND(DATA!J986,"AAAAAHTfv8A=")</f>
        <v>#VALUE!</v>
      </c>
      <c r="GL149" t="e">
        <f>AND(DATA!K986,"AAAAAHTfv8E=")</f>
        <v>#VALUE!</v>
      </c>
      <c r="GM149" t="b">
        <f>AND(DATA!L987,"AAAAAHTfv8I=")</f>
        <v>1</v>
      </c>
      <c r="GN149" t="b">
        <f>AND(DATA!M987,"AAAAAHTfv8M=")</f>
        <v>1</v>
      </c>
      <c r="GO149" t="b">
        <f>AND(DATA!N987,"AAAAAHTfv8Q=")</f>
        <v>1</v>
      </c>
      <c r="GP149" t="b">
        <f>AND(DATA!O987,"AAAAAHTfv8U=")</f>
        <v>1</v>
      </c>
      <c r="GQ149" t="b">
        <f>AND(DATA!P987,"AAAAAHTfv8Y=")</f>
        <v>1</v>
      </c>
      <c r="GR149" t="b">
        <f>AND(DATA!Q987,"AAAAAHTfv8c=")</f>
        <v>1</v>
      </c>
      <c r="GS149" t="b">
        <f>AND(DATA!R987,"AAAAAHTfv8g=")</f>
        <v>1</v>
      </c>
      <c r="GT149" t="b">
        <f>AND(DATA!S987,"AAAAAHTfv8k=")</f>
        <v>1</v>
      </c>
      <c r="GU149" t="b">
        <f>AND(DATA!T987,"AAAAAHTfv8o=")</f>
        <v>1</v>
      </c>
      <c r="GV149" t="b">
        <f>AND(DATA!U987,"AAAAAHTfv8s=")</f>
        <v>1</v>
      </c>
      <c r="GW149" t="b">
        <f>AND(DATA!V987,"AAAAAHTfv8w=")</f>
        <v>1</v>
      </c>
      <c r="GX149" t="e">
        <f>AND(DATA!W986,"AAAAAHTfv80=")</f>
        <v>#VALUE!</v>
      </c>
      <c r="GY149" t="e">
        <f>AND(DATA!X986,"AAAAAHTfv84=")</f>
        <v>#VALUE!</v>
      </c>
      <c r="GZ149" t="e">
        <f>AND(DATA!Y986,"AAAAAHTfv88=")</f>
        <v>#VALUE!</v>
      </c>
      <c r="HA149">
        <f>IF(DATA!987:987,"AAAAAHTfv9A=",0)</f>
        <v>0</v>
      </c>
      <c r="HB149" t="e">
        <f>AND(DATA!A987,"AAAAAHTfv9E=")</f>
        <v>#VALUE!</v>
      </c>
      <c r="HC149" t="e">
        <f>AND(DATA!B987,"AAAAAHTfv9I=")</f>
        <v>#VALUE!</v>
      </c>
      <c r="HD149" t="e">
        <f>AND(DATA!C987,"AAAAAHTfv9M=")</f>
        <v>#VALUE!</v>
      </c>
      <c r="HE149" t="e">
        <f>AND(DATA!D987,"AAAAAHTfv9Q=")</f>
        <v>#VALUE!</v>
      </c>
      <c r="HF149" t="e">
        <f>AND(DATA!E987,"AAAAAHTfv9U=")</f>
        <v>#VALUE!</v>
      </c>
      <c r="HG149" t="e">
        <f>AND(DATA!F987,"AAAAAHTfv9Y=")</f>
        <v>#VALUE!</v>
      </c>
      <c r="HH149" t="e">
        <f>AND(DATA!G987,"AAAAAHTfv9c=")</f>
        <v>#VALUE!</v>
      </c>
      <c r="HI149" t="e">
        <f>AND(DATA!H987,"AAAAAHTfv9g=")</f>
        <v>#VALUE!</v>
      </c>
      <c r="HJ149" t="e">
        <f>AND(DATA!I987,"AAAAAHTfv9k=")</f>
        <v>#VALUE!</v>
      </c>
      <c r="HK149" t="e">
        <f>AND(DATA!J987,"AAAAAHTfv9o=")</f>
        <v>#VALUE!</v>
      </c>
      <c r="HL149" t="e">
        <f>AND(DATA!K987,"AAAAAHTfv9s=")</f>
        <v>#VALUE!</v>
      </c>
      <c r="HM149" t="b">
        <f>AND(DATA!L988,"AAAAAHTfv9w=")</f>
        <v>1</v>
      </c>
      <c r="HN149" t="b">
        <f>AND(DATA!M988,"AAAAAHTfv90=")</f>
        <v>1</v>
      </c>
      <c r="HO149" t="b">
        <f>AND(DATA!N988,"AAAAAHTfv94=")</f>
        <v>1</v>
      </c>
      <c r="HP149" t="b">
        <f>AND(DATA!O988,"AAAAAHTfv98=")</f>
        <v>1</v>
      </c>
      <c r="HQ149" t="b">
        <f>AND(DATA!P988,"AAAAAHTfv+A=")</f>
        <v>1</v>
      </c>
      <c r="HR149" t="b">
        <f>AND(DATA!Q988,"AAAAAHTfv+E=")</f>
        <v>1</v>
      </c>
      <c r="HS149" t="b">
        <f>AND(DATA!R988,"AAAAAHTfv+I=")</f>
        <v>1</v>
      </c>
      <c r="HT149" t="b">
        <f>AND(DATA!S988,"AAAAAHTfv+M=")</f>
        <v>1</v>
      </c>
      <c r="HU149" t="b">
        <f>AND(DATA!T988,"AAAAAHTfv+Q=")</f>
        <v>1</v>
      </c>
      <c r="HV149" t="b">
        <f>AND(DATA!U988,"AAAAAHTfv+U=")</f>
        <v>1</v>
      </c>
      <c r="HW149" t="b">
        <f>AND(DATA!V988,"AAAAAHTfv+Y=")</f>
        <v>1</v>
      </c>
      <c r="HX149" t="e">
        <f>AND(DATA!W987,"AAAAAHTfv+c=")</f>
        <v>#VALUE!</v>
      </c>
      <c r="HY149" t="e">
        <f>AND(DATA!X987,"AAAAAHTfv+g=")</f>
        <v>#VALUE!</v>
      </c>
      <c r="HZ149" t="e">
        <f>AND(DATA!Y987,"AAAAAHTfv+k=")</f>
        <v>#VALUE!</v>
      </c>
      <c r="IA149">
        <f>IF(DATA!988:988,"AAAAAHTfv+o=",0)</f>
        <v>0</v>
      </c>
      <c r="IB149" t="e">
        <f>AND(DATA!A988,"AAAAAHTfv+s=")</f>
        <v>#VALUE!</v>
      </c>
      <c r="IC149" t="e">
        <f>AND(DATA!B988,"AAAAAHTfv+w=")</f>
        <v>#VALUE!</v>
      </c>
      <c r="ID149" t="e">
        <f>AND(DATA!C988,"AAAAAHTfv+0=")</f>
        <v>#VALUE!</v>
      </c>
      <c r="IE149" t="e">
        <f>AND(DATA!D988,"AAAAAHTfv+4=")</f>
        <v>#VALUE!</v>
      </c>
      <c r="IF149" t="e">
        <f>AND(DATA!E988,"AAAAAHTfv+8=")</f>
        <v>#VALUE!</v>
      </c>
      <c r="IG149" t="e">
        <f>AND(DATA!F988,"AAAAAHTfv/A=")</f>
        <v>#VALUE!</v>
      </c>
      <c r="IH149" t="e">
        <f>AND(DATA!G988,"AAAAAHTfv/E=")</f>
        <v>#VALUE!</v>
      </c>
      <c r="II149" t="e">
        <f>AND(DATA!H988,"AAAAAHTfv/I=")</f>
        <v>#VALUE!</v>
      </c>
      <c r="IJ149" t="e">
        <f>AND(DATA!I988,"AAAAAHTfv/M=")</f>
        <v>#VALUE!</v>
      </c>
      <c r="IK149" t="e">
        <f>AND(DATA!J988,"AAAAAHTfv/Q=")</f>
        <v>#VALUE!</v>
      </c>
      <c r="IL149" t="e">
        <f>AND(DATA!K988,"AAAAAHTfv/U=")</f>
        <v>#VALUE!</v>
      </c>
      <c r="IM149" t="b">
        <f>AND(DATA!L989,"AAAAAHTfv/Y=")</f>
        <v>1</v>
      </c>
      <c r="IN149" t="b">
        <f>AND(DATA!M989,"AAAAAHTfv/c=")</f>
        <v>1</v>
      </c>
      <c r="IO149" t="b">
        <f>AND(DATA!N989,"AAAAAHTfv/g=")</f>
        <v>1</v>
      </c>
      <c r="IP149" t="b">
        <f>AND(DATA!O989,"AAAAAHTfv/k=")</f>
        <v>1</v>
      </c>
      <c r="IQ149" t="b">
        <f>AND(DATA!P989,"AAAAAHTfv/o=")</f>
        <v>1</v>
      </c>
      <c r="IR149" t="b">
        <f>AND(DATA!Q989,"AAAAAHTfv/s=")</f>
        <v>1</v>
      </c>
      <c r="IS149" t="b">
        <f>AND(DATA!R989,"AAAAAHTfv/w=")</f>
        <v>1</v>
      </c>
      <c r="IT149" t="b">
        <f>AND(DATA!S989,"AAAAAHTfv/0=")</f>
        <v>1</v>
      </c>
      <c r="IU149" t="b">
        <f>AND(DATA!T989,"AAAAAHTfv/4=")</f>
        <v>1</v>
      </c>
      <c r="IV149" t="b">
        <f>AND(DATA!U989,"AAAAAHTfv/8=")</f>
        <v>1</v>
      </c>
    </row>
    <row r="150" spans="1:256" x14ac:dyDescent="0.25">
      <c r="A150" t="b">
        <f>AND(DATA!V989,"AAAAAG/tjwA=")</f>
        <v>1</v>
      </c>
      <c r="B150" t="e">
        <f>AND(DATA!W988,"AAAAAG/tjwE=")</f>
        <v>#VALUE!</v>
      </c>
      <c r="C150" t="e">
        <f>AND(DATA!X988,"AAAAAG/tjwI=")</f>
        <v>#VALUE!</v>
      </c>
      <c r="D150" t="e">
        <f>AND(DATA!Y988,"AAAAAG/tjwM=")</f>
        <v>#VALUE!</v>
      </c>
      <c r="E150">
        <f>IF(DATA!989:989,"AAAAAG/tjwQ=",0)</f>
        <v>0</v>
      </c>
      <c r="F150" t="e">
        <f>AND(DATA!A989,"AAAAAG/tjwU=")</f>
        <v>#VALUE!</v>
      </c>
      <c r="G150" t="e">
        <f>AND(DATA!B989,"AAAAAG/tjwY=")</f>
        <v>#VALUE!</v>
      </c>
      <c r="H150" t="e">
        <f>AND(DATA!C989,"AAAAAG/tjwc=")</f>
        <v>#VALUE!</v>
      </c>
      <c r="I150" t="e">
        <f>AND(DATA!D989,"AAAAAG/tjwg=")</f>
        <v>#VALUE!</v>
      </c>
      <c r="J150" t="e">
        <f>AND(DATA!E989,"AAAAAG/tjwk=")</f>
        <v>#VALUE!</v>
      </c>
      <c r="K150" t="e">
        <f>AND(DATA!F989,"AAAAAG/tjwo=")</f>
        <v>#VALUE!</v>
      </c>
      <c r="L150" t="e">
        <f>AND(DATA!G989,"AAAAAG/tjws=")</f>
        <v>#VALUE!</v>
      </c>
      <c r="M150" t="e">
        <f>AND(DATA!H989,"AAAAAG/tjww=")</f>
        <v>#VALUE!</v>
      </c>
      <c r="N150" t="e">
        <f>AND(DATA!I989,"AAAAAG/tjw0=")</f>
        <v>#VALUE!</v>
      </c>
      <c r="O150" t="e">
        <f>AND(DATA!J989,"AAAAAG/tjw4=")</f>
        <v>#VALUE!</v>
      </c>
      <c r="P150" t="e">
        <f>AND(DATA!K989,"AAAAAG/tjw8=")</f>
        <v>#VALUE!</v>
      </c>
      <c r="Q150" t="b">
        <f>AND(DATA!L990,"AAAAAG/tjxA=")</f>
        <v>1</v>
      </c>
      <c r="R150" t="b">
        <f>AND(DATA!M990,"AAAAAG/tjxE=")</f>
        <v>1</v>
      </c>
      <c r="S150" t="b">
        <f>AND(DATA!N990,"AAAAAG/tjxI=")</f>
        <v>1</v>
      </c>
      <c r="T150" t="b">
        <f>AND(DATA!O990,"AAAAAG/tjxM=")</f>
        <v>1</v>
      </c>
      <c r="U150" t="b">
        <f>AND(DATA!P990,"AAAAAG/tjxQ=")</f>
        <v>1</v>
      </c>
      <c r="V150" t="b">
        <f>AND(DATA!Q990,"AAAAAG/tjxU=")</f>
        <v>1</v>
      </c>
      <c r="W150" t="b">
        <f>AND(DATA!R990,"AAAAAG/tjxY=")</f>
        <v>1</v>
      </c>
      <c r="X150" t="b">
        <f>AND(DATA!S990,"AAAAAG/tjxc=")</f>
        <v>1</v>
      </c>
      <c r="Y150" t="b">
        <f>AND(DATA!T990,"AAAAAG/tjxg=")</f>
        <v>1</v>
      </c>
      <c r="Z150" t="b">
        <f>AND(DATA!U990,"AAAAAG/tjxk=")</f>
        <v>1</v>
      </c>
      <c r="AA150" t="b">
        <f>AND(DATA!V990,"AAAAAG/tjxo=")</f>
        <v>1</v>
      </c>
      <c r="AB150" t="e">
        <f>AND(DATA!W989,"AAAAAG/tjxs=")</f>
        <v>#VALUE!</v>
      </c>
      <c r="AC150" t="e">
        <f>AND(DATA!X989,"AAAAAG/tjxw=")</f>
        <v>#VALUE!</v>
      </c>
      <c r="AD150" t="e">
        <f>AND(DATA!Y989,"AAAAAG/tjx0=")</f>
        <v>#VALUE!</v>
      </c>
      <c r="AE150">
        <f>IF(DATA!990:990,"AAAAAG/tjx4=",0)</f>
        <v>0</v>
      </c>
      <c r="AF150" t="e">
        <f>AND(DATA!A990,"AAAAAG/tjx8=")</f>
        <v>#VALUE!</v>
      </c>
      <c r="AG150" t="e">
        <f>AND(DATA!B990,"AAAAAG/tjyA=")</f>
        <v>#VALUE!</v>
      </c>
      <c r="AH150" t="e">
        <f>AND(DATA!C990,"AAAAAG/tjyE=")</f>
        <v>#VALUE!</v>
      </c>
      <c r="AI150" t="e">
        <f>AND(DATA!D990,"AAAAAG/tjyI=")</f>
        <v>#VALUE!</v>
      </c>
      <c r="AJ150" t="e">
        <f>AND(DATA!E990,"AAAAAG/tjyM=")</f>
        <v>#VALUE!</v>
      </c>
      <c r="AK150" t="e">
        <f>AND(DATA!F990,"AAAAAG/tjyQ=")</f>
        <v>#VALUE!</v>
      </c>
      <c r="AL150" t="e">
        <f>AND(DATA!G990,"AAAAAG/tjyU=")</f>
        <v>#VALUE!</v>
      </c>
      <c r="AM150" t="e">
        <f>AND(DATA!H990,"AAAAAG/tjyY=")</f>
        <v>#VALUE!</v>
      </c>
      <c r="AN150" t="e">
        <f>AND(DATA!I990,"AAAAAG/tjyc=")</f>
        <v>#VALUE!</v>
      </c>
      <c r="AO150" t="e">
        <f>AND(DATA!J990,"AAAAAG/tjyg=")</f>
        <v>#VALUE!</v>
      </c>
      <c r="AP150" t="e">
        <f>AND(DATA!K990,"AAAAAG/tjyk=")</f>
        <v>#VALUE!</v>
      </c>
      <c r="AQ150" t="b">
        <f>AND(DATA!L991,"AAAAAG/tjyo=")</f>
        <v>1</v>
      </c>
      <c r="AR150" t="b">
        <f>AND(DATA!M991,"AAAAAG/tjys=")</f>
        <v>1</v>
      </c>
      <c r="AS150" t="b">
        <f>AND(DATA!N991,"AAAAAG/tjyw=")</f>
        <v>1</v>
      </c>
      <c r="AT150" t="b">
        <f>AND(DATA!O991,"AAAAAG/tjy0=")</f>
        <v>1</v>
      </c>
      <c r="AU150" t="b">
        <f>AND(DATA!P991,"AAAAAG/tjy4=")</f>
        <v>1</v>
      </c>
      <c r="AV150" t="b">
        <f>AND(DATA!Q991,"AAAAAG/tjy8=")</f>
        <v>1</v>
      </c>
      <c r="AW150" t="b">
        <f>AND(DATA!R991,"AAAAAG/tjzA=")</f>
        <v>1</v>
      </c>
      <c r="AX150" t="b">
        <f>AND(DATA!S991,"AAAAAG/tjzE=")</f>
        <v>1</v>
      </c>
      <c r="AY150" t="b">
        <f>AND(DATA!T991,"AAAAAG/tjzI=")</f>
        <v>1</v>
      </c>
      <c r="AZ150" t="b">
        <f>AND(DATA!U991,"AAAAAG/tjzM=")</f>
        <v>1</v>
      </c>
      <c r="BA150" t="b">
        <f>AND(DATA!V991,"AAAAAG/tjzQ=")</f>
        <v>1</v>
      </c>
      <c r="BB150" t="e">
        <f>AND(DATA!W990,"AAAAAG/tjzU=")</f>
        <v>#VALUE!</v>
      </c>
      <c r="BC150" t="e">
        <f>AND(DATA!X990,"AAAAAG/tjzY=")</f>
        <v>#VALUE!</v>
      </c>
      <c r="BD150" t="e">
        <f>AND(DATA!Y990,"AAAAAG/tjzc=")</f>
        <v>#VALUE!</v>
      </c>
      <c r="BE150">
        <f>IF(DATA!991:991,"AAAAAG/tjzg=",0)</f>
        <v>0</v>
      </c>
      <c r="BF150" t="e">
        <f>AND(DATA!A991,"AAAAAG/tjzk=")</f>
        <v>#VALUE!</v>
      </c>
      <c r="BG150" t="e">
        <f>AND(DATA!B991,"AAAAAG/tjzo=")</f>
        <v>#VALUE!</v>
      </c>
      <c r="BH150" t="e">
        <f>AND(DATA!C991,"AAAAAG/tjzs=")</f>
        <v>#VALUE!</v>
      </c>
      <c r="BI150" t="e">
        <f>AND(DATA!D991,"AAAAAG/tjzw=")</f>
        <v>#VALUE!</v>
      </c>
      <c r="BJ150" t="e">
        <f>AND(DATA!E991,"AAAAAG/tjz0=")</f>
        <v>#VALUE!</v>
      </c>
      <c r="BK150" t="e">
        <f>AND(DATA!F991,"AAAAAG/tjz4=")</f>
        <v>#VALUE!</v>
      </c>
      <c r="BL150" t="e">
        <f>AND(DATA!G991,"AAAAAG/tjz8=")</f>
        <v>#VALUE!</v>
      </c>
      <c r="BM150" t="e">
        <f>AND(DATA!H991,"AAAAAG/tj0A=")</f>
        <v>#VALUE!</v>
      </c>
      <c r="BN150" t="e">
        <f>AND(DATA!I991,"AAAAAG/tj0E=")</f>
        <v>#VALUE!</v>
      </c>
      <c r="BO150" t="e">
        <f>AND(DATA!J991,"AAAAAG/tj0I=")</f>
        <v>#VALUE!</v>
      </c>
      <c r="BP150" t="e">
        <f>AND(DATA!K991,"AAAAAG/tj0M=")</f>
        <v>#VALUE!</v>
      </c>
      <c r="BQ150" t="b">
        <f>AND(DATA!L992,"AAAAAG/tj0Q=")</f>
        <v>1</v>
      </c>
      <c r="BR150" t="b">
        <f>AND(DATA!M992,"AAAAAG/tj0U=")</f>
        <v>1</v>
      </c>
      <c r="BS150" t="b">
        <f>AND(DATA!N992,"AAAAAG/tj0Y=")</f>
        <v>1</v>
      </c>
      <c r="BT150" t="b">
        <f>AND(DATA!O992,"AAAAAG/tj0c=")</f>
        <v>1</v>
      </c>
      <c r="BU150" t="b">
        <f>AND(DATA!P992,"AAAAAG/tj0g=")</f>
        <v>1</v>
      </c>
      <c r="BV150" t="b">
        <f>AND(DATA!Q992,"AAAAAG/tj0k=")</f>
        <v>1</v>
      </c>
      <c r="BW150" t="b">
        <f>AND(DATA!R992,"AAAAAG/tj0o=")</f>
        <v>1</v>
      </c>
      <c r="BX150" t="b">
        <f>AND(DATA!S992,"AAAAAG/tj0s=")</f>
        <v>1</v>
      </c>
      <c r="BY150" t="b">
        <f>AND(DATA!T992,"AAAAAG/tj0w=")</f>
        <v>1</v>
      </c>
      <c r="BZ150" t="b">
        <f>AND(DATA!U992,"AAAAAG/tj00=")</f>
        <v>1</v>
      </c>
      <c r="CA150" t="b">
        <f>AND(DATA!V992,"AAAAAG/tj04=")</f>
        <v>1</v>
      </c>
      <c r="CB150" t="e">
        <f>AND(DATA!W991,"AAAAAG/tj08=")</f>
        <v>#VALUE!</v>
      </c>
      <c r="CC150" t="e">
        <f>AND(DATA!X991,"AAAAAG/tj1A=")</f>
        <v>#VALUE!</v>
      </c>
      <c r="CD150" t="e">
        <f>AND(DATA!Y991,"AAAAAG/tj1E=")</f>
        <v>#VALUE!</v>
      </c>
      <c r="CE150">
        <f>IF(DATA!992:992,"AAAAAG/tj1I=",0)</f>
        <v>0</v>
      </c>
      <c r="CF150" t="e">
        <f>AND(DATA!A992,"AAAAAG/tj1M=")</f>
        <v>#VALUE!</v>
      </c>
      <c r="CG150" t="e">
        <f>AND(DATA!B992,"AAAAAG/tj1Q=")</f>
        <v>#VALUE!</v>
      </c>
      <c r="CH150" t="e">
        <f>AND(DATA!C992,"AAAAAG/tj1U=")</f>
        <v>#VALUE!</v>
      </c>
      <c r="CI150" t="e">
        <f>AND(DATA!D992,"AAAAAG/tj1Y=")</f>
        <v>#VALUE!</v>
      </c>
      <c r="CJ150" t="e">
        <f>AND(DATA!E992,"AAAAAG/tj1c=")</f>
        <v>#VALUE!</v>
      </c>
      <c r="CK150" t="e">
        <f>AND(DATA!F992,"AAAAAG/tj1g=")</f>
        <v>#VALUE!</v>
      </c>
      <c r="CL150" t="e">
        <f>AND(DATA!G992,"AAAAAG/tj1k=")</f>
        <v>#VALUE!</v>
      </c>
      <c r="CM150" t="e">
        <f>AND(DATA!H992,"AAAAAG/tj1o=")</f>
        <v>#VALUE!</v>
      </c>
      <c r="CN150" t="e">
        <f>AND(DATA!I992,"AAAAAG/tj1s=")</f>
        <v>#VALUE!</v>
      </c>
      <c r="CO150" t="e">
        <f>AND(DATA!J992,"AAAAAG/tj1w=")</f>
        <v>#VALUE!</v>
      </c>
      <c r="CP150" t="e">
        <f>AND(DATA!K992,"AAAAAG/tj10=")</f>
        <v>#VALUE!</v>
      </c>
      <c r="CQ150" t="b">
        <f>AND(DATA!L993,"AAAAAG/tj14=")</f>
        <v>1</v>
      </c>
      <c r="CR150" t="b">
        <f>AND(DATA!M993,"AAAAAG/tj18=")</f>
        <v>1</v>
      </c>
      <c r="CS150" t="b">
        <f>AND(DATA!N993,"AAAAAG/tj2A=")</f>
        <v>1</v>
      </c>
      <c r="CT150" t="b">
        <f>AND(DATA!O993,"AAAAAG/tj2E=")</f>
        <v>1</v>
      </c>
      <c r="CU150" t="b">
        <f>AND(DATA!P993,"AAAAAG/tj2I=")</f>
        <v>1</v>
      </c>
      <c r="CV150" t="b">
        <f>AND(DATA!Q993,"AAAAAG/tj2M=")</f>
        <v>1</v>
      </c>
      <c r="CW150" t="b">
        <f>AND(DATA!R993,"AAAAAG/tj2Q=")</f>
        <v>1</v>
      </c>
      <c r="CX150" t="b">
        <f>AND(DATA!S993,"AAAAAG/tj2U=")</f>
        <v>1</v>
      </c>
      <c r="CY150" t="b">
        <f>AND(DATA!T993,"AAAAAG/tj2Y=")</f>
        <v>1</v>
      </c>
      <c r="CZ150" t="b">
        <f>AND(DATA!U993,"AAAAAG/tj2c=")</f>
        <v>1</v>
      </c>
      <c r="DA150" t="b">
        <f>AND(DATA!V993,"AAAAAG/tj2g=")</f>
        <v>1</v>
      </c>
      <c r="DB150" t="e">
        <f>AND(DATA!W992,"AAAAAG/tj2k=")</f>
        <v>#VALUE!</v>
      </c>
      <c r="DC150" t="e">
        <f>AND(DATA!X992,"AAAAAG/tj2o=")</f>
        <v>#VALUE!</v>
      </c>
      <c r="DD150" t="e">
        <f>AND(DATA!Y992,"AAAAAG/tj2s=")</f>
        <v>#VALUE!</v>
      </c>
      <c r="DE150">
        <f>IF(DATA!993:993,"AAAAAG/tj2w=",0)</f>
        <v>0</v>
      </c>
      <c r="DF150" t="e">
        <f>AND(DATA!A993,"AAAAAG/tj20=")</f>
        <v>#VALUE!</v>
      </c>
      <c r="DG150" t="e">
        <f>AND(DATA!B993,"AAAAAG/tj24=")</f>
        <v>#VALUE!</v>
      </c>
      <c r="DH150" t="e">
        <f>AND(DATA!C993,"AAAAAG/tj28=")</f>
        <v>#VALUE!</v>
      </c>
      <c r="DI150" t="e">
        <f>AND(DATA!D993,"AAAAAG/tj3A=")</f>
        <v>#VALUE!</v>
      </c>
      <c r="DJ150" t="e">
        <f>AND(DATA!E993,"AAAAAG/tj3E=")</f>
        <v>#VALUE!</v>
      </c>
      <c r="DK150" t="e">
        <f>AND(DATA!F993,"AAAAAG/tj3I=")</f>
        <v>#VALUE!</v>
      </c>
      <c r="DL150" t="e">
        <f>AND(DATA!G993,"AAAAAG/tj3M=")</f>
        <v>#VALUE!</v>
      </c>
      <c r="DM150" t="e">
        <f>AND(DATA!H993,"AAAAAG/tj3Q=")</f>
        <v>#VALUE!</v>
      </c>
      <c r="DN150" t="e">
        <f>AND(DATA!I993,"AAAAAG/tj3U=")</f>
        <v>#VALUE!</v>
      </c>
      <c r="DO150" t="e">
        <f>AND(DATA!J993,"AAAAAG/tj3Y=")</f>
        <v>#VALUE!</v>
      </c>
      <c r="DP150" t="e">
        <f>AND(DATA!K993,"AAAAAG/tj3c=")</f>
        <v>#VALUE!</v>
      </c>
      <c r="DQ150" t="b">
        <f>AND(DATA!L994,"AAAAAG/tj3g=")</f>
        <v>1</v>
      </c>
      <c r="DR150" t="b">
        <f>AND(DATA!M994,"AAAAAG/tj3k=")</f>
        <v>1</v>
      </c>
      <c r="DS150" t="b">
        <f>AND(DATA!N994,"AAAAAG/tj3o=")</f>
        <v>1</v>
      </c>
      <c r="DT150" t="b">
        <f>AND(DATA!O994,"AAAAAG/tj3s=")</f>
        <v>1</v>
      </c>
      <c r="DU150" t="b">
        <f>AND(DATA!P994,"AAAAAG/tj3w=")</f>
        <v>1</v>
      </c>
      <c r="DV150" t="b">
        <f>AND(DATA!Q994,"AAAAAG/tj30=")</f>
        <v>1</v>
      </c>
      <c r="DW150" t="b">
        <f>AND(DATA!R994,"AAAAAG/tj34=")</f>
        <v>1</v>
      </c>
      <c r="DX150" t="b">
        <f>AND(DATA!S994,"AAAAAG/tj38=")</f>
        <v>1</v>
      </c>
      <c r="DY150" t="b">
        <f>AND(DATA!T994,"AAAAAG/tj4A=")</f>
        <v>1</v>
      </c>
      <c r="DZ150" t="b">
        <f>AND(DATA!U994,"AAAAAG/tj4E=")</f>
        <v>1</v>
      </c>
      <c r="EA150" t="b">
        <f>AND(DATA!V994,"AAAAAG/tj4I=")</f>
        <v>1</v>
      </c>
      <c r="EB150" t="e">
        <f>AND(DATA!W993,"AAAAAG/tj4M=")</f>
        <v>#VALUE!</v>
      </c>
      <c r="EC150" t="e">
        <f>AND(DATA!X993,"AAAAAG/tj4Q=")</f>
        <v>#VALUE!</v>
      </c>
      <c r="ED150" t="e">
        <f>AND(DATA!Y993,"AAAAAG/tj4U=")</f>
        <v>#VALUE!</v>
      </c>
      <c r="EE150">
        <f>IF(DATA!994:994,"AAAAAG/tj4Y=",0)</f>
        <v>0</v>
      </c>
      <c r="EF150" t="e">
        <f>AND(DATA!A994,"AAAAAG/tj4c=")</f>
        <v>#VALUE!</v>
      </c>
      <c r="EG150" t="e">
        <f>AND(DATA!B994,"AAAAAG/tj4g=")</f>
        <v>#VALUE!</v>
      </c>
      <c r="EH150" t="e">
        <f>AND(DATA!C994,"AAAAAG/tj4k=")</f>
        <v>#VALUE!</v>
      </c>
      <c r="EI150" t="e">
        <f>AND(DATA!D994,"AAAAAG/tj4o=")</f>
        <v>#VALUE!</v>
      </c>
      <c r="EJ150" t="e">
        <f>AND(DATA!E994,"AAAAAG/tj4s=")</f>
        <v>#VALUE!</v>
      </c>
      <c r="EK150" t="e">
        <f>AND(DATA!F994,"AAAAAG/tj4w=")</f>
        <v>#VALUE!</v>
      </c>
      <c r="EL150" t="e">
        <f>AND(DATA!G994,"AAAAAG/tj40=")</f>
        <v>#VALUE!</v>
      </c>
      <c r="EM150" t="e">
        <f>AND(DATA!H994,"AAAAAG/tj44=")</f>
        <v>#VALUE!</v>
      </c>
      <c r="EN150" t="e">
        <f>AND(DATA!I994,"AAAAAG/tj48=")</f>
        <v>#VALUE!</v>
      </c>
      <c r="EO150" t="e">
        <f>AND(DATA!J994,"AAAAAG/tj5A=")</f>
        <v>#VALUE!</v>
      </c>
      <c r="EP150" t="e">
        <f>AND(DATA!K994,"AAAAAG/tj5E=")</f>
        <v>#VALUE!</v>
      </c>
      <c r="EQ150" t="b">
        <f>AND(DATA!L995,"AAAAAG/tj5I=")</f>
        <v>1</v>
      </c>
      <c r="ER150" t="b">
        <f>AND(DATA!M995,"AAAAAG/tj5M=")</f>
        <v>1</v>
      </c>
      <c r="ES150" t="b">
        <f>AND(DATA!N995,"AAAAAG/tj5Q=")</f>
        <v>1</v>
      </c>
      <c r="ET150" t="b">
        <f>AND(DATA!O995,"AAAAAG/tj5U=")</f>
        <v>1</v>
      </c>
      <c r="EU150" t="b">
        <f>AND(DATA!P995,"AAAAAG/tj5Y=")</f>
        <v>1</v>
      </c>
      <c r="EV150" t="b">
        <f>AND(DATA!Q995,"AAAAAG/tj5c=")</f>
        <v>1</v>
      </c>
      <c r="EW150" t="b">
        <f>AND(DATA!R995,"AAAAAG/tj5g=")</f>
        <v>1</v>
      </c>
      <c r="EX150" t="b">
        <f>AND(DATA!S995,"AAAAAG/tj5k=")</f>
        <v>1</v>
      </c>
      <c r="EY150" t="b">
        <f>AND(DATA!T995,"AAAAAG/tj5o=")</f>
        <v>1</v>
      </c>
      <c r="EZ150" t="b">
        <f>AND(DATA!U995,"AAAAAG/tj5s=")</f>
        <v>1</v>
      </c>
      <c r="FA150" t="b">
        <f>AND(DATA!V995,"AAAAAG/tj5w=")</f>
        <v>1</v>
      </c>
      <c r="FB150" t="e">
        <f>AND(DATA!W994,"AAAAAG/tj50=")</f>
        <v>#VALUE!</v>
      </c>
      <c r="FC150" t="e">
        <f>AND(DATA!X994,"AAAAAG/tj54=")</f>
        <v>#VALUE!</v>
      </c>
      <c r="FD150" t="e">
        <f>AND(DATA!Y994,"AAAAAG/tj58=")</f>
        <v>#VALUE!</v>
      </c>
      <c r="FE150">
        <f>IF(DATA!995:995,"AAAAAG/tj6A=",0)</f>
        <v>0</v>
      </c>
      <c r="FF150" t="e">
        <f>AND(DATA!A995,"AAAAAG/tj6E=")</f>
        <v>#VALUE!</v>
      </c>
      <c r="FG150" t="e">
        <f>AND(DATA!B995,"AAAAAG/tj6I=")</f>
        <v>#VALUE!</v>
      </c>
      <c r="FH150" t="e">
        <f>AND(DATA!C995,"AAAAAG/tj6M=")</f>
        <v>#VALUE!</v>
      </c>
      <c r="FI150" t="e">
        <f>AND(DATA!D995,"AAAAAG/tj6Q=")</f>
        <v>#VALUE!</v>
      </c>
      <c r="FJ150" t="e">
        <f>AND(DATA!E995,"AAAAAG/tj6U=")</f>
        <v>#VALUE!</v>
      </c>
      <c r="FK150" t="e">
        <f>AND(DATA!F995,"AAAAAG/tj6Y=")</f>
        <v>#VALUE!</v>
      </c>
      <c r="FL150" t="e">
        <f>AND(DATA!G995,"AAAAAG/tj6c=")</f>
        <v>#VALUE!</v>
      </c>
      <c r="FM150" t="e">
        <f>AND(DATA!H995,"AAAAAG/tj6g=")</f>
        <v>#VALUE!</v>
      </c>
      <c r="FN150" t="e">
        <f>AND(DATA!I995,"AAAAAG/tj6k=")</f>
        <v>#VALUE!</v>
      </c>
      <c r="FO150" t="e">
        <f>AND(DATA!J995,"AAAAAG/tj6o=")</f>
        <v>#VALUE!</v>
      </c>
      <c r="FP150" t="e">
        <f>AND(DATA!K995,"AAAAAG/tj6s=")</f>
        <v>#VALUE!</v>
      </c>
      <c r="FQ150" t="b">
        <f>AND(DATA!L996,"AAAAAG/tj6w=")</f>
        <v>1</v>
      </c>
      <c r="FR150" t="b">
        <f>AND(DATA!M996,"AAAAAG/tj60=")</f>
        <v>1</v>
      </c>
      <c r="FS150" t="b">
        <f>AND(DATA!N996,"AAAAAG/tj64=")</f>
        <v>1</v>
      </c>
      <c r="FT150" t="b">
        <f>AND(DATA!O996,"AAAAAG/tj68=")</f>
        <v>1</v>
      </c>
      <c r="FU150" t="b">
        <f>AND(DATA!P996,"AAAAAG/tj7A=")</f>
        <v>1</v>
      </c>
      <c r="FV150" t="b">
        <f>AND(DATA!Q996,"AAAAAG/tj7E=")</f>
        <v>1</v>
      </c>
      <c r="FW150" t="b">
        <f>AND(DATA!R996,"AAAAAG/tj7I=")</f>
        <v>1</v>
      </c>
      <c r="FX150" t="b">
        <f>AND(DATA!S996,"AAAAAG/tj7M=")</f>
        <v>1</v>
      </c>
      <c r="FY150" t="b">
        <f>AND(DATA!T996,"AAAAAG/tj7Q=")</f>
        <v>1</v>
      </c>
      <c r="FZ150" t="b">
        <f>AND(DATA!U996,"AAAAAG/tj7U=")</f>
        <v>1</v>
      </c>
      <c r="GA150" t="b">
        <f>AND(DATA!V996,"AAAAAG/tj7Y=")</f>
        <v>1</v>
      </c>
      <c r="GB150" t="e">
        <f>AND(DATA!W995,"AAAAAG/tj7c=")</f>
        <v>#VALUE!</v>
      </c>
      <c r="GC150" t="e">
        <f>AND(DATA!X995,"AAAAAG/tj7g=")</f>
        <v>#VALUE!</v>
      </c>
      <c r="GD150" t="e">
        <f>AND(DATA!Y995,"AAAAAG/tj7k=")</f>
        <v>#VALUE!</v>
      </c>
      <c r="GE150">
        <f>IF(DATA!996:996,"AAAAAG/tj7o=",0)</f>
        <v>0</v>
      </c>
      <c r="GF150" t="e">
        <f>AND(DATA!A996,"AAAAAG/tj7s=")</f>
        <v>#VALUE!</v>
      </c>
      <c r="GG150" t="e">
        <f>AND(DATA!B996,"AAAAAG/tj7w=")</f>
        <v>#VALUE!</v>
      </c>
      <c r="GH150" t="e">
        <f>AND(DATA!C996,"AAAAAG/tj70=")</f>
        <v>#VALUE!</v>
      </c>
      <c r="GI150" t="e">
        <f>AND(DATA!D996,"AAAAAG/tj74=")</f>
        <v>#VALUE!</v>
      </c>
      <c r="GJ150" t="e">
        <f>AND(DATA!E996,"AAAAAG/tj78=")</f>
        <v>#VALUE!</v>
      </c>
      <c r="GK150" t="e">
        <f>AND(DATA!F996,"AAAAAG/tj8A=")</f>
        <v>#VALUE!</v>
      </c>
      <c r="GL150" t="e">
        <f>AND(DATA!G996,"AAAAAG/tj8E=")</f>
        <v>#VALUE!</v>
      </c>
      <c r="GM150" t="e">
        <f>AND(DATA!H996,"AAAAAG/tj8I=")</f>
        <v>#VALUE!</v>
      </c>
      <c r="GN150" t="e">
        <f>AND(DATA!I996,"AAAAAG/tj8M=")</f>
        <v>#VALUE!</v>
      </c>
      <c r="GO150" t="e">
        <f>AND(DATA!J996,"AAAAAG/tj8Q=")</f>
        <v>#VALUE!</v>
      </c>
      <c r="GP150" t="e">
        <f>AND(DATA!K996,"AAAAAG/tj8U=")</f>
        <v>#VALUE!</v>
      </c>
      <c r="GQ150" t="b">
        <f>AND(DATA!L997,"AAAAAG/tj8Y=")</f>
        <v>1</v>
      </c>
      <c r="GR150" t="b">
        <f>AND(DATA!M997,"AAAAAG/tj8c=")</f>
        <v>1</v>
      </c>
      <c r="GS150" t="b">
        <f>AND(DATA!N997,"AAAAAG/tj8g=")</f>
        <v>1</v>
      </c>
      <c r="GT150" t="b">
        <f>AND(DATA!O997,"AAAAAG/tj8k=")</f>
        <v>1</v>
      </c>
      <c r="GU150" t="b">
        <f>AND(DATA!P997,"AAAAAG/tj8o=")</f>
        <v>1</v>
      </c>
      <c r="GV150" t="b">
        <f>AND(DATA!Q997,"AAAAAG/tj8s=")</f>
        <v>1</v>
      </c>
      <c r="GW150" t="b">
        <f>AND(DATA!R997,"AAAAAG/tj8w=")</f>
        <v>1</v>
      </c>
      <c r="GX150" t="b">
        <f>AND(DATA!S997,"AAAAAG/tj80=")</f>
        <v>1</v>
      </c>
      <c r="GY150" t="b">
        <f>AND(DATA!T997,"AAAAAG/tj84=")</f>
        <v>1</v>
      </c>
      <c r="GZ150" t="b">
        <f>AND(DATA!U997,"AAAAAG/tj88=")</f>
        <v>1</v>
      </c>
      <c r="HA150" t="b">
        <f>AND(DATA!V997,"AAAAAG/tj9A=")</f>
        <v>1</v>
      </c>
      <c r="HB150" t="e">
        <f>AND(DATA!W996,"AAAAAG/tj9E=")</f>
        <v>#VALUE!</v>
      </c>
      <c r="HC150" t="e">
        <f>AND(DATA!X996,"AAAAAG/tj9I=")</f>
        <v>#VALUE!</v>
      </c>
      <c r="HD150" t="e">
        <f>AND(DATA!Y996,"AAAAAG/tj9M=")</f>
        <v>#VALUE!</v>
      </c>
      <c r="HE150">
        <f>IF(DATA!997:997,"AAAAAG/tj9Q=",0)</f>
        <v>0</v>
      </c>
      <c r="HF150" t="e">
        <f>AND(DATA!A997,"AAAAAG/tj9U=")</f>
        <v>#VALUE!</v>
      </c>
      <c r="HG150" t="e">
        <f>AND(DATA!B997,"AAAAAG/tj9Y=")</f>
        <v>#VALUE!</v>
      </c>
      <c r="HH150" t="e">
        <f>AND(DATA!C997,"AAAAAG/tj9c=")</f>
        <v>#VALUE!</v>
      </c>
      <c r="HI150" t="e">
        <f>AND(DATA!D997,"AAAAAG/tj9g=")</f>
        <v>#VALUE!</v>
      </c>
      <c r="HJ150" t="e">
        <f>AND(DATA!E997,"AAAAAG/tj9k=")</f>
        <v>#VALUE!</v>
      </c>
      <c r="HK150" t="e">
        <f>AND(DATA!F997,"AAAAAG/tj9o=")</f>
        <v>#VALUE!</v>
      </c>
      <c r="HL150" t="e">
        <f>AND(DATA!G997,"AAAAAG/tj9s=")</f>
        <v>#VALUE!</v>
      </c>
      <c r="HM150" t="e">
        <f>AND(DATA!H997,"AAAAAG/tj9w=")</f>
        <v>#VALUE!</v>
      </c>
      <c r="HN150" t="e">
        <f>AND(DATA!I997,"AAAAAG/tj90=")</f>
        <v>#VALUE!</v>
      </c>
      <c r="HO150" t="e">
        <f>AND(DATA!J997,"AAAAAG/tj94=")</f>
        <v>#VALUE!</v>
      </c>
      <c r="HP150" t="e">
        <f>AND(DATA!K997,"AAAAAG/tj98=")</f>
        <v>#VALUE!</v>
      </c>
      <c r="HQ150" t="b">
        <f>AND(DATA!L998,"AAAAAG/tj+A=")</f>
        <v>1</v>
      </c>
      <c r="HR150" t="b">
        <f>AND(DATA!M998,"AAAAAG/tj+E=")</f>
        <v>1</v>
      </c>
      <c r="HS150" t="b">
        <f>AND(DATA!N998,"AAAAAG/tj+I=")</f>
        <v>1</v>
      </c>
      <c r="HT150" t="b">
        <f>AND(DATA!O998,"AAAAAG/tj+M=")</f>
        <v>1</v>
      </c>
      <c r="HU150" t="b">
        <f>AND(DATA!P998,"AAAAAG/tj+Q=")</f>
        <v>1</v>
      </c>
      <c r="HV150" t="b">
        <f>AND(DATA!Q998,"AAAAAG/tj+U=")</f>
        <v>1</v>
      </c>
      <c r="HW150" t="b">
        <f>AND(DATA!R998,"AAAAAG/tj+Y=")</f>
        <v>1</v>
      </c>
      <c r="HX150" t="b">
        <f>AND(DATA!S998,"AAAAAG/tj+c=")</f>
        <v>1</v>
      </c>
      <c r="HY150" t="b">
        <f>AND(DATA!T998,"AAAAAG/tj+g=")</f>
        <v>1</v>
      </c>
      <c r="HZ150" t="b">
        <f>AND(DATA!U998,"AAAAAG/tj+k=")</f>
        <v>1</v>
      </c>
      <c r="IA150" t="b">
        <f>AND(DATA!V998,"AAAAAG/tj+o=")</f>
        <v>1</v>
      </c>
      <c r="IB150" t="e">
        <f>AND(DATA!W997,"AAAAAG/tj+s=")</f>
        <v>#VALUE!</v>
      </c>
      <c r="IC150" t="e">
        <f>AND(DATA!X997,"AAAAAG/tj+w=")</f>
        <v>#VALUE!</v>
      </c>
      <c r="ID150" t="e">
        <f>AND(DATA!Y997,"AAAAAG/tj+0=")</f>
        <v>#VALUE!</v>
      </c>
      <c r="IE150">
        <f>IF(DATA!998:998,"AAAAAG/tj+4=",0)</f>
        <v>0</v>
      </c>
      <c r="IF150" t="e">
        <f>AND(DATA!A998,"AAAAAG/tj+8=")</f>
        <v>#VALUE!</v>
      </c>
      <c r="IG150" t="e">
        <f>AND(DATA!B998,"AAAAAG/tj/A=")</f>
        <v>#VALUE!</v>
      </c>
      <c r="IH150" t="e">
        <f>AND(DATA!C998,"AAAAAG/tj/E=")</f>
        <v>#VALUE!</v>
      </c>
      <c r="II150" t="e">
        <f>AND(DATA!D998,"AAAAAG/tj/I=")</f>
        <v>#VALUE!</v>
      </c>
      <c r="IJ150" t="e">
        <f>AND(DATA!E998,"AAAAAG/tj/M=")</f>
        <v>#VALUE!</v>
      </c>
      <c r="IK150" t="e">
        <f>AND(DATA!F998,"AAAAAG/tj/Q=")</f>
        <v>#VALUE!</v>
      </c>
      <c r="IL150" t="e">
        <f>AND(DATA!G998,"AAAAAG/tj/U=")</f>
        <v>#VALUE!</v>
      </c>
      <c r="IM150" t="e">
        <f>AND(DATA!H998,"AAAAAG/tj/Y=")</f>
        <v>#VALUE!</v>
      </c>
      <c r="IN150" t="e">
        <f>AND(DATA!I998,"AAAAAG/tj/c=")</f>
        <v>#VALUE!</v>
      </c>
      <c r="IO150" t="e">
        <f>AND(DATA!J998,"AAAAAG/tj/g=")</f>
        <v>#VALUE!</v>
      </c>
      <c r="IP150" t="e">
        <f>AND(DATA!K998,"AAAAAG/tj/k=")</f>
        <v>#VALUE!</v>
      </c>
      <c r="IQ150" t="b">
        <f>AND(DATA!L999,"AAAAAG/tj/o=")</f>
        <v>1</v>
      </c>
      <c r="IR150" t="b">
        <f>AND(DATA!M999,"AAAAAG/tj/s=")</f>
        <v>1</v>
      </c>
      <c r="IS150" t="b">
        <f>AND(DATA!N999,"AAAAAG/tj/w=")</f>
        <v>1</v>
      </c>
      <c r="IT150" t="b">
        <f>AND(DATA!O999,"AAAAAG/tj/0=")</f>
        <v>1</v>
      </c>
      <c r="IU150" t="b">
        <f>AND(DATA!P999,"AAAAAG/tj/4=")</f>
        <v>1</v>
      </c>
      <c r="IV150" t="b">
        <f>AND(DATA!Q999,"AAAAAG/tj/8=")</f>
        <v>1</v>
      </c>
    </row>
    <row r="151" spans="1:256" x14ac:dyDescent="0.25">
      <c r="A151" t="b">
        <f>AND(DATA!R999,"AAAAAH+f6gA=")</f>
        <v>1</v>
      </c>
      <c r="B151" t="b">
        <f>AND(DATA!S999,"AAAAAH+f6gE=")</f>
        <v>1</v>
      </c>
      <c r="C151" t="b">
        <f>AND(DATA!T999,"AAAAAH+f6gI=")</f>
        <v>1</v>
      </c>
      <c r="D151" t="b">
        <f>AND(DATA!U999,"AAAAAH+f6gM=")</f>
        <v>1</v>
      </c>
      <c r="E151" t="b">
        <f>AND(DATA!V999,"AAAAAH+f6gQ=")</f>
        <v>1</v>
      </c>
      <c r="F151" t="e">
        <f>AND(DATA!W998,"AAAAAH+f6gU=")</f>
        <v>#VALUE!</v>
      </c>
      <c r="G151" t="e">
        <f>AND(DATA!X998,"AAAAAH+f6gY=")</f>
        <v>#VALUE!</v>
      </c>
      <c r="H151" t="e">
        <f>AND(DATA!Y998,"AAAAAH+f6gc=")</f>
        <v>#VALUE!</v>
      </c>
      <c r="I151">
        <f>IF(DATA!999:999,"AAAAAH+f6gg=",0)</f>
        <v>0</v>
      </c>
      <c r="J151" t="e">
        <f>AND(DATA!A999,"AAAAAH+f6gk=")</f>
        <v>#VALUE!</v>
      </c>
      <c r="K151" t="e">
        <f>AND(DATA!B999,"AAAAAH+f6go=")</f>
        <v>#VALUE!</v>
      </c>
      <c r="L151" t="e">
        <f>AND(DATA!C999,"AAAAAH+f6gs=")</f>
        <v>#VALUE!</v>
      </c>
      <c r="M151" t="e">
        <f>AND(DATA!D999,"AAAAAH+f6gw=")</f>
        <v>#VALUE!</v>
      </c>
      <c r="N151" t="e">
        <f>AND(DATA!E999,"AAAAAH+f6g0=")</f>
        <v>#VALUE!</v>
      </c>
      <c r="O151" t="e">
        <f>AND(DATA!F999,"AAAAAH+f6g4=")</f>
        <v>#VALUE!</v>
      </c>
      <c r="P151" t="e">
        <f>AND(DATA!G999,"AAAAAH+f6g8=")</f>
        <v>#VALUE!</v>
      </c>
      <c r="Q151" t="e">
        <f>AND(DATA!H999,"AAAAAH+f6hA=")</f>
        <v>#VALUE!</v>
      </c>
      <c r="R151" t="e">
        <f>AND(DATA!I999,"AAAAAH+f6hE=")</f>
        <v>#VALUE!</v>
      </c>
      <c r="S151" t="e">
        <f>AND(DATA!J999,"AAAAAH+f6hI=")</f>
        <v>#VALUE!</v>
      </c>
      <c r="T151" t="e">
        <f>AND(DATA!K999,"AAAAAH+f6hM=")</f>
        <v>#VALUE!</v>
      </c>
      <c r="U151" t="b">
        <f>AND(DATA!L1000,"AAAAAH+f6hQ=")</f>
        <v>1</v>
      </c>
      <c r="V151" t="b">
        <f>AND(DATA!M1000,"AAAAAH+f6hU=")</f>
        <v>1</v>
      </c>
      <c r="W151" t="b">
        <f>AND(DATA!N1000,"AAAAAH+f6hY=")</f>
        <v>1</v>
      </c>
      <c r="X151" t="b">
        <f>AND(DATA!O1000,"AAAAAH+f6hc=")</f>
        <v>1</v>
      </c>
      <c r="Y151" t="b">
        <f>AND(DATA!P1000,"AAAAAH+f6hg=")</f>
        <v>1</v>
      </c>
      <c r="Z151" t="b">
        <f>AND(DATA!Q1000,"AAAAAH+f6hk=")</f>
        <v>1</v>
      </c>
      <c r="AA151" t="b">
        <f>AND(DATA!R1000,"AAAAAH+f6ho=")</f>
        <v>1</v>
      </c>
      <c r="AB151" t="b">
        <f>AND(DATA!S1000,"AAAAAH+f6hs=")</f>
        <v>1</v>
      </c>
      <c r="AC151" t="b">
        <f>AND(DATA!T1000,"AAAAAH+f6hw=")</f>
        <v>1</v>
      </c>
      <c r="AD151" t="b">
        <f>AND(DATA!U1000,"AAAAAH+f6h0=")</f>
        <v>1</v>
      </c>
      <c r="AE151" t="b">
        <f>AND(DATA!V1000,"AAAAAH+f6h4=")</f>
        <v>1</v>
      </c>
      <c r="AF151" t="e">
        <f>AND(DATA!W999,"AAAAAH+f6h8=")</f>
        <v>#VALUE!</v>
      </c>
      <c r="AG151" t="e">
        <f>AND(DATA!X999,"AAAAAH+f6iA=")</f>
        <v>#VALUE!</v>
      </c>
      <c r="AH151" t="e">
        <f>AND(DATA!Y999,"AAAAAH+f6iE=")</f>
        <v>#VALUE!</v>
      </c>
      <c r="AI151">
        <f>IF(DATA!1000:1000,"AAAAAH+f6iI=",0)</f>
        <v>0</v>
      </c>
      <c r="AJ151" t="e">
        <f>AND(DATA!A1000,"AAAAAH+f6iM=")</f>
        <v>#VALUE!</v>
      </c>
      <c r="AK151" t="e">
        <f>AND(DATA!B1000,"AAAAAH+f6iQ=")</f>
        <v>#VALUE!</v>
      </c>
      <c r="AL151" t="e">
        <f>AND(DATA!C1000,"AAAAAH+f6iU=")</f>
        <v>#VALUE!</v>
      </c>
      <c r="AM151" t="e">
        <f>AND(DATA!D1000,"AAAAAH+f6iY=")</f>
        <v>#VALUE!</v>
      </c>
      <c r="AN151" t="e">
        <f>AND(DATA!E1000,"AAAAAH+f6ic=")</f>
        <v>#VALUE!</v>
      </c>
      <c r="AO151" t="e">
        <f>AND(DATA!F1000,"AAAAAH+f6ig=")</f>
        <v>#VALUE!</v>
      </c>
      <c r="AP151" t="e">
        <f>AND(DATA!G1000,"AAAAAH+f6ik=")</f>
        <v>#VALUE!</v>
      </c>
      <c r="AQ151" t="e">
        <f>AND(DATA!H1000,"AAAAAH+f6io=")</f>
        <v>#VALUE!</v>
      </c>
      <c r="AR151" t="e">
        <f>AND(DATA!I1000,"AAAAAH+f6is=")</f>
        <v>#VALUE!</v>
      </c>
      <c r="AS151" t="e">
        <f>AND(DATA!J1000,"AAAAAH+f6iw=")</f>
        <v>#VALUE!</v>
      </c>
      <c r="AT151" t="e">
        <f>AND(DATA!K1000,"AAAAAH+f6i0=")</f>
        <v>#VALUE!</v>
      </c>
      <c r="AU151" t="b">
        <f>AND(DATA!L1001,"AAAAAH+f6i4=")</f>
        <v>1</v>
      </c>
      <c r="AV151" t="b">
        <f>AND(DATA!M1001,"AAAAAH+f6i8=")</f>
        <v>1</v>
      </c>
      <c r="AW151" t="b">
        <f>AND(DATA!N1001,"AAAAAH+f6jA=")</f>
        <v>1</v>
      </c>
      <c r="AX151" t="b">
        <f>AND(DATA!O1001,"AAAAAH+f6jE=")</f>
        <v>1</v>
      </c>
      <c r="AY151" t="b">
        <f>AND(DATA!P1001,"AAAAAH+f6jI=")</f>
        <v>1</v>
      </c>
      <c r="AZ151" t="b">
        <f>AND(DATA!Q1001,"AAAAAH+f6jM=")</f>
        <v>1</v>
      </c>
      <c r="BA151" t="b">
        <f>AND(DATA!R1001,"AAAAAH+f6jQ=")</f>
        <v>1</v>
      </c>
      <c r="BB151" t="b">
        <f>AND(DATA!S1001,"AAAAAH+f6jU=")</f>
        <v>1</v>
      </c>
      <c r="BC151" t="b">
        <f>AND(DATA!T1001,"AAAAAH+f6jY=")</f>
        <v>1</v>
      </c>
      <c r="BD151" t="b">
        <f>AND(DATA!U1001,"AAAAAH+f6jc=")</f>
        <v>1</v>
      </c>
      <c r="BE151" t="b">
        <f>AND(DATA!V1001,"AAAAAH+f6jg=")</f>
        <v>1</v>
      </c>
      <c r="BF151" t="e">
        <f>AND(DATA!W1000,"AAAAAH+f6jk=")</f>
        <v>#VALUE!</v>
      </c>
      <c r="BG151" t="e">
        <f>AND(DATA!X1000,"AAAAAH+f6jo=")</f>
        <v>#VALUE!</v>
      </c>
      <c r="BH151" t="e">
        <f>AND(DATA!Y1000,"AAAAAH+f6js=")</f>
        <v>#VALUE!</v>
      </c>
      <c r="BI151">
        <f>IF(DATA!1001:1001,"AAAAAH+f6jw=",0)</f>
        <v>0</v>
      </c>
      <c r="BJ151" t="e">
        <f>AND(DATA!A1001,"AAAAAH+f6j0=")</f>
        <v>#VALUE!</v>
      </c>
      <c r="BK151" t="e">
        <f>AND(DATA!B1001,"AAAAAH+f6j4=")</f>
        <v>#VALUE!</v>
      </c>
      <c r="BL151" t="e">
        <f>AND(DATA!C1001,"AAAAAH+f6j8=")</f>
        <v>#VALUE!</v>
      </c>
      <c r="BM151" t="e">
        <f>AND(DATA!D1001,"AAAAAH+f6kA=")</f>
        <v>#VALUE!</v>
      </c>
      <c r="BN151" t="e">
        <f>AND(DATA!E1001,"AAAAAH+f6kE=")</f>
        <v>#VALUE!</v>
      </c>
      <c r="BO151" t="e">
        <f>AND(DATA!F1001,"AAAAAH+f6kI=")</f>
        <v>#VALUE!</v>
      </c>
      <c r="BP151" t="e">
        <f>AND(DATA!G1001,"AAAAAH+f6kM=")</f>
        <v>#VALUE!</v>
      </c>
      <c r="BQ151" t="e">
        <f>AND(DATA!H1001,"AAAAAH+f6kQ=")</f>
        <v>#VALUE!</v>
      </c>
      <c r="BR151" t="e">
        <f>AND(DATA!I1001,"AAAAAH+f6kU=")</f>
        <v>#VALUE!</v>
      </c>
      <c r="BS151" t="e">
        <f>AND(DATA!J1001,"AAAAAH+f6kY=")</f>
        <v>#VALUE!</v>
      </c>
      <c r="BT151" t="e">
        <f>AND(DATA!K1001,"AAAAAH+f6kc=")</f>
        <v>#VALUE!</v>
      </c>
      <c r="BU151" t="b">
        <f>AND(DATA!L1002,"AAAAAH+f6kg=")</f>
        <v>1</v>
      </c>
      <c r="BV151" t="b">
        <f>AND(DATA!M1002,"AAAAAH+f6kk=")</f>
        <v>1</v>
      </c>
      <c r="BW151" t="b">
        <f>AND(DATA!N1002,"AAAAAH+f6ko=")</f>
        <v>1</v>
      </c>
      <c r="BX151" t="b">
        <f>AND(DATA!O1002,"AAAAAH+f6ks=")</f>
        <v>1</v>
      </c>
      <c r="BY151" t="b">
        <f>AND(DATA!P1002,"AAAAAH+f6kw=")</f>
        <v>1</v>
      </c>
      <c r="BZ151" t="b">
        <f>AND(DATA!Q1002,"AAAAAH+f6k0=")</f>
        <v>1</v>
      </c>
      <c r="CA151" t="b">
        <f>AND(DATA!R1002,"AAAAAH+f6k4=")</f>
        <v>1</v>
      </c>
      <c r="CB151" t="b">
        <f>AND(DATA!S1002,"AAAAAH+f6k8=")</f>
        <v>1</v>
      </c>
      <c r="CC151" t="b">
        <f>AND(DATA!T1002,"AAAAAH+f6lA=")</f>
        <v>1</v>
      </c>
      <c r="CD151" t="b">
        <f>AND(DATA!U1002,"AAAAAH+f6lE=")</f>
        <v>1</v>
      </c>
      <c r="CE151" t="b">
        <f>AND(DATA!V1002,"AAAAAH+f6lI=")</f>
        <v>1</v>
      </c>
      <c r="CF151" t="e">
        <f>AND(DATA!W1001,"AAAAAH+f6lM=")</f>
        <v>#VALUE!</v>
      </c>
      <c r="CG151" t="e">
        <f>AND(DATA!X1001,"AAAAAH+f6lQ=")</f>
        <v>#VALUE!</v>
      </c>
      <c r="CH151" t="e">
        <f>AND(DATA!Y1001,"AAAAAH+f6lU=")</f>
        <v>#VALUE!</v>
      </c>
      <c r="CI151">
        <f>IF(DATA!1002:1002,"AAAAAH+f6lY=",0)</f>
        <v>0</v>
      </c>
      <c r="CJ151" t="e">
        <f>AND(DATA!A1002,"AAAAAH+f6lc=")</f>
        <v>#VALUE!</v>
      </c>
      <c r="CK151" t="e">
        <f>AND(DATA!B1002,"AAAAAH+f6lg=")</f>
        <v>#VALUE!</v>
      </c>
      <c r="CL151" t="e">
        <f>AND(DATA!C1002,"AAAAAH+f6lk=")</f>
        <v>#VALUE!</v>
      </c>
      <c r="CM151" t="e">
        <f>AND(DATA!D1002,"AAAAAH+f6lo=")</f>
        <v>#VALUE!</v>
      </c>
      <c r="CN151" t="e">
        <f>AND(DATA!E1002,"AAAAAH+f6ls=")</f>
        <v>#VALUE!</v>
      </c>
      <c r="CO151" t="e">
        <f>AND(DATA!F1002,"AAAAAH+f6lw=")</f>
        <v>#VALUE!</v>
      </c>
      <c r="CP151" t="e">
        <f>AND(DATA!G1002,"AAAAAH+f6l0=")</f>
        <v>#VALUE!</v>
      </c>
      <c r="CQ151" t="e">
        <f>AND(DATA!H1002,"AAAAAH+f6l4=")</f>
        <v>#VALUE!</v>
      </c>
      <c r="CR151" t="e">
        <f>AND(DATA!I1002,"AAAAAH+f6l8=")</f>
        <v>#VALUE!</v>
      </c>
      <c r="CS151" t="e">
        <f>AND(DATA!J1002,"AAAAAH+f6mA=")</f>
        <v>#VALUE!</v>
      </c>
      <c r="CT151" t="e">
        <f>AND(DATA!K1002,"AAAAAH+f6mE=")</f>
        <v>#VALUE!</v>
      </c>
      <c r="CU151" t="b">
        <f>AND(DATA!L1003,"AAAAAH+f6mI=")</f>
        <v>1</v>
      </c>
      <c r="CV151" t="b">
        <f>AND(DATA!M1003,"AAAAAH+f6mM=")</f>
        <v>1</v>
      </c>
      <c r="CW151" t="b">
        <f>AND(DATA!N1003,"AAAAAH+f6mQ=")</f>
        <v>1</v>
      </c>
      <c r="CX151" t="b">
        <f>AND(DATA!O1003,"AAAAAH+f6mU=")</f>
        <v>1</v>
      </c>
      <c r="CY151" t="b">
        <f>AND(DATA!P1003,"AAAAAH+f6mY=")</f>
        <v>1</v>
      </c>
      <c r="CZ151" t="b">
        <f>AND(DATA!Q1003,"AAAAAH+f6mc=")</f>
        <v>1</v>
      </c>
      <c r="DA151" t="b">
        <f>AND(DATA!R1003,"AAAAAH+f6mg=")</f>
        <v>1</v>
      </c>
      <c r="DB151" t="b">
        <f>AND(DATA!S1003,"AAAAAH+f6mk=")</f>
        <v>1</v>
      </c>
      <c r="DC151" t="b">
        <f>AND(DATA!T1003,"AAAAAH+f6mo=")</f>
        <v>1</v>
      </c>
      <c r="DD151" t="b">
        <f>AND(DATA!U1003,"AAAAAH+f6ms=")</f>
        <v>1</v>
      </c>
      <c r="DE151" t="b">
        <f>AND(DATA!V1003,"AAAAAH+f6mw=")</f>
        <v>1</v>
      </c>
      <c r="DF151" t="e">
        <f>AND(DATA!W1002,"AAAAAH+f6m0=")</f>
        <v>#VALUE!</v>
      </c>
      <c r="DG151" t="e">
        <f>AND(DATA!X1002,"AAAAAH+f6m4=")</f>
        <v>#VALUE!</v>
      </c>
      <c r="DH151" t="e">
        <f>AND(DATA!Y1002,"AAAAAH+f6m8=")</f>
        <v>#VALUE!</v>
      </c>
      <c r="DI151">
        <f>IF(DATA!1003:1003,"AAAAAH+f6nA=",0)</f>
        <v>0</v>
      </c>
      <c r="DJ151" t="e">
        <f>AND(DATA!A1003,"AAAAAH+f6nE=")</f>
        <v>#VALUE!</v>
      </c>
      <c r="DK151" t="e">
        <f>AND(DATA!B1003,"AAAAAH+f6nI=")</f>
        <v>#VALUE!</v>
      </c>
      <c r="DL151" t="e">
        <f>AND(DATA!C1003,"AAAAAH+f6nM=")</f>
        <v>#VALUE!</v>
      </c>
      <c r="DM151" t="e">
        <f>AND(DATA!D1003,"AAAAAH+f6nQ=")</f>
        <v>#VALUE!</v>
      </c>
      <c r="DN151" t="e">
        <f>AND(DATA!E1003,"AAAAAH+f6nU=")</f>
        <v>#VALUE!</v>
      </c>
      <c r="DO151" t="e">
        <f>AND(DATA!F1003,"AAAAAH+f6nY=")</f>
        <v>#VALUE!</v>
      </c>
      <c r="DP151" t="e">
        <f>AND(DATA!G1003,"AAAAAH+f6nc=")</f>
        <v>#VALUE!</v>
      </c>
      <c r="DQ151" t="e">
        <f>AND(DATA!H1003,"AAAAAH+f6ng=")</f>
        <v>#VALUE!</v>
      </c>
      <c r="DR151" t="e">
        <f>AND(DATA!I1003,"AAAAAH+f6nk=")</f>
        <v>#VALUE!</v>
      </c>
      <c r="DS151" t="e">
        <f>AND(DATA!J1003,"AAAAAH+f6no=")</f>
        <v>#VALUE!</v>
      </c>
      <c r="DT151" t="e">
        <f>AND(DATA!K1003,"AAAAAH+f6ns=")</f>
        <v>#VALUE!</v>
      </c>
      <c r="DU151" t="b">
        <f>AND(DATA!L1004,"AAAAAH+f6nw=")</f>
        <v>1</v>
      </c>
      <c r="DV151" t="b">
        <f>AND(DATA!M1004,"AAAAAH+f6n0=")</f>
        <v>1</v>
      </c>
      <c r="DW151" t="b">
        <f>AND(DATA!N1004,"AAAAAH+f6n4=")</f>
        <v>1</v>
      </c>
      <c r="DX151" t="b">
        <f>AND(DATA!O1004,"AAAAAH+f6n8=")</f>
        <v>1</v>
      </c>
      <c r="DY151" t="b">
        <f>AND(DATA!P1004,"AAAAAH+f6oA=")</f>
        <v>1</v>
      </c>
      <c r="DZ151" t="b">
        <f>AND(DATA!Q1004,"AAAAAH+f6oE=")</f>
        <v>1</v>
      </c>
      <c r="EA151" t="b">
        <f>AND(DATA!R1004,"AAAAAH+f6oI=")</f>
        <v>1</v>
      </c>
      <c r="EB151" t="b">
        <f>AND(DATA!S1004,"AAAAAH+f6oM=")</f>
        <v>1</v>
      </c>
      <c r="EC151" t="b">
        <f>AND(DATA!T1004,"AAAAAH+f6oQ=")</f>
        <v>1</v>
      </c>
      <c r="ED151" t="b">
        <f>AND(DATA!U1004,"AAAAAH+f6oU=")</f>
        <v>1</v>
      </c>
      <c r="EE151" t="b">
        <f>AND(DATA!V1004,"AAAAAH+f6oY=")</f>
        <v>1</v>
      </c>
      <c r="EF151" t="e">
        <f>AND(DATA!W1003,"AAAAAH+f6oc=")</f>
        <v>#VALUE!</v>
      </c>
      <c r="EG151" t="e">
        <f>AND(DATA!X1003,"AAAAAH+f6og=")</f>
        <v>#VALUE!</v>
      </c>
      <c r="EH151" t="e">
        <f>AND(DATA!Y1003,"AAAAAH+f6ok=")</f>
        <v>#VALUE!</v>
      </c>
      <c r="EI151">
        <f>IF(DATA!1004:1004,"AAAAAH+f6oo=",0)</f>
        <v>0</v>
      </c>
      <c r="EJ151" t="e">
        <f>AND(DATA!A1004,"AAAAAH+f6os=")</f>
        <v>#VALUE!</v>
      </c>
      <c r="EK151" t="e">
        <f>AND(DATA!B1004,"AAAAAH+f6ow=")</f>
        <v>#VALUE!</v>
      </c>
      <c r="EL151" t="e">
        <f>AND(DATA!C1004,"AAAAAH+f6o0=")</f>
        <v>#VALUE!</v>
      </c>
      <c r="EM151" t="e">
        <f>AND(DATA!D1004,"AAAAAH+f6o4=")</f>
        <v>#VALUE!</v>
      </c>
      <c r="EN151" t="e">
        <f>AND(DATA!E1004,"AAAAAH+f6o8=")</f>
        <v>#VALUE!</v>
      </c>
      <c r="EO151" t="e">
        <f>AND(DATA!F1004,"AAAAAH+f6pA=")</f>
        <v>#VALUE!</v>
      </c>
      <c r="EP151" t="e">
        <f>AND(DATA!G1004,"AAAAAH+f6pE=")</f>
        <v>#VALUE!</v>
      </c>
      <c r="EQ151" t="e">
        <f>AND(DATA!H1004,"AAAAAH+f6pI=")</f>
        <v>#VALUE!</v>
      </c>
      <c r="ER151" t="e">
        <f>AND(DATA!I1004,"AAAAAH+f6pM=")</f>
        <v>#VALUE!</v>
      </c>
      <c r="ES151" t="e">
        <f>AND(DATA!J1004,"AAAAAH+f6pQ=")</f>
        <v>#VALUE!</v>
      </c>
      <c r="ET151" t="e">
        <f>AND(DATA!K1004,"AAAAAH+f6pU=")</f>
        <v>#VALUE!</v>
      </c>
      <c r="EU151" t="b">
        <f>AND(DATA!L1005,"AAAAAH+f6pY=")</f>
        <v>1</v>
      </c>
      <c r="EV151" t="b">
        <f>AND(DATA!M1005,"AAAAAH+f6pc=")</f>
        <v>1</v>
      </c>
      <c r="EW151" t="b">
        <f>AND(DATA!N1005,"AAAAAH+f6pg=")</f>
        <v>1</v>
      </c>
      <c r="EX151" t="b">
        <f>AND(DATA!O1005,"AAAAAH+f6pk=")</f>
        <v>1</v>
      </c>
      <c r="EY151" t="b">
        <f>AND(DATA!P1005,"AAAAAH+f6po=")</f>
        <v>1</v>
      </c>
      <c r="EZ151" t="b">
        <f>AND(DATA!Q1005,"AAAAAH+f6ps=")</f>
        <v>1</v>
      </c>
      <c r="FA151" t="b">
        <f>AND(DATA!R1005,"AAAAAH+f6pw=")</f>
        <v>1</v>
      </c>
      <c r="FB151" t="b">
        <f>AND(DATA!S1005,"AAAAAH+f6p0=")</f>
        <v>1</v>
      </c>
      <c r="FC151" t="b">
        <f>AND(DATA!T1005,"AAAAAH+f6p4=")</f>
        <v>1</v>
      </c>
      <c r="FD151" t="b">
        <f>AND(DATA!U1005,"AAAAAH+f6p8=")</f>
        <v>1</v>
      </c>
      <c r="FE151" t="b">
        <f>AND(DATA!V1005,"AAAAAH+f6qA=")</f>
        <v>1</v>
      </c>
      <c r="FF151" t="e">
        <f>AND(DATA!W1004,"AAAAAH+f6qE=")</f>
        <v>#VALUE!</v>
      </c>
      <c r="FG151" t="e">
        <f>AND(DATA!X1004,"AAAAAH+f6qI=")</f>
        <v>#VALUE!</v>
      </c>
      <c r="FH151" t="e">
        <f>AND(DATA!Y1004,"AAAAAH+f6qM=")</f>
        <v>#VALUE!</v>
      </c>
      <c r="FI151">
        <f>IF(DATA!1005:1005,"AAAAAH+f6qQ=",0)</f>
        <v>0</v>
      </c>
      <c r="FJ151" t="e">
        <f>AND(DATA!A1005,"AAAAAH+f6qU=")</f>
        <v>#VALUE!</v>
      </c>
      <c r="FK151" t="e">
        <f>AND(DATA!B1005,"AAAAAH+f6qY=")</f>
        <v>#VALUE!</v>
      </c>
      <c r="FL151" t="e">
        <f>AND(DATA!C1005,"AAAAAH+f6qc=")</f>
        <v>#VALUE!</v>
      </c>
      <c r="FM151" t="e">
        <f>AND(DATA!D1005,"AAAAAH+f6qg=")</f>
        <v>#VALUE!</v>
      </c>
      <c r="FN151" t="e">
        <f>AND(DATA!E1005,"AAAAAH+f6qk=")</f>
        <v>#VALUE!</v>
      </c>
      <c r="FO151" t="e">
        <f>AND(DATA!F1005,"AAAAAH+f6qo=")</f>
        <v>#VALUE!</v>
      </c>
      <c r="FP151" t="e">
        <f>AND(DATA!G1005,"AAAAAH+f6qs=")</f>
        <v>#VALUE!</v>
      </c>
      <c r="FQ151" t="e">
        <f>AND(DATA!H1005,"AAAAAH+f6qw=")</f>
        <v>#VALUE!</v>
      </c>
      <c r="FR151" t="e">
        <f>AND(DATA!I1005,"AAAAAH+f6q0=")</f>
        <v>#VALUE!</v>
      </c>
      <c r="FS151" t="e">
        <f>AND(DATA!J1005,"AAAAAH+f6q4=")</f>
        <v>#VALUE!</v>
      </c>
      <c r="FT151" t="e">
        <f>AND(DATA!K1005,"AAAAAH+f6q8=")</f>
        <v>#VALUE!</v>
      </c>
      <c r="FU151" t="b">
        <f>AND(DATA!L1006,"AAAAAH+f6rA=")</f>
        <v>1</v>
      </c>
      <c r="FV151" t="b">
        <f>AND(DATA!M1006,"AAAAAH+f6rE=")</f>
        <v>1</v>
      </c>
      <c r="FW151" t="b">
        <f>AND(DATA!N1006,"AAAAAH+f6rI=")</f>
        <v>1</v>
      </c>
      <c r="FX151" t="b">
        <f>AND(DATA!O1006,"AAAAAH+f6rM=")</f>
        <v>1</v>
      </c>
      <c r="FY151" t="b">
        <f>AND(DATA!P1006,"AAAAAH+f6rQ=")</f>
        <v>1</v>
      </c>
      <c r="FZ151" t="b">
        <f>AND(DATA!Q1006,"AAAAAH+f6rU=")</f>
        <v>1</v>
      </c>
      <c r="GA151" t="b">
        <f>AND(DATA!R1006,"AAAAAH+f6rY=")</f>
        <v>1</v>
      </c>
      <c r="GB151" t="b">
        <f>AND(DATA!S1006,"AAAAAH+f6rc=")</f>
        <v>1</v>
      </c>
      <c r="GC151" t="b">
        <f>AND(DATA!T1006,"AAAAAH+f6rg=")</f>
        <v>1</v>
      </c>
      <c r="GD151" t="b">
        <f>AND(DATA!U1006,"AAAAAH+f6rk=")</f>
        <v>1</v>
      </c>
      <c r="GE151" t="b">
        <f>AND(DATA!V1006,"AAAAAH+f6ro=")</f>
        <v>1</v>
      </c>
      <c r="GF151" t="e">
        <f>AND(DATA!W1005,"AAAAAH+f6rs=")</f>
        <v>#VALUE!</v>
      </c>
      <c r="GG151" t="e">
        <f>AND(DATA!X1005,"AAAAAH+f6rw=")</f>
        <v>#VALUE!</v>
      </c>
      <c r="GH151" t="e">
        <f>AND(DATA!Y1005,"AAAAAH+f6r0=")</f>
        <v>#VALUE!</v>
      </c>
      <c r="GI151">
        <f>IF(DATA!1006:1006,"AAAAAH+f6r4=",0)</f>
        <v>0</v>
      </c>
      <c r="GJ151" t="e">
        <f>AND(DATA!A1006,"AAAAAH+f6r8=")</f>
        <v>#VALUE!</v>
      </c>
      <c r="GK151" t="e">
        <f>AND(DATA!B1006,"AAAAAH+f6sA=")</f>
        <v>#VALUE!</v>
      </c>
      <c r="GL151" t="e">
        <f>AND(DATA!C1006,"AAAAAH+f6sE=")</f>
        <v>#VALUE!</v>
      </c>
      <c r="GM151" t="e">
        <f>AND(DATA!D1006,"AAAAAH+f6sI=")</f>
        <v>#VALUE!</v>
      </c>
      <c r="GN151" t="e">
        <f>AND(DATA!E1006,"AAAAAH+f6sM=")</f>
        <v>#VALUE!</v>
      </c>
      <c r="GO151" t="e">
        <f>AND(DATA!F1006,"AAAAAH+f6sQ=")</f>
        <v>#VALUE!</v>
      </c>
      <c r="GP151" t="e">
        <f>AND(DATA!G1006,"AAAAAH+f6sU=")</f>
        <v>#VALUE!</v>
      </c>
      <c r="GQ151" t="e">
        <f>AND(DATA!H1006,"AAAAAH+f6sY=")</f>
        <v>#VALUE!</v>
      </c>
      <c r="GR151" t="e">
        <f>AND(DATA!I1006,"AAAAAH+f6sc=")</f>
        <v>#VALUE!</v>
      </c>
      <c r="GS151" t="e">
        <f>AND(DATA!J1006,"AAAAAH+f6sg=")</f>
        <v>#VALUE!</v>
      </c>
      <c r="GT151" t="e">
        <f>AND(DATA!K1006,"AAAAAH+f6sk=")</f>
        <v>#VALUE!</v>
      </c>
      <c r="GU151" t="b">
        <f>AND(DATA!L1007,"AAAAAH+f6so=")</f>
        <v>1</v>
      </c>
      <c r="GV151" t="b">
        <f>AND(DATA!M1007,"AAAAAH+f6ss=")</f>
        <v>1</v>
      </c>
      <c r="GW151" t="b">
        <f>AND(DATA!N1007,"AAAAAH+f6sw=")</f>
        <v>1</v>
      </c>
      <c r="GX151" t="b">
        <f>AND(DATA!O1007,"AAAAAH+f6s0=")</f>
        <v>1</v>
      </c>
      <c r="GY151" t="b">
        <f>AND(DATA!P1007,"AAAAAH+f6s4=")</f>
        <v>1</v>
      </c>
      <c r="GZ151" t="b">
        <f>AND(DATA!Q1007,"AAAAAH+f6s8=")</f>
        <v>1</v>
      </c>
      <c r="HA151" t="b">
        <f>AND(DATA!R1007,"AAAAAH+f6tA=")</f>
        <v>1</v>
      </c>
      <c r="HB151" t="b">
        <f>AND(DATA!S1007,"AAAAAH+f6tE=")</f>
        <v>1</v>
      </c>
      <c r="HC151" t="b">
        <f>AND(DATA!T1007,"AAAAAH+f6tI=")</f>
        <v>1</v>
      </c>
      <c r="HD151" t="b">
        <f>AND(DATA!U1007,"AAAAAH+f6tM=")</f>
        <v>1</v>
      </c>
      <c r="HE151" t="b">
        <f>AND(DATA!V1007,"AAAAAH+f6tQ=")</f>
        <v>1</v>
      </c>
      <c r="HF151" t="e">
        <f>AND(DATA!W1006,"AAAAAH+f6tU=")</f>
        <v>#VALUE!</v>
      </c>
      <c r="HG151" t="e">
        <f>AND(DATA!X1006,"AAAAAH+f6tY=")</f>
        <v>#VALUE!</v>
      </c>
      <c r="HH151" t="e">
        <f>AND(DATA!Y1006,"AAAAAH+f6tc=")</f>
        <v>#VALUE!</v>
      </c>
      <c r="HI151">
        <f>IF(DATA!1007:1007,"AAAAAH+f6tg=",0)</f>
        <v>0</v>
      </c>
      <c r="HJ151" t="e">
        <f>AND(DATA!A1007,"AAAAAH+f6tk=")</f>
        <v>#VALUE!</v>
      </c>
      <c r="HK151" t="e">
        <f>AND(DATA!B1007,"AAAAAH+f6to=")</f>
        <v>#VALUE!</v>
      </c>
      <c r="HL151" t="e">
        <f>AND(DATA!C1007,"AAAAAH+f6ts=")</f>
        <v>#VALUE!</v>
      </c>
      <c r="HM151" t="e">
        <f>AND(DATA!D1007,"AAAAAH+f6tw=")</f>
        <v>#VALUE!</v>
      </c>
      <c r="HN151" t="e">
        <f>AND(DATA!E1007,"AAAAAH+f6t0=")</f>
        <v>#VALUE!</v>
      </c>
      <c r="HO151" t="e">
        <f>AND(DATA!F1007,"AAAAAH+f6t4=")</f>
        <v>#VALUE!</v>
      </c>
      <c r="HP151" t="e">
        <f>AND(DATA!G1007,"AAAAAH+f6t8=")</f>
        <v>#VALUE!</v>
      </c>
      <c r="HQ151" t="e">
        <f>AND(DATA!H1007,"AAAAAH+f6uA=")</f>
        <v>#VALUE!</v>
      </c>
      <c r="HR151" t="e">
        <f>AND(DATA!I1007,"AAAAAH+f6uE=")</f>
        <v>#VALUE!</v>
      </c>
      <c r="HS151" t="e">
        <f>AND(DATA!J1007,"AAAAAH+f6uI=")</f>
        <v>#VALUE!</v>
      </c>
      <c r="HT151" t="e">
        <f>AND(DATA!K1007,"AAAAAH+f6uM=")</f>
        <v>#VALUE!</v>
      </c>
      <c r="HU151" t="b">
        <f>AND(DATA!L1008,"AAAAAH+f6uQ=")</f>
        <v>1</v>
      </c>
      <c r="HV151" t="b">
        <f>AND(DATA!M1008,"AAAAAH+f6uU=")</f>
        <v>1</v>
      </c>
      <c r="HW151" t="b">
        <f>AND(DATA!N1008,"AAAAAH+f6uY=")</f>
        <v>1</v>
      </c>
      <c r="HX151" t="b">
        <f>AND(DATA!O1008,"AAAAAH+f6uc=")</f>
        <v>1</v>
      </c>
      <c r="HY151" t="b">
        <f>AND(DATA!P1008,"AAAAAH+f6ug=")</f>
        <v>1</v>
      </c>
      <c r="HZ151" t="b">
        <f>AND(DATA!Q1008,"AAAAAH+f6uk=")</f>
        <v>1</v>
      </c>
      <c r="IA151" t="b">
        <f>AND(DATA!R1008,"AAAAAH+f6uo=")</f>
        <v>1</v>
      </c>
      <c r="IB151" t="b">
        <f>AND(DATA!S1008,"AAAAAH+f6us=")</f>
        <v>1</v>
      </c>
      <c r="IC151" t="b">
        <f>AND(DATA!T1008,"AAAAAH+f6uw=")</f>
        <v>1</v>
      </c>
      <c r="ID151" t="b">
        <f>AND(DATA!U1008,"AAAAAH+f6u0=")</f>
        <v>1</v>
      </c>
      <c r="IE151" t="b">
        <f>AND(DATA!V1008,"AAAAAH+f6u4=")</f>
        <v>1</v>
      </c>
      <c r="IF151" t="e">
        <f>AND(DATA!W1007,"AAAAAH+f6u8=")</f>
        <v>#VALUE!</v>
      </c>
      <c r="IG151" t="e">
        <f>AND(DATA!X1007,"AAAAAH+f6vA=")</f>
        <v>#VALUE!</v>
      </c>
      <c r="IH151" t="e">
        <f>AND(DATA!Y1007,"AAAAAH+f6vE=")</f>
        <v>#VALUE!</v>
      </c>
      <c r="II151">
        <f>IF(DATA!1008:1008,"AAAAAH+f6vI=",0)</f>
        <v>0</v>
      </c>
      <c r="IJ151" t="e">
        <f>AND(DATA!A1008,"AAAAAH+f6vM=")</f>
        <v>#VALUE!</v>
      </c>
      <c r="IK151" t="e">
        <f>AND(DATA!B1008,"AAAAAH+f6vQ=")</f>
        <v>#VALUE!</v>
      </c>
      <c r="IL151" t="e">
        <f>AND(DATA!C1008,"AAAAAH+f6vU=")</f>
        <v>#VALUE!</v>
      </c>
      <c r="IM151" t="e">
        <f>AND(DATA!D1008,"AAAAAH+f6vY=")</f>
        <v>#VALUE!</v>
      </c>
      <c r="IN151" t="e">
        <f>AND(DATA!E1008,"AAAAAH+f6vc=")</f>
        <v>#VALUE!</v>
      </c>
      <c r="IO151" t="e">
        <f>AND(DATA!F1008,"AAAAAH+f6vg=")</f>
        <v>#VALUE!</v>
      </c>
      <c r="IP151" t="e">
        <f>AND(DATA!G1008,"AAAAAH+f6vk=")</f>
        <v>#VALUE!</v>
      </c>
      <c r="IQ151" t="e">
        <f>AND(DATA!H1008,"AAAAAH+f6vo=")</f>
        <v>#VALUE!</v>
      </c>
      <c r="IR151" t="e">
        <f>AND(DATA!I1008,"AAAAAH+f6vs=")</f>
        <v>#VALUE!</v>
      </c>
      <c r="IS151" t="e">
        <f>AND(DATA!J1008,"AAAAAH+f6vw=")</f>
        <v>#VALUE!</v>
      </c>
      <c r="IT151" t="e">
        <f>AND(DATA!K1008,"AAAAAH+f6v0=")</f>
        <v>#VALUE!</v>
      </c>
      <c r="IU151" t="b">
        <f>AND(DATA!L1009,"AAAAAH+f6v4=")</f>
        <v>1</v>
      </c>
      <c r="IV151" t="b">
        <f>AND(DATA!M1009,"AAAAAH+f6v8=")</f>
        <v>1</v>
      </c>
    </row>
    <row r="152" spans="1:256" x14ac:dyDescent="0.25">
      <c r="A152" t="b">
        <f>AND(DATA!N1009,"AAAAAHv9dwA=")</f>
        <v>1</v>
      </c>
      <c r="B152" t="b">
        <f>AND(DATA!O1009,"AAAAAHv9dwE=")</f>
        <v>1</v>
      </c>
      <c r="C152" t="b">
        <f>AND(DATA!P1009,"AAAAAHv9dwI=")</f>
        <v>1</v>
      </c>
      <c r="D152" t="b">
        <f>AND(DATA!Q1009,"AAAAAHv9dwM=")</f>
        <v>1</v>
      </c>
      <c r="E152" t="b">
        <f>AND(DATA!R1009,"AAAAAHv9dwQ=")</f>
        <v>1</v>
      </c>
      <c r="F152" t="b">
        <f>AND(DATA!S1009,"AAAAAHv9dwU=")</f>
        <v>1</v>
      </c>
      <c r="G152" t="b">
        <f>AND(DATA!T1009,"AAAAAHv9dwY=")</f>
        <v>1</v>
      </c>
      <c r="H152" t="b">
        <f>AND(DATA!U1009,"AAAAAHv9dwc=")</f>
        <v>1</v>
      </c>
      <c r="I152" t="b">
        <f>AND(DATA!V1009,"AAAAAHv9dwg=")</f>
        <v>1</v>
      </c>
      <c r="J152" t="e">
        <f>AND(DATA!W1008,"AAAAAHv9dwk=")</f>
        <v>#VALUE!</v>
      </c>
      <c r="K152" t="e">
        <f>AND(DATA!X1008,"AAAAAHv9dwo=")</f>
        <v>#VALUE!</v>
      </c>
      <c r="L152" t="e">
        <f>AND(DATA!Y1008,"AAAAAHv9dws=")</f>
        <v>#VALUE!</v>
      </c>
      <c r="M152" t="str">
        <f>IF(DATA!1009:1009,"AAAAAHv9dww=",0)</f>
        <v>AAAAAHv9dww=</v>
      </c>
      <c r="N152" t="e">
        <f>AND(DATA!A1009,"AAAAAHv9dw0=")</f>
        <v>#VALUE!</v>
      </c>
      <c r="O152" t="e">
        <f>AND(DATA!B1009,"AAAAAHv9dw4=")</f>
        <v>#VALUE!</v>
      </c>
      <c r="P152" t="e">
        <f>AND(DATA!C1009,"AAAAAHv9dw8=")</f>
        <v>#VALUE!</v>
      </c>
      <c r="Q152" t="e">
        <f>AND(DATA!D1009,"AAAAAHv9dxA=")</f>
        <v>#VALUE!</v>
      </c>
      <c r="R152" t="e">
        <f>AND(DATA!E1009,"AAAAAHv9dxE=")</f>
        <v>#VALUE!</v>
      </c>
      <c r="S152" t="e">
        <f>AND(DATA!F1009,"AAAAAHv9dxI=")</f>
        <v>#VALUE!</v>
      </c>
      <c r="T152" t="e">
        <f>AND(DATA!G1009,"AAAAAHv9dxM=")</f>
        <v>#VALUE!</v>
      </c>
      <c r="U152" t="e">
        <f>AND(DATA!H1009,"AAAAAHv9dxQ=")</f>
        <v>#VALUE!</v>
      </c>
      <c r="V152" t="e">
        <f>AND(DATA!I1009,"AAAAAHv9dxU=")</f>
        <v>#VALUE!</v>
      </c>
      <c r="W152" t="e">
        <f>AND(DATA!J1009,"AAAAAHv9dxY=")</f>
        <v>#VALUE!</v>
      </c>
      <c r="X152" t="e">
        <f>AND(DATA!K1009,"AAAAAHv9dxc=")</f>
        <v>#VALUE!</v>
      </c>
      <c r="Y152" t="b">
        <f>AND(DATA!L1010,"AAAAAHv9dxg=")</f>
        <v>1</v>
      </c>
      <c r="Z152" t="b">
        <f>AND(DATA!M1010,"AAAAAHv9dxk=")</f>
        <v>1</v>
      </c>
      <c r="AA152" t="b">
        <f>AND(DATA!N1010,"AAAAAHv9dxo=")</f>
        <v>1</v>
      </c>
      <c r="AB152" t="b">
        <f>AND(DATA!O1010,"AAAAAHv9dxs=")</f>
        <v>1</v>
      </c>
      <c r="AC152" t="b">
        <f>AND(DATA!P1010,"AAAAAHv9dxw=")</f>
        <v>1</v>
      </c>
      <c r="AD152" t="b">
        <f>AND(DATA!Q1010,"AAAAAHv9dx0=")</f>
        <v>1</v>
      </c>
      <c r="AE152" t="b">
        <f>AND(DATA!R1010,"AAAAAHv9dx4=")</f>
        <v>1</v>
      </c>
      <c r="AF152" t="b">
        <f>AND(DATA!S1010,"AAAAAHv9dx8=")</f>
        <v>1</v>
      </c>
      <c r="AG152" t="b">
        <f>AND(DATA!T1010,"AAAAAHv9dyA=")</f>
        <v>1</v>
      </c>
      <c r="AH152" t="b">
        <f>AND(DATA!U1010,"AAAAAHv9dyE=")</f>
        <v>1</v>
      </c>
      <c r="AI152" t="b">
        <f>AND(DATA!V1010,"AAAAAHv9dyI=")</f>
        <v>1</v>
      </c>
      <c r="AJ152" t="e">
        <f>AND(DATA!W1009,"AAAAAHv9dyM=")</f>
        <v>#VALUE!</v>
      </c>
      <c r="AK152" t="e">
        <f>AND(DATA!X1009,"AAAAAHv9dyQ=")</f>
        <v>#VALUE!</v>
      </c>
      <c r="AL152" t="e">
        <f>AND(DATA!Y1009,"AAAAAHv9dyU=")</f>
        <v>#VALUE!</v>
      </c>
      <c r="AM152">
        <f>IF(DATA!1010:1010,"AAAAAHv9dyY=",0)</f>
        <v>0</v>
      </c>
      <c r="AN152" t="e">
        <f>AND(DATA!A1010,"AAAAAHv9dyc=")</f>
        <v>#VALUE!</v>
      </c>
      <c r="AO152" t="e">
        <f>AND(DATA!B1010,"AAAAAHv9dyg=")</f>
        <v>#VALUE!</v>
      </c>
      <c r="AP152" t="e">
        <f>AND(DATA!C1010,"AAAAAHv9dyk=")</f>
        <v>#VALUE!</v>
      </c>
      <c r="AQ152" t="e">
        <f>AND(DATA!D1010,"AAAAAHv9dyo=")</f>
        <v>#VALUE!</v>
      </c>
      <c r="AR152" t="e">
        <f>AND(DATA!E1010,"AAAAAHv9dys=")</f>
        <v>#VALUE!</v>
      </c>
      <c r="AS152" t="e">
        <f>AND(DATA!F1010,"AAAAAHv9dyw=")</f>
        <v>#VALUE!</v>
      </c>
      <c r="AT152" t="e">
        <f>AND(DATA!G1010,"AAAAAHv9dy0=")</f>
        <v>#VALUE!</v>
      </c>
      <c r="AU152" t="e">
        <f>AND(DATA!H1010,"AAAAAHv9dy4=")</f>
        <v>#VALUE!</v>
      </c>
      <c r="AV152" t="e">
        <f>AND(DATA!I1010,"AAAAAHv9dy8=")</f>
        <v>#VALUE!</v>
      </c>
      <c r="AW152" t="e">
        <f>AND(DATA!J1010,"AAAAAHv9dzA=")</f>
        <v>#VALUE!</v>
      </c>
      <c r="AX152" t="e">
        <f>AND(DATA!K1010,"AAAAAHv9dzE=")</f>
        <v>#VALUE!</v>
      </c>
      <c r="AY152" t="b">
        <f>AND(DATA!L1011,"AAAAAHv9dzI=")</f>
        <v>1</v>
      </c>
      <c r="AZ152" t="b">
        <f>AND(DATA!M1011,"AAAAAHv9dzM=")</f>
        <v>1</v>
      </c>
      <c r="BA152" t="b">
        <f>AND(DATA!N1011,"AAAAAHv9dzQ=")</f>
        <v>1</v>
      </c>
      <c r="BB152" t="b">
        <f>AND(DATA!O1011,"AAAAAHv9dzU=")</f>
        <v>1</v>
      </c>
      <c r="BC152" t="b">
        <f>AND(DATA!P1011,"AAAAAHv9dzY=")</f>
        <v>1</v>
      </c>
      <c r="BD152" t="b">
        <f>AND(DATA!Q1011,"AAAAAHv9dzc=")</f>
        <v>1</v>
      </c>
      <c r="BE152" t="b">
        <f>AND(DATA!R1011,"AAAAAHv9dzg=")</f>
        <v>1</v>
      </c>
      <c r="BF152" t="b">
        <f>AND(DATA!S1011,"AAAAAHv9dzk=")</f>
        <v>1</v>
      </c>
      <c r="BG152" t="b">
        <f>AND(DATA!T1011,"AAAAAHv9dzo=")</f>
        <v>1</v>
      </c>
      <c r="BH152" t="b">
        <f>AND(DATA!U1011,"AAAAAHv9dzs=")</f>
        <v>1</v>
      </c>
      <c r="BI152" t="b">
        <f>AND(DATA!V1011,"AAAAAHv9dzw=")</f>
        <v>1</v>
      </c>
      <c r="BJ152" t="e">
        <f>AND(DATA!W1010,"AAAAAHv9dz0=")</f>
        <v>#VALUE!</v>
      </c>
      <c r="BK152" t="e">
        <f>AND(DATA!X1010,"AAAAAHv9dz4=")</f>
        <v>#VALUE!</v>
      </c>
      <c r="BL152" t="e">
        <f>AND(DATA!Y1010,"AAAAAHv9dz8=")</f>
        <v>#VALUE!</v>
      </c>
      <c r="BM152">
        <f>IF(DATA!1011:1011,"AAAAAHv9d0A=",0)</f>
        <v>0</v>
      </c>
      <c r="BN152" t="e">
        <f>AND(DATA!A1011,"AAAAAHv9d0E=")</f>
        <v>#VALUE!</v>
      </c>
      <c r="BO152" t="e">
        <f>AND(DATA!B1011,"AAAAAHv9d0I=")</f>
        <v>#VALUE!</v>
      </c>
      <c r="BP152" t="e">
        <f>AND(DATA!C1011,"AAAAAHv9d0M=")</f>
        <v>#VALUE!</v>
      </c>
      <c r="BQ152" t="e">
        <f>AND(DATA!D1011,"AAAAAHv9d0Q=")</f>
        <v>#VALUE!</v>
      </c>
      <c r="BR152" t="e">
        <f>AND(DATA!E1011,"AAAAAHv9d0U=")</f>
        <v>#VALUE!</v>
      </c>
      <c r="BS152" t="e">
        <f>AND(DATA!F1011,"AAAAAHv9d0Y=")</f>
        <v>#VALUE!</v>
      </c>
      <c r="BT152" t="e">
        <f>AND(DATA!G1011,"AAAAAHv9d0c=")</f>
        <v>#VALUE!</v>
      </c>
      <c r="BU152" t="e">
        <f>AND(DATA!H1011,"AAAAAHv9d0g=")</f>
        <v>#VALUE!</v>
      </c>
      <c r="BV152" t="e">
        <f>AND(DATA!I1011,"AAAAAHv9d0k=")</f>
        <v>#VALUE!</v>
      </c>
      <c r="BW152" t="e">
        <f>AND(DATA!J1011,"AAAAAHv9d0o=")</f>
        <v>#VALUE!</v>
      </c>
      <c r="BX152" t="e">
        <f>AND(DATA!K1011,"AAAAAHv9d0s=")</f>
        <v>#VALUE!</v>
      </c>
      <c r="BY152" t="b">
        <f>AND(DATA!L1012,"AAAAAHv9d0w=")</f>
        <v>1</v>
      </c>
      <c r="BZ152" t="b">
        <f>AND(DATA!M1012,"AAAAAHv9d00=")</f>
        <v>1</v>
      </c>
      <c r="CA152" t="b">
        <f>AND(DATA!N1012,"AAAAAHv9d04=")</f>
        <v>1</v>
      </c>
      <c r="CB152" t="b">
        <f>AND(DATA!O1012,"AAAAAHv9d08=")</f>
        <v>1</v>
      </c>
      <c r="CC152" t="b">
        <f>AND(DATA!P1012,"AAAAAHv9d1A=")</f>
        <v>1</v>
      </c>
      <c r="CD152" t="b">
        <f>AND(DATA!Q1012,"AAAAAHv9d1E=")</f>
        <v>1</v>
      </c>
      <c r="CE152" t="b">
        <f>AND(DATA!R1012,"AAAAAHv9d1I=")</f>
        <v>1</v>
      </c>
      <c r="CF152" t="b">
        <f>AND(DATA!S1012,"AAAAAHv9d1M=")</f>
        <v>1</v>
      </c>
      <c r="CG152" t="b">
        <f>AND(DATA!T1012,"AAAAAHv9d1Q=")</f>
        <v>1</v>
      </c>
      <c r="CH152" t="b">
        <f>AND(DATA!U1012,"AAAAAHv9d1U=")</f>
        <v>1</v>
      </c>
      <c r="CI152" t="b">
        <f>AND(DATA!V1012,"AAAAAHv9d1Y=")</f>
        <v>1</v>
      </c>
      <c r="CJ152" t="e">
        <f>AND(DATA!W1011,"AAAAAHv9d1c=")</f>
        <v>#VALUE!</v>
      </c>
      <c r="CK152" t="e">
        <f>AND(DATA!X1011,"AAAAAHv9d1g=")</f>
        <v>#VALUE!</v>
      </c>
      <c r="CL152" t="e">
        <f>AND(DATA!Y1011,"AAAAAHv9d1k=")</f>
        <v>#VALUE!</v>
      </c>
      <c r="CM152">
        <f>IF(DATA!1012:1012,"AAAAAHv9d1o=",0)</f>
        <v>0</v>
      </c>
      <c r="CN152" t="e">
        <f>AND(DATA!A1012,"AAAAAHv9d1s=")</f>
        <v>#VALUE!</v>
      </c>
      <c r="CO152" t="e">
        <f>AND(DATA!B1012,"AAAAAHv9d1w=")</f>
        <v>#VALUE!</v>
      </c>
      <c r="CP152" t="e">
        <f>AND(DATA!C1012,"AAAAAHv9d10=")</f>
        <v>#VALUE!</v>
      </c>
      <c r="CQ152" t="e">
        <f>AND(DATA!D1012,"AAAAAHv9d14=")</f>
        <v>#VALUE!</v>
      </c>
      <c r="CR152" t="e">
        <f>AND(DATA!E1012,"AAAAAHv9d18=")</f>
        <v>#VALUE!</v>
      </c>
      <c r="CS152" t="e">
        <f>AND(DATA!F1012,"AAAAAHv9d2A=")</f>
        <v>#VALUE!</v>
      </c>
      <c r="CT152" t="e">
        <f>AND(DATA!G1012,"AAAAAHv9d2E=")</f>
        <v>#VALUE!</v>
      </c>
      <c r="CU152" t="e">
        <f>AND(DATA!H1012,"AAAAAHv9d2I=")</f>
        <v>#VALUE!</v>
      </c>
      <c r="CV152" t="e">
        <f>AND(DATA!I1012,"AAAAAHv9d2M=")</f>
        <v>#VALUE!</v>
      </c>
      <c r="CW152" t="e">
        <f>AND(DATA!J1012,"AAAAAHv9d2Q=")</f>
        <v>#VALUE!</v>
      </c>
      <c r="CX152" t="e">
        <f>AND(DATA!K1012,"AAAAAHv9d2U=")</f>
        <v>#VALUE!</v>
      </c>
      <c r="CY152" t="b">
        <f>AND(DATA!L1013,"AAAAAHv9d2Y=")</f>
        <v>1</v>
      </c>
      <c r="CZ152" t="b">
        <f>AND(DATA!M1013,"AAAAAHv9d2c=")</f>
        <v>1</v>
      </c>
      <c r="DA152" t="b">
        <f>AND(DATA!N1013,"AAAAAHv9d2g=")</f>
        <v>1</v>
      </c>
      <c r="DB152" t="b">
        <f>AND(DATA!O1013,"AAAAAHv9d2k=")</f>
        <v>1</v>
      </c>
      <c r="DC152" t="b">
        <f>AND(DATA!P1013,"AAAAAHv9d2o=")</f>
        <v>1</v>
      </c>
      <c r="DD152" t="b">
        <f>AND(DATA!Q1013,"AAAAAHv9d2s=")</f>
        <v>1</v>
      </c>
      <c r="DE152" t="b">
        <f>AND(DATA!R1013,"AAAAAHv9d2w=")</f>
        <v>1</v>
      </c>
      <c r="DF152" t="b">
        <f>AND(DATA!S1013,"AAAAAHv9d20=")</f>
        <v>1</v>
      </c>
      <c r="DG152" t="b">
        <f>AND(DATA!T1013,"AAAAAHv9d24=")</f>
        <v>1</v>
      </c>
      <c r="DH152" t="b">
        <f>AND(DATA!U1013,"AAAAAHv9d28=")</f>
        <v>1</v>
      </c>
      <c r="DI152" t="b">
        <f>AND(DATA!V1013,"AAAAAHv9d3A=")</f>
        <v>1</v>
      </c>
      <c r="DJ152" t="e">
        <f>AND(DATA!W1012,"AAAAAHv9d3E=")</f>
        <v>#VALUE!</v>
      </c>
      <c r="DK152" t="e">
        <f>AND(DATA!X1012,"AAAAAHv9d3I=")</f>
        <v>#VALUE!</v>
      </c>
      <c r="DL152" t="e">
        <f>AND(DATA!Y1012,"AAAAAHv9d3M=")</f>
        <v>#VALUE!</v>
      </c>
      <c r="DM152">
        <f>IF(DATA!1013:1013,"AAAAAHv9d3Q=",0)</f>
        <v>0</v>
      </c>
      <c r="DN152" t="e">
        <f>AND(DATA!A1013,"AAAAAHv9d3U=")</f>
        <v>#VALUE!</v>
      </c>
      <c r="DO152" t="e">
        <f>AND(DATA!B1013,"AAAAAHv9d3Y=")</f>
        <v>#VALUE!</v>
      </c>
      <c r="DP152" t="e">
        <f>AND(DATA!C1013,"AAAAAHv9d3c=")</f>
        <v>#VALUE!</v>
      </c>
      <c r="DQ152" t="e">
        <f>AND(DATA!D1013,"AAAAAHv9d3g=")</f>
        <v>#VALUE!</v>
      </c>
      <c r="DR152" t="e">
        <f>AND(DATA!E1013,"AAAAAHv9d3k=")</f>
        <v>#VALUE!</v>
      </c>
      <c r="DS152" t="e">
        <f>AND(DATA!F1013,"AAAAAHv9d3o=")</f>
        <v>#VALUE!</v>
      </c>
      <c r="DT152" t="e">
        <f>AND(DATA!G1013,"AAAAAHv9d3s=")</f>
        <v>#VALUE!</v>
      </c>
      <c r="DU152" t="e">
        <f>AND(DATA!H1013,"AAAAAHv9d3w=")</f>
        <v>#VALUE!</v>
      </c>
      <c r="DV152" t="e">
        <f>AND(DATA!I1013,"AAAAAHv9d30=")</f>
        <v>#VALUE!</v>
      </c>
      <c r="DW152" t="e">
        <f>AND(DATA!J1013,"AAAAAHv9d34=")</f>
        <v>#VALUE!</v>
      </c>
      <c r="DX152" t="e">
        <f>AND(DATA!K1013,"AAAAAHv9d38=")</f>
        <v>#VALUE!</v>
      </c>
      <c r="DY152" t="b">
        <f>AND(DATA!L1014,"AAAAAHv9d4A=")</f>
        <v>1</v>
      </c>
      <c r="DZ152" t="b">
        <f>AND(DATA!M1014,"AAAAAHv9d4E=")</f>
        <v>1</v>
      </c>
      <c r="EA152" t="b">
        <f>AND(DATA!N1014,"AAAAAHv9d4I=")</f>
        <v>1</v>
      </c>
      <c r="EB152" t="b">
        <f>AND(DATA!O1014,"AAAAAHv9d4M=")</f>
        <v>1</v>
      </c>
      <c r="EC152" t="b">
        <f>AND(DATA!P1014,"AAAAAHv9d4Q=")</f>
        <v>1</v>
      </c>
      <c r="ED152" t="b">
        <f>AND(DATA!Q1014,"AAAAAHv9d4U=")</f>
        <v>1</v>
      </c>
      <c r="EE152" t="b">
        <f>AND(DATA!R1014,"AAAAAHv9d4Y=")</f>
        <v>1</v>
      </c>
      <c r="EF152" t="b">
        <f>AND(DATA!S1014,"AAAAAHv9d4c=")</f>
        <v>1</v>
      </c>
      <c r="EG152" t="b">
        <f>AND(DATA!T1014,"AAAAAHv9d4g=")</f>
        <v>1</v>
      </c>
      <c r="EH152" t="b">
        <f>AND(DATA!U1014,"AAAAAHv9d4k=")</f>
        <v>1</v>
      </c>
      <c r="EI152" t="b">
        <f>AND(DATA!V1014,"AAAAAHv9d4o=")</f>
        <v>1</v>
      </c>
      <c r="EJ152" t="e">
        <f>AND(DATA!W1013,"AAAAAHv9d4s=")</f>
        <v>#VALUE!</v>
      </c>
      <c r="EK152" t="e">
        <f>AND(DATA!X1013,"AAAAAHv9d4w=")</f>
        <v>#VALUE!</v>
      </c>
      <c r="EL152" t="e">
        <f>AND(DATA!Y1013,"AAAAAHv9d40=")</f>
        <v>#VALUE!</v>
      </c>
      <c r="EM152">
        <f>IF(DATA!1014:1014,"AAAAAHv9d44=",0)</f>
        <v>0</v>
      </c>
      <c r="EN152" t="e">
        <f>AND(DATA!A1014,"AAAAAHv9d48=")</f>
        <v>#VALUE!</v>
      </c>
      <c r="EO152" t="e">
        <f>AND(DATA!B1014,"AAAAAHv9d5A=")</f>
        <v>#VALUE!</v>
      </c>
      <c r="EP152" t="e">
        <f>AND(DATA!C1014,"AAAAAHv9d5E=")</f>
        <v>#VALUE!</v>
      </c>
      <c r="EQ152" t="e">
        <f>AND(DATA!D1014,"AAAAAHv9d5I=")</f>
        <v>#VALUE!</v>
      </c>
      <c r="ER152" t="e">
        <f>AND(DATA!E1014,"AAAAAHv9d5M=")</f>
        <v>#VALUE!</v>
      </c>
      <c r="ES152" t="e">
        <f>AND(DATA!F1014,"AAAAAHv9d5Q=")</f>
        <v>#VALUE!</v>
      </c>
      <c r="ET152" t="e">
        <f>AND(DATA!G1014,"AAAAAHv9d5U=")</f>
        <v>#VALUE!</v>
      </c>
      <c r="EU152" t="e">
        <f>AND(DATA!H1014,"AAAAAHv9d5Y=")</f>
        <v>#VALUE!</v>
      </c>
      <c r="EV152" t="e">
        <f>AND(DATA!I1014,"AAAAAHv9d5c=")</f>
        <v>#VALUE!</v>
      </c>
      <c r="EW152" t="e">
        <f>AND(DATA!J1014,"AAAAAHv9d5g=")</f>
        <v>#VALUE!</v>
      </c>
      <c r="EX152" t="e">
        <f>AND(DATA!K1014,"AAAAAHv9d5k=")</f>
        <v>#VALUE!</v>
      </c>
      <c r="EY152" t="b">
        <f>AND(DATA!L1015,"AAAAAHv9d5o=")</f>
        <v>1</v>
      </c>
      <c r="EZ152" t="b">
        <f>AND(DATA!M1015,"AAAAAHv9d5s=")</f>
        <v>1</v>
      </c>
      <c r="FA152" t="b">
        <f>AND(DATA!N1015,"AAAAAHv9d5w=")</f>
        <v>1</v>
      </c>
      <c r="FB152" t="b">
        <f>AND(DATA!O1015,"AAAAAHv9d50=")</f>
        <v>1</v>
      </c>
      <c r="FC152" t="b">
        <f>AND(DATA!P1015,"AAAAAHv9d54=")</f>
        <v>1</v>
      </c>
      <c r="FD152" t="b">
        <f>AND(DATA!Q1015,"AAAAAHv9d58=")</f>
        <v>1</v>
      </c>
      <c r="FE152" t="b">
        <f>AND(DATA!R1015,"AAAAAHv9d6A=")</f>
        <v>1</v>
      </c>
      <c r="FF152" t="b">
        <f>AND(DATA!S1015,"AAAAAHv9d6E=")</f>
        <v>1</v>
      </c>
      <c r="FG152" t="b">
        <f>AND(DATA!T1015,"AAAAAHv9d6I=")</f>
        <v>1</v>
      </c>
      <c r="FH152" t="b">
        <f>AND(DATA!U1015,"AAAAAHv9d6M=")</f>
        <v>1</v>
      </c>
      <c r="FI152" t="b">
        <f>AND(DATA!V1015,"AAAAAHv9d6Q=")</f>
        <v>1</v>
      </c>
      <c r="FJ152" t="e">
        <f>AND(DATA!W1014,"AAAAAHv9d6U=")</f>
        <v>#VALUE!</v>
      </c>
      <c r="FK152" t="e">
        <f>AND(DATA!X1014,"AAAAAHv9d6Y=")</f>
        <v>#VALUE!</v>
      </c>
      <c r="FL152" t="e">
        <f>AND(DATA!Y1014,"AAAAAHv9d6c=")</f>
        <v>#VALUE!</v>
      </c>
      <c r="FM152">
        <f>IF(DATA!1015:1015,"AAAAAHv9d6g=",0)</f>
        <v>0</v>
      </c>
      <c r="FN152" t="e">
        <f>AND(DATA!A1015,"AAAAAHv9d6k=")</f>
        <v>#VALUE!</v>
      </c>
      <c r="FO152" t="e">
        <f>AND(DATA!B1015,"AAAAAHv9d6o=")</f>
        <v>#VALUE!</v>
      </c>
      <c r="FP152" t="e">
        <f>AND(DATA!C1015,"AAAAAHv9d6s=")</f>
        <v>#VALUE!</v>
      </c>
      <c r="FQ152" t="e">
        <f>AND(DATA!D1015,"AAAAAHv9d6w=")</f>
        <v>#VALUE!</v>
      </c>
      <c r="FR152" t="e">
        <f>AND(DATA!E1015,"AAAAAHv9d60=")</f>
        <v>#VALUE!</v>
      </c>
      <c r="FS152" t="e">
        <f>AND(DATA!F1015,"AAAAAHv9d64=")</f>
        <v>#VALUE!</v>
      </c>
      <c r="FT152" t="e">
        <f>AND(DATA!G1015,"AAAAAHv9d68=")</f>
        <v>#VALUE!</v>
      </c>
      <c r="FU152" t="e">
        <f>AND(DATA!H1015,"AAAAAHv9d7A=")</f>
        <v>#VALUE!</v>
      </c>
      <c r="FV152" t="e">
        <f>AND(DATA!I1015,"AAAAAHv9d7E=")</f>
        <v>#VALUE!</v>
      </c>
      <c r="FW152" t="e">
        <f>AND(DATA!J1015,"AAAAAHv9d7I=")</f>
        <v>#VALUE!</v>
      </c>
      <c r="FX152" t="e">
        <f>AND(DATA!K1015,"AAAAAHv9d7M=")</f>
        <v>#VALUE!</v>
      </c>
      <c r="FY152" t="b">
        <f>AND(DATA!L1016,"AAAAAHv9d7Q=")</f>
        <v>1</v>
      </c>
      <c r="FZ152" t="b">
        <f>AND(DATA!M1016,"AAAAAHv9d7U=")</f>
        <v>1</v>
      </c>
      <c r="GA152" t="b">
        <f>AND(DATA!N1016,"AAAAAHv9d7Y=")</f>
        <v>1</v>
      </c>
      <c r="GB152" t="b">
        <f>AND(DATA!O1016,"AAAAAHv9d7c=")</f>
        <v>1</v>
      </c>
      <c r="GC152" t="b">
        <f>AND(DATA!P1016,"AAAAAHv9d7g=")</f>
        <v>1</v>
      </c>
      <c r="GD152" t="b">
        <f>AND(DATA!Q1016,"AAAAAHv9d7k=")</f>
        <v>1</v>
      </c>
      <c r="GE152" t="b">
        <f>AND(DATA!R1016,"AAAAAHv9d7o=")</f>
        <v>1</v>
      </c>
      <c r="GF152" t="b">
        <f>AND(DATA!S1016,"AAAAAHv9d7s=")</f>
        <v>1</v>
      </c>
      <c r="GG152" t="b">
        <f>AND(DATA!T1016,"AAAAAHv9d7w=")</f>
        <v>1</v>
      </c>
      <c r="GH152" t="b">
        <f>AND(DATA!U1016,"AAAAAHv9d70=")</f>
        <v>1</v>
      </c>
      <c r="GI152" t="b">
        <f>AND(DATA!V1016,"AAAAAHv9d74=")</f>
        <v>1</v>
      </c>
      <c r="GJ152" t="e">
        <f>AND(DATA!W1015,"AAAAAHv9d78=")</f>
        <v>#VALUE!</v>
      </c>
      <c r="GK152" t="e">
        <f>AND(DATA!X1015,"AAAAAHv9d8A=")</f>
        <v>#VALUE!</v>
      </c>
      <c r="GL152" t="e">
        <f>AND(DATA!Y1015,"AAAAAHv9d8E=")</f>
        <v>#VALUE!</v>
      </c>
      <c r="GM152">
        <f>IF(DATA!1016:1016,"AAAAAHv9d8I=",0)</f>
        <v>0</v>
      </c>
      <c r="GN152" t="e">
        <f>AND(DATA!A1016,"AAAAAHv9d8M=")</f>
        <v>#VALUE!</v>
      </c>
      <c r="GO152" t="e">
        <f>AND(DATA!B1016,"AAAAAHv9d8Q=")</f>
        <v>#VALUE!</v>
      </c>
      <c r="GP152" t="e">
        <f>AND(DATA!C1016,"AAAAAHv9d8U=")</f>
        <v>#VALUE!</v>
      </c>
      <c r="GQ152" t="e">
        <f>AND(DATA!D1016,"AAAAAHv9d8Y=")</f>
        <v>#VALUE!</v>
      </c>
      <c r="GR152" t="e">
        <f>AND(DATA!E1016,"AAAAAHv9d8c=")</f>
        <v>#VALUE!</v>
      </c>
      <c r="GS152" t="e">
        <f>AND(DATA!F1016,"AAAAAHv9d8g=")</f>
        <v>#VALUE!</v>
      </c>
      <c r="GT152" t="e">
        <f>AND(DATA!G1016,"AAAAAHv9d8k=")</f>
        <v>#VALUE!</v>
      </c>
      <c r="GU152" t="e">
        <f>AND(DATA!H1016,"AAAAAHv9d8o=")</f>
        <v>#VALUE!</v>
      </c>
      <c r="GV152" t="e">
        <f>AND(DATA!I1016,"AAAAAHv9d8s=")</f>
        <v>#VALUE!</v>
      </c>
      <c r="GW152" t="e">
        <f>AND(DATA!J1016,"AAAAAHv9d8w=")</f>
        <v>#VALUE!</v>
      </c>
      <c r="GX152" t="e">
        <f>AND(DATA!K1016,"AAAAAHv9d80=")</f>
        <v>#VALUE!</v>
      </c>
      <c r="GY152" t="b">
        <f>AND(DATA!L1017,"AAAAAHv9d84=")</f>
        <v>1</v>
      </c>
      <c r="GZ152" t="b">
        <f>AND(DATA!M1017,"AAAAAHv9d88=")</f>
        <v>1</v>
      </c>
      <c r="HA152" t="b">
        <f>AND(DATA!N1017,"AAAAAHv9d9A=")</f>
        <v>1</v>
      </c>
      <c r="HB152" t="b">
        <f>AND(DATA!O1017,"AAAAAHv9d9E=")</f>
        <v>1</v>
      </c>
      <c r="HC152" t="b">
        <f>AND(DATA!P1017,"AAAAAHv9d9I=")</f>
        <v>1</v>
      </c>
      <c r="HD152" t="b">
        <f>AND(DATA!Q1017,"AAAAAHv9d9M=")</f>
        <v>1</v>
      </c>
      <c r="HE152" t="b">
        <f>AND(DATA!R1017,"AAAAAHv9d9Q=")</f>
        <v>1</v>
      </c>
      <c r="HF152" t="b">
        <f>AND(DATA!S1017,"AAAAAHv9d9U=")</f>
        <v>1</v>
      </c>
      <c r="HG152" t="b">
        <f>AND(DATA!T1017,"AAAAAHv9d9Y=")</f>
        <v>1</v>
      </c>
      <c r="HH152" t="b">
        <f>AND(DATA!U1017,"AAAAAHv9d9c=")</f>
        <v>1</v>
      </c>
      <c r="HI152" t="b">
        <f>AND(DATA!V1017,"AAAAAHv9d9g=")</f>
        <v>1</v>
      </c>
      <c r="HJ152" t="e">
        <f>AND(DATA!W1016,"AAAAAHv9d9k=")</f>
        <v>#VALUE!</v>
      </c>
      <c r="HK152" t="e">
        <f>AND(DATA!X1016,"AAAAAHv9d9o=")</f>
        <v>#VALUE!</v>
      </c>
      <c r="HL152" t="e">
        <f>AND(DATA!Y1016,"AAAAAHv9d9s=")</f>
        <v>#VALUE!</v>
      </c>
      <c r="HM152">
        <f>IF(DATA!1017:1017,"AAAAAHv9d9w=",0)</f>
        <v>0</v>
      </c>
      <c r="HN152" t="e">
        <f>AND(DATA!A1017,"AAAAAHv9d90=")</f>
        <v>#VALUE!</v>
      </c>
      <c r="HO152" t="e">
        <f>AND(DATA!B1017,"AAAAAHv9d94=")</f>
        <v>#VALUE!</v>
      </c>
      <c r="HP152" t="e">
        <f>AND(DATA!C1017,"AAAAAHv9d98=")</f>
        <v>#VALUE!</v>
      </c>
      <c r="HQ152" t="e">
        <f>AND(DATA!D1017,"AAAAAHv9d+A=")</f>
        <v>#VALUE!</v>
      </c>
      <c r="HR152" t="e">
        <f>AND(DATA!E1017,"AAAAAHv9d+E=")</f>
        <v>#VALUE!</v>
      </c>
      <c r="HS152" t="e">
        <f>AND(DATA!F1017,"AAAAAHv9d+I=")</f>
        <v>#VALUE!</v>
      </c>
      <c r="HT152" t="e">
        <f>AND(DATA!G1017,"AAAAAHv9d+M=")</f>
        <v>#VALUE!</v>
      </c>
      <c r="HU152" t="e">
        <f>AND(DATA!H1017,"AAAAAHv9d+Q=")</f>
        <v>#VALUE!</v>
      </c>
      <c r="HV152" t="e">
        <f>AND(DATA!I1017,"AAAAAHv9d+U=")</f>
        <v>#VALUE!</v>
      </c>
      <c r="HW152" t="e">
        <f>AND(DATA!J1017,"AAAAAHv9d+Y=")</f>
        <v>#VALUE!</v>
      </c>
      <c r="HX152" t="e">
        <f>AND(DATA!K1017,"AAAAAHv9d+c=")</f>
        <v>#VALUE!</v>
      </c>
      <c r="HY152" t="b">
        <f>AND(DATA!L1018,"AAAAAHv9d+g=")</f>
        <v>1</v>
      </c>
      <c r="HZ152" t="b">
        <f>AND(DATA!M1018,"AAAAAHv9d+k=")</f>
        <v>1</v>
      </c>
      <c r="IA152" t="b">
        <f>AND(DATA!N1018,"AAAAAHv9d+o=")</f>
        <v>1</v>
      </c>
      <c r="IB152" t="b">
        <f>AND(DATA!O1018,"AAAAAHv9d+s=")</f>
        <v>1</v>
      </c>
      <c r="IC152" t="b">
        <f>AND(DATA!P1018,"AAAAAHv9d+w=")</f>
        <v>1</v>
      </c>
      <c r="ID152" t="b">
        <f>AND(DATA!Q1018,"AAAAAHv9d+0=")</f>
        <v>1</v>
      </c>
      <c r="IE152" t="b">
        <f>AND(DATA!R1018,"AAAAAHv9d+4=")</f>
        <v>1</v>
      </c>
      <c r="IF152" t="b">
        <f>AND(DATA!S1018,"AAAAAHv9d+8=")</f>
        <v>1</v>
      </c>
      <c r="IG152" t="b">
        <f>AND(DATA!T1018,"AAAAAHv9d/A=")</f>
        <v>1</v>
      </c>
      <c r="IH152" t="b">
        <f>AND(DATA!U1018,"AAAAAHv9d/E=")</f>
        <v>1</v>
      </c>
      <c r="II152" t="b">
        <f>AND(DATA!V1018,"AAAAAHv9d/I=")</f>
        <v>1</v>
      </c>
      <c r="IJ152" t="e">
        <f>AND(DATA!W1017,"AAAAAHv9d/M=")</f>
        <v>#VALUE!</v>
      </c>
      <c r="IK152" t="e">
        <f>AND(DATA!X1017,"AAAAAHv9d/Q=")</f>
        <v>#VALUE!</v>
      </c>
      <c r="IL152" t="e">
        <f>AND(DATA!Y1017,"AAAAAHv9d/U=")</f>
        <v>#VALUE!</v>
      </c>
      <c r="IM152">
        <f>IF(DATA!1018:1018,"AAAAAHv9d/Y=",0)</f>
        <v>0</v>
      </c>
      <c r="IN152" t="e">
        <f>AND(DATA!A1018,"AAAAAHv9d/c=")</f>
        <v>#VALUE!</v>
      </c>
      <c r="IO152" t="e">
        <f>AND(DATA!B1018,"AAAAAHv9d/g=")</f>
        <v>#VALUE!</v>
      </c>
      <c r="IP152" t="e">
        <f>AND(DATA!C1018,"AAAAAHv9d/k=")</f>
        <v>#VALUE!</v>
      </c>
      <c r="IQ152" t="e">
        <f>AND(DATA!D1018,"AAAAAHv9d/o=")</f>
        <v>#VALUE!</v>
      </c>
      <c r="IR152" t="e">
        <f>AND(DATA!E1018,"AAAAAHv9d/s=")</f>
        <v>#VALUE!</v>
      </c>
      <c r="IS152" t="e">
        <f>AND(DATA!F1018,"AAAAAHv9d/w=")</f>
        <v>#VALUE!</v>
      </c>
      <c r="IT152" t="e">
        <f>AND(DATA!G1018,"AAAAAHv9d/0=")</f>
        <v>#VALUE!</v>
      </c>
      <c r="IU152" t="e">
        <f>AND(DATA!H1018,"AAAAAHv9d/4=")</f>
        <v>#VALUE!</v>
      </c>
      <c r="IV152" t="e">
        <f>AND(DATA!I1018,"AAAAAHv9d/8=")</f>
        <v>#VALUE!</v>
      </c>
    </row>
    <row r="153" spans="1:256" x14ac:dyDescent="0.25">
      <c r="A153" t="e">
        <f>AND(DATA!J1018,"AAAAAEhM1wA=")</f>
        <v>#VALUE!</v>
      </c>
      <c r="B153" t="e">
        <f>AND(DATA!K1018,"AAAAAEhM1wE=")</f>
        <v>#VALUE!</v>
      </c>
      <c r="C153" t="b">
        <f>AND(DATA!L1019,"AAAAAEhM1wI=")</f>
        <v>1</v>
      </c>
      <c r="D153" t="b">
        <f>AND(DATA!M1019,"AAAAAEhM1wM=")</f>
        <v>1</v>
      </c>
      <c r="E153" t="b">
        <f>AND(DATA!N1019,"AAAAAEhM1wQ=")</f>
        <v>1</v>
      </c>
      <c r="F153" t="b">
        <f>AND(DATA!O1019,"AAAAAEhM1wU=")</f>
        <v>1</v>
      </c>
      <c r="G153" t="b">
        <f>AND(DATA!P1019,"AAAAAEhM1wY=")</f>
        <v>1</v>
      </c>
      <c r="H153" t="b">
        <f>AND(DATA!Q1019,"AAAAAEhM1wc=")</f>
        <v>1</v>
      </c>
      <c r="I153" t="b">
        <f>AND(DATA!R1019,"AAAAAEhM1wg=")</f>
        <v>1</v>
      </c>
      <c r="J153" t="b">
        <f>AND(DATA!S1019,"AAAAAEhM1wk=")</f>
        <v>1</v>
      </c>
      <c r="K153" t="b">
        <f>AND(DATA!T1019,"AAAAAEhM1wo=")</f>
        <v>1</v>
      </c>
      <c r="L153" t="b">
        <f>AND(DATA!U1019,"AAAAAEhM1ws=")</f>
        <v>1</v>
      </c>
      <c r="M153" t="b">
        <f>AND(DATA!V1019,"AAAAAEhM1ww=")</f>
        <v>1</v>
      </c>
      <c r="N153" t="e">
        <f>AND(DATA!W1018,"AAAAAEhM1w0=")</f>
        <v>#VALUE!</v>
      </c>
      <c r="O153" t="e">
        <f>AND(DATA!X1018,"AAAAAEhM1w4=")</f>
        <v>#VALUE!</v>
      </c>
      <c r="P153" t="e">
        <f>AND(DATA!Y1018,"AAAAAEhM1w8=")</f>
        <v>#VALUE!</v>
      </c>
      <c r="Q153" t="str">
        <f>IF(DATA!1019:1019,"AAAAAEhM1xA=",0)</f>
        <v>AAAAAEhM1xA=</v>
      </c>
      <c r="R153" t="e">
        <f>AND(DATA!A1019,"AAAAAEhM1xE=")</f>
        <v>#VALUE!</v>
      </c>
      <c r="S153" t="e">
        <f>AND(DATA!B1019,"AAAAAEhM1xI=")</f>
        <v>#VALUE!</v>
      </c>
      <c r="T153" t="e">
        <f>AND(DATA!C1019,"AAAAAEhM1xM=")</f>
        <v>#VALUE!</v>
      </c>
      <c r="U153" t="e">
        <f>AND(DATA!D1019,"AAAAAEhM1xQ=")</f>
        <v>#VALUE!</v>
      </c>
      <c r="V153" t="e">
        <f>AND(DATA!E1019,"AAAAAEhM1xU=")</f>
        <v>#VALUE!</v>
      </c>
      <c r="W153" t="e">
        <f>AND(DATA!F1019,"AAAAAEhM1xY=")</f>
        <v>#VALUE!</v>
      </c>
      <c r="X153" t="e">
        <f>AND(DATA!G1019,"AAAAAEhM1xc=")</f>
        <v>#VALUE!</v>
      </c>
      <c r="Y153" t="e">
        <f>AND(DATA!H1019,"AAAAAEhM1xg=")</f>
        <v>#VALUE!</v>
      </c>
      <c r="Z153" t="e">
        <f>AND(DATA!I1019,"AAAAAEhM1xk=")</f>
        <v>#VALUE!</v>
      </c>
      <c r="AA153" t="e">
        <f>AND(DATA!J1019,"AAAAAEhM1xo=")</f>
        <v>#VALUE!</v>
      </c>
      <c r="AB153" t="e">
        <f>AND(DATA!K1019,"AAAAAEhM1xs=")</f>
        <v>#VALUE!</v>
      </c>
      <c r="AC153" t="b">
        <f>AND(DATA!L1020,"AAAAAEhM1xw=")</f>
        <v>1</v>
      </c>
      <c r="AD153" t="b">
        <f>AND(DATA!M1020,"AAAAAEhM1x0=")</f>
        <v>1</v>
      </c>
      <c r="AE153" t="b">
        <f>AND(DATA!N1020,"AAAAAEhM1x4=")</f>
        <v>1</v>
      </c>
      <c r="AF153" t="b">
        <f>AND(DATA!O1020,"AAAAAEhM1x8=")</f>
        <v>1</v>
      </c>
      <c r="AG153" t="b">
        <f>AND(DATA!P1020,"AAAAAEhM1yA=")</f>
        <v>1</v>
      </c>
      <c r="AH153" t="b">
        <f>AND(DATA!Q1020,"AAAAAEhM1yE=")</f>
        <v>1</v>
      </c>
      <c r="AI153" t="b">
        <f>AND(DATA!R1020,"AAAAAEhM1yI=")</f>
        <v>1</v>
      </c>
      <c r="AJ153" t="b">
        <f>AND(DATA!S1020,"AAAAAEhM1yM=")</f>
        <v>1</v>
      </c>
      <c r="AK153" t="b">
        <f>AND(DATA!T1020,"AAAAAEhM1yQ=")</f>
        <v>1</v>
      </c>
      <c r="AL153" t="b">
        <f>AND(DATA!U1020,"AAAAAEhM1yU=")</f>
        <v>1</v>
      </c>
      <c r="AM153" t="b">
        <f>AND(DATA!V1020,"AAAAAEhM1yY=")</f>
        <v>1</v>
      </c>
      <c r="AN153" t="e">
        <f>AND(DATA!W1019,"AAAAAEhM1yc=")</f>
        <v>#VALUE!</v>
      </c>
      <c r="AO153" t="e">
        <f>AND(DATA!X1019,"AAAAAEhM1yg=")</f>
        <v>#VALUE!</v>
      </c>
      <c r="AP153" t="e">
        <f>AND(DATA!Y1019,"AAAAAEhM1yk=")</f>
        <v>#VALUE!</v>
      </c>
      <c r="AQ153">
        <f>IF(DATA!1020:1020,"AAAAAEhM1yo=",0)</f>
        <v>0</v>
      </c>
      <c r="AR153" t="e">
        <f>AND(DATA!A1020,"AAAAAEhM1ys=")</f>
        <v>#VALUE!</v>
      </c>
      <c r="AS153" t="e">
        <f>AND(DATA!B1020,"AAAAAEhM1yw=")</f>
        <v>#VALUE!</v>
      </c>
      <c r="AT153" t="e">
        <f>AND(DATA!C1020,"AAAAAEhM1y0=")</f>
        <v>#VALUE!</v>
      </c>
      <c r="AU153" t="e">
        <f>AND(DATA!D1020,"AAAAAEhM1y4=")</f>
        <v>#VALUE!</v>
      </c>
      <c r="AV153" t="e">
        <f>AND(DATA!E1020,"AAAAAEhM1y8=")</f>
        <v>#VALUE!</v>
      </c>
      <c r="AW153" t="e">
        <f>AND(DATA!F1020,"AAAAAEhM1zA=")</f>
        <v>#VALUE!</v>
      </c>
      <c r="AX153" t="e">
        <f>AND(DATA!G1020,"AAAAAEhM1zE=")</f>
        <v>#VALUE!</v>
      </c>
      <c r="AY153" t="e">
        <f>AND(DATA!H1020,"AAAAAEhM1zI=")</f>
        <v>#VALUE!</v>
      </c>
      <c r="AZ153" t="e">
        <f>AND(DATA!I1020,"AAAAAEhM1zM=")</f>
        <v>#VALUE!</v>
      </c>
      <c r="BA153" t="e">
        <f>AND(DATA!J1020,"AAAAAEhM1zQ=")</f>
        <v>#VALUE!</v>
      </c>
      <c r="BB153" t="e">
        <f>AND(DATA!K1020,"AAAAAEhM1zU=")</f>
        <v>#VALUE!</v>
      </c>
      <c r="BC153" t="b">
        <f>AND(DATA!L1021,"AAAAAEhM1zY=")</f>
        <v>1</v>
      </c>
      <c r="BD153" t="b">
        <f>AND(DATA!M1021,"AAAAAEhM1zc=")</f>
        <v>1</v>
      </c>
      <c r="BE153" t="b">
        <f>AND(DATA!N1021,"AAAAAEhM1zg=")</f>
        <v>1</v>
      </c>
      <c r="BF153" t="b">
        <f>AND(DATA!O1021,"AAAAAEhM1zk=")</f>
        <v>1</v>
      </c>
      <c r="BG153" t="b">
        <f>AND(DATA!P1021,"AAAAAEhM1zo=")</f>
        <v>1</v>
      </c>
      <c r="BH153" t="b">
        <f>AND(DATA!Q1021,"AAAAAEhM1zs=")</f>
        <v>1</v>
      </c>
      <c r="BI153" t="b">
        <f>AND(DATA!R1021,"AAAAAEhM1zw=")</f>
        <v>1</v>
      </c>
      <c r="BJ153" t="b">
        <f>AND(DATA!S1021,"AAAAAEhM1z0=")</f>
        <v>1</v>
      </c>
      <c r="BK153" t="b">
        <f>AND(DATA!T1021,"AAAAAEhM1z4=")</f>
        <v>1</v>
      </c>
      <c r="BL153" t="b">
        <f>AND(DATA!U1021,"AAAAAEhM1z8=")</f>
        <v>1</v>
      </c>
      <c r="BM153" t="b">
        <f>AND(DATA!V1021,"AAAAAEhM10A=")</f>
        <v>1</v>
      </c>
      <c r="BN153" t="e">
        <f>AND(DATA!W1020,"AAAAAEhM10E=")</f>
        <v>#VALUE!</v>
      </c>
      <c r="BO153" t="e">
        <f>AND(DATA!X1020,"AAAAAEhM10I=")</f>
        <v>#VALUE!</v>
      </c>
      <c r="BP153" t="e">
        <f>AND(DATA!Y1020,"AAAAAEhM10M=")</f>
        <v>#VALUE!</v>
      </c>
      <c r="BQ153">
        <f>IF(DATA!1021:1021,"AAAAAEhM10Q=",0)</f>
        <v>0</v>
      </c>
      <c r="BR153" t="e">
        <f>AND(DATA!A1021,"AAAAAEhM10U=")</f>
        <v>#VALUE!</v>
      </c>
      <c r="BS153" t="e">
        <f>AND(DATA!B1021,"AAAAAEhM10Y=")</f>
        <v>#VALUE!</v>
      </c>
      <c r="BT153" t="e">
        <f>AND(DATA!C1021,"AAAAAEhM10c=")</f>
        <v>#VALUE!</v>
      </c>
      <c r="BU153" t="e">
        <f>AND(DATA!D1021,"AAAAAEhM10g=")</f>
        <v>#VALUE!</v>
      </c>
      <c r="BV153" t="e">
        <f>AND(DATA!E1021,"AAAAAEhM10k=")</f>
        <v>#VALUE!</v>
      </c>
      <c r="BW153" t="e">
        <f>AND(DATA!F1021,"AAAAAEhM10o=")</f>
        <v>#VALUE!</v>
      </c>
      <c r="BX153" t="e">
        <f>AND(DATA!G1021,"AAAAAEhM10s=")</f>
        <v>#VALUE!</v>
      </c>
      <c r="BY153" t="e">
        <f>AND(DATA!H1021,"AAAAAEhM10w=")</f>
        <v>#VALUE!</v>
      </c>
      <c r="BZ153" t="e">
        <f>AND(DATA!I1021,"AAAAAEhM100=")</f>
        <v>#VALUE!</v>
      </c>
      <c r="CA153" t="e">
        <f>AND(DATA!J1021,"AAAAAEhM104=")</f>
        <v>#VALUE!</v>
      </c>
      <c r="CB153" t="e">
        <f>AND(DATA!K1021,"AAAAAEhM108=")</f>
        <v>#VALUE!</v>
      </c>
      <c r="CC153" t="b">
        <f>AND(DATA!L1022,"AAAAAEhM11A=")</f>
        <v>1</v>
      </c>
      <c r="CD153" t="b">
        <f>AND(DATA!M1022,"AAAAAEhM11E=")</f>
        <v>1</v>
      </c>
      <c r="CE153" t="b">
        <f>AND(DATA!N1022,"AAAAAEhM11I=")</f>
        <v>1</v>
      </c>
      <c r="CF153" t="b">
        <f>AND(DATA!O1022,"AAAAAEhM11M=")</f>
        <v>1</v>
      </c>
      <c r="CG153" t="b">
        <f>AND(DATA!P1022,"AAAAAEhM11Q=")</f>
        <v>1</v>
      </c>
      <c r="CH153" t="b">
        <f>AND(DATA!Q1022,"AAAAAEhM11U=")</f>
        <v>1</v>
      </c>
      <c r="CI153" t="b">
        <f>AND(DATA!R1022,"AAAAAEhM11Y=")</f>
        <v>1</v>
      </c>
      <c r="CJ153" t="b">
        <f>AND(DATA!S1022,"AAAAAEhM11c=")</f>
        <v>1</v>
      </c>
      <c r="CK153" t="b">
        <f>AND(DATA!T1022,"AAAAAEhM11g=")</f>
        <v>1</v>
      </c>
      <c r="CL153" t="b">
        <f>AND(DATA!U1022,"AAAAAEhM11k=")</f>
        <v>1</v>
      </c>
      <c r="CM153" t="b">
        <f>AND(DATA!V1022,"AAAAAEhM11o=")</f>
        <v>1</v>
      </c>
      <c r="CN153" t="e">
        <f>AND(DATA!W1021,"AAAAAEhM11s=")</f>
        <v>#VALUE!</v>
      </c>
      <c r="CO153" t="e">
        <f>AND(DATA!X1021,"AAAAAEhM11w=")</f>
        <v>#VALUE!</v>
      </c>
      <c r="CP153" t="e">
        <f>AND(DATA!Y1021,"AAAAAEhM110=")</f>
        <v>#VALUE!</v>
      </c>
      <c r="CQ153">
        <f>IF(DATA!1022:1022,"AAAAAEhM114=",0)</f>
        <v>0</v>
      </c>
      <c r="CR153" t="e">
        <f>AND(DATA!A1022,"AAAAAEhM118=")</f>
        <v>#VALUE!</v>
      </c>
      <c r="CS153" t="e">
        <f>AND(DATA!B1022,"AAAAAEhM12A=")</f>
        <v>#VALUE!</v>
      </c>
      <c r="CT153" t="e">
        <f>AND(DATA!C1022,"AAAAAEhM12E=")</f>
        <v>#VALUE!</v>
      </c>
      <c r="CU153" t="e">
        <f>AND(DATA!D1022,"AAAAAEhM12I=")</f>
        <v>#VALUE!</v>
      </c>
      <c r="CV153" t="e">
        <f>AND(DATA!E1022,"AAAAAEhM12M=")</f>
        <v>#VALUE!</v>
      </c>
      <c r="CW153" t="e">
        <f>AND(DATA!F1022,"AAAAAEhM12Q=")</f>
        <v>#VALUE!</v>
      </c>
      <c r="CX153" t="e">
        <f>AND(DATA!G1022,"AAAAAEhM12U=")</f>
        <v>#VALUE!</v>
      </c>
      <c r="CY153" t="e">
        <f>AND(DATA!H1022,"AAAAAEhM12Y=")</f>
        <v>#VALUE!</v>
      </c>
      <c r="CZ153" t="e">
        <f>AND(DATA!I1022,"AAAAAEhM12c=")</f>
        <v>#VALUE!</v>
      </c>
      <c r="DA153" t="e">
        <f>AND(DATA!J1022,"AAAAAEhM12g=")</f>
        <v>#VALUE!</v>
      </c>
      <c r="DB153" t="e">
        <f>AND(DATA!K1022,"AAAAAEhM12k=")</f>
        <v>#VALUE!</v>
      </c>
      <c r="DC153" t="b">
        <f>AND(DATA!L1023,"AAAAAEhM12o=")</f>
        <v>1</v>
      </c>
      <c r="DD153" t="b">
        <f>AND(DATA!M1023,"AAAAAEhM12s=")</f>
        <v>1</v>
      </c>
      <c r="DE153" t="b">
        <f>AND(DATA!N1023,"AAAAAEhM12w=")</f>
        <v>1</v>
      </c>
      <c r="DF153" t="b">
        <f>AND(DATA!O1023,"AAAAAEhM120=")</f>
        <v>1</v>
      </c>
      <c r="DG153" t="b">
        <f>AND(DATA!P1023,"AAAAAEhM124=")</f>
        <v>1</v>
      </c>
      <c r="DH153" t="b">
        <f>AND(DATA!Q1023,"AAAAAEhM128=")</f>
        <v>1</v>
      </c>
      <c r="DI153" t="b">
        <f>AND(DATA!R1023,"AAAAAEhM13A=")</f>
        <v>1</v>
      </c>
      <c r="DJ153" t="b">
        <f>AND(DATA!S1023,"AAAAAEhM13E=")</f>
        <v>1</v>
      </c>
      <c r="DK153" t="b">
        <f>AND(DATA!T1023,"AAAAAEhM13I=")</f>
        <v>1</v>
      </c>
      <c r="DL153" t="b">
        <f>AND(DATA!U1023,"AAAAAEhM13M=")</f>
        <v>1</v>
      </c>
      <c r="DM153" t="b">
        <f>AND(DATA!V1023,"AAAAAEhM13Q=")</f>
        <v>1</v>
      </c>
      <c r="DN153" t="e">
        <f>AND(DATA!W1022,"AAAAAEhM13U=")</f>
        <v>#VALUE!</v>
      </c>
      <c r="DO153" t="e">
        <f>AND(DATA!X1022,"AAAAAEhM13Y=")</f>
        <v>#VALUE!</v>
      </c>
      <c r="DP153" t="e">
        <f>AND(DATA!Y1022,"AAAAAEhM13c=")</f>
        <v>#VALUE!</v>
      </c>
      <c r="DQ153">
        <f>IF(DATA!1023:1023,"AAAAAEhM13g=",0)</f>
        <v>0</v>
      </c>
      <c r="DR153" t="e">
        <f>AND(DATA!A1023,"AAAAAEhM13k=")</f>
        <v>#VALUE!</v>
      </c>
      <c r="DS153" t="e">
        <f>AND(DATA!B1023,"AAAAAEhM13o=")</f>
        <v>#VALUE!</v>
      </c>
      <c r="DT153" t="e">
        <f>AND(DATA!C1023,"AAAAAEhM13s=")</f>
        <v>#VALUE!</v>
      </c>
      <c r="DU153" t="e">
        <f>AND(DATA!D1023,"AAAAAEhM13w=")</f>
        <v>#VALUE!</v>
      </c>
      <c r="DV153" t="e">
        <f>AND(DATA!E1023,"AAAAAEhM130=")</f>
        <v>#VALUE!</v>
      </c>
      <c r="DW153" t="e">
        <f>AND(DATA!F1023,"AAAAAEhM134=")</f>
        <v>#VALUE!</v>
      </c>
      <c r="DX153" t="e">
        <f>AND(DATA!G1023,"AAAAAEhM138=")</f>
        <v>#VALUE!</v>
      </c>
      <c r="DY153" t="e">
        <f>AND(DATA!H1023,"AAAAAEhM14A=")</f>
        <v>#VALUE!</v>
      </c>
      <c r="DZ153" t="e">
        <f>AND(DATA!I1023,"AAAAAEhM14E=")</f>
        <v>#VALUE!</v>
      </c>
      <c r="EA153" t="e">
        <f>AND(DATA!J1023,"AAAAAEhM14I=")</f>
        <v>#VALUE!</v>
      </c>
      <c r="EB153" t="e">
        <f>AND(DATA!K1023,"AAAAAEhM14M=")</f>
        <v>#VALUE!</v>
      </c>
      <c r="EC153" t="b">
        <f>AND(DATA!L1024,"AAAAAEhM14Q=")</f>
        <v>1</v>
      </c>
      <c r="ED153" t="b">
        <f>AND(DATA!M1024,"AAAAAEhM14U=")</f>
        <v>1</v>
      </c>
      <c r="EE153" t="b">
        <f>AND(DATA!N1024,"AAAAAEhM14Y=")</f>
        <v>1</v>
      </c>
      <c r="EF153" t="b">
        <f>AND(DATA!O1024,"AAAAAEhM14c=")</f>
        <v>1</v>
      </c>
      <c r="EG153" t="b">
        <f>AND(DATA!P1024,"AAAAAEhM14g=")</f>
        <v>1</v>
      </c>
      <c r="EH153" t="b">
        <f>AND(DATA!Q1024,"AAAAAEhM14k=")</f>
        <v>1</v>
      </c>
      <c r="EI153" t="b">
        <f>AND(DATA!R1024,"AAAAAEhM14o=")</f>
        <v>1</v>
      </c>
      <c r="EJ153" t="b">
        <f>AND(DATA!S1024,"AAAAAEhM14s=")</f>
        <v>1</v>
      </c>
      <c r="EK153" t="b">
        <f>AND(DATA!T1024,"AAAAAEhM14w=")</f>
        <v>1</v>
      </c>
      <c r="EL153" t="b">
        <f>AND(DATA!U1024,"AAAAAEhM140=")</f>
        <v>1</v>
      </c>
      <c r="EM153" t="b">
        <f>AND(DATA!V1024,"AAAAAEhM144=")</f>
        <v>1</v>
      </c>
      <c r="EN153" t="e">
        <f>AND(DATA!W1023,"AAAAAEhM148=")</f>
        <v>#VALUE!</v>
      </c>
      <c r="EO153" t="e">
        <f>AND(DATA!X1023,"AAAAAEhM15A=")</f>
        <v>#VALUE!</v>
      </c>
      <c r="EP153" t="e">
        <f>AND(DATA!Y1023,"AAAAAEhM15E=")</f>
        <v>#VALUE!</v>
      </c>
      <c r="EQ153">
        <f>IF(DATA!1024:1024,"AAAAAEhM15I=",0)</f>
        <v>0</v>
      </c>
      <c r="ER153" t="e">
        <f>AND(DATA!A1024,"AAAAAEhM15M=")</f>
        <v>#VALUE!</v>
      </c>
      <c r="ES153" t="e">
        <f>AND(DATA!B1024,"AAAAAEhM15Q=")</f>
        <v>#VALUE!</v>
      </c>
      <c r="ET153" t="e">
        <f>AND(DATA!C1024,"AAAAAEhM15U=")</f>
        <v>#VALUE!</v>
      </c>
      <c r="EU153" t="e">
        <f>AND(DATA!D1024,"AAAAAEhM15Y=")</f>
        <v>#VALUE!</v>
      </c>
      <c r="EV153" t="e">
        <f>AND(DATA!E1024,"AAAAAEhM15c=")</f>
        <v>#VALUE!</v>
      </c>
      <c r="EW153" t="e">
        <f>AND(DATA!F1024,"AAAAAEhM15g=")</f>
        <v>#VALUE!</v>
      </c>
      <c r="EX153" t="e">
        <f>AND(DATA!G1024,"AAAAAEhM15k=")</f>
        <v>#VALUE!</v>
      </c>
      <c r="EY153" t="e">
        <f>AND(DATA!H1024,"AAAAAEhM15o=")</f>
        <v>#VALUE!</v>
      </c>
      <c r="EZ153" t="e">
        <f>AND(DATA!I1024,"AAAAAEhM15s=")</f>
        <v>#VALUE!</v>
      </c>
      <c r="FA153" t="e">
        <f>AND(DATA!J1024,"AAAAAEhM15w=")</f>
        <v>#VALUE!</v>
      </c>
      <c r="FB153" t="e">
        <f>AND(DATA!K1024,"AAAAAEhM150=")</f>
        <v>#VALUE!</v>
      </c>
      <c r="FC153" t="b">
        <f>AND(DATA!L1025,"AAAAAEhM154=")</f>
        <v>1</v>
      </c>
      <c r="FD153" t="b">
        <f>AND(DATA!M1025,"AAAAAEhM158=")</f>
        <v>1</v>
      </c>
      <c r="FE153" t="b">
        <f>AND(DATA!N1025,"AAAAAEhM16A=")</f>
        <v>1</v>
      </c>
      <c r="FF153" t="b">
        <f>AND(DATA!O1025,"AAAAAEhM16E=")</f>
        <v>1</v>
      </c>
      <c r="FG153" t="b">
        <f>AND(DATA!P1025,"AAAAAEhM16I=")</f>
        <v>1</v>
      </c>
      <c r="FH153" t="b">
        <f>AND(DATA!Q1025,"AAAAAEhM16M=")</f>
        <v>1</v>
      </c>
      <c r="FI153" t="b">
        <f>AND(DATA!R1025,"AAAAAEhM16Q=")</f>
        <v>1</v>
      </c>
      <c r="FJ153" t="b">
        <f>AND(DATA!S1025,"AAAAAEhM16U=")</f>
        <v>1</v>
      </c>
      <c r="FK153" t="b">
        <f>AND(DATA!T1025,"AAAAAEhM16Y=")</f>
        <v>1</v>
      </c>
      <c r="FL153" t="b">
        <f>AND(DATA!U1025,"AAAAAEhM16c=")</f>
        <v>1</v>
      </c>
      <c r="FM153" t="b">
        <f>AND(DATA!V1025,"AAAAAEhM16g=")</f>
        <v>1</v>
      </c>
      <c r="FN153" t="e">
        <f>AND(DATA!W1024,"AAAAAEhM16k=")</f>
        <v>#VALUE!</v>
      </c>
      <c r="FO153" t="e">
        <f>AND(DATA!X1024,"AAAAAEhM16o=")</f>
        <v>#VALUE!</v>
      </c>
      <c r="FP153" t="e">
        <f>AND(DATA!Y1024,"AAAAAEhM16s=")</f>
        <v>#VALUE!</v>
      </c>
      <c r="FQ153">
        <f>IF(DATA!1025:1025,"AAAAAEhM16w=",0)</f>
        <v>0</v>
      </c>
      <c r="FR153" t="e">
        <f>AND(DATA!A1025,"AAAAAEhM160=")</f>
        <v>#VALUE!</v>
      </c>
      <c r="FS153" t="e">
        <f>AND(DATA!B1025,"AAAAAEhM164=")</f>
        <v>#VALUE!</v>
      </c>
      <c r="FT153" t="e">
        <f>AND(DATA!C1025,"AAAAAEhM168=")</f>
        <v>#VALUE!</v>
      </c>
      <c r="FU153" t="e">
        <f>AND(DATA!D1025,"AAAAAEhM17A=")</f>
        <v>#VALUE!</v>
      </c>
      <c r="FV153" t="e">
        <f>AND(DATA!E1025,"AAAAAEhM17E=")</f>
        <v>#VALUE!</v>
      </c>
      <c r="FW153" t="e">
        <f>AND(DATA!F1025,"AAAAAEhM17I=")</f>
        <v>#VALUE!</v>
      </c>
      <c r="FX153" t="e">
        <f>AND(DATA!G1025,"AAAAAEhM17M=")</f>
        <v>#VALUE!</v>
      </c>
      <c r="FY153" t="e">
        <f>AND(DATA!H1025,"AAAAAEhM17Q=")</f>
        <v>#VALUE!</v>
      </c>
      <c r="FZ153" t="e">
        <f>AND(DATA!I1025,"AAAAAEhM17U=")</f>
        <v>#VALUE!</v>
      </c>
      <c r="GA153" t="e">
        <f>AND(DATA!J1025,"AAAAAEhM17Y=")</f>
        <v>#VALUE!</v>
      </c>
      <c r="GB153" t="e">
        <f>AND(DATA!K1025,"AAAAAEhM17c=")</f>
        <v>#VALUE!</v>
      </c>
      <c r="GC153" t="b">
        <f>AND(DATA!L1026,"AAAAAEhM17g=")</f>
        <v>1</v>
      </c>
      <c r="GD153" t="b">
        <f>AND(DATA!M1026,"AAAAAEhM17k=")</f>
        <v>1</v>
      </c>
      <c r="GE153" t="b">
        <f>AND(DATA!N1026,"AAAAAEhM17o=")</f>
        <v>1</v>
      </c>
      <c r="GF153" t="b">
        <f>AND(DATA!O1026,"AAAAAEhM17s=")</f>
        <v>1</v>
      </c>
      <c r="GG153" t="b">
        <f>AND(DATA!P1026,"AAAAAEhM17w=")</f>
        <v>1</v>
      </c>
      <c r="GH153" t="b">
        <f>AND(DATA!Q1026,"AAAAAEhM170=")</f>
        <v>1</v>
      </c>
      <c r="GI153" t="b">
        <f>AND(DATA!R1026,"AAAAAEhM174=")</f>
        <v>1</v>
      </c>
      <c r="GJ153" t="b">
        <f>AND(DATA!S1026,"AAAAAEhM178=")</f>
        <v>1</v>
      </c>
      <c r="GK153" t="b">
        <f>AND(DATA!T1026,"AAAAAEhM18A=")</f>
        <v>1</v>
      </c>
      <c r="GL153" t="b">
        <f>AND(DATA!U1026,"AAAAAEhM18E=")</f>
        <v>1</v>
      </c>
      <c r="GM153" t="b">
        <f>AND(DATA!V1026,"AAAAAEhM18I=")</f>
        <v>1</v>
      </c>
      <c r="GN153" t="e">
        <f>AND(DATA!W1025,"AAAAAEhM18M=")</f>
        <v>#VALUE!</v>
      </c>
      <c r="GO153" t="e">
        <f>AND(DATA!X1025,"AAAAAEhM18Q=")</f>
        <v>#VALUE!</v>
      </c>
      <c r="GP153" t="e">
        <f>AND(DATA!Y1025,"AAAAAEhM18U=")</f>
        <v>#VALUE!</v>
      </c>
      <c r="GQ153">
        <f>IF(DATA!1026:1026,"AAAAAEhM18Y=",0)</f>
        <v>0</v>
      </c>
      <c r="GR153" t="e">
        <f>AND(DATA!A1026,"AAAAAEhM18c=")</f>
        <v>#VALUE!</v>
      </c>
      <c r="GS153" t="e">
        <f>AND(DATA!B1026,"AAAAAEhM18g=")</f>
        <v>#VALUE!</v>
      </c>
      <c r="GT153" t="e">
        <f>AND(DATA!C1026,"AAAAAEhM18k=")</f>
        <v>#VALUE!</v>
      </c>
      <c r="GU153" t="e">
        <f>AND(DATA!D1026,"AAAAAEhM18o=")</f>
        <v>#VALUE!</v>
      </c>
      <c r="GV153" t="e">
        <f>AND(DATA!E1026,"AAAAAEhM18s=")</f>
        <v>#VALUE!</v>
      </c>
      <c r="GW153" t="e">
        <f>AND(DATA!F1026,"AAAAAEhM18w=")</f>
        <v>#VALUE!</v>
      </c>
      <c r="GX153" t="e">
        <f>AND(DATA!G1026,"AAAAAEhM180=")</f>
        <v>#VALUE!</v>
      </c>
      <c r="GY153" t="e">
        <f>AND(DATA!H1026,"AAAAAEhM184=")</f>
        <v>#VALUE!</v>
      </c>
      <c r="GZ153" t="e">
        <f>AND(DATA!I1026,"AAAAAEhM188=")</f>
        <v>#VALUE!</v>
      </c>
      <c r="HA153" t="e">
        <f>AND(DATA!J1026,"AAAAAEhM19A=")</f>
        <v>#VALUE!</v>
      </c>
      <c r="HB153" t="e">
        <f>AND(DATA!K1026,"AAAAAEhM19E=")</f>
        <v>#VALUE!</v>
      </c>
      <c r="HC153" t="b">
        <f>AND(DATA!L1027,"AAAAAEhM19I=")</f>
        <v>1</v>
      </c>
      <c r="HD153" t="b">
        <f>AND(DATA!M1027,"AAAAAEhM19M=")</f>
        <v>1</v>
      </c>
      <c r="HE153" t="b">
        <f>AND(DATA!N1027,"AAAAAEhM19Q=")</f>
        <v>1</v>
      </c>
      <c r="HF153" t="b">
        <f>AND(DATA!O1027,"AAAAAEhM19U=")</f>
        <v>1</v>
      </c>
      <c r="HG153" t="b">
        <f>AND(DATA!P1027,"AAAAAEhM19Y=")</f>
        <v>1</v>
      </c>
      <c r="HH153" t="b">
        <f>AND(DATA!Q1027,"AAAAAEhM19c=")</f>
        <v>1</v>
      </c>
      <c r="HI153" t="b">
        <f>AND(DATA!R1027,"AAAAAEhM19g=")</f>
        <v>1</v>
      </c>
      <c r="HJ153" t="b">
        <f>AND(DATA!S1027,"AAAAAEhM19k=")</f>
        <v>1</v>
      </c>
      <c r="HK153" t="b">
        <f>AND(DATA!T1027,"AAAAAEhM19o=")</f>
        <v>1</v>
      </c>
      <c r="HL153" t="b">
        <f>AND(DATA!U1027,"AAAAAEhM19s=")</f>
        <v>1</v>
      </c>
      <c r="HM153" t="b">
        <f>AND(DATA!V1027,"AAAAAEhM19w=")</f>
        <v>1</v>
      </c>
      <c r="HN153" t="e">
        <f>AND(DATA!W1026,"AAAAAEhM190=")</f>
        <v>#VALUE!</v>
      </c>
      <c r="HO153" t="e">
        <f>AND(DATA!X1026,"AAAAAEhM194=")</f>
        <v>#VALUE!</v>
      </c>
      <c r="HP153" t="e">
        <f>AND(DATA!Y1026,"AAAAAEhM198=")</f>
        <v>#VALUE!</v>
      </c>
      <c r="HQ153">
        <f>IF(DATA!1027:1027,"AAAAAEhM1+A=",0)</f>
        <v>0</v>
      </c>
      <c r="HR153" t="e">
        <f>AND(DATA!A1027,"AAAAAEhM1+E=")</f>
        <v>#VALUE!</v>
      </c>
      <c r="HS153" t="e">
        <f>AND(DATA!B1027,"AAAAAEhM1+I=")</f>
        <v>#VALUE!</v>
      </c>
      <c r="HT153" t="e">
        <f>AND(DATA!C1027,"AAAAAEhM1+M=")</f>
        <v>#VALUE!</v>
      </c>
      <c r="HU153" t="e">
        <f>AND(DATA!D1027,"AAAAAEhM1+Q=")</f>
        <v>#VALUE!</v>
      </c>
      <c r="HV153" t="e">
        <f>AND(DATA!E1027,"AAAAAEhM1+U=")</f>
        <v>#VALUE!</v>
      </c>
      <c r="HW153" t="e">
        <f>AND(DATA!F1027,"AAAAAEhM1+Y=")</f>
        <v>#VALUE!</v>
      </c>
      <c r="HX153" t="e">
        <f>AND(DATA!G1027,"AAAAAEhM1+c=")</f>
        <v>#VALUE!</v>
      </c>
      <c r="HY153" t="e">
        <f>AND(DATA!H1027,"AAAAAEhM1+g=")</f>
        <v>#VALUE!</v>
      </c>
      <c r="HZ153" t="e">
        <f>AND(DATA!I1027,"AAAAAEhM1+k=")</f>
        <v>#VALUE!</v>
      </c>
      <c r="IA153" t="e">
        <f>AND(DATA!J1027,"AAAAAEhM1+o=")</f>
        <v>#VALUE!</v>
      </c>
      <c r="IB153" t="e">
        <f>AND(DATA!K1027,"AAAAAEhM1+s=")</f>
        <v>#VALUE!</v>
      </c>
      <c r="IC153" t="b">
        <f>AND(DATA!L1028,"AAAAAEhM1+w=")</f>
        <v>1</v>
      </c>
      <c r="ID153" t="b">
        <f>AND(DATA!M1028,"AAAAAEhM1+0=")</f>
        <v>1</v>
      </c>
      <c r="IE153" t="b">
        <f>AND(DATA!N1028,"AAAAAEhM1+4=")</f>
        <v>1</v>
      </c>
      <c r="IF153" t="b">
        <f>AND(DATA!O1028,"AAAAAEhM1+8=")</f>
        <v>1</v>
      </c>
      <c r="IG153" t="b">
        <f>AND(DATA!P1028,"AAAAAEhM1/A=")</f>
        <v>1</v>
      </c>
      <c r="IH153" t="b">
        <f>AND(DATA!Q1028,"AAAAAEhM1/E=")</f>
        <v>1</v>
      </c>
      <c r="II153" t="b">
        <f>AND(DATA!R1028,"AAAAAEhM1/I=")</f>
        <v>1</v>
      </c>
      <c r="IJ153" t="b">
        <f>AND(DATA!S1028,"AAAAAEhM1/M=")</f>
        <v>1</v>
      </c>
      <c r="IK153" t="b">
        <f>AND(DATA!T1028,"AAAAAEhM1/Q=")</f>
        <v>1</v>
      </c>
      <c r="IL153" t="b">
        <f>AND(DATA!U1028,"AAAAAEhM1/U=")</f>
        <v>1</v>
      </c>
      <c r="IM153" t="b">
        <f>AND(DATA!V1028,"AAAAAEhM1/Y=")</f>
        <v>1</v>
      </c>
      <c r="IN153" t="e">
        <f>AND(DATA!W1027,"AAAAAEhM1/c=")</f>
        <v>#VALUE!</v>
      </c>
      <c r="IO153" t="e">
        <f>AND(DATA!X1027,"AAAAAEhM1/g=")</f>
        <v>#VALUE!</v>
      </c>
      <c r="IP153" t="e">
        <f>AND(DATA!Y1027,"AAAAAEhM1/k=")</f>
        <v>#VALUE!</v>
      </c>
      <c r="IQ153">
        <f>IF(DATA!1028:1028,"AAAAAEhM1/o=",0)</f>
        <v>0</v>
      </c>
      <c r="IR153" t="e">
        <f>AND(DATA!A1028,"AAAAAEhM1/s=")</f>
        <v>#VALUE!</v>
      </c>
      <c r="IS153" t="e">
        <f>AND(DATA!B1028,"AAAAAEhM1/w=")</f>
        <v>#VALUE!</v>
      </c>
      <c r="IT153" t="e">
        <f>AND(DATA!C1028,"AAAAAEhM1/0=")</f>
        <v>#VALUE!</v>
      </c>
      <c r="IU153" t="e">
        <f>AND(DATA!D1028,"AAAAAEhM1/4=")</f>
        <v>#VALUE!</v>
      </c>
      <c r="IV153" t="e">
        <f>AND(DATA!E1028,"AAAAAEhM1/8=")</f>
        <v>#VALUE!</v>
      </c>
    </row>
    <row r="154" spans="1:256" x14ac:dyDescent="0.25">
      <c r="A154" t="e">
        <f>AND(DATA!F1028,"AAAAAG23qwA=")</f>
        <v>#VALUE!</v>
      </c>
      <c r="B154" t="e">
        <f>AND(DATA!G1028,"AAAAAG23qwE=")</f>
        <v>#VALUE!</v>
      </c>
      <c r="C154" t="e">
        <f>AND(DATA!H1028,"AAAAAG23qwI=")</f>
        <v>#VALUE!</v>
      </c>
      <c r="D154" t="e">
        <f>AND(DATA!I1028,"AAAAAG23qwM=")</f>
        <v>#VALUE!</v>
      </c>
      <c r="E154" t="e">
        <f>AND(DATA!J1028,"AAAAAG23qwQ=")</f>
        <v>#VALUE!</v>
      </c>
      <c r="F154" t="e">
        <f>AND(DATA!K1028,"AAAAAG23qwU=")</f>
        <v>#VALUE!</v>
      </c>
      <c r="G154" t="b">
        <f>AND(DATA!L1029,"AAAAAG23qwY=")</f>
        <v>1</v>
      </c>
      <c r="H154" t="b">
        <f>AND(DATA!M1029,"AAAAAG23qwc=")</f>
        <v>1</v>
      </c>
      <c r="I154" t="b">
        <f>AND(DATA!N1029,"AAAAAG23qwg=")</f>
        <v>1</v>
      </c>
      <c r="J154" t="b">
        <f>AND(DATA!O1029,"AAAAAG23qwk=")</f>
        <v>1</v>
      </c>
      <c r="K154" t="b">
        <f>AND(DATA!P1029,"AAAAAG23qwo=")</f>
        <v>1</v>
      </c>
      <c r="L154" t="b">
        <f>AND(DATA!Q1029,"AAAAAG23qws=")</f>
        <v>1</v>
      </c>
      <c r="M154" t="b">
        <f>AND(DATA!R1029,"AAAAAG23qww=")</f>
        <v>1</v>
      </c>
      <c r="N154" t="b">
        <f>AND(DATA!S1029,"AAAAAG23qw0=")</f>
        <v>1</v>
      </c>
      <c r="O154" t="b">
        <f>AND(DATA!T1029,"AAAAAG23qw4=")</f>
        <v>1</v>
      </c>
      <c r="P154" t="b">
        <f>AND(DATA!U1029,"AAAAAG23qw8=")</f>
        <v>1</v>
      </c>
      <c r="Q154" t="b">
        <f>AND(DATA!V1029,"AAAAAG23qxA=")</f>
        <v>1</v>
      </c>
      <c r="R154" t="e">
        <f>AND(DATA!W1028,"AAAAAG23qxE=")</f>
        <v>#VALUE!</v>
      </c>
      <c r="S154" t="e">
        <f>AND(DATA!X1028,"AAAAAG23qxI=")</f>
        <v>#VALUE!</v>
      </c>
      <c r="T154" t="e">
        <f>AND(DATA!Y1028,"AAAAAG23qxM=")</f>
        <v>#VALUE!</v>
      </c>
      <c r="U154" t="str">
        <f>IF(DATA!1029:1029,"AAAAAG23qxQ=",0)</f>
        <v>AAAAAG23qxQ=</v>
      </c>
      <c r="V154" t="e">
        <f>AND(DATA!A1029,"AAAAAG23qxU=")</f>
        <v>#VALUE!</v>
      </c>
      <c r="W154" t="e">
        <f>AND(DATA!B1029,"AAAAAG23qxY=")</f>
        <v>#VALUE!</v>
      </c>
      <c r="X154" t="e">
        <f>AND(DATA!C1029,"AAAAAG23qxc=")</f>
        <v>#VALUE!</v>
      </c>
      <c r="Y154" t="e">
        <f>AND(DATA!D1029,"AAAAAG23qxg=")</f>
        <v>#VALUE!</v>
      </c>
      <c r="Z154" t="e">
        <f>AND(DATA!E1029,"AAAAAG23qxk=")</f>
        <v>#VALUE!</v>
      </c>
      <c r="AA154" t="e">
        <f>AND(DATA!F1029,"AAAAAG23qxo=")</f>
        <v>#VALUE!</v>
      </c>
      <c r="AB154" t="e">
        <f>AND(DATA!G1029,"AAAAAG23qxs=")</f>
        <v>#VALUE!</v>
      </c>
      <c r="AC154" t="e">
        <f>AND(DATA!H1029,"AAAAAG23qxw=")</f>
        <v>#VALUE!</v>
      </c>
      <c r="AD154" t="e">
        <f>AND(DATA!I1029,"AAAAAG23qx0=")</f>
        <v>#VALUE!</v>
      </c>
      <c r="AE154" t="e">
        <f>AND(DATA!J1029,"AAAAAG23qx4=")</f>
        <v>#VALUE!</v>
      </c>
      <c r="AF154" t="e">
        <f>AND(DATA!K1029,"AAAAAG23qx8=")</f>
        <v>#VALUE!</v>
      </c>
      <c r="AG154" t="b">
        <f>AND(DATA!L1030,"AAAAAG23qyA=")</f>
        <v>1</v>
      </c>
      <c r="AH154" t="b">
        <f>AND(DATA!M1030,"AAAAAG23qyE=")</f>
        <v>1</v>
      </c>
      <c r="AI154" t="b">
        <f>AND(DATA!N1030,"AAAAAG23qyI=")</f>
        <v>1</v>
      </c>
      <c r="AJ154" t="b">
        <f>AND(DATA!O1030,"AAAAAG23qyM=")</f>
        <v>1</v>
      </c>
      <c r="AK154" t="b">
        <f>AND(DATA!P1030,"AAAAAG23qyQ=")</f>
        <v>1</v>
      </c>
      <c r="AL154" t="b">
        <f>AND(DATA!Q1030,"AAAAAG23qyU=")</f>
        <v>1</v>
      </c>
      <c r="AM154" t="b">
        <f>AND(DATA!R1030,"AAAAAG23qyY=")</f>
        <v>1</v>
      </c>
      <c r="AN154" t="b">
        <f>AND(DATA!S1030,"AAAAAG23qyc=")</f>
        <v>1</v>
      </c>
      <c r="AO154" t="b">
        <f>AND(DATA!T1030,"AAAAAG23qyg=")</f>
        <v>1</v>
      </c>
      <c r="AP154" t="b">
        <f>AND(DATA!U1030,"AAAAAG23qyk=")</f>
        <v>1</v>
      </c>
      <c r="AQ154" t="b">
        <f>AND(DATA!V1030,"AAAAAG23qyo=")</f>
        <v>1</v>
      </c>
      <c r="AR154" t="e">
        <f>AND(DATA!W1029,"AAAAAG23qys=")</f>
        <v>#VALUE!</v>
      </c>
      <c r="AS154" t="e">
        <f>AND(DATA!X1029,"AAAAAG23qyw=")</f>
        <v>#VALUE!</v>
      </c>
      <c r="AT154" t="e">
        <f>AND(DATA!Y1029,"AAAAAG23qy0=")</f>
        <v>#VALUE!</v>
      </c>
      <c r="AU154">
        <f>IF(DATA!1030:1030,"AAAAAG23qy4=",0)</f>
        <v>0</v>
      </c>
      <c r="AV154" t="e">
        <f>AND(DATA!A1030,"AAAAAG23qy8=")</f>
        <v>#VALUE!</v>
      </c>
      <c r="AW154" t="e">
        <f>AND(DATA!B1030,"AAAAAG23qzA=")</f>
        <v>#VALUE!</v>
      </c>
      <c r="AX154" t="e">
        <f>AND(DATA!C1030,"AAAAAG23qzE=")</f>
        <v>#VALUE!</v>
      </c>
      <c r="AY154" t="e">
        <f>AND(DATA!D1030,"AAAAAG23qzI=")</f>
        <v>#VALUE!</v>
      </c>
      <c r="AZ154" t="e">
        <f>AND(DATA!E1030,"AAAAAG23qzM=")</f>
        <v>#VALUE!</v>
      </c>
      <c r="BA154" t="e">
        <f>AND(DATA!F1030,"AAAAAG23qzQ=")</f>
        <v>#VALUE!</v>
      </c>
      <c r="BB154" t="e">
        <f>AND(DATA!G1030,"AAAAAG23qzU=")</f>
        <v>#VALUE!</v>
      </c>
      <c r="BC154" t="e">
        <f>AND(DATA!H1030,"AAAAAG23qzY=")</f>
        <v>#VALUE!</v>
      </c>
      <c r="BD154" t="e">
        <f>AND(DATA!I1030,"AAAAAG23qzc=")</f>
        <v>#VALUE!</v>
      </c>
      <c r="BE154" t="e">
        <f>AND(DATA!J1030,"AAAAAG23qzg=")</f>
        <v>#VALUE!</v>
      </c>
      <c r="BF154" t="e">
        <f>AND(DATA!K1030,"AAAAAG23qzk=")</f>
        <v>#VALUE!</v>
      </c>
      <c r="BG154" t="b">
        <f>AND(DATA!L1031,"AAAAAG23qzo=")</f>
        <v>1</v>
      </c>
      <c r="BH154" t="b">
        <f>AND(DATA!M1031,"AAAAAG23qzs=")</f>
        <v>1</v>
      </c>
      <c r="BI154" t="b">
        <f>AND(DATA!N1031,"AAAAAG23qzw=")</f>
        <v>1</v>
      </c>
      <c r="BJ154" t="b">
        <f>AND(DATA!O1031,"AAAAAG23qz0=")</f>
        <v>1</v>
      </c>
      <c r="BK154" t="b">
        <f>AND(DATA!P1031,"AAAAAG23qz4=")</f>
        <v>1</v>
      </c>
      <c r="BL154" t="b">
        <f>AND(DATA!Q1031,"AAAAAG23qz8=")</f>
        <v>1</v>
      </c>
      <c r="BM154" t="b">
        <f>AND(DATA!R1031,"AAAAAG23q0A=")</f>
        <v>1</v>
      </c>
      <c r="BN154" t="b">
        <f>AND(DATA!S1031,"AAAAAG23q0E=")</f>
        <v>1</v>
      </c>
      <c r="BO154" t="b">
        <f>AND(DATA!T1031,"AAAAAG23q0I=")</f>
        <v>1</v>
      </c>
      <c r="BP154" t="b">
        <f>AND(DATA!U1031,"AAAAAG23q0M=")</f>
        <v>1</v>
      </c>
      <c r="BQ154" t="b">
        <f>AND(DATA!V1031,"AAAAAG23q0Q=")</f>
        <v>1</v>
      </c>
      <c r="BR154" t="e">
        <f>AND(DATA!W1030,"AAAAAG23q0U=")</f>
        <v>#VALUE!</v>
      </c>
      <c r="BS154" t="e">
        <f>AND(DATA!X1030,"AAAAAG23q0Y=")</f>
        <v>#VALUE!</v>
      </c>
      <c r="BT154" t="e">
        <f>AND(DATA!Y1030,"AAAAAG23q0c=")</f>
        <v>#VALUE!</v>
      </c>
      <c r="BU154">
        <f>IF(DATA!1031:1031,"AAAAAG23q0g=",0)</f>
        <v>0</v>
      </c>
      <c r="BV154" t="e">
        <f>AND(DATA!A1031,"AAAAAG23q0k=")</f>
        <v>#VALUE!</v>
      </c>
      <c r="BW154" t="e">
        <f>AND(DATA!B1031,"AAAAAG23q0o=")</f>
        <v>#VALUE!</v>
      </c>
      <c r="BX154" t="e">
        <f>AND(DATA!C1031,"AAAAAG23q0s=")</f>
        <v>#VALUE!</v>
      </c>
      <c r="BY154" t="e">
        <f>AND(DATA!D1031,"AAAAAG23q0w=")</f>
        <v>#VALUE!</v>
      </c>
      <c r="BZ154" t="e">
        <f>AND(DATA!E1031,"AAAAAG23q00=")</f>
        <v>#VALUE!</v>
      </c>
      <c r="CA154" t="e">
        <f>AND(DATA!F1031,"AAAAAG23q04=")</f>
        <v>#VALUE!</v>
      </c>
      <c r="CB154" t="e">
        <f>AND(DATA!G1031,"AAAAAG23q08=")</f>
        <v>#VALUE!</v>
      </c>
      <c r="CC154" t="e">
        <f>AND(DATA!H1031,"AAAAAG23q1A=")</f>
        <v>#VALUE!</v>
      </c>
      <c r="CD154" t="e">
        <f>AND(DATA!I1031,"AAAAAG23q1E=")</f>
        <v>#VALUE!</v>
      </c>
      <c r="CE154" t="e">
        <f>AND(DATA!J1031,"AAAAAG23q1I=")</f>
        <v>#VALUE!</v>
      </c>
      <c r="CF154" t="e">
        <f>AND(DATA!K1031,"AAAAAG23q1M=")</f>
        <v>#VALUE!</v>
      </c>
      <c r="CG154" t="b">
        <f>AND(DATA!L1032,"AAAAAG23q1Q=")</f>
        <v>1</v>
      </c>
      <c r="CH154" t="b">
        <f>AND(DATA!M1032,"AAAAAG23q1U=")</f>
        <v>1</v>
      </c>
      <c r="CI154" t="b">
        <f>AND(DATA!N1032,"AAAAAG23q1Y=")</f>
        <v>1</v>
      </c>
      <c r="CJ154" t="b">
        <f>AND(DATA!O1032,"AAAAAG23q1c=")</f>
        <v>1</v>
      </c>
      <c r="CK154" t="b">
        <f>AND(DATA!P1032,"AAAAAG23q1g=")</f>
        <v>1</v>
      </c>
      <c r="CL154" t="b">
        <f>AND(DATA!Q1032,"AAAAAG23q1k=")</f>
        <v>1</v>
      </c>
      <c r="CM154" t="b">
        <f>AND(DATA!R1032,"AAAAAG23q1o=")</f>
        <v>1</v>
      </c>
      <c r="CN154" t="b">
        <f>AND(DATA!S1032,"AAAAAG23q1s=")</f>
        <v>1</v>
      </c>
      <c r="CO154" t="b">
        <f>AND(DATA!T1032,"AAAAAG23q1w=")</f>
        <v>1</v>
      </c>
      <c r="CP154" t="b">
        <f>AND(DATA!U1032,"AAAAAG23q10=")</f>
        <v>1</v>
      </c>
      <c r="CQ154" t="b">
        <f>AND(DATA!V1032,"AAAAAG23q14=")</f>
        <v>1</v>
      </c>
      <c r="CR154" t="e">
        <f>AND(DATA!W1031,"AAAAAG23q18=")</f>
        <v>#VALUE!</v>
      </c>
      <c r="CS154" t="e">
        <f>AND(DATA!X1031,"AAAAAG23q2A=")</f>
        <v>#VALUE!</v>
      </c>
      <c r="CT154" t="e">
        <f>AND(DATA!Y1031,"AAAAAG23q2E=")</f>
        <v>#VALUE!</v>
      </c>
      <c r="CU154">
        <f>IF(DATA!1032:1032,"AAAAAG23q2I=",0)</f>
        <v>0</v>
      </c>
      <c r="CV154" t="e">
        <f>AND(DATA!A1032,"AAAAAG23q2M=")</f>
        <v>#VALUE!</v>
      </c>
      <c r="CW154" t="e">
        <f>AND(DATA!B1032,"AAAAAG23q2Q=")</f>
        <v>#VALUE!</v>
      </c>
      <c r="CX154" t="e">
        <f>AND(DATA!C1032,"AAAAAG23q2U=")</f>
        <v>#VALUE!</v>
      </c>
      <c r="CY154" t="e">
        <f>AND(DATA!D1032,"AAAAAG23q2Y=")</f>
        <v>#VALUE!</v>
      </c>
      <c r="CZ154" t="e">
        <f>AND(DATA!E1032,"AAAAAG23q2c=")</f>
        <v>#VALUE!</v>
      </c>
      <c r="DA154" t="e">
        <f>AND(DATA!F1032,"AAAAAG23q2g=")</f>
        <v>#VALUE!</v>
      </c>
      <c r="DB154" t="e">
        <f>AND(DATA!G1032,"AAAAAG23q2k=")</f>
        <v>#VALUE!</v>
      </c>
      <c r="DC154" t="e">
        <f>AND(DATA!H1032,"AAAAAG23q2o=")</f>
        <v>#VALUE!</v>
      </c>
      <c r="DD154" t="e">
        <f>AND(DATA!I1032,"AAAAAG23q2s=")</f>
        <v>#VALUE!</v>
      </c>
      <c r="DE154" t="e">
        <f>AND(DATA!J1032,"AAAAAG23q2w=")</f>
        <v>#VALUE!</v>
      </c>
      <c r="DF154" t="e">
        <f>AND(DATA!K1032,"AAAAAG23q20=")</f>
        <v>#VALUE!</v>
      </c>
      <c r="DG154" t="b">
        <f>AND(DATA!L1033,"AAAAAG23q24=")</f>
        <v>1</v>
      </c>
      <c r="DH154" t="b">
        <f>AND(DATA!M1033,"AAAAAG23q28=")</f>
        <v>1</v>
      </c>
      <c r="DI154" t="b">
        <f>AND(DATA!N1033,"AAAAAG23q3A=")</f>
        <v>1</v>
      </c>
      <c r="DJ154" t="b">
        <f>AND(DATA!O1033,"AAAAAG23q3E=")</f>
        <v>1</v>
      </c>
      <c r="DK154" t="b">
        <f>AND(DATA!P1033,"AAAAAG23q3I=")</f>
        <v>1</v>
      </c>
      <c r="DL154" t="b">
        <f>AND(DATA!Q1033,"AAAAAG23q3M=")</f>
        <v>1</v>
      </c>
      <c r="DM154" t="b">
        <f>AND(DATA!R1033,"AAAAAG23q3Q=")</f>
        <v>1</v>
      </c>
      <c r="DN154" t="b">
        <f>AND(DATA!S1033,"AAAAAG23q3U=")</f>
        <v>1</v>
      </c>
      <c r="DO154" t="b">
        <f>AND(DATA!T1033,"AAAAAG23q3Y=")</f>
        <v>1</v>
      </c>
      <c r="DP154" t="b">
        <f>AND(DATA!U1033,"AAAAAG23q3c=")</f>
        <v>1</v>
      </c>
      <c r="DQ154" t="b">
        <f>AND(DATA!V1033,"AAAAAG23q3g=")</f>
        <v>1</v>
      </c>
      <c r="DR154" t="e">
        <f>AND(DATA!W1032,"AAAAAG23q3k=")</f>
        <v>#VALUE!</v>
      </c>
      <c r="DS154" t="e">
        <f>AND(DATA!X1032,"AAAAAG23q3o=")</f>
        <v>#VALUE!</v>
      </c>
      <c r="DT154" t="e">
        <f>AND(DATA!Y1032,"AAAAAG23q3s=")</f>
        <v>#VALUE!</v>
      </c>
      <c r="DU154">
        <f>IF(DATA!1033:1033,"AAAAAG23q3w=",0)</f>
        <v>0</v>
      </c>
      <c r="DV154" t="e">
        <f>AND(DATA!A1033,"AAAAAG23q30=")</f>
        <v>#VALUE!</v>
      </c>
      <c r="DW154" t="e">
        <f>AND(DATA!B1033,"AAAAAG23q34=")</f>
        <v>#VALUE!</v>
      </c>
      <c r="DX154" t="e">
        <f>AND(DATA!C1033,"AAAAAG23q38=")</f>
        <v>#VALUE!</v>
      </c>
      <c r="DY154" t="e">
        <f>AND(DATA!D1033,"AAAAAG23q4A=")</f>
        <v>#VALUE!</v>
      </c>
      <c r="DZ154" t="e">
        <f>AND(DATA!E1033,"AAAAAG23q4E=")</f>
        <v>#VALUE!</v>
      </c>
      <c r="EA154" t="e">
        <f>AND(DATA!F1033,"AAAAAG23q4I=")</f>
        <v>#VALUE!</v>
      </c>
      <c r="EB154" t="e">
        <f>AND(DATA!G1033,"AAAAAG23q4M=")</f>
        <v>#VALUE!</v>
      </c>
      <c r="EC154" t="e">
        <f>AND(DATA!H1033,"AAAAAG23q4Q=")</f>
        <v>#VALUE!</v>
      </c>
      <c r="ED154" t="e">
        <f>AND(DATA!I1033,"AAAAAG23q4U=")</f>
        <v>#VALUE!</v>
      </c>
      <c r="EE154" t="e">
        <f>AND(DATA!J1033,"AAAAAG23q4Y=")</f>
        <v>#VALUE!</v>
      </c>
      <c r="EF154" t="e">
        <f>AND(DATA!K1033,"AAAAAG23q4c=")</f>
        <v>#VALUE!</v>
      </c>
      <c r="EG154" t="b">
        <f>AND(DATA!L1034,"AAAAAG23q4g=")</f>
        <v>1</v>
      </c>
      <c r="EH154" t="b">
        <f>AND(DATA!M1034,"AAAAAG23q4k=")</f>
        <v>1</v>
      </c>
      <c r="EI154" t="b">
        <f>AND(DATA!N1034,"AAAAAG23q4o=")</f>
        <v>1</v>
      </c>
      <c r="EJ154" t="b">
        <f>AND(DATA!O1034,"AAAAAG23q4s=")</f>
        <v>1</v>
      </c>
      <c r="EK154" t="b">
        <f>AND(DATA!P1034,"AAAAAG23q4w=")</f>
        <v>1</v>
      </c>
      <c r="EL154" t="b">
        <f>AND(DATA!Q1034,"AAAAAG23q40=")</f>
        <v>1</v>
      </c>
      <c r="EM154" t="b">
        <f>AND(DATA!R1034,"AAAAAG23q44=")</f>
        <v>1</v>
      </c>
      <c r="EN154" t="b">
        <f>AND(DATA!S1034,"AAAAAG23q48=")</f>
        <v>1</v>
      </c>
      <c r="EO154" t="b">
        <f>AND(DATA!T1034,"AAAAAG23q5A=")</f>
        <v>1</v>
      </c>
      <c r="EP154" t="b">
        <f>AND(DATA!U1034,"AAAAAG23q5E=")</f>
        <v>1</v>
      </c>
      <c r="EQ154" t="b">
        <f>AND(DATA!V1034,"AAAAAG23q5I=")</f>
        <v>1</v>
      </c>
      <c r="ER154" t="e">
        <f>AND(DATA!W1033,"AAAAAG23q5M=")</f>
        <v>#VALUE!</v>
      </c>
      <c r="ES154" t="e">
        <f>AND(DATA!X1033,"AAAAAG23q5Q=")</f>
        <v>#VALUE!</v>
      </c>
      <c r="ET154" t="e">
        <f>AND(DATA!Y1033,"AAAAAG23q5U=")</f>
        <v>#VALUE!</v>
      </c>
      <c r="EU154">
        <f>IF(DATA!1034:1034,"AAAAAG23q5Y=",0)</f>
        <v>0</v>
      </c>
      <c r="EV154" t="e">
        <f>AND(DATA!A1034,"AAAAAG23q5c=")</f>
        <v>#VALUE!</v>
      </c>
      <c r="EW154" t="e">
        <f>AND(DATA!B1034,"AAAAAG23q5g=")</f>
        <v>#VALUE!</v>
      </c>
      <c r="EX154" t="e">
        <f>AND(DATA!C1034,"AAAAAG23q5k=")</f>
        <v>#VALUE!</v>
      </c>
      <c r="EY154" t="e">
        <f>AND(DATA!D1034,"AAAAAG23q5o=")</f>
        <v>#VALUE!</v>
      </c>
      <c r="EZ154" t="e">
        <f>AND(DATA!E1034,"AAAAAG23q5s=")</f>
        <v>#VALUE!</v>
      </c>
      <c r="FA154" t="e">
        <f>AND(DATA!F1034,"AAAAAG23q5w=")</f>
        <v>#VALUE!</v>
      </c>
      <c r="FB154" t="e">
        <f>AND(DATA!G1034,"AAAAAG23q50=")</f>
        <v>#VALUE!</v>
      </c>
      <c r="FC154" t="e">
        <f>AND(DATA!H1034,"AAAAAG23q54=")</f>
        <v>#VALUE!</v>
      </c>
      <c r="FD154" t="e">
        <f>AND(DATA!I1034,"AAAAAG23q58=")</f>
        <v>#VALUE!</v>
      </c>
      <c r="FE154" t="e">
        <f>AND(DATA!J1034,"AAAAAG23q6A=")</f>
        <v>#VALUE!</v>
      </c>
      <c r="FF154" t="e">
        <f>AND(DATA!K1034,"AAAAAG23q6E=")</f>
        <v>#VALUE!</v>
      </c>
      <c r="FG154" t="b">
        <f>AND(DATA!L1035,"AAAAAG23q6I=")</f>
        <v>1</v>
      </c>
      <c r="FH154" t="b">
        <f>AND(DATA!M1035,"AAAAAG23q6M=")</f>
        <v>1</v>
      </c>
      <c r="FI154" t="b">
        <f>AND(DATA!N1035,"AAAAAG23q6Q=")</f>
        <v>1</v>
      </c>
      <c r="FJ154" t="b">
        <f>AND(DATA!O1035,"AAAAAG23q6U=")</f>
        <v>1</v>
      </c>
      <c r="FK154" t="b">
        <f>AND(DATA!P1035,"AAAAAG23q6Y=")</f>
        <v>1</v>
      </c>
      <c r="FL154" t="b">
        <f>AND(DATA!Q1035,"AAAAAG23q6c=")</f>
        <v>1</v>
      </c>
      <c r="FM154" t="b">
        <f>AND(DATA!R1035,"AAAAAG23q6g=")</f>
        <v>1</v>
      </c>
      <c r="FN154" t="b">
        <f>AND(DATA!S1035,"AAAAAG23q6k=")</f>
        <v>1</v>
      </c>
      <c r="FO154" t="b">
        <f>AND(DATA!T1035,"AAAAAG23q6o=")</f>
        <v>1</v>
      </c>
      <c r="FP154" t="b">
        <f>AND(DATA!U1035,"AAAAAG23q6s=")</f>
        <v>1</v>
      </c>
      <c r="FQ154" t="b">
        <f>AND(DATA!V1035,"AAAAAG23q6w=")</f>
        <v>1</v>
      </c>
      <c r="FR154" t="e">
        <f>AND(DATA!W1034,"AAAAAG23q60=")</f>
        <v>#VALUE!</v>
      </c>
      <c r="FS154" t="e">
        <f>AND(DATA!X1034,"AAAAAG23q64=")</f>
        <v>#VALUE!</v>
      </c>
      <c r="FT154" t="e">
        <f>AND(DATA!Y1034,"AAAAAG23q68=")</f>
        <v>#VALUE!</v>
      </c>
      <c r="FU154">
        <f>IF(DATA!1035:1035,"AAAAAG23q7A=",0)</f>
        <v>0</v>
      </c>
      <c r="FV154" t="e">
        <f>AND(DATA!A1035,"AAAAAG23q7E=")</f>
        <v>#VALUE!</v>
      </c>
      <c r="FW154" t="e">
        <f>AND(DATA!B1035,"AAAAAG23q7I=")</f>
        <v>#VALUE!</v>
      </c>
      <c r="FX154" t="e">
        <f>AND(DATA!C1035,"AAAAAG23q7M=")</f>
        <v>#VALUE!</v>
      </c>
      <c r="FY154" t="e">
        <f>AND(DATA!D1035,"AAAAAG23q7Q=")</f>
        <v>#VALUE!</v>
      </c>
      <c r="FZ154" t="e">
        <f>AND(DATA!E1035,"AAAAAG23q7U=")</f>
        <v>#VALUE!</v>
      </c>
      <c r="GA154" t="e">
        <f>AND(DATA!F1035,"AAAAAG23q7Y=")</f>
        <v>#VALUE!</v>
      </c>
      <c r="GB154" t="e">
        <f>AND(DATA!G1035,"AAAAAG23q7c=")</f>
        <v>#VALUE!</v>
      </c>
      <c r="GC154" t="e">
        <f>AND(DATA!H1035,"AAAAAG23q7g=")</f>
        <v>#VALUE!</v>
      </c>
      <c r="GD154" t="e">
        <f>AND(DATA!I1035,"AAAAAG23q7k=")</f>
        <v>#VALUE!</v>
      </c>
      <c r="GE154" t="e">
        <f>AND(DATA!J1035,"AAAAAG23q7o=")</f>
        <v>#VALUE!</v>
      </c>
      <c r="GF154" t="e">
        <f>AND(DATA!K1035,"AAAAAG23q7s=")</f>
        <v>#VALUE!</v>
      </c>
      <c r="GG154" t="b">
        <f>AND(DATA!L1036,"AAAAAG23q7w=")</f>
        <v>1</v>
      </c>
      <c r="GH154" t="b">
        <f>AND(DATA!M1036,"AAAAAG23q70=")</f>
        <v>1</v>
      </c>
      <c r="GI154" t="b">
        <f>AND(DATA!N1036,"AAAAAG23q74=")</f>
        <v>1</v>
      </c>
      <c r="GJ154" t="b">
        <f>AND(DATA!O1036,"AAAAAG23q78=")</f>
        <v>1</v>
      </c>
      <c r="GK154" t="b">
        <f>AND(DATA!P1036,"AAAAAG23q8A=")</f>
        <v>1</v>
      </c>
      <c r="GL154" t="b">
        <f>AND(DATA!Q1036,"AAAAAG23q8E=")</f>
        <v>1</v>
      </c>
      <c r="GM154" t="b">
        <f>AND(DATA!R1036,"AAAAAG23q8I=")</f>
        <v>1</v>
      </c>
      <c r="GN154" t="b">
        <f>AND(DATA!S1036,"AAAAAG23q8M=")</f>
        <v>1</v>
      </c>
      <c r="GO154" t="b">
        <f>AND(DATA!T1036,"AAAAAG23q8Q=")</f>
        <v>1</v>
      </c>
      <c r="GP154" t="b">
        <f>AND(DATA!U1036,"AAAAAG23q8U=")</f>
        <v>1</v>
      </c>
      <c r="GQ154" t="b">
        <f>AND(DATA!V1036,"AAAAAG23q8Y=")</f>
        <v>1</v>
      </c>
      <c r="GR154" t="e">
        <f>AND(DATA!W1035,"AAAAAG23q8c=")</f>
        <v>#VALUE!</v>
      </c>
      <c r="GS154" t="e">
        <f>AND(DATA!X1035,"AAAAAG23q8g=")</f>
        <v>#VALUE!</v>
      </c>
      <c r="GT154" t="e">
        <f>AND(DATA!Y1035,"AAAAAG23q8k=")</f>
        <v>#VALUE!</v>
      </c>
      <c r="GU154">
        <f>IF(DATA!1036:1036,"AAAAAG23q8o=",0)</f>
        <v>0</v>
      </c>
      <c r="GV154" t="e">
        <f>AND(DATA!A1036,"AAAAAG23q8s=")</f>
        <v>#VALUE!</v>
      </c>
      <c r="GW154" t="e">
        <f>AND(DATA!B1036,"AAAAAG23q8w=")</f>
        <v>#VALUE!</v>
      </c>
      <c r="GX154" t="e">
        <f>AND(DATA!C1036,"AAAAAG23q80=")</f>
        <v>#VALUE!</v>
      </c>
      <c r="GY154" t="e">
        <f>AND(DATA!D1036,"AAAAAG23q84=")</f>
        <v>#VALUE!</v>
      </c>
      <c r="GZ154" t="e">
        <f>AND(DATA!E1036,"AAAAAG23q88=")</f>
        <v>#VALUE!</v>
      </c>
      <c r="HA154" t="e">
        <f>AND(DATA!F1036,"AAAAAG23q9A=")</f>
        <v>#VALUE!</v>
      </c>
      <c r="HB154" t="e">
        <f>AND(DATA!G1036,"AAAAAG23q9E=")</f>
        <v>#VALUE!</v>
      </c>
      <c r="HC154" t="e">
        <f>AND(DATA!H1036,"AAAAAG23q9I=")</f>
        <v>#VALUE!</v>
      </c>
      <c r="HD154" t="e">
        <f>AND(DATA!I1036,"AAAAAG23q9M=")</f>
        <v>#VALUE!</v>
      </c>
      <c r="HE154" t="e">
        <f>AND(DATA!J1036,"AAAAAG23q9Q=")</f>
        <v>#VALUE!</v>
      </c>
      <c r="HF154" t="e">
        <f>AND(DATA!K1036,"AAAAAG23q9U=")</f>
        <v>#VALUE!</v>
      </c>
      <c r="HG154" t="b">
        <f>AND(DATA!L1037,"AAAAAG23q9Y=")</f>
        <v>1</v>
      </c>
      <c r="HH154" t="b">
        <f>AND(DATA!M1037,"AAAAAG23q9c=")</f>
        <v>1</v>
      </c>
      <c r="HI154" t="b">
        <f>AND(DATA!N1037,"AAAAAG23q9g=")</f>
        <v>1</v>
      </c>
      <c r="HJ154" t="b">
        <f>AND(DATA!O1037,"AAAAAG23q9k=")</f>
        <v>1</v>
      </c>
      <c r="HK154" t="b">
        <f>AND(DATA!P1037,"AAAAAG23q9o=")</f>
        <v>1</v>
      </c>
      <c r="HL154" t="b">
        <f>AND(DATA!Q1037,"AAAAAG23q9s=")</f>
        <v>1</v>
      </c>
      <c r="HM154" t="b">
        <f>AND(DATA!R1037,"AAAAAG23q9w=")</f>
        <v>1</v>
      </c>
      <c r="HN154" t="b">
        <f>AND(DATA!S1037,"AAAAAG23q90=")</f>
        <v>1</v>
      </c>
      <c r="HO154" t="b">
        <f>AND(DATA!T1037,"AAAAAG23q94=")</f>
        <v>1</v>
      </c>
      <c r="HP154" t="b">
        <f>AND(DATA!U1037,"AAAAAG23q98=")</f>
        <v>1</v>
      </c>
      <c r="HQ154" t="b">
        <f>AND(DATA!V1037,"AAAAAG23q+A=")</f>
        <v>1</v>
      </c>
      <c r="HR154" t="e">
        <f>AND(DATA!W1036,"AAAAAG23q+E=")</f>
        <v>#VALUE!</v>
      </c>
      <c r="HS154" t="e">
        <f>AND(DATA!X1036,"AAAAAG23q+I=")</f>
        <v>#VALUE!</v>
      </c>
      <c r="HT154" t="e">
        <f>AND(DATA!Y1036,"AAAAAG23q+M=")</f>
        <v>#VALUE!</v>
      </c>
      <c r="HU154">
        <f>IF(DATA!1037:1037,"AAAAAG23q+Q=",0)</f>
        <v>0</v>
      </c>
      <c r="HV154" t="e">
        <f>AND(DATA!A1037,"AAAAAG23q+U=")</f>
        <v>#VALUE!</v>
      </c>
      <c r="HW154" t="e">
        <f>AND(DATA!B1037,"AAAAAG23q+Y=")</f>
        <v>#VALUE!</v>
      </c>
      <c r="HX154" t="e">
        <f>AND(DATA!C1037,"AAAAAG23q+c=")</f>
        <v>#VALUE!</v>
      </c>
      <c r="HY154" t="e">
        <f>AND(DATA!D1037,"AAAAAG23q+g=")</f>
        <v>#VALUE!</v>
      </c>
      <c r="HZ154" t="e">
        <f>AND(DATA!E1037,"AAAAAG23q+k=")</f>
        <v>#VALUE!</v>
      </c>
      <c r="IA154" t="e">
        <f>AND(DATA!F1037,"AAAAAG23q+o=")</f>
        <v>#VALUE!</v>
      </c>
      <c r="IB154" t="e">
        <f>AND(DATA!G1037,"AAAAAG23q+s=")</f>
        <v>#VALUE!</v>
      </c>
      <c r="IC154" t="e">
        <f>AND(DATA!H1037,"AAAAAG23q+w=")</f>
        <v>#VALUE!</v>
      </c>
      <c r="ID154" t="e">
        <f>AND(DATA!I1037,"AAAAAG23q+0=")</f>
        <v>#VALUE!</v>
      </c>
      <c r="IE154" t="e">
        <f>AND(DATA!J1037,"AAAAAG23q+4=")</f>
        <v>#VALUE!</v>
      </c>
      <c r="IF154" t="e">
        <f>AND(DATA!K1037,"AAAAAG23q+8=")</f>
        <v>#VALUE!</v>
      </c>
      <c r="IG154" t="b">
        <f>AND(DATA!L1038,"AAAAAG23q/A=")</f>
        <v>1</v>
      </c>
      <c r="IH154" t="b">
        <f>AND(DATA!M1038,"AAAAAG23q/E=")</f>
        <v>1</v>
      </c>
      <c r="II154" t="b">
        <f>AND(DATA!N1038,"AAAAAG23q/I=")</f>
        <v>1</v>
      </c>
      <c r="IJ154" t="b">
        <f>AND(DATA!O1038,"AAAAAG23q/M=")</f>
        <v>1</v>
      </c>
      <c r="IK154" t="b">
        <f>AND(DATA!P1038,"AAAAAG23q/Q=")</f>
        <v>1</v>
      </c>
      <c r="IL154" t="b">
        <f>AND(DATA!Q1038,"AAAAAG23q/U=")</f>
        <v>1</v>
      </c>
      <c r="IM154" t="b">
        <f>AND(DATA!R1038,"AAAAAG23q/Y=")</f>
        <v>1</v>
      </c>
      <c r="IN154" t="b">
        <f>AND(DATA!S1038,"AAAAAG23q/c=")</f>
        <v>1</v>
      </c>
      <c r="IO154" t="b">
        <f>AND(DATA!T1038,"AAAAAG23q/g=")</f>
        <v>1</v>
      </c>
      <c r="IP154" t="b">
        <f>AND(DATA!U1038,"AAAAAG23q/k=")</f>
        <v>1</v>
      </c>
      <c r="IQ154" t="b">
        <f>AND(DATA!V1038,"AAAAAG23q/o=")</f>
        <v>1</v>
      </c>
      <c r="IR154" t="e">
        <f>AND(DATA!W1037,"AAAAAG23q/s=")</f>
        <v>#VALUE!</v>
      </c>
      <c r="IS154" t="e">
        <f>AND(DATA!X1037,"AAAAAG23q/w=")</f>
        <v>#VALUE!</v>
      </c>
      <c r="IT154" t="e">
        <f>AND(DATA!Y1037,"AAAAAG23q/0=")</f>
        <v>#VALUE!</v>
      </c>
      <c r="IU154">
        <f>IF(DATA!1038:1038,"AAAAAG23q/4=",0)</f>
        <v>0</v>
      </c>
      <c r="IV154" t="e">
        <f>AND(DATA!A1038,"AAAAAG23q/8=")</f>
        <v>#VALUE!</v>
      </c>
    </row>
    <row r="155" spans="1:256" x14ac:dyDescent="0.25">
      <c r="A155" t="e">
        <f>AND(DATA!B1038,"AAAAAFd3MQA=")</f>
        <v>#VALUE!</v>
      </c>
      <c r="B155" t="e">
        <f>AND(DATA!C1038,"AAAAAFd3MQE=")</f>
        <v>#VALUE!</v>
      </c>
      <c r="C155" t="e">
        <f>AND(DATA!D1038,"AAAAAFd3MQI=")</f>
        <v>#VALUE!</v>
      </c>
      <c r="D155" t="e">
        <f>AND(DATA!E1038,"AAAAAFd3MQM=")</f>
        <v>#VALUE!</v>
      </c>
      <c r="E155" t="e">
        <f>AND(DATA!F1038,"AAAAAFd3MQQ=")</f>
        <v>#VALUE!</v>
      </c>
      <c r="F155" t="e">
        <f>AND(DATA!G1038,"AAAAAFd3MQU=")</f>
        <v>#VALUE!</v>
      </c>
      <c r="G155" t="e">
        <f>AND(DATA!H1038,"AAAAAFd3MQY=")</f>
        <v>#VALUE!</v>
      </c>
      <c r="H155" t="e">
        <f>AND(DATA!I1038,"AAAAAFd3MQc=")</f>
        <v>#VALUE!</v>
      </c>
      <c r="I155" t="e">
        <f>AND(DATA!J1038,"AAAAAFd3MQg=")</f>
        <v>#VALUE!</v>
      </c>
      <c r="J155" t="e">
        <f>AND(DATA!K1038,"AAAAAFd3MQk=")</f>
        <v>#VALUE!</v>
      </c>
      <c r="K155" t="b">
        <f>AND(DATA!L1039,"AAAAAFd3MQo=")</f>
        <v>1</v>
      </c>
      <c r="L155" t="b">
        <f>AND(DATA!M1039,"AAAAAFd3MQs=")</f>
        <v>1</v>
      </c>
      <c r="M155" t="b">
        <f>AND(DATA!N1039,"AAAAAFd3MQw=")</f>
        <v>1</v>
      </c>
      <c r="N155" t="b">
        <f>AND(DATA!O1039,"AAAAAFd3MQ0=")</f>
        <v>1</v>
      </c>
      <c r="O155" t="b">
        <f>AND(DATA!P1039,"AAAAAFd3MQ4=")</f>
        <v>1</v>
      </c>
      <c r="P155" t="b">
        <f>AND(DATA!Q1039,"AAAAAFd3MQ8=")</f>
        <v>1</v>
      </c>
      <c r="Q155" t="b">
        <f>AND(DATA!R1039,"AAAAAFd3MRA=")</f>
        <v>1</v>
      </c>
      <c r="R155" t="b">
        <f>AND(DATA!S1039,"AAAAAFd3MRE=")</f>
        <v>1</v>
      </c>
      <c r="S155" t="b">
        <f>AND(DATA!T1039,"AAAAAFd3MRI=")</f>
        <v>1</v>
      </c>
      <c r="T155" t="b">
        <f>AND(DATA!U1039,"AAAAAFd3MRM=")</f>
        <v>1</v>
      </c>
      <c r="U155" t="b">
        <f>AND(DATA!V1039,"AAAAAFd3MRQ=")</f>
        <v>1</v>
      </c>
      <c r="V155" t="e">
        <f>AND(DATA!W1038,"AAAAAFd3MRU=")</f>
        <v>#VALUE!</v>
      </c>
      <c r="W155" t="e">
        <f>AND(DATA!X1038,"AAAAAFd3MRY=")</f>
        <v>#VALUE!</v>
      </c>
      <c r="X155" t="e">
        <f>AND(DATA!Y1038,"AAAAAFd3MRc=")</f>
        <v>#VALUE!</v>
      </c>
      <c r="Y155">
        <f>IF(DATA!1039:1039,"AAAAAFd3MRg=",0)</f>
        <v>0</v>
      </c>
      <c r="Z155" t="e">
        <f>AND(DATA!A1039,"AAAAAFd3MRk=")</f>
        <v>#VALUE!</v>
      </c>
      <c r="AA155" t="e">
        <f>AND(DATA!B1039,"AAAAAFd3MRo=")</f>
        <v>#VALUE!</v>
      </c>
      <c r="AB155" t="e">
        <f>AND(DATA!C1039,"AAAAAFd3MRs=")</f>
        <v>#VALUE!</v>
      </c>
      <c r="AC155" t="e">
        <f>AND(DATA!D1039,"AAAAAFd3MRw=")</f>
        <v>#VALUE!</v>
      </c>
      <c r="AD155" t="e">
        <f>AND(DATA!E1039,"AAAAAFd3MR0=")</f>
        <v>#VALUE!</v>
      </c>
      <c r="AE155" t="e">
        <f>AND(DATA!F1039,"AAAAAFd3MR4=")</f>
        <v>#VALUE!</v>
      </c>
      <c r="AF155" t="e">
        <f>AND(DATA!G1039,"AAAAAFd3MR8=")</f>
        <v>#VALUE!</v>
      </c>
      <c r="AG155" t="e">
        <f>AND(DATA!H1039,"AAAAAFd3MSA=")</f>
        <v>#VALUE!</v>
      </c>
      <c r="AH155" t="e">
        <f>AND(DATA!I1039,"AAAAAFd3MSE=")</f>
        <v>#VALUE!</v>
      </c>
      <c r="AI155" t="e">
        <f>AND(DATA!J1039,"AAAAAFd3MSI=")</f>
        <v>#VALUE!</v>
      </c>
      <c r="AJ155" t="e">
        <f>AND(DATA!K1039,"AAAAAFd3MSM=")</f>
        <v>#VALUE!</v>
      </c>
      <c r="AK155" t="b">
        <f>AND(DATA!L1040,"AAAAAFd3MSQ=")</f>
        <v>1</v>
      </c>
      <c r="AL155" t="b">
        <f>AND(DATA!M1040,"AAAAAFd3MSU=")</f>
        <v>1</v>
      </c>
      <c r="AM155" t="b">
        <f>AND(DATA!N1040,"AAAAAFd3MSY=")</f>
        <v>1</v>
      </c>
      <c r="AN155" t="b">
        <f>AND(DATA!O1040,"AAAAAFd3MSc=")</f>
        <v>1</v>
      </c>
      <c r="AO155" t="b">
        <f>AND(DATA!P1040,"AAAAAFd3MSg=")</f>
        <v>1</v>
      </c>
      <c r="AP155" t="b">
        <f>AND(DATA!Q1040,"AAAAAFd3MSk=")</f>
        <v>1</v>
      </c>
      <c r="AQ155" t="b">
        <f>AND(DATA!R1040,"AAAAAFd3MSo=")</f>
        <v>1</v>
      </c>
      <c r="AR155" t="b">
        <f>AND(DATA!S1040,"AAAAAFd3MSs=")</f>
        <v>1</v>
      </c>
      <c r="AS155" t="b">
        <f>AND(DATA!T1040,"AAAAAFd3MSw=")</f>
        <v>1</v>
      </c>
      <c r="AT155" t="b">
        <f>AND(DATA!U1040,"AAAAAFd3MS0=")</f>
        <v>1</v>
      </c>
      <c r="AU155" t="b">
        <f>AND(DATA!V1040,"AAAAAFd3MS4=")</f>
        <v>1</v>
      </c>
      <c r="AV155" t="e">
        <f>AND(DATA!W1039,"AAAAAFd3MS8=")</f>
        <v>#VALUE!</v>
      </c>
      <c r="AW155" t="e">
        <f>AND(DATA!X1039,"AAAAAFd3MTA=")</f>
        <v>#VALUE!</v>
      </c>
      <c r="AX155" t="e">
        <f>AND(DATA!Y1039,"AAAAAFd3MTE=")</f>
        <v>#VALUE!</v>
      </c>
      <c r="AY155">
        <f>IF(DATA!1040:1040,"AAAAAFd3MTI=",0)</f>
        <v>0</v>
      </c>
      <c r="AZ155" t="e">
        <f>AND(DATA!A1040,"AAAAAFd3MTM=")</f>
        <v>#VALUE!</v>
      </c>
      <c r="BA155" t="e">
        <f>AND(DATA!B1040,"AAAAAFd3MTQ=")</f>
        <v>#VALUE!</v>
      </c>
      <c r="BB155" t="e">
        <f>AND(DATA!C1040,"AAAAAFd3MTU=")</f>
        <v>#VALUE!</v>
      </c>
      <c r="BC155" t="e">
        <f>AND(DATA!D1040,"AAAAAFd3MTY=")</f>
        <v>#VALUE!</v>
      </c>
      <c r="BD155" t="e">
        <f>AND(DATA!E1040,"AAAAAFd3MTc=")</f>
        <v>#VALUE!</v>
      </c>
      <c r="BE155" t="e">
        <f>AND(DATA!F1040,"AAAAAFd3MTg=")</f>
        <v>#VALUE!</v>
      </c>
      <c r="BF155" t="e">
        <f>AND(DATA!G1040,"AAAAAFd3MTk=")</f>
        <v>#VALUE!</v>
      </c>
      <c r="BG155" t="e">
        <f>AND(DATA!H1040,"AAAAAFd3MTo=")</f>
        <v>#VALUE!</v>
      </c>
      <c r="BH155" t="e">
        <f>AND(DATA!I1040,"AAAAAFd3MTs=")</f>
        <v>#VALUE!</v>
      </c>
      <c r="BI155" t="e">
        <f>AND(DATA!J1040,"AAAAAFd3MTw=")</f>
        <v>#VALUE!</v>
      </c>
      <c r="BJ155" t="e">
        <f>AND(DATA!K1040,"AAAAAFd3MT0=")</f>
        <v>#VALUE!</v>
      </c>
      <c r="BK155" t="b">
        <f>AND(DATA!L1041,"AAAAAFd3MT4=")</f>
        <v>1</v>
      </c>
      <c r="BL155" t="b">
        <f>AND(DATA!M1041,"AAAAAFd3MT8=")</f>
        <v>1</v>
      </c>
      <c r="BM155" t="b">
        <f>AND(DATA!N1041,"AAAAAFd3MUA=")</f>
        <v>1</v>
      </c>
      <c r="BN155" t="b">
        <f>AND(DATA!O1041,"AAAAAFd3MUE=")</f>
        <v>1</v>
      </c>
      <c r="BO155" t="b">
        <f>AND(DATA!P1041,"AAAAAFd3MUI=")</f>
        <v>1</v>
      </c>
      <c r="BP155" t="b">
        <f>AND(DATA!Q1041,"AAAAAFd3MUM=")</f>
        <v>1</v>
      </c>
      <c r="BQ155" t="b">
        <f>AND(DATA!R1041,"AAAAAFd3MUQ=")</f>
        <v>1</v>
      </c>
      <c r="BR155" t="b">
        <f>AND(DATA!S1041,"AAAAAFd3MUU=")</f>
        <v>1</v>
      </c>
      <c r="BS155" t="b">
        <f>AND(DATA!T1041,"AAAAAFd3MUY=")</f>
        <v>1</v>
      </c>
      <c r="BT155" t="b">
        <f>AND(DATA!U1041,"AAAAAFd3MUc=")</f>
        <v>1</v>
      </c>
      <c r="BU155" t="b">
        <f>AND(DATA!V1041,"AAAAAFd3MUg=")</f>
        <v>1</v>
      </c>
      <c r="BV155" t="e">
        <f>AND(DATA!W1040,"AAAAAFd3MUk=")</f>
        <v>#VALUE!</v>
      </c>
      <c r="BW155" t="e">
        <f>AND(DATA!X1040,"AAAAAFd3MUo=")</f>
        <v>#VALUE!</v>
      </c>
      <c r="BX155" t="e">
        <f>AND(DATA!Y1040,"AAAAAFd3MUs=")</f>
        <v>#VALUE!</v>
      </c>
      <c r="BY155">
        <f>IF(DATA!1041:1041,"AAAAAFd3MUw=",0)</f>
        <v>0</v>
      </c>
      <c r="BZ155" t="e">
        <f>AND(DATA!A1041,"AAAAAFd3MU0=")</f>
        <v>#VALUE!</v>
      </c>
      <c r="CA155" t="e">
        <f>AND(DATA!B1041,"AAAAAFd3MU4=")</f>
        <v>#VALUE!</v>
      </c>
      <c r="CB155" t="e">
        <f>AND(DATA!C1041,"AAAAAFd3MU8=")</f>
        <v>#VALUE!</v>
      </c>
      <c r="CC155" t="e">
        <f>AND(DATA!D1041,"AAAAAFd3MVA=")</f>
        <v>#VALUE!</v>
      </c>
      <c r="CD155" t="e">
        <f>AND(DATA!E1041,"AAAAAFd3MVE=")</f>
        <v>#VALUE!</v>
      </c>
      <c r="CE155" t="e">
        <f>AND(DATA!F1041,"AAAAAFd3MVI=")</f>
        <v>#VALUE!</v>
      </c>
      <c r="CF155" t="e">
        <f>AND(DATA!G1041,"AAAAAFd3MVM=")</f>
        <v>#VALUE!</v>
      </c>
      <c r="CG155" t="e">
        <f>AND(DATA!H1041,"AAAAAFd3MVQ=")</f>
        <v>#VALUE!</v>
      </c>
      <c r="CH155" t="e">
        <f>AND(DATA!I1041,"AAAAAFd3MVU=")</f>
        <v>#VALUE!</v>
      </c>
      <c r="CI155" t="e">
        <f>AND(DATA!J1041,"AAAAAFd3MVY=")</f>
        <v>#VALUE!</v>
      </c>
      <c r="CJ155" t="e">
        <f>AND(DATA!K1041,"AAAAAFd3MVc=")</f>
        <v>#VALUE!</v>
      </c>
      <c r="CK155" t="b">
        <f>AND(DATA!L1042,"AAAAAFd3MVg=")</f>
        <v>1</v>
      </c>
      <c r="CL155" t="b">
        <f>AND(DATA!M1042,"AAAAAFd3MVk=")</f>
        <v>1</v>
      </c>
      <c r="CM155" t="b">
        <f>AND(DATA!N1042,"AAAAAFd3MVo=")</f>
        <v>1</v>
      </c>
      <c r="CN155" t="b">
        <f>AND(DATA!O1042,"AAAAAFd3MVs=")</f>
        <v>1</v>
      </c>
      <c r="CO155" t="b">
        <f>AND(DATA!P1042,"AAAAAFd3MVw=")</f>
        <v>1</v>
      </c>
      <c r="CP155" t="b">
        <f>AND(DATA!Q1042,"AAAAAFd3MV0=")</f>
        <v>1</v>
      </c>
      <c r="CQ155" t="b">
        <f>AND(DATA!R1042,"AAAAAFd3MV4=")</f>
        <v>1</v>
      </c>
      <c r="CR155" t="b">
        <f>AND(DATA!S1042,"AAAAAFd3MV8=")</f>
        <v>1</v>
      </c>
      <c r="CS155" t="b">
        <f>AND(DATA!T1042,"AAAAAFd3MWA=")</f>
        <v>1</v>
      </c>
      <c r="CT155" t="b">
        <f>AND(DATA!U1042,"AAAAAFd3MWE=")</f>
        <v>1</v>
      </c>
      <c r="CU155" t="b">
        <f>AND(DATA!V1042,"AAAAAFd3MWI=")</f>
        <v>1</v>
      </c>
      <c r="CV155" t="e">
        <f>AND(DATA!W1041,"AAAAAFd3MWM=")</f>
        <v>#VALUE!</v>
      </c>
      <c r="CW155" t="e">
        <f>AND(DATA!X1041,"AAAAAFd3MWQ=")</f>
        <v>#VALUE!</v>
      </c>
      <c r="CX155" t="e">
        <f>AND(DATA!Y1041,"AAAAAFd3MWU=")</f>
        <v>#VALUE!</v>
      </c>
      <c r="CY155">
        <f>IF(DATA!1042:1042,"AAAAAFd3MWY=",0)</f>
        <v>0</v>
      </c>
      <c r="CZ155" t="e">
        <f>AND(DATA!A1042,"AAAAAFd3MWc=")</f>
        <v>#VALUE!</v>
      </c>
      <c r="DA155" t="e">
        <f>AND(DATA!B1042,"AAAAAFd3MWg=")</f>
        <v>#VALUE!</v>
      </c>
      <c r="DB155" t="e">
        <f>AND(DATA!C1042,"AAAAAFd3MWk=")</f>
        <v>#VALUE!</v>
      </c>
      <c r="DC155" t="e">
        <f>AND(DATA!D1042,"AAAAAFd3MWo=")</f>
        <v>#VALUE!</v>
      </c>
      <c r="DD155" t="e">
        <f>AND(DATA!E1042,"AAAAAFd3MWs=")</f>
        <v>#VALUE!</v>
      </c>
      <c r="DE155" t="e">
        <f>AND(DATA!F1042,"AAAAAFd3MWw=")</f>
        <v>#VALUE!</v>
      </c>
      <c r="DF155" t="e">
        <f>AND(DATA!G1042,"AAAAAFd3MW0=")</f>
        <v>#VALUE!</v>
      </c>
      <c r="DG155" t="e">
        <f>AND(DATA!H1042,"AAAAAFd3MW4=")</f>
        <v>#VALUE!</v>
      </c>
      <c r="DH155" t="e">
        <f>AND(DATA!I1042,"AAAAAFd3MW8=")</f>
        <v>#VALUE!</v>
      </c>
      <c r="DI155" t="e">
        <f>AND(DATA!J1042,"AAAAAFd3MXA=")</f>
        <v>#VALUE!</v>
      </c>
      <c r="DJ155" t="e">
        <f>AND(DATA!K1042,"AAAAAFd3MXE=")</f>
        <v>#VALUE!</v>
      </c>
      <c r="DK155" t="b">
        <f>AND(DATA!L1043,"AAAAAFd3MXI=")</f>
        <v>1</v>
      </c>
      <c r="DL155" t="b">
        <f>AND(DATA!M1043,"AAAAAFd3MXM=")</f>
        <v>1</v>
      </c>
      <c r="DM155" t="b">
        <f>AND(DATA!N1043,"AAAAAFd3MXQ=")</f>
        <v>1</v>
      </c>
      <c r="DN155" t="b">
        <f>AND(DATA!O1043,"AAAAAFd3MXU=")</f>
        <v>1</v>
      </c>
      <c r="DO155" t="b">
        <f>AND(DATA!P1043,"AAAAAFd3MXY=")</f>
        <v>1</v>
      </c>
      <c r="DP155" t="b">
        <f>AND(DATA!Q1043,"AAAAAFd3MXc=")</f>
        <v>1</v>
      </c>
      <c r="DQ155" t="b">
        <f>AND(DATA!R1043,"AAAAAFd3MXg=")</f>
        <v>1</v>
      </c>
      <c r="DR155" t="b">
        <f>AND(DATA!S1043,"AAAAAFd3MXk=")</f>
        <v>1</v>
      </c>
      <c r="DS155" t="b">
        <f>AND(DATA!T1043,"AAAAAFd3MXo=")</f>
        <v>1</v>
      </c>
      <c r="DT155" t="b">
        <f>AND(DATA!U1043,"AAAAAFd3MXs=")</f>
        <v>1</v>
      </c>
      <c r="DU155" t="b">
        <f>AND(DATA!V1043,"AAAAAFd3MXw=")</f>
        <v>1</v>
      </c>
      <c r="DV155" t="e">
        <f>AND(DATA!W1042,"AAAAAFd3MX0=")</f>
        <v>#VALUE!</v>
      </c>
      <c r="DW155" t="e">
        <f>AND(DATA!X1042,"AAAAAFd3MX4=")</f>
        <v>#VALUE!</v>
      </c>
      <c r="DX155" t="e">
        <f>AND(DATA!Y1042,"AAAAAFd3MX8=")</f>
        <v>#VALUE!</v>
      </c>
      <c r="DY155">
        <f>IF(DATA!1043:1043,"AAAAAFd3MYA=",0)</f>
        <v>0</v>
      </c>
      <c r="DZ155" t="e">
        <f>AND(DATA!A1043,"AAAAAFd3MYE=")</f>
        <v>#VALUE!</v>
      </c>
      <c r="EA155" t="e">
        <f>AND(DATA!B1043,"AAAAAFd3MYI=")</f>
        <v>#VALUE!</v>
      </c>
      <c r="EB155" t="e">
        <f>AND(DATA!C1043,"AAAAAFd3MYM=")</f>
        <v>#VALUE!</v>
      </c>
      <c r="EC155" t="e">
        <f>AND(DATA!D1043,"AAAAAFd3MYQ=")</f>
        <v>#VALUE!</v>
      </c>
      <c r="ED155" t="e">
        <f>AND(DATA!E1043,"AAAAAFd3MYU=")</f>
        <v>#VALUE!</v>
      </c>
      <c r="EE155" t="e">
        <f>AND(DATA!F1043,"AAAAAFd3MYY=")</f>
        <v>#VALUE!</v>
      </c>
      <c r="EF155" t="e">
        <f>AND(DATA!G1043,"AAAAAFd3MYc=")</f>
        <v>#VALUE!</v>
      </c>
      <c r="EG155" t="e">
        <f>AND(DATA!H1043,"AAAAAFd3MYg=")</f>
        <v>#VALUE!</v>
      </c>
      <c r="EH155" t="e">
        <f>AND(DATA!I1043,"AAAAAFd3MYk=")</f>
        <v>#VALUE!</v>
      </c>
      <c r="EI155" t="e">
        <f>AND(DATA!J1043,"AAAAAFd3MYo=")</f>
        <v>#VALUE!</v>
      </c>
      <c r="EJ155" t="e">
        <f>AND(DATA!K1043,"AAAAAFd3MYs=")</f>
        <v>#VALUE!</v>
      </c>
      <c r="EK155" t="b">
        <f>AND(DATA!L1044,"AAAAAFd3MYw=")</f>
        <v>1</v>
      </c>
      <c r="EL155" t="b">
        <f>AND(DATA!M1044,"AAAAAFd3MY0=")</f>
        <v>1</v>
      </c>
      <c r="EM155" t="b">
        <f>AND(DATA!N1044,"AAAAAFd3MY4=")</f>
        <v>1</v>
      </c>
      <c r="EN155" t="b">
        <f>AND(DATA!O1044,"AAAAAFd3MY8=")</f>
        <v>1</v>
      </c>
      <c r="EO155" t="b">
        <f>AND(DATA!P1044,"AAAAAFd3MZA=")</f>
        <v>1</v>
      </c>
      <c r="EP155" t="b">
        <f>AND(DATA!Q1044,"AAAAAFd3MZE=")</f>
        <v>1</v>
      </c>
      <c r="EQ155" t="b">
        <f>AND(DATA!R1044,"AAAAAFd3MZI=")</f>
        <v>1</v>
      </c>
      <c r="ER155" t="b">
        <f>AND(DATA!S1044,"AAAAAFd3MZM=")</f>
        <v>1</v>
      </c>
      <c r="ES155" t="b">
        <f>AND(DATA!T1044,"AAAAAFd3MZQ=")</f>
        <v>1</v>
      </c>
      <c r="ET155" t="b">
        <f>AND(DATA!U1044,"AAAAAFd3MZU=")</f>
        <v>1</v>
      </c>
      <c r="EU155" t="b">
        <f>AND(DATA!V1044,"AAAAAFd3MZY=")</f>
        <v>1</v>
      </c>
      <c r="EV155" t="e">
        <f>AND(DATA!W1043,"AAAAAFd3MZc=")</f>
        <v>#VALUE!</v>
      </c>
      <c r="EW155" t="e">
        <f>AND(DATA!X1043,"AAAAAFd3MZg=")</f>
        <v>#VALUE!</v>
      </c>
      <c r="EX155" t="e">
        <f>AND(DATA!Y1043,"AAAAAFd3MZk=")</f>
        <v>#VALUE!</v>
      </c>
      <c r="EY155">
        <f>IF(DATA!1044:1044,"AAAAAFd3MZo=",0)</f>
        <v>0</v>
      </c>
      <c r="EZ155" t="e">
        <f>AND(DATA!A1044,"AAAAAFd3MZs=")</f>
        <v>#VALUE!</v>
      </c>
      <c r="FA155" t="e">
        <f>AND(DATA!B1044,"AAAAAFd3MZw=")</f>
        <v>#VALUE!</v>
      </c>
      <c r="FB155" t="e">
        <f>AND(DATA!C1044,"AAAAAFd3MZ0=")</f>
        <v>#VALUE!</v>
      </c>
      <c r="FC155" t="e">
        <f>AND(DATA!D1044,"AAAAAFd3MZ4=")</f>
        <v>#VALUE!</v>
      </c>
      <c r="FD155" t="e">
        <f>AND(DATA!E1044,"AAAAAFd3MZ8=")</f>
        <v>#VALUE!</v>
      </c>
      <c r="FE155" t="e">
        <f>AND(DATA!F1044,"AAAAAFd3MaA=")</f>
        <v>#VALUE!</v>
      </c>
      <c r="FF155" t="e">
        <f>AND(DATA!G1044,"AAAAAFd3MaE=")</f>
        <v>#VALUE!</v>
      </c>
      <c r="FG155" t="e">
        <f>AND(DATA!H1044,"AAAAAFd3MaI=")</f>
        <v>#VALUE!</v>
      </c>
      <c r="FH155" t="e">
        <f>AND(DATA!I1044,"AAAAAFd3MaM=")</f>
        <v>#VALUE!</v>
      </c>
      <c r="FI155" t="e">
        <f>AND(DATA!J1044,"AAAAAFd3MaQ=")</f>
        <v>#VALUE!</v>
      </c>
      <c r="FJ155" t="e">
        <f>AND(DATA!K1044,"AAAAAFd3MaU=")</f>
        <v>#VALUE!</v>
      </c>
      <c r="FK155" t="b">
        <f>AND(DATA!L1045,"AAAAAFd3MaY=")</f>
        <v>1</v>
      </c>
      <c r="FL155" t="b">
        <f>AND(DATA!M1045,"AAAAAFd3Mac=")</f>
        <v>1</v>
      </c>
      <c r="FM155" t="b">
        <f>AND(DATA!N1045,"AAAAAFd3Mag=")</f>
        <v>1</v>
      </c>
      <c r="FN155" t="b">
        <f>AND(DATA!O1045,"AAAAAFd3Mak=")</f>
        <v>1</v>
      </c>
      <c r="FO155" t="b">
        <f>AND(DATA!P1045,"AAAAAFd3Mao=")</f>
        <v>1</v>
      </c>
      <c r="FP155" t="b">
        <f>AND(DATA!Q1045,"AAAAAFd3Mas=")</f>
        <v>1</v>
      </c>
      <c r="FQ155" t="b">
        <f>AND(DATA!R1045,"AAAAAFd3Maw=")</f>
        <v>1</v>
      </c>
      <c r="FR155" t="b">
        <f>AND(DATA!S1045,"AAAAAFd3Ma0=")</f>
        <v>1</v>
      </c>
      <c r="FS155" t="b">
        <f>AND(DATA!T1045,"AAAAAFd3Ma4=")</f>
        <v>1</v>
      </c>
      <c r="FT155" t="b">
        <f>AND(DATA!U1045,"AAAAAFd3Ma8=")</f>
        <v>1</v>
      </c>
      <c r="FU155" t="b">
        <f>AND(DATA!V1045,"AAAAAFd3MbA=")</f>
        <v>1</v>
      </c>
      <c r="FV155" t="e">
        <f>AND(DATA!W1044,"AAAAAFd3MbE=")</f>
        <v>#VALUE!</v>
      </c>
      <c r="FW155" t="e">
        <f>AND(DATA!X1044,"AAAAAFd3MbI=")</f>
        <v>#VALUE!</v>
      </c>
      <c r="FX155" t="e">
        <f>AND(DATA!Y1044,"AAAAAFd3MbM=")</f>
        <v>#VALUE!</v>
      </c>
      <c r="FY155">
        <f>IF(DATA!1045:1045,"AAAAAFd3MbQ=",0)</f>
        <v>0</v>
      </c>
      <c r="FZ155" t="e">
        <f>AND(DATA!A1045,"AAAAAFd3MbU=")</f>
        <v>#VALUE!</v>
      </c>
      <c r="GA155" t="e">
        <f>AND(DATA!B1045,"AAAAAFd3MbY=")</f>
        <v>#VALUE!</v>
      </c>
      <c r="GB155" t="e">
        <f>AND(DATA!C1045,"AAAAAFd3Mbc=")</f>
        <v>#VALUE!</v>
      </c>
      <c r="GC155" t="e">
        <f>AND(DATA!D1045,"AAAAAFd3Mbg=")</f>
        <v>#VALUE!</v>
      </c>
      <c r="GD155" t="e">
        <f>AND(DATA!E1045,"AAAAAFd3Mbk=")</f>
        <v>#VALUE!</v>
      </c>
      <c r="GE155" t="e">
        <f>AND(DATA!F1045,"AAAAAFd3Mbo=")</f>
        <v>#VALUE!</v>
      </c>
      <c r="GF155" t="e">
        <f>AND(DATA!G1045,"AAAAAFd3Mbs=")</f>
        <v>#VALUE!</v>
      </c>
      <c r="GG155" t="e">
        <f>AND(DATA!H1045,"AAAAAFd3Mbw=")</f>
        <v>#VALUE!</v>
      </c>
      <c r="GH155" t="e">
        <f>AND(DATA!I1045,"AAAAAFd3Mb0=")</f>
        <v>#VALUE!</v>
      </c>
      <c r="GI155" t="e">
        <f>AND(DATA!J1045,"AAAAAFd3Mb4=")</f>
        <v>#VALUE!</v>
      </c>
      <c r="GJ155" t="e">
        <f>AND(DATA!K1045,"AAAAAFd3Mb8=")</f>
        <v>#VALUE!</v>
      </c>
      <c r="GK155" t="b">
        <f>AND(DATA!L1046,"AAAAAFd3McA=")</f>
        <v>1</v>
      </c>
      <c r="GL155" t="b">
        <f>AND(DATA!M1046,"AAAAAFd3McE=")</f>
        <v>1</v>
      </c>
      <c r="GM155" t="b">
        <f>AND(DATA!N1046,"AAAAAFd3McI=")</f>
        <v>1</v>
      </c>
      <c r="GN155" t="b">
        <f>AND(DATA!O1046,"AAAAAFd3McM=")</f>
        <v>1</v>
      </c>
      <c r="GO155" t="b">
        <f>AND(DATA!P1046,"AAAAAFd3McQ=")</f>
        <v>1</v>
      </c>
      <c r="GP155" t="b">
        <f>AND(DATA!Q1046,"AAAAAFd3McU=")</f>
        <v>1</v>
      </c>
      <c r="GQ155" t="b">
        <f>AND(DATA!R1046,"AAAAAFd3McY=")</f>
        <v>1</v>
      </c>
      <c r="GR155" t="b">
        <f>AND(DATA!S1046,"AAAAAFd3Mcc=")</f>
        <v>1</v>
      </c>
      <c r="GS155" t="b">
        <f>AND(DATA!T1046,"AAAAAFd3Mcg=")</f>
        <v>1</v>
      </c>
      <c r="GT155" t="b">
        <f>AND(DATA!U1046,"AAAAAFd3Mck=")</f>
        <v>1</v>
      </c>
      <c r="GU155" t="b">
        <f>AND(DATA!V1046,"AAAAAFd3Mco=")</f>
        <v>1</v>
      </c>
      <c r="GV155" t="e">
        <f>AND(DATA!W1045,"AAAAAFd3Mcs=")</f>
        <v>#VALUE!</v>
      </c>
      <c r="GW155" t="e">
        <f>AND(DATA!X1045,"AAAAAFd3Mcw=")</f>
        <v>#VALUE!</v>
      </c>
      <c r="GX155" t="e">
        <f>AND(DATA!Y1045,"AAAAAFd3Mc0=")</f>
        <v>#VALUE!</v>
      </c>
      <c r="GY155">
        <f>IF(DATA!1046:1046,"AAAAAFd3Mc4=",0)</f>
        <v>0</v>
      </c>
      <c r="GZ155" t="e">
        <f>AND(DATA!A1046,"AAAAAFd3Mc8=")</f>
        <v>#VALUE!</v>
      </c>
      <c r="HA155" t="e">
        <f>AND(DATA!B1046,"AAAAAFd3MdA=")</f>
        <v>#VALUE!</v>
      </c>
      <c r="HB155" t="e">
        <f>AND(DATA!C1046,"AAAAAFd3MdE=")</f>
        <v>#VALUE!</v>
      </c>
      <c r="HC155" t="e">
        <f>AND(DATA!D1046,"AAAAAFd3MdI=")</f>
        <v>#VALUE!</v>
      </c>
      <c r="HD155" t="e">
        <f>AND(DATA!E1046,"AAAAAFd3MdM=")</f>
        <v>#VALUE!</v>
      </c>
      <c r="HE155" t="e">
        <f>AND(DATA!F1046,"AAAAAFd3MdQ=")</f>
        <v>#VALUE!</v>
      </c>
      <c r="HF155" t="e">
        <f>AND(DATA!G1046,"AAAAAFd3MdU=")</f>
        <v>#VALUE!</v>
      </c>
      <c r="HG155" t="e">
        <f>AND(DATA!H1046,"AAAAAFd3MdY=")</f>
        <v>#VALUE!</v>
      </c>
      <c r="HH155" t="e">
        <f>AND(DATA!I1046,"AAAAAFd3Mdc=")</f>
        <v>#VALUE!</v>
      </c>
      <c r="HI155" t="e">
        <f>AND(DATA!J1046,"AAAAAFd3Mdg=")</f>
        <v>#VALUE!</v>
      </c>
      <c r="HJ155" t="e">
        <f>AND(DATA!K1046,"AAAAAFd3Mdk=")</f>
        <v>#VALUE!</v>
      </c>
      <c r="HK155" t="b">
        <f>AND(DATA!L1047,"AAAAAFd3Mdo=")</f>
        <v>1</v>
      </c>
      <c r="HL155" t="b">
        <f>AND(DATA!M1047,"AAAAAFd3Mds=")</f>
        <v>1</v>
      </c>
      <c r="HM155" t="b">
        <f>AND(DATA!N1047,"AAAAAFd3Mdw=")</f>
        <v>1</v>
      </c>
      <c r="HN155" t="b">
        <f>AND(DATA!O1047,"AAAAAFd3Md0=")</f>
        <v>1</v>
      </c>
      <c r="HO155" t="b">
        <f>AND(DATA!P1047,"AAAAAFd3Md4=")</f>
        <v>1</v>
      </c>
      <c r="HP155" t="b">
        <f>AND(DATA!Q1047,"AAAAAFd3Md8=")</f>
        <v>1</v>
      </c>
      <c r="HQ155" t="b">
        <f>AND(DATA!R1047,"AAAAAFd3MeA=")</f>
        <v>1</v>
      </c>
      <c r="HR155" t="b">
        <f>AND(DATA!S1047,"AAAAAFd3MeE=")</f>
        <v>1</v>
      </c>
      <c r="HS155" t="b">
        <f>AND(DATA!T1047,"AAAAAFd3MeI=")</f>
        <v>1</v>
      </c>
      <c r="HT155" t="b">
        <f>AND(DATA!U1047,"AAAAAFd3MeM=")</f>
        <v>1</v>
      </c>
      <c r="HU155" t="b">
        <f>AND(DATA!V1047,"AAAAAFd3MeQ=")</f>
        <v>1</v>
      </c>
      <c r="HV155" t="e">
        <f>AND(DATA!W1046,"AAAAAFd3MeU=")</f>
        <v>#VALUE!</v>
      </c>
      <c r="HW155" t="e">
        <f>AND(DATA!X1046,"AAAAAFd3MeY=")</f>
        <v>#VALUE!</v>
      </c>
      <c r="HX155" t="e">
        <f>AND(DATA!Y1046,"AAAAAFd3Mec=")</f>
        <v>#VALUE!</v>
      </c>
      <c r="HY155">
        <f>IF(DATA!1047:1047,"AAAAAFd3Meg=",0)</f>
        <v>0</v>
      </c>
      <c r="HZ155" t="e">
        <f>AND(DATA!A1047,"AAAAAFd3Mek=")</f>
        <v>#VALUE!</v>
      </c>
      <c r="IA155" t="e">
        <f>AND(DATA!B1047,"AAAAAFd3Meo=")</f>
        <v>#VALUE!</v>
      </c>
      <c r="IB155" t="e">
        <f>AND(DATA!C1047,"AAAAAFd3Mes=")</f>
        <v>#VALUE!</v>
      </c>
      <c r="IC155" t="e">
        <f>AND(DATA!D1047,"AAAAAFd3Mew=")</f>
        <v>#VALUE!</v>
      </c>
      <c r="ID155" t="e">
        <f>AND(DATA!E1047,"AAAAAFd3Me0=")</f>
        <v>#VALUE!</v>
      </c>
      <c r="IE155" t="e">
        <f>AND(DATA!F1047,"AAAAAFd3Me4=")</f>
        <v>#VALUE!</v>
      </c>
      <c r="IF155" t="e">
        <f>AND(DATA!G1047,"AAAAAFd3Me8=")</f>
        <v>#VALUE!</v>
      </c>
      <c r="IG155" t="e">
        <f>AND(DATA!H1047,"AAAAAFd3MfA=")</f>
        <v>#VALUE!</v>
      </c>
      <c r="IH155" t="e">
        <f>AND(DATA!I1047,"AAAAAFd3MfE=")</f>
        <v>#VALUE!</v>
      </c>
      <c r="II155" t="e">
        <f>AND(DATA!J1047,"AAAAAFd3MfI=")</f>
        <v>#VALUE!</v>
      </c>
      <c r="IJ155" t="e">
        <f>AND(DATA!K1047,"AAAAAFd3MfM=")</f>
        <v>#VALUE!</v>
      </c>
      <c r="IK155" t="b">
        <f>AND(DATA!L1048,"AAAAAFd3MfQ=")</f>
        <v>1</v>
      </c>
      <c r="IL155" t="b">
        <f>AND(DATA!M1048,"AAAAAFd3MfU=")</f>
        <v>1</v>
      </c>
      <c r="IM155" t="b">
        <f>AND(DATA!N1048,"AAAAAFd3MfY=")</f>
        <v>1</v>
      </c>
      <c r="IN155" t="b">
        <f>AND(DATA!O1048,"AAAAAFd3Mfc=")</f>
        <v>1</v>
      </c>
      <c r="IO155" t="b">
        <f>AND(DATA!P1048,"AAAAAFd3Mfg=")</f>
        <v>1</v>
      </c>
      <c r="IP155" t="b">
        <f>AND(DATA!Q1048,"AAAAAFd3Mfk=")</f>
        <v>1</v>
      </c>
      <c r="IQ155" t="b">
        <f>AND(DATA!R1048,"AAAAAFd3Mfo=")</f>
        <v>1</v>
      </c>
      <c r="IR155" t="b">
        <f>AND(DATA!S1048,"AAAAAFd3Mfs=")</f>
        <v>1</v>
      </c>
      <c r="IS155" t="b">
        <f>AND(DATA!T1048,"AAAAAFd3Mfw=")</f>
        <v>1</v>
      </c>
      <c r="IT155" t="b">
        <f>AND(DATA!U1048,"AAAAAFd3Mf0=")</f>
        <v>1</v>
      </c>
      <c r="IU155" t="b">
        <f>AND(DATA!V1048,"AAAAAFd3Mf4=")</f>
        <v>1</v>
      </c>
      <c r="IV155" t="e">
        <f>AND(DATA!W1047,"AAAAAFd3Mf8=")</f>
        <v>#VALUE!</v>
      </c>
    </row>
    <row r="156" spans="1:256" x14ac:dyDescent="0.25">
      <c r="A156" t="e">
        <f>AND(DATA!X1047,"AAAAAHPV8QA=")</f>
        <v>#VALUE!</v>
      </c>
      <c r="B156" t="e">
        <f>AND(DATA!Y1047,"AAAAAHPV8QE=")</f>
        <v>#VALUE!</v>
      </c>
      <c r="C156">
        <f>IF(DATA!1048:1048,"AAAAAHPV8QI=",0)</f>
        <v>0</v>
      </c>
      <c r="D156" t="e">
        <f>AND(DATA!A1048,"AAAAAHPV8QM=")</f>
        <v>#VALUE!</v>
      </c>
      <c r="E156" t="e">
        <f>AND(DATA!B1048,"AAAAAHPV8QQ=")</f>
        <v>#VALUE!</v>
      </c>
      <c r="F156" t="e">
        <f>AND(DATA!C1048,"AAAAAHPV8QU=")</f>
        <v>#VALUE!</v>
      </c>
      <c r="G156" t="e">
        <f>AND(DATA!D1048,"AAAAAHPV8QY=")</f>
        <v>#VALUE!</v>
      </c>
      <c r="H156" t="e">
        <f>AND(DATA!E1048,"AAAAAHPV8Qc=")</f>
        <v>#VALUE!</v>
      </c>
      <c r="I156" t="e">
        <f>AND(DATA!F1048,"AAAAAHPV8Qg=")</f>
        <v>#VALUE!</v>
      </c>
      <c r="J156" t="e">
        <f>AND(DATA!G1048,"AAAAAHPV8Qk=")</f>
        <v>#VALUE!</v>
      </c>
      <c r="K156" t="e">
        <f>AND(DATA!H1048,"AAAAAHPV8Qo=")</f>
        <v>#VALUE!</v>
      </c>
      <c r="L156" t="e">
        <f>AND(DATA!I1048,"AAAAAHPV8Qs=")</f>
        <v>#VALUE!</v>
      </c>
      <c r="M156" t="e">
        <f>AND(DATA!J1048,"AAAAAHPV8Qw=")</f>
        <v>#VALUE!</v>
      </c>
      <c r="N156" t="e">
        <f>AND(DATA!K1048,"AAAAAHPV8Q0=")</f>
        <v>#VALUE!</v>
      </c>
      <c r="O156" t="b">
        <f>AND(DATA!L1049,"AAAAAHPV8Q4=")</f>
        <v>1</v>
      </c>
      <c r="P156" t="b">
        <f>AND(DATA!M1049,"AAAAAHPV8Q8=")</f>
        <v>1</v>
      </c>
      <c r="Q156" t="b">
        <f>AND(DATA!N1049,"AAAAAHPV8RA=")</f>
        <v>1</v>
      </c>
      <c r="R156" t="b">
        <f>AND(DATA!O1049,"AAAAAHPV8RE=")</f>
        <v>1</v>
      </c>
      <c r="S156" t="b">
        <f>AND(DATA!P1049,"AAAAAHPV8RI=")</f>
        <v>1</v>
      </c>
      <c r="T156" t="b">
        <f>AND(DATA!Q1049,"AAAAAHPV8RM=")</f>
        <v>1</v>
      </c>
      <c r="U156" t="b">
        <f>AND(DATA!R1049,"AAAAAHPV8RQ=")</f>
        <v>1</v>
      </c>
      <c r="V156" t="b">
        <f>AND(DATA!S1049,"AAAAAHPV8RU=")</f>
        <v>1</v>
      </c>
      <c r="W156" t="b">
        <f>AND(DATA!T1049,"AAAAAHPV8RY=")</f>
        <v>1</v>
      </c>
      <c r="X156" t="b">
        <f>AND(DATA!U1049,"AAAAAHPV8Rc=")</f>
        <v>1</v>
      </c>
      <c r="Y156" t="b">
        <f>AND(DATA!V1049,"AAAAAHPV8Rg=")</f>
        <v>1</v>
      </c>
      <c r="Z156" t="e">
        <f>AND(DATA!W1048,"AAAAAHPV8Rk=")</f>
        <v>#VALUE!</v>
      </c>
      <c r="AA156" t="e">
        <f>AND(DATA!X1048,"AAAAAHPV8Ro=")</f>
        <v>#VALUE!</v>
      </c>
      <c r="AB156" t="e">
        <f>AND(DATA!Y1048,"AAAAAHPV8Rs=")</f>
        <v>#VALUE!</v>
      </c>
      <c r="AC156">
        <f>IF(DATA!1049:1049,"AAAAAHPV8Rw=",0)</f>
        <v>0</v>
      </c>
      <c r="AD156" t="e">
        <f>AND(DATA!A1049,"AAAAAHPV8R0=")</f>
        <v>#VALUE!</v>
      </c>
      <c r="AE156" t="e">
        <f>AND(DATA!B1049,"AAAAAHPV8R4=")</f>
        <v>#VALUE!</v>
      </c>
      <c r="AF156" t="e">
        <f>AND(DATA!C1049,"AAAAAHPV8R8=")</f>
        <v>#VALUE!</v>
      </c>
      <c r="AG156" t="e">
        <f>AND(DATA!D1049,"AAAAAHPV8SA=")</f>
        <v>#VALUE!</v>
      </c>
      <c r="AH156" t="e">
        <f>AND(DATA!E1049,"AAAAAHPV8SE=")</f>
        <v>#VALUE!</v>
      </c>
      <c r="AI156" t="e">
        <f>AND(DATA!F1049,"AAAAAHPV8SI=")</f>
        <v>#VALUE!</v>
      </c>
      <c r="AJ156" t="e">
        <f>AND(DATA!G1049,"AAAAAHPV8SM=")</f>
        <v>#VALUE!</v>
      </c>
      <c r="AK156" t="e">
        <f>AND(DATA!H1049,"AAAAAHPV8SQ=")</f>
        <v>#VALUE!</v>
      </c>
      <c r="AL156" t="e">
        <f>AND(DATA!I1049,"AAAAAHPV8SU=")</f>
        <v>#VALUE!</v>
      </c>
      <c r="AM156" t="e">
        <f>AND(DATA!J1049,"AAAAAHPV8SY=")</f>
        <v>#VALUE!</v>
      </c>
      <c r="AN156" t="e">
        <f>AND(DATA!K1049,"AAAAAHPV8Sc=")</f>
        <v>#VALUE!</v>
      </c>
      <c r="AO156" t="b">
        <f>AND(DATA!L1050,"AAAAAHPV8Sg=")</f>
        <v>1</v>
      </c>
      <c r="AP156" t="b">
        <f>AND(DATA!M1050,"AAAAAHPV8Sk=")</f>
        <v>1</v>
      </c>
      <c r="AQ156" t="b">
        <f>AND(DATA!N1050,"AAAAAHPV8So=")</f>
        <v>1</v>
      </c>
      <c r="AR156" t="b">
        <f>AND(DATA!O1050,"AAAAAHPV8Ss=")</f>
        <v>1</v>
      </c>
      <c r="AS156" t="b">
        <f>AND(DATA!P1050,"AAAAAHPV8Sw=")</f>
        <v>1</v>
      </c>
      <c r="AT156" t="b">
        <f>AND(DATA!Q1050,"AAAAAHPV8S0=")</f>
        <v>1</v>
      </c>
      <c r="AU156" t="b">
        <f>AND(DATA!R1050,"AAAAAHPV8S4=")</f>
        <v>1</v>
      </c>
      <c r="AV156" t="b">
        <f>AND(DATA!S1050,"AAAAAHPV8S8=")</f>
        <v>1</v>
      </c>
      <c r="AW156" t="b">
        <f>AND(DATA!T1050,"AAAAAHPV8TA=")</f>
        <v>1</v>
      </c>
      <c r="AX156" t="b">
        <f>AND(DATA!U1050,"AAAAAHPV8TE=")</f>
        <v>1</v>
      </c>
      <c r="AY156" t="b">
        <f>AND(DATA!V1050,"AAAAAHPV8TI=")</f>
        <v>1</v>
      </c>
      <c r="AZ156" t="e">
        <f>AND(DATA!W1049,"AAAAAHPV8TM=")</f>
        <v>#VALUE!</v>
      </c>
      <c r="BA156" t="e">
        <f>AND(DATA!X1049,"AAAAAHPV8TQ=")</f>
        <v>#VALUE!</v>
      </c>
      <c r="BB156" t="e">
        <f>AND(DATA!Y1049,"AAAAAHPV8TU=")</f>
        <v>#VALUE!</v>
      </c>
      <c r="BC156">
        <f>IF(DATA!1050:1050,"AAAAAHPV8TY=",0)</f>
        <v>0</v>
      </c>
      <c r="BD156" t="e">
        <f>AND(DATA!A1050,"AAAAAHPV8Tc=")</f>
        <v>#VALUE!</v>
      </c>
      <c r="BE156" t="e">
        <f>AND(DATA!B1050,"AAAAAHPV8Tg=")</f>
        <v>#VALUE!</v>
      </c>
      <c r="BF156" t="e">
        <f>AND(DATA!C1050,"AAAAAHPV8Tk=")</f>
        <v>#VALUE!</v>
      </c>
      <c r="BG156" t="e">
        <f>AND(DATA!D1050,"AAAAAHPV8To=")</f>
        <v>#VALUE!</v>
      </c>
      <c r="BH156" t="e">
        <f>AND(DATA!E1050,"AAAAAHPV8Ts=")</f>
        <v>#VALUE!</v>
      </c>
      <c r="BI156" t="e">
        <f>AND(DATA!F1050,"AAAAAHPV8Tw=")</f>
        <v>#VALUE!</v>
      </c>
      <c r="BJ156" t="e">
        <f>AND(DATA!G1050,"AAAAAHPV8T0=")</f>
        <v>#VALUE!</v>
      </c>
      <c r="BK156" t="e">
        <f>AND(DATA!H1050,"AAAAAHPV8T4=")</f>
        <v>#VALUE!</v>
      </c>
      <c r="BL156" t="e">
        <f>AND(DATA!I1050,"AAAAAHPV8T8=")</f>
        <v>#VALUE!</v>
      </c>
      <c r="BM156" t="e">
        <f>AND(DATA!J1050,"AAAAAHPV8UA=")</f>
        <v>#VALUE!</v>
      </c>
      <c r="BN156" t="e">
        <f>AND(DATA!K1050,"AAAAAHPV8UE=")</f>
        <v>#VALUE!</v>
      </c>
      <c r="BO156" t="b">
        <f>AND(DATA!L1051,"AAAAAHPV8UI=")</f>
        <v>1</v>
      </c>
      <c r="BP156" t="b">
        <f>AND(DATA!M1051,"AAAAAHPV8UM=")</f>
        <v>1</v>
      </c>
      <c r="BQ156" t="b">
        <f>AND(DATA!N1051,"AAAAAHPV8UQ=")</f>
        <v>1</v>
      </c>
      <c r="BR156" t="b">
        <f>AND(DATA!O1051,"AAAAAHPV8UU=")</f>
        <v>1</v>
      </c>
      <c r="BS156" t="b">
        <f>AND(DATA!P1051,"AAAAAHPV8UY=")</f>
        <v>1</v>
      </c>
      <c r="BT156" t="b">
        <f>AND(DATA!Q1051,"AAAAAHPV8Uc=")</f>
        <v>1</v>
      </c>
      <c r="BU156" t="b">
        <f>AND(DATA!R1051,"AAAAAHPV8Ug=")</f>
        <v>1</v>
      </c>
      <c r="BV156" t="b">
        <f>AND(DATA!S1051,"AAAAAHPV8Uk=")</f>
        <v>1</v>
      </c>
      <c r="BW156" t="b">
        <f>AND(DATA!T1051,"AAAAAHPV8Uo=")</f>
        <v>1</v>
      </c>
      <c r="BX156" t="b">
        <f>AND(DATA!U1051,"AAAAAHPV8Us=")</f>
        <v>1</v>
      </c>
      <c r="BY156" t="b">
        <f>AND(DATA!V1051,"AAAAAHPV8Uw=")</f>
        <v>1</v>
      </c>
      <c r="BZ156" t="e">
        <f>AND(DATA!W1050,"AAAAAHPV8U0=")</f>
        <v>#VALUE!</v>
      </c>
      <c r="CA156" t="e">
        <f>AND(DATA!X1050,"AAAAAHPV8U4=")</f>
        <v>#VALUE!</v>
      </c>
      <c r="CB156" t="e">
        <f>AND(DATA!Y1050,"AAAAAHPV8U8=")</f>
        <v>#VALUE!</v>
      </c>
      <c r="CC156">
        <f>IF(DATA!1051:1051,"AAAAAHPV8VA=",0)</f>
        <v>0</v>
      </c>
      <c r="CD156" t="e">
        <f>AND(DATA!A1051,"AAAAAHPV8VE=")</f>
        <v>#VALUE!</v>
      </c>
      <c r="CE156" t="e">
        <f>AND(DATA!B1051,"AAAAAHPV8VI=")</f>
        <v>#VALUE!</v>
      </c>
      <c r="CF156" t="e">
        <f>AND(DATA!C1051,"AAAAAHPV8VM=")</f>
        <v>#VALUE!</v>
      </c>
      <c r="CG156" t="e">
        <f>AND(DATA!D1051,"AAAAAHPV8VQ=")</f>
        <v>#VALUE!</v>
      </c>
      <c r="CH156" t="e">
        <f>AND(DATA!E1051,"AAAAAHPV8VU=")</f>
        <v>#VALUE!</v>
      </c>
      <c r="CI156" t="e">
        <f>AND(DATA!F1051,"AAAAAHPV8VY=")</f>
        <v>#VALUE!</v>
      </c>
      <c r="CJ156" t="e">
        <f>AND(DATA!G1051,"AAAAAHPV8Vc=")</f>
        <v>#VALUE!</v>
      </c>
      <c r="CK156" t="e">
        <f>AND(DATA!H1051,"AAAAAHPV8Vg=")</f>
        <v>#VALUE!</v>
      </c>
      <c r="CL156" t="e">
        <f>AND(DATA!I1051,"AAAAAHPV8Vk=")</f>
        <v>#VALUE!</v>
      </c>
      <c r="CM156" t="e">
        <f>AND(DATA!J1051,"AAAAAHPV8Vo=")</f>
        <v>#VALUE!</v>
      </c>
      <c r="CN156" t="e">
        <f>AND(DATA!K1051,"AAAAAHPV8Vs=")</f>
        <v>#VALUE!</v>
      </c>
      <c r="CO156" t="b">
        <f>AND(DATA!L1052,"AAAAAHPV8Vw=")</f>
        <v>1</v>
      </c>
      <c r="CP156" t="b">
        <f>AND(DATA!M1052,"AAAAAHPV8V0=")</f>
        <v>1</v>
      </c>
      <c r="CQ156" t="b">
        <f>AND(DATA!N1052,"AAAAAHPV8V4=")</f>
        <v>1</v>
      </c>
      <c r="CR156" t="b">
        <f>AND(DATA!O1052,"AAAAAHPV8V8=")</f>
        <v>1</v>
      </c>
      <c r="CS156" t="b">
        <f>AND(DATA!P1052,"AAAAAHPV8WA=")</f>
        <v>1</v>
      </c>
      <c r="CT156" t="b">
        <f>AND(DATA!Q1052,"AAAAAHPV8WE=")</f>
        <v>1</v>
      </c>
      <c r="CU156" t="b">
        <f>AND(DATA!R1052,"AAAAAHPV8WI=")</f>
        <v>1</v>
      </c>
      <c r="CV156" t="b">
        <f>AND(DATA!S1052,"AAAAAHPV8WM=")</f>
        <v>1</v>
      </c>
      <c r="CW156" t="b">
        <f>AND(DATA!T1052,"AAAAAHPV8WQ=")</f>
        <v>1</v>
      </c>
      <c r="CX156" t="b">
        <f>AND(DATA!U1052,"AAAAAHPV8WU=")</f>
        <v>1</v>
      </c>
      <c r="CY156" t="b">
        <f>AND(DATA!V1052,"AAAAAHPV8WY=")</f>
        <v>1</v>
      </c>
      <c r="CZ156" t="e">
        <f>AND(DATA!W1051,"AAAAAHPV8Wc=")</f>
        <v>#VALUE!</v>
      </c>
      <c r="DA156" t="e">
        <f>AND(DATA!X1051,"AAAAAHPV8Wg=")</f>
        <v>#VALUE!</v>
      </c>
      <c r="DB156" t="e">
        <f>AND(DATA!Y1051,"AAAAAHPV8Wk=")</f>
        <v>#VALUE!</v>
      </c>
      <c r="DC156">
        <f>IF(DATA!1052:1052,"AAAAAHPV8Wo=",0)</f>
        <v>0</v>
      </c>
      <c r="DD156" t="e">
        <f>AND(DATA!A1052,"AAAAAHPV8Ws=")</f>
        <v>#VALUE!</v>
      </c>
      <c r="DE156" t="e">
        <f>AND(DATA!B1052,"AAAAAHPV8Ww=")</f>
        <v>#VALUE!</v>
      </c>
      <c r="DF156" t="e">
        <f>AND(DATA!C1052,"AAAAAHPV8W0=")</f>
        <v>#VALUE!</v>
      </c>
      <c r="DG156" t="e">
        <f>AND(DATA!D1052,"AAAAAHPV8W4=")</f>
        <v>#VALUE!</v>
      </c>
      <c r="DH156" t="e">
        <f>AND(DATA!E1052,"AAAAAHPV8W8=")</f>
        <v>#VALUE!</v>
      </c>
      <c r="DI156" t="e">
        <f>AND(DATA!F1052,"AAAAAHPV8XA=")</f>
        <v>#VALUE!</v>
      </c>
      <c r="DJ156" t="e">
        <f>AND(DATA!G1052,"AAAAAHPV8XE=")</f>
        <v>#VALUE!</v>
      </c>
      <c r="DK156" t="e">
        <f>AND(DATA!H1052,"AAAAAHPV8XI=")</f>
        <v>#VALUE!</v>
      </c>
      <c r="DL156" t="e">
        <f>AND(DATA!I1052,"AAAAAHPV8XM=")</f>
        <v>#VALUE!</v>
      </c>
      <c r="DM156" t="e">
        <f>AND(DATA!J1052,"AAAAAHPV8XQ=")</f>
        <v>#VALUE!</v>
      </c>
      <c r="DN156" t="e">
        <f>AND(DATA!K1052,"AAAAAHPV8XU=")</f>
        <v>#VALUE!</v>
      </c>
      <c r="DO156" t="b">
        <f>AND(DATA!L1053,"AAAAAHPV8XY=")</f>
        <v>1</v>
      </c>
      <c r="DP156" t="b">
        <f>AND(DATA!M1053,"AAAAAHPV8Xc=")</f>
        <v>1</v>
      </c>
      <c r="DQ156" t="b">
        <f>AND(DATA!N1053,"AAAAAHPV8Xg=")</f>
        <v>1</v>
      </c>
      <c r="DR156" t="b">
        <f>AND(DATA!O1053,"AAAAAHPV8Xk=")</f>
        <v>1</v>
      </c>
      <c r="DS156" t="b">
        <f>AND(DATA!P1053,"AAAAAHPV8Xo=")</f>
        <v>1</v>
      </c>
      <c r="DT156" t="b">
        <f>AND(DATA!Q1053,"AAAAAHPV8Xs=")</f>
        <v>1</v>
      </c>
      <c r="DU156" t="b">
        <f>AND(DATA!R1053,"AAAAAHPV8Xw=")</f>
        <v>1</v>
      </c>
      <c r="DV156" t="b">
        <f>AND(DATA!S1053,"AAAAAHPV8X0=")</f>
        <v>1</v>
      </c>
      <c r="DW156" t="b">
        <f>AND(DATA!T1053,"AAAAAHPV8X4=")</f>
        <v>1</v>
      </c>
      <c r="DX156" t="b">
        <f>AND(DATA!U1053,"AAAAAHPV8X8=")</f>
        <v>1</v>
      </c>
      <c r="DY156" t="b">
        <f>AND(DATA!V1053,"AAAAAHPV8YA=")</f>
        <v>1</v>
      </c>
      <c r="DZ156" t="e">
        <f>AND(DATA!W1052,"AAAAAHPV8YE=")</f>
        <v>#VALUE!</v>
      </c>
      <c r="EA156" t="e">
        <f>AND(DATA!X1052,"AAAAAHPV8YI=")</f>
        <v>#VALUE!</v>
      </c>
      <c r="EB156" t="e">
        <f>AND(DATA!Y1052,"AAAAAHPV8YM=")</f>
        <v>#VALUE!</v>
      </c>
      <c r="EC156">
        <f>IF(DATA!1053:1053,"AAAAAHPV8YQ=",0)</f>
        <v>0</v>
      </c>
      <c r="ED156" t="e">
        <f>AND(DATA!A1053,"AAAAAHPV8YU=")</f>
        <v>#VALUE!</v>
      </c>
      <c r="EE156" t="e">
        <f>AND(DATA!B1053,"AAAAAHPV8YY=")</f>
        <v>#VALUE!</v>
      </c>
      <c r="EF156" t="e">
        <f>AND(DATA!C1053,"AAAAAHPV8Yc=")</f>
        <v>#VALUE!</v>
      </c>
      <c r="EG156" t="e">
        <f>AND(DATA!D1053,"AAAAAHPV8Yg=")</f>
        <v>#VALUE!</v>
      </c>
      <c r="EH156" t="e">
        <f>AND(DATA!E1053,"AAAAAHPV8Yk=")</f>
        <v>#VALUE!</v>
      </c>
      <c r="EI156" t="e">
        <f>AND(DATA!F1053,"AAAAAHPV8Yo=")</f>
        <v>#VALUE!</v>
      </c>
      <c r="EJ156" t="e">
        <f>AND(DATA!G1053,"AAAAAHPV8Ys=")</f>
        <v>#VALUE!</v>
      </c>
      <c r="EK156" t="e">
        <f>AND(DATA!H1053,"AAAAAHPV8Yw=")</f>
        <v>#VALUE!</v>
      </c>
      <c r="EL156" t="e">
        <f>AND(DATA!I1053,"AAAAAHPV8Y0=")</f>
        <v>#VALUE!</v>
      </c>
      <c r="EM156" t="e">
        <f>AND(DATA!J1053,"AAAAAHPV8Y4=")</f>
        <v>#VALUE!</v>
      </c>
      <c r="EN156" t="e">
        <f>AND(DATA!K1053,"AAAAAHPV8Y8=")</f>
        <v>#VALUE!</v>
      </c>
      <c r="EO156" t="b">
        <f>AND(DATA!L1054,"AAAAAHPV8ZA=")</f>
        <v>1</v>
      </c>
      <c r="EP156" t="b">
        <f>AND(DATA!M1054,"AAAAAHPV8ZE=")</f>
        <v>1</v>
      </c>
      <c r="EQ156" t="b">
        <f>AND(DATA!N1054,"AAAAAHPV8ZI=")</f>
        <v>1</v>
      </c>
      <c r="ER156" t="b">
        <f>AND(DATA!O1054,"AAAAAHPV8ZM=")</f>
        <v>1</v>
      </c>
      <c r="ES156" t="b">
        <f>AND(DATA!P1054,"AAAAAHPV8ZQ=")</f>
        <v>1</v>
      </c>
      <c r="ET156" t="b">
        <f>AND(DATA!Q1054,"AAAAAHPV8ZU=")</f>
        <v>1</v>
      </c>
      <c r="EU156" t="b">
        <f>AND(DATA!R1054,"AAAAAHPV8ZY=")</f>
        <v>1</v>
      </c>
      <c r="EV156" t="b">
        <f>AND(DATA!S1054,"AAAAAHPV8Zc=")</f>
        <v>1</v>
      </c>
      <c r="EW156" t="b">
        <f>AND(DATA!T1054,"AAAAAHPV8Zg=")</f>
        <v>1</v>
      </c>
      <c r="EX156" t="b">
        <f>AND(DATA!U1054,"AAAAAHPV8Zk=")</f>
        <v>1</v>
      </c>
      <c r="EY156" t="b">
        <f>AND(DATA!V1054,"AAAAAHPV8Zo=")</f>
        <v>1</v>
      </c>
      <c r="EZ156" t="e">
        <f>AND(DATA!W1053,"AAAAAHPV8Zs=")</f>
        <v>#VALUE!</v>
      </c>
      <c r="FA156" t="e">
        <f>AND(DATA!X1053,"AAAAAHPV8Zw=")</f>
        <v>#VALUE!</v>
      </c>
      <c r="FB156" t="e">
        <f>AND(DATA!Y1053,"AAAAAHPV8Z0=")</f>
        <v>#VALUE!</v>
      </c>
      <c r="FC156">
        <f>IF(DATA!1054:1054,"AAAAAHPV8Z4=",0)</f>
        <v>0</v>
      </c>
      <c r="FD156" t="e">
        <f>AND(DATA!A1054,"AAAAAHPV8Z8=")</f>
        <v>#VALUE!</v>
      </c>
      <c r="FE156" t="e">
        <f>AND(DATA!B1054,"AAAAAHPV8aA=")</f>
        <v>#VALUE!</v>
      </c>
      <c r="FF156" t="e">
        <f>AND(DATA!C1054,"AAAAAHPV8aE=")</f>
        <v>#VALUE!</v>
      </c>
      <c r="FG156" t="e">
        <f>AND(DATA!D1054,"AAAAAHPV8aI=")</f>
        <v>#VALUE!</v>
      </c>
      <c r="FH156" t="e">
        <f>AND(DATA!E1054,"AAAAAHPV8aM=")</f>
        <v>#VALUE!</v>
      </c>
      <c r="FI156" t="e">
        <f>AND(DATA!F1054,"AAAAAHPV8aQ=")</f>
        <v>#VALUE!</v>
      </c>
      <c r="FJ156" t="e">
        <f>AND(DATA!G1054,"AAAAAHPV8aU=")</f>
        <v>#VALUE!</v>
      </c>
      <c r="FK156" t="e">
        <f>AND(DATA!H1054,"AAAAAHPV8aY=")</f>
        <v>#VALUE!</v>
      </c>
      <c r="FL156" t="e">
        <f>AND(DATA!I1054,"AAAAAHPV8ac=")</f>
        <v>#VALUE!</v>
      </c>
      <c r="FM156" t="e">
        <f>AND(DATA!J1054,"AAAAAHPV8ag=")</f>
        <v>#VALUE!</v>
      </c>
      <c r="FN156" t="e">
        <f>AND(DATA!K1054,"AAAAAHPV8ak=")</f>
        <v>#VALUE!</v>
      </c>
      <c r="FO156" t="b">
        <f>AND(DATA!L1055,"AAAAAHPV8ao=")</f>
        <v>1</v>
      </c>
      <c r="FP156" t="b">
        <f>AND(DATA!M1055,"AAAAAHPV8as=")</f>
        <v>1</v>
      </c>
      <c r="FQ156" t="b">
        <f>AND(DATA!N1055,"AAAAAHPV8aw=")</f>
        <v>1</v>
      </c>
      <c r="FR156" t="b">
        <f>AND(DATA!O1055,"AAAAAHPV8a0=")</f>
        <v>1</v>
      </c>
      <c r="FS156" t="b">
        <f>AND(DATA!P1055,"AAAAAHPV8a4=")</f>
        <v>1</v>
      </c>
      <c r="FT156" t="b">
        <f>AND(DATA!Q1055,"AAAAAHPV8a8=")</f>
        <v>1</v>
      </c>
      <c r="FU156" t="b">
        <f>AND(DATA!R1055,"AAAAAHPV8bA=")</f>
        <v>1</v>
      </c>
      <c r="FV156" t="b">
        <f>AND(DATA!S1055,"AAAAAHPV8bE=")</f>
        <v>1</v>
      </c>
      <c r="FW156" t="b">
        <f>AND(DATA!T1055,"AAAAAHPV8bI=")</f>
        <v>1</v>
      </c>
      <c r="FX156" t="b">
        <f>AND(DATA!U1055,"AAAAAHPV8bM=")</f>
        <v>1</v>
      </c>
      <c r="FY156" t="b">
        <f>AND(DATA!V1055,"AAAAAHPV8bQ=")</f>
        <v>1</v>
      </c>
      <c r="FZ156" t="e">
        <f>AND(DATA!W1054,"AAAAAHPV8bU=")</f>
        <v>#VALUE!</v>
      </c>
      <c r="GA156" t="e">
        <f>AND(DATA!X1054,"AAAAAHPV8bY=")</f>
        <v>#VALUE!</v>
      </c>
      <c r="GB156" t="e">
        <f>AND(DATA!Y1054,"AAAAAHPV8bc=")</f>
        <v>#VALUE!</v>
      </c>
      <c r="GC156">
        <f>IF(DATA!1055:1055,"AAAAAHPV8bg=",0)</f>
        <v>0</v>
      </c>
      <c r="GD156" t="e">
        <f>AND(DATA!A1055,"AAAAAHPV8bk=")</f>
        <v>#VALUE!</v>
      </c>
      <c r="GE156" t="e">
        <f>AND(DATA!B1055,"AAAAAHPV8bo=")</f>
        <v>#VALUE!</v>
      </c>
      <c r="GF156" t="e">
        <f>AND(DATA!C1055,"AAAAAHPV8bs=")</f>
        <v>#VALUE!</v>
      </c>
      <c r="GG156" t="e">
        <f>AND(DATA!D1055,"AAAAAHPV8bw=")</f>
        <v>#VALUE!</v>
      </c>
      <c r="GH156" t="e">
        <f>AND(DATA!E1055,"AAAAAHPV8b0=")</f>
        <v>#VALUE!</v>
      </c>
      <c r="GI156" t="e">
        <f>AND(DATA!F1055,"AAAAAHPV8b4=")</f>
        <v>#VALUE!</v>
      </c>
      <c r="GJ156" t="e">
        <f>AND(DATA!G1055,"AAAAAHPV8b8=")</f>
        <v>#VALUE!</v>
      </c>
      <c r="GK156" t="e">
        <f>AND(DATA!H1055,"AAAAAHPV8cA=")</f>
        <v>#VALUE!</v>
      </c>
      <c r="GL156" t="e">
        <f>AND(DATA!I1055,"AAAAAHPV8cE=")</f>
        <v>#VALUE!</v>
      </c>
      <c r="GM156" t="e">
        <f>AND(DATA!J1055,"AAAAAHPV8cI=")</f>
        <v>#VALUE!</v>
      </c>
      <c r="GN156" t="e">
        <f>AND(DATA!K1055,"AAAAAHPV8cM=")</f>
        <v>#VALUE!</v>
      </c>
      <c r="GO156" t="b">
        <f>AND(DATA!L1056,"AAAAAHPV8cQ=")</f>
        <v>1</v>
      </c>
      <c r="GP156" t="b">
        <f>AND(DATA!M1056,"AAAAAHPV8cU=")</f>
        <v>1</v>
      </c>
      <c r="GQ156" t="b">
        <f>AND(DATA!N1056,"AAAAAHPV8cY=")</f>
        <v>1</v>
      </c>
      <c r="GR156" t="b">
        <f>AND(DATA!O1056,"AAAAAHPV8cc=")</f>
        <v>1</v>
      </c>
      <c r="GS156" t="b">
        <f>AND(DATA!P1056,"AAAAAHPV8cg=")</f>
        <v>1</v>
      </c>
      <c r="GT156" t="b">
        <f>AND(DATA!Q1056,"AAAAAHPV8ck=")</f>
        <v>1</v>
      </c>
      <c r="GU156" t="b">
        <f>AND(DATA!R1056,"AAAAAHPV8co=")</f>
        <v>1</v>
      </c>
      <c r="GV156" t="b">
        <f>AND(DATA!S1056,"AAAAAHPV8cs=")</f>
        <v>1</v>
      </c>
      <c r="GW156" t="b">
        <f>AND(DATA!T1056,"AAAAAHPV8cw=")</f>
        <v>1</v>
      </c>
      <c r="GX156" t="b">
        <f>AND(DATA!U1056,"AAAAAHPV8c0=")</f>
        <v>1</v>
      </c>
      <c r="GY156" t="b">
        <f>AND(DATA!V1056,"AAAAAHPV8c4=")</f>
        <v>1</v>
      </c>
      <c r="GZ156" t="e">
        <f>AND(DATA!W1055,"AAAAAHPV8c8=")</f>
        <v>#VALUE!</v>
      </c>
      <c r="HA156" t="e">
        <f>AND(DATA!X1055,"AAAAAHPV8dA=")</f>
        <v>#VALUE!</v>
      </c>
      <c r="HB156" t="e">
        <f>AND(DATA!Y1055,"AAAAAHPV8dE=")</f>
        <v>#VALUE!</v>
      </c>
      <c r="HC156">
        <f>IF(DATA!1056:1056,"AAAAAHPV8dI=",0)</f>
        <v>0</v>
      </c>
      <c r="HD156" t="e">
        <f>AND(DATA!A1056,"AAAAAHPV8dM=")</f>
        <v>#VALUE!</v>
      </c>
      <c r="HE156" t="e">
        <f>AND(DATA!B1056,"AAAAAHPV8dQ=")</f>
        <v>#VALUE!</v>
      </c>
      <c r="HF156" t="e">
        <f>AND(DATA!C1056,"AAAAAHPV8dU=")</f>
        <v>#VALUE!</v>
      </c>
      <c r="HG156" t="e">
        <f>AND(DATA!D1056,"AAAAAHPV8dY=")</f>
        <v>#VALUE!</v>
      </c>
      <c r="HH156" t="e">
        <f>AND(DATA!E1056,"AAAAAHPV8dc=")</f>
        <v>#VALUE!</v>
      </c>
      <c r="HI156" t="e">
        <f>AND(DATA!F1056,"AAAAAHPV8dg=")</f>
        <v>#VALUE!</v>
      </c>
      <c r="HJ156" t="e">
        <f>AND(DATA!G1056,"AAAAAHPV8dk=")</f>
        <v>#VALUE!</v>
      </c>
      <c r="HK156" t="e">
        <f>AND(DATA!H1056,"AAAAAHPV8do=")</f>
        <v>#VALUE!</v>
      </c>
      <c r="HL156" t="e">
        <f>AND(DATA!I1056,"AAAAAHPV8ds=")</f>
        <v>#VALUE!</v>
      </c>
      <c r="HM156" t="e">
        <f>AND(DATA!J1056,"AAAAAHPV8dw=")</f>
        <v>#VALUE!</v>
      </c>
      <c r="HN156" t="e">
        <f>AND(DATA!K1056,"AAAAAHPV8d0=")</f>
        <v>#VALUE!</v>
      </c>
      <c r="HO156" t="b">
        <f>AND(DATA!L1057,"AAAAAHPV8d4=")</f>
        <v>1</v>
      </c>
      <c r="HP156" t="b">
        <f>AND(DATA!M1057,"AAAAAHPV8d8=")</f>
        <v>1</v>
      </c>
      <c r="HQ156" t="b">
        <f>AND(DATA!N1057,"AAAAAHPV8eA=")</f>
        <v>1</v>
      </c>
      <c r="HR156" t="b">
        <f>AND(DATA!O1057,"AAAAAHPV8eE=")</f>
        <v>1</v>
      </c>
      <c r="HS156" t="b">
        <f>AND(DATA!P1057,"AAAAAHPV8eI=")</f>
        <v>1</v>
      </c>
      <c r="HT156" t="b">
        <f>AND(DATA!Q1057,"AAAAAHPV8eM=")</f>
        <v>1</v>
      </c>
      <c r="HU156" t="b">
        <f>AND(DATA!R1057,"AAAAAHPV8eQ=")</f>
        <v>1</v>
      </c>
      <c r="HV156" t="b">
        <f>AND(DATA!S1057,"AAAAAHPV8eU=")</f>
        <v>1</v>
      </c>
      <c r="HW156" t="b">
        <f>AND(DATA!T1057,"AAAAAHPV8eY=")</f>
        <v>1</v>
      </c>
      <c r="HX156" t="b">
        <f>AND(DATA!U1057,"AAAAAHPV8ec=")</f>
        <v>1</v>
      </c>
      <c r="HY156" t="b">
        <f>AND(DATA!V1057,"AAAAAHPV8eg=")</f>
        <v>1</v>
      </c>
      <c r="HZ156" t="e">
        <f>AND(DATA!W1056,"AAAAAHPV8ek=")</f>
        <v>#VALUE!</v>
      </c>
      <c r="IA156" t="e">
        <f>AND(DATA!X1056,"AAAAAHPV8eo=")</f>
        <v>#VALUE!</v>
      </c>
      <c r="IB156" t="e">
        <f>AND(DATA!Y1056,"AAAAAHPV8es=")</f>
        <v>#VALUE!</v>
      </c>
      <c r="IC156">
        <f>IF(DATA!1057:1057,"AAAAAHPV8ew=",0)</f>
        <v>0</v>
      </c>
      <c r="ID156" t="e">
        <f>AND(DATA!A1057,"AAAAAHPV8e0=")</f>
        <v>#VALUE!</v>
      </c>
      <c r="IE156" t="e">
        <f>AND(DATA!B1057,"AAAAAHPV8e4=")</f>
        <v>#VALUE!</v>
      </c>
      <c r="IF156" t="e">
        <f>AND(DATA!C1057,"AAAAAHPV8e8=")</f>
        <v>#VALUE!</v>
      </c>
      <c r="IG156" t="e">
        <f>AND(DATA!D1057,"AAAAAHPV8fA=")</f>
        <v>#VALUE!</v>
      </c>
      <c r="IH156" t="e">
        <f>AND(DATA!E1057,"AAAAAHPV8fE=")</f>
        <v>#VALUE!</v>
      </c>
      <c r="II156" t="e">
        <f>AND(DATA!F1057,"AAAAAHPV8fI=")</f>
        <v>#VALUE!</v>
      </c>
      <c r="IJ156" t="e">
        <f>AND(DATA!G1057,"AAAAAHPV8fM=")</f>
        <v>#VALUE!</v>
      </c>
      <c r="IK156" t="e">
        <f>AND(DATA!H1057,"AAAAAHPV8fQ=")</f>
        <v>#VALUE!</v>
      </c>
      <c r="IL156" t="e">
        <f>AND(DATA!I1057,"AAAAAHPV8fU=")</f>
        <v>#VALUE!</v>
      </c>
      <c r="IM156" t="e">
        <f>AND(DATA!J1057,"AAAAAHPV8fY=")</f>
        <v>#VALUE!</v>
      </c>
      <c r="IN156" t="e">
        <f>AND(DATA!K1057,"AAAAAHPV8fc=")</f>
        <v>#VALUE!</v>
      </c>
      <c r="IO156" t="b">
        <f>AND(DATA!L1058,"AAAAAHPV8fg=")</f>
        <v>1</v>
      </c>
      <c r="IP156" t="b">
        <f>AND(DATA!M1058,"AAAAAHPV8fk=")</f>
        <v>1</v>
      </c>
      <c r="IQ156" t="b">
        <f>AND(DATA!N1058,"AAAAAHPV8fo=")</f>
        <v>1</v>
      </c>
      <c r="IR156" t="b">
        <f>AND(DATA!O1058,"AAAAAHPV8fs=")</f>
        <v>1</v>
      </c>
      <c r="IS156" t="b">
        <f>AND(DATA!P1058,"AAAAAHPV8fw=")</f>
        <v>1</v>
      </c>
      <c r="IT156" t="b">
        <f>AND(DATA!Q1058,"AAAAAHPV8f0=")</f>
        <v>1</v>
      </c>
      <c r="IU156" t="b">
        <f>AND(DATA!R1058,"AAAAAHPV8f4=")</f>
        <v>1</v>
      </c>
      <c r="IV156" t="b">
        <f>AND(DATA!S1058,"AAAAAHPV8f8=")</f>
        <v>1</v>
      </c>
    </row>
    <row r="157" spans="1:256" x14ac:dyDescent="0.25">
      <c r="A157" t="b">
        <f>AND(DATA!T1058,"AAAAAC+tvwA=")</f>
        <v>1</v>
      </c>
      <c r="B157" t="b">
        <f>AND(DATA!U1058,"AAAAAC+tvwE=")</f>
        <v>1</v>
      </c>
      <c r="C157" t="b">
        <f>AND(DATA!V1058,"AAAAAC+tvwI=")</f>
        <v>1</v>
      </c>
      <c r="D157" t="e">
        <f>AND(DATA!W1057,"AAAAAC+tvwM=")</f>
        <v>#VALUE!</v>
      </c>
      <c r="E157" t="e">
        <f>AND(DATA!X1057,"AAAAAC+tvwQ=")</f>
        <v>#VALUE!</v>
      </c>
      <c r="F157" t="e">
        <f>AND(DATA!Y1057,"AAAAAC+tvwU=")</f>
        <v>#VALUE!</v>
      </c>
      <c r="G157">
        <f>IF(DATA!1058:1058,"AAAAAC+tvwY=",0)</f>
        <v>0</v>
      </c>
      <c r="H157" t="e">
        <f>AND(DATA!A1058,"AAAAAC+tvwc=")</f>
        <v>#VALUE!</v>
      </c>
      <c r="I157" t="e">
        <f>AND(DATA!B1058,"AAAAAC+tvwg=")</f>
        <v>#VALUE!</v>
      </c>
      <c r="J157" t="e">
        <f>AND(DATA!C1058,"AAAAAC+tvwk=")</f>
        <v>#VALUE!</v>
      </c>
      <c r="K157" t="e">
        <f>AND(DATA!D1058,"AAAAAC+tvwo=")</f>
        <v>#VALUE!</v>
      </c>
      <c r="L157" t="e">
        <f>AND(DATA!E1058,"AAAAAC+tvws=")</f>
        <v>#VALUE!</v>
      </c>
      <c r="M157" t="e">
        <f>AND(DATA!F1058,"AAAAAC+tvww=")</f>
        <v>#VALUE!</v>
      </c>
      <c r="N157" t="e">
        <f>AND(DATA!G1058,"AAAAAC+tvw0=")</f>
        <v>#VALUE!</v>
      </c>
      <c r="O157" t="e">
        <f>AND(DATA!H1058,"AAAAAC+tvw4=")</f>
        <v>#VALUE!</v>
      </c>
      <c r="P157" t="e">
        <f>AND(DATA!I1058,"AAAAAC+tvw8=")</f>
        <v>#VALUE!</v>
      </c>
      <c r="Q157" t="e">
        <f>AND(DATA!J1058,"AAAAAC+tvxA=")</f>
        <v>#VALUE!</v>
      </c>
      <c r="R157" t="e">
        <f>AND(DATA!K1058,"AAAAAC+tvxE=")</f>
        <v>#VALUE!</v>
      </c>
      <c r="S157" t="b">
        <f>AND(DATA!L1059,"AAAAAC+tvxI=")</f>
        <v>1</v>
      </c>
      <c r="T157" t="b">
        <f>AND(DATA!M1059,"AAAAAC+tvxM=")</f>
        <v>1</v>
      </c>
      <c r="U157" t="b">
        <f>AND(DATA!N1059,"AAAAAC+tvxQ=")</f>
        <v>1</v>
      </c>
      <c r="V157" t="b">
        <f>AND(DATA!O1059,"AAAAAC+tvxU=")</f>
        <v>1</v>
      </c>
      <c r="W157" t="b">
        <f>AND(DATA!P1059,"AAAAAC+tvxY=")</f>
        <v>1</v>
      </c>
      <c r="X157" t="b">
        <f>AND(DATA!Q1059,"AAAAAC+tvxc=")</f>
        <v>1</v>
      </c>
      <c r="Y157" t="b">
        <f>AND(DATA!R1059,"AAAAAC+tvxg=")</f>
        <v>1</v>
      </c>
      <c r="Z157" t="b">
        <f>AND(DATA!S1059,"AAAAAC+tvxk=")</f>
        <v>1</v>
      </c>
      <c r="AA157" t="b">
        <f>AND(DATA!T1059,"AAAAAC+tvxo=")</f>
        <v>1</v>
      </c>
      <c r="AB157" t="b">
        <f>AND(DATA!U1059,"AAAAAC+tvxs=")</f>
        <v>1</v>
      </c>
      <c r="AC157" t="b">
        <f>AND(DATA!V1059,"AAAAAC+tvxw=")</f>
        <v>1</v>
      </c>
      <c r="AD157" t="e">
        <f>AND(DATA!W1058,"AAAAAC+tvx0=")</f>
        <v>#VALUE!</v>
      </c>
      <c r="AE157" t="e">
        <f>AND(DATA!X1058,"AAAAAC+tvx4=")</f>
        <v>#VALUE!</v>
      </c>
      <c r="AF157" t="e">
        <f>AND(DATA!Y1058,"AAAAAC+tvx8=")</f>
        <v>#VALUE!</v>
      </c>
      <c r="AG157">
        <f>IF(DATA!1059:1059,"AAAAAC+tvyA=",0)</f>
        <v>0</v>
      </c>
      <c r="AH157" t="e">
        <f>AND(DATA!A1059,"AAAAAC+tvyE=")</f>
        <v>#VALUE!</v>
      </c>
      <c r="AI157" t="e">
        <f>AND(DATA!B1059,"AAAAAC+tvyI=")</f>
        <v>#VALUE!</v>
      </c>
      <c r="AJ157" t="e">
        <f>AND(DATA!C1059,"AAAAAC+tvyM=")</f>
        <v>#VALUE!</v>
      </c>
      <c r="AK157" t="e">
        <f>AND(DATA!D1059,"AAAAAC+tvyQ=")</f>
        <v>#VALUE!</v>
      </c>
      <c r="AL157" t="e">
        <f>AND(DATA!E1059,"AAAAAC+tvyU=")</f>
        <v>#VALUE!</v>
      </c>
      <c r="AM157" t="e">
        <f>AND(DATA!F1059,"AAAAAC+tvyY=")</f>
        <v>#VALUE!</v>
      </c>
      <c r="AN157" t="e">
        <f>AND(DATA!G1059,"AAAAAC+tvyc=")</f>
        <v>#VALUE!</v>
      </c>
      <c r="AO157" t="e">
        <f>AND(DATA!H1059,"AAAAAC+tvyg=")</f>
        <v>#VALUE!</v>
      </c>
      <c r="AP157" t="e">
        <f>AND(DATA!I1059,"AAAAAC+tvyk=")</f>
        <v>#VALUE!</v>
      </c>
      <c r="AQ157" t="e">
        <f>AND(DATA!J1059,"AAAAAC+tvyo=")</f>
        <v>#VALUE!</v>
      </c>
      <c r="AR157" t="e">
        <f>AND(DATA!K1059,"AAAAAC+tvys=")</f>
        <v>#VALUE!</v>
      </c>
      <c r="AS157" t="b">
        <f>AND(DATA!L1060,"AAAAAC+tvyw=")</f>
        <v>1</v>
      </c>
      <c r="AT157" t="b">
        <f>AND(DATA!M1060,"AAAAAC+tvy0=")</f>
        <v>1</v>
      </c>
      <c r="AU157" t="b">
        <f>AND(DATA!N1060,"AAAAAC+tvy4=")</f>
        <v>1</v>
      </c>
      <c r="AV157" t="b">
        <f>AND(DATA!O1060,"AAAAAC+tvy8=")</f>
        <v>1</v>
      </c>
      <c r="AW157" t="b">
        <f>AND(DATA!P1060,"AAAAAC+tvzA=")</f>
        <v>1</v>
      </c>
      <c r="AX157" t="b">
        <f>AND(DATA!Q1060,"AAAAAC+tvzE=")</f>
        <v>1</v>
      </c>
      <c r="AY157" t="b">
        <f>AND(DATA!R1060,"AAAAAC+tvzI=")</f>
        <v>1</v>
      </c>
      <c r="AZ157" t="b">
        <f>AND(DATA!S1060,"AAAAAC+tvzM=")</f>
        <v>1</v>
      </c>
      <c r="BA157" t="b">
        <f>AND(DATA!T1060,"AAAAAC+tvzQ=")</f>
        <v>1</v>
      </c>
      <c r="BB157" t="b">
        <f>AND(DATA!U1060,"AAAAAC+tvzU=")</f>
        <v>1</v>
      </c>
      <c r="BC157" t="b">
        <f>AND(DATA!V1060,"AAAAAC+tvzY=")</f>
        <v>1</v>
      </c>
      <c r="BD157" t="e">
        <f>AND(DATA!W1059,"AAAAAC+tvzc=")</f>
        <v>#VALUE!</v>
      </c>
      <c r="BE157" t="e">
        <f>AND(DATA!X1059,"AAAAAC+tvzg=")</f>
        <v>#VALUE!</v>
      </c>
      <c r="BF157" t="e">
        <f>AND(DATA!Y1059,"AAAAAC+tvzk=")</f>
        <v>#VALUE!</v>
      </c>
      <c r="BG157">
        <f>IF(DATA!1060:1060,"AAAAAC+tvzo=",0)</f>
        <v>0</v>
      </c>
      <c r="BH157" t="e">
        <f>AND(DATA!A1060,"AAAAAC+tvzs=")</f>
        <v>#VALUE!</v>
      </c>
      <c r="BI157" t="e">
        <f>AND(DATA!B1060,"AAAAAC+tvzw=")</f>
        <v>#VALUE!</v>
      </c>
      <c r="BJ157" t="e">
        <f>AND(DATA!C1060,"AAAAAC+tvz0=")</f>
        <v>#VALUE!</v>
      </c>
      <c r="BK157" t="e">
        <f>AND(DATA!D1060,"AAAAAC+tvz4=")</f>
        <v>#VALUE!</v>
      </c>
      <c r="BL157" t="e">
        <f>AND(DATA!E1060,"AAAAAC+tvz8=")</f>
        <v>#VALUE!</v>
      </c>
      <c r="BM157" t="e">
        <f>AND(DATA!F1060,"AAAAAC+tv0A=")</f>
        <v>#VALUE!</v>
      </c>
      <c r="BN157" t="e">
        <f>AND(DATA!G1060,"AAAAAC+tv0E=")</f>
        <v>#VALUE!</v>
      </c>
      <c r="BO157" t="e">
        <f>AND(DATA!H1060,"AAAAAC+tv0I=")</f>
        <v>#VALUE!</v>
      </c>
      <c r="BP157" t="e">
        <f>AND(DATA!I1060,"AAAAAC+tv0M=")</f>
        <v>#VALUE!</v>
      </c>
      <c r="BQ157" t="e">
        <f>AND(DATA!J1060,"AAAAAC+tv0Q=")</f>
        <v>#VALUE!</v>
      </c>
      <c r="BR157" t="e">
        <f>AND(DATA!K1060,"AAAAAC+tv0U=")</f>
        <v>#VALUE!</v>
      </c>
      <c r="BS157" t="b">
        <f>AND(DATA!L1061,"AAAAAC+tv0Y=")</f>
        <v>1</v>
      </c>
      <c r="BT157" t="b">
        <f>AND(DATA!M1061,"AAAAAC+tv0c=")</f>
        <v>1</v>
      </c>
      <c r="BU157" t="b">
        <f>AND(DATA!N1061,"AAAAAC+tv0g=")</f>
        <v>1</v>
      </c>
      <c r="BV157" t="b">
        <f>AND(DATA!O1061,"AAAAAC+tv0k=")</f>
        <v>1</v>
      </c>
      <c r="BW157" t="b">
        <f>AND(DATA!P1061,"AAAAAC+tv0o=")</f>
        <v>1</v>
      </c>
      <c r="BX157" t="b">
        <f>AND(DATA!Q1061,"AAAAAC+tv0s=")</f>
        <v>1</v>
      </c>
      <c r="BY157" t="b">
        <f>AND(DATA!R1061,"AAAAAC+tv0w=")</f>
        <v>1</v>
      </c>
      <c r="BZ157" t="b">
        <f>AND(DATA!S1061,"AAAAAC+tv00=")</f>
        <v>1</v>
      </c>
      <c r="CA157" t="b">
        <f>AND(DATA!T1061,"AAAAAC+tv04=")</f>
        <v>1</v>
      </c>
      <c r="CB157" t="b">
        <f>AND(DATA!U1061,"AAAAAC+tv08=")</f>
        <v>1</v>
      </c>
      <c r="CC157" t="b">
        <f>AND(DATA!V1061,"AAAAAC+tv1A=")</f>
        <v>1</v>
      </c>
      <c r="CD157" t="e">
        <f>AND(DATA!W1060,"AAAAAC+tv1E=")</f>
        <v>#VALUE!</v>
      </c>
      <c r="CE157" t="e">
        <f>AND(DATA!X1060,"AAAAAC+tv1I=")</f>
        <v>#VALUE!</v>
      </c>
      <c r="CF157" t="e">
        <f>AND(DATA!Y1060,"AAAAAC+tv1M=")</f>
        <v>#VALUE!</v>
      </c>
      <c r="CG157">
        <f>IF(DATA!1061:1061,"AAAAAC+tv1Q=",0)</f>
        <v>0</v>
      </c>
      <c r="CH157" t="e">
        <f>AND(DATA!A1061,"AAAAAC+tv1U=")</f>
        <v>#VALUE!</v>
      </c>
      <c r="CI157" t="e">
        <f>AND(DATA!B1061,"AAAAAC+tv1Y=")</f>
        <v>#VALUE!</v>
      </c>
      <c r="CJ157" t="e">
        <f>AND(DATA!C1061,"AAAAAC+tv1c=")</f>
        <v>#VALUE!</v>
      </c>
      <c r="CK157" t="e">
        <f>AND(DATA!D1061,"AAAAAC+tv1g=")</f>
        <v>#VALUE!</v>
      </c>
      <c r="CL157" t="e">
        <f>AND(DATA!E1061,"AAAAAC+tv1k=")</f>
        <v>#VALUE!</v>
      </c>
      <c r="CM157" t="e">
        <f>AND(DATA!F1061,"AAAAAC+tv1o=")</f>
        <v>#VALUE!</v>
      </c>
      <c r="CN157" t="e">
        <f>AND(DATA!G1061,"AAAAAC+tv1s=")</f>
        <v>#VALUE!</v>
      </c>
      <c r="CO157" t="e">
        <f>AND(DATA!H1061,"AAAAAC+tv1w=")</f>
        <v>#VALUE!</v>
      </c>
      <c r="CP157" t="e">
        <f>AND(DATA!I1061,"AAAAAC+tv10=")</f>
        <v>#VALUE!</v>
      </c>
      <c r="CQ157" t="e">
        <f>AND(DATA!J1061,"AAAAAC+tv14=")</f>
        <v>#VALUE!</v>
      </c>
      <c r="CR157" t="e">
        <f>AND(DATA!K1061,"AAAAAC+tv18=")</f>
        <v>#VALUE!</v>
      </c>
      <c r="CS157" t="b">
        <f>AND(DATA!L1062,"AAAAAC+tv2A=")</f>
        <v>1</v>
      </c>
      <c r="CT157" t="b">
        <f>AND(DATA!M1062,"AAAAAC+tv2E=")</f>
        <v>1</v>
      </c>
      <c r="CU157" t="b">
        <f>AND(DATA!N1062,"AAAAAC+tv2I=")</f>
        <v>1</v>
      </c>
      <c r="CV157" t="b">
        <f>AND(DATA!O1062,"AAAAAC+tv2M=")</f>
        <v>1</v>
      </c>
      <c r="CW157" t="b">
        <f>AND(DATA!P1062,"AAAAAC+tv2Q=")</f>
        <v>1</v>
      </c>
      <c r="CX157" t="b">
        <f>AND(DATA!Q1062,"AAAAAC+tv2U=")</f>
        <v>1</v>
      </c>
      <c r="CY157" t="b">
        <f>AND(DATA!R1062,"AAAAAC+tv2Y=")</f>
        <v>1</v>
      </c>
      <c r="CZ157" t="b">
        <f>AND(DATA!S1062,"AAAAAC+tv2c=")</f>
        <v>1</v>
      </c>
      <c r="DA157" t="b">
        <f>AND(DATA!T1062,"AAAAAC+tv2g=")</f>
        <v>1</v>
      </c>
      <c r="DB157" t="b">
        <f>AND(DATA!U1062,"AAAAAC+tv2k=")</f>
        <v>1</v>
      </c>
      <c r="DC157" t="b">
        <f>AND(DATA!V1062,"AAAAAC+tv2o=")</f>
        <v>1</v>
      </c>
      <c r="DD157" t="e">
        <f>AND(DATA!W1061,"AAAAAC+tv2s=")</f>
        <v>#VALUE!</v>
      </c>
      <c r="DE157" t="e">
        <f>AND(DATA!X1061,"AAAAAC+tv2w=")</f>
        <v>#VALUE!</v>
      </c>
      <c r="DF157" t="e">
        <f>AND(DATA!Y1061,"AAAAAC+tv20=")</f>
        <v>#VALUE!</v>
      </c>
      <c r="DG157">
        <f>IF(DATA!1062:1062,"AAAAAC+tv24=",0)</f>
        <v>0</v>
      </c>
      <c r="DH157" t="e">
        <f>AND(DATA!A1062,"AAAAAC+tv28=")</f>
        <v>#VALUE!</v>
      </c>
      <c r="DI157" t="e">
        <f>AND(DATA!B1062,"AAAAAC+tv3A=")</f>
        <v>#VALUE!</v>
      </c>
      <c r="DJ157" t="e">
        <f>AND(DATA!C1062,"AAAAAC+tv3E=")</f>
        <v>#VALUE!</v>
      </c>
      <c r="DK157" t="e">
        <f>AND(DATA!D1062,"AAAAAC+tv3I=")</f>
        <v>#VALUE!</v>
      </c>
      <c r="DL157" t="e">
        <f>AND(DATA!E1062,"AAAAAC+tv3M=")</f>
        <v>#VALUE!</v>
      </c>
      <c r="DM157" t="e">
        <f>AND(DATA!F1062,"AAAAAC+tv3Q=")</f>
        <v>#VALUE!</v>
      </c>
      <c r="DN157" t="e">
        <f>AND(DATA!G1062,"AAAAAC+tv3U=")</f>
        <v>#VALUE!</v>
      </c>
      <c r="DO157" t="e">
        <f>AND(DATA!H1062,"AAAAAC+tv3Y=")</f>
        <v>#VALUE!</v>
      </c>
      <c r="DP157" t="e">
        <f>AND(DATA!I1062,"AAAAAC+tv3c=")</f>
        <v>#VALUE!</v>
      </c>
      <c r="DQ157" t="e">
        <f>AND(DATA!J1062,"AAAAAC+tv3g=")</f>
        <v>#VALUE!</v>
      </c>
      <c r="DR157" t="e">
        <f>AND(DATA!K1062,"AAAAAC+tv3k=")</f>
        <v>#VALUE!</v>
      </c>
      <c r="DS157" t="b">
        <f>AND(DATA!L1063,"AAAAAC+tv3o=")</f>
        <v>1</v>
      </c>
      <c r="DT157" t="b">
        <f>AND(DATA!M1063,"AAAAAC+tv3s=")</f>
        <v>1</v>
      </c>
      <c r="DU157" t="b">
        <f>AND(DATA!N1063,"AAAAAC+tv3w=")</f>
        <v>1</v>
      </c>
      <c r="DV157" t="b">
        <f>AND(DATA!O1063,"AAAAAC+tv30=")</f>
        <v>1</v>
      </c>
      <c r="DW157" t="b">
        <f>AND(DATA!P1063,"AAAAAC+tv34=")</f>
        <v>1</v>
      </c>
      <c r="DX157" t="b">
        <f>AND(DATA!Q1063,"AAAAAC+tv38=")</f>
        <v>1</v>
      </c>
      <c r="DY157" t="b">
        <f>AND(DATA!R1063,"AAAAAC+tv4A=")</f>
        <v>1</v>
      </c>
      <c r="DZ157" t="b">
        <f>AND(DATA!S1063,"AAAAAC+tv4E=")</f>
        <v>1</v>
      </c>
      <c r="EA157" t="b">
        <f>AND(DATA!T1063,"AAAAAC+tv4I=")</f>
        <v>1</v>
      </c>
      <c r="EB157" t="b">
        <f>AND(DATA!U1063,"AAAAAC+tv4M=")</f>
        <v>1</v>
      </c>
      <c r="EC157" t="b">
        <f>AND(DATA!V1063,"AAAAAC+tv4Q=")</f>
        <v>1</v>
      </c>
      <c r="ED157" t="e">
        <f>AND(DATA!W1062,"AAAAAC+tv4U=")</f>
        <v>#VALUE!</v>
      </c>
      <c r="EE157" t="e">
        <f>AND(DATA!X1062,"AAAAAC+tv4Y=")</f>
        <v>#VALUE!</v>
      </c>
      <c r="EF157" t="e">
        <f>AND(DATA!Y1062,"AAAAAC+tv4c=")</f>
        <v>#VALUE!</v>
      </c>
      <c r="EG157">
        <f>IF(DATA!1063:1063,"AAAAAC+tv4g=",0)</f>
        <v>0</v>
      </c>
      <c r="EH157" t="e">
        <f>AND(DATA!A1063,"AAAAAC+tv4k=")</f>
        <v>#VALUE!</v>
      </c>
      <c r="EI157" t="e">
        <f>AND(DATA!B1063,"AAAAAC+tv4o=")</f>
        <v>#VALUE!</v>
      </c>
      <c r="EJ157" t="e">
        <f>AND(DATA!C1063,"AAAAAC+tv4s=")</f>
        <v>#VALUE!</v>
      </c>
      <c r="EK157" t="e">
        <f>AND(DATA!D1063,"AAAAAC+tv4w=")</f>
        <v>#VALUE!</v>
      </c>
      <c r="EL157" t="e">
        <f>AND(DATA!E1063,"AAAAAC+tv40=")</f>
        <v>#VALUE!</v>
      </c>
      <c r="EM157" t="e">
        <f>AND(DATA!F1063,"AAAAAC+tv44=")</f>
        <v>#VALUE!</v>
      </c>
      <c r="EN157" t="e">
        <f>AND(DATA!G1063,"AAAAAC+tv48=")</f>
        <v>#VALUE!</v>
      </c>
      <c r="EO157" t="e">
        <f>AND(DATA!H1063,"AAAAAC+tv5A=")</f>
        <v>#VALUE!</v>
      </c>
      <c r="EP157" t="e">
        <f>AND(DATA!I1063,"AAAAAC+tv5E=")</f>
        <v>#VALUE!</v>
      </c>
      <c r="EQ157" t="e">
        <f>AND(DATA!J1063,"AAAAAC+tv5I=")</f>
        <v>#VALUE!</v>
      </c>
      <c r="ER157" t="e">
        <f>AND(DATA!K1063,"AAAAAC+tv5M=")</f>
        <v>#VALUE!</v>
      </c>
      <c r="ES157" t="b">
        <f>AND(DATA!L1064,"AAAAAC+tv5Q=")</f>
        <v>1</v>
      </c>
      <c r="ET157" t="b">
        <f>AND(DATA!M1064,"AAAAAC+tv5U=")</f>
        <v>1</v>
      </c>
      <c r="EU157" t="b">
        <f>AND(DATA!N1064,"AAAAAC+tv5Y=")</f>
        <v>1</v>
      </c>
      <c r="EV157" t="b">
        <f>AND(DATA!O1064,"AAAAAC+tv5c=")</f>
        <v>1</v>
      </c>
      <c r="EW157" t="b">
        <f>AND(DATA!P1064,"AAAAAC+tv5g=")</f>
        <v>1</v>
      </c>
      <c r="EX157" t="b">
        <f>AND(DATA!Q1064,"AAAAAC+tv5k=")</f>
        <v>1</v>
      </c>
      <c r="EY157" t="b">
        <f>AND(DATA!R1064,"AAAAAC+tv5o=")</f>
        <v>1</v>
      </c>
      <c r="EZ157" t="b">
        <f>AND(DATA!S1064,"AAAAAC+tv5s=")</f>
        <v>1</v>
      </c>
      <c r="FA157" t="b">
        <f>AND(DATA!T1064,"AAAAAC+tv5w=")</f>
        <v>1</v>
      </c>
      <c r="FB157" t="b">
        <f>AND(DATA!U1064,"AAAAAC+tv50=")</f>
        <v>1</v>
      </c>
      <c r="FC157" t="b">
        <f>AND(DATA!V1064,"AAAAAC+tv54=")</f>
        <v>1</v>
      </c>
      <c r="FD157" t="e">
        <f>AND(DATA!W1063,"AAAAAC+tv58=")</f>
        <v>#VALUE!</v>
      </c>
      <c r="FE157" t="e">
        <f>AND(DATA!X1063,"AAAAAC+tv6A=")</f>
        <v>#VALUE!</v>
      </c>
      <c r="FF157" t="e">
        <f>AND(DATA!Y1063,"AAAAAC+tv6E=")</f>
        <v>#VALUE!</v>
      </c>
      <c r="FG157">
        <f>IF(DATA!1064:1064,"AAAAAC+tv6I=",0)</f>
        <v>0</v>
      </c>
      <c r="FH157" t="e">
        <f>AND(DATA!A1064,"AAAAAC+tv6M=")</f>
        <v>#VALUE!</v>
      </c>
      <c r="FI157" t="e">
        <f>AND(DATA!B1064,"AAAAAC+tv6Q=")</f>
        <v>#VALUE!</v>
      </c>
      <c r="FJ157" t="e">
        <f>AND(DATA!C1064,"AAAAAC+tv6U=")</f>
        <v>#VALUE!</v>
      </c>
      <c r="FK157" t="e">
        <f>AND(DATA!D1064,"AAAAAC+tv6Y=")</f>
        <v>#VALUE!</v>
      </c>
      <c r="FL157" t="e">
        <f>AND(DATA!E1064,"AAAAAC+tv6c=")</f>
        <v>#VALUE!</v>
      </c>
      <c r="FM157" t="e">
        <f>AND(DATA!F1064,"AAAAAC+tv6g=")</f>
        <v>#VALUE!</v>
      </c>
      <c r="FN157" t="e">
        <f>AND(DATA!G1064,"AAAAAC+tv6k=")</f>
        <v>#VALUE!</v>
      </c>
      <c r="FO157" t="e">
        <f>AND(DATA!H1064,"AAAAAC+tv6o=")</f>
        <v>#VALUE!</v>
      </c>
      <c r="FP157" t="e">
        <f>AND(DATA!I1064,"AAAAAC+tv6s=")</f>
        <v>#VALUE!</v>
      </c>
      <c r="FQ157" t="e">
        <f>AND(DATA!J1064,"AAAAAC+tv6w=")</f>
        <v>#VALUE!</v>
      </c>
      <c r="FR157" t="e">
        <f>AND(DATA!K1064,"AAAAAC+tv60=")</f>
        <v>#VALUE!</v>
      </c>
      <c r="FS157" t="b">
        <f>AND(DATA!L1065,"AAAAAC+tv64=")</f>
        <v>1</v>
      </c>
      <c r="FT157" t="b">
        <f>AND(DATA!M1065,"AAAAAC+tv68=")</f>
        <v>1</v>
      </c>
      <c r="FU157" t="b">
        <f>AND(DATA!N1065,"AAAAAC+tv7A=")</f>
        <v>1</v>
      </c>
      <c r="FV157" t="b">
        <f>AND(DATA!O1065,"AAAAAC+tv7E=")</f>
        <v>1</v>
      </c>
      <c r="FW157" t="b">
        <f>AND(DATA!P1065,"AAAAAC+tv7I=")</f>
        <v>1</v>
      </c>
      <c r="FX157" t="b">
        <f>AND(DATA!Q1065,"AAAAAC+tv7M=")</f>
        <v>1</v>
      </c>
      <c r="FY157" t="b">
        <f>AND(DATA!R1065,"AAAAAC+tv7Q=")</f>
        <v>1</v>
      </c>
      <c r="FZ157" t="b">
        <f>AND(DATA!S1065,"AAAAAC+tv7U=")</f>
        <v>1</v>
      </c>
      <c r="GA157" t="b">
        <f>AND(DATA!T1065,"AAAAAC+tv7Y=")</f>
        <v>1</v>
      </c>
      <c r="GB157" t="b">
        <f>AND(DATA!U1065,"AAAAAC+tv7c=")</f>
        <v>1</v>
      </c>
      <c r="GC157" t="b">
        <f>AND(DATA!V1065,"AAAAAC+tv7g=")</f>
        <v>1</v>
      </c>
      <c r="GD157" t="e">
        <f>AND(DATA!W1064,"AAAAAC+tv7k=")</f>
        <v>#VALUE!</v>
      </c>
      <c r="GE157" t="e">
        <f>AND(DATA!X1064,"AAAAAC+tv7o=")</f>
        <v>#VALUE!</v>
      </c>
      <c r="GF157" t="e">
        <f>AND(DATA!Y1064,"AAAAAC+tv7s=")</f>
        <v>#VALUE!</v>
      </c>
      <c r="GG157">
        <f>IF(DATA!1065:1065,"AAAAAC+tv7w=",0)</f>
        <v>0</v>
      </c>
      <c r="GH157" t="e">
        <f>AND(DATA!A1065,"AAAAAC+tv70=")</f>
        <v>#VALUE!</v>
      </c>
      <c r="GI157" t="e">
        <f>AND(DATA!B1065,"AAAAAC+tv74=")</f>
        <v>#VALUE!</v>
      </c>
      <c r="GJ157" t="e">
        <f>AND(DATA!C1065,"AAAAAC+tv78=")</f>
        <v>#VALUE!</v>
      </c>
      <c r="GK157" t="e">
        <f>AND(DATA!D1065,"AAAAAC+tv8A=")</f>
        <v>#VALUE!</v>
      </c>
      <c r="GL157" t="e">
        <f>AND(DATA!E1065,"AAAAAC+tv8E=")</f>
        <v>#VALUE!</v>
      </c>
      <c r="GM157" t="e">
        <f>AND(DATA!F1065,"AAAAAC+tv8I=")</f>
        <v>#VALUE!</v>
      </c>
      <c r="GN157" t="e">
        <f>AND(DATA!G1065,"AAAAAC+tv8M=")</f>
        <v>#VALUE!</v>
      </c>
      <c r="GO157" t="e">
        <f>AND(DATA!H1065,"AAAAAC+tv8Q=")</f>
        <v>#VALUE!</v>
      </c>
      <c r="GP157" t="e">
        <f>AND(DATA!I1065,"AAAAAC+tv8U=")</f>
        <v>#VALUE!</v>
      </c>
      <c r="GQ157" t="e">
        <f>AND(DATA!J1065,"AAAAAC+tv8Y=")</f>
        <v>#VALUE!</v>
      </c>
      <c r="GR157" t="e">
        <f>AND(DATA!K1065,"AAAAAC+tv8c=")</f>
        <v>#VALUE!</v>
      </c>
      <c r="GS157" t="b">
        <f>AND(DATA!L1066,"AAAAAC+tv8g=")</f>
        <v>1</v>
      </c>
      <c r="GT157" t="b">
        <f>AND(DATA!M1066,"AAAAAC+tv8k=")</f>
        <v>1</v>
      </c>
      <c r="GU157" t="b">
        <f>AND(DATA!N1066,"AAAAAC+tv8o=")</f>
        <v>1</v>
      </c>
      <c r="GV157" t="b">
        <f>AND(DATA!O1066,"AAAAAC+tv8s=")</f>
        <v>1</v>
      </c>
      <c r="GW157" t="b">
        <f>AND(DATA!P1066,"AAAAAC+tv8w=")</f>
        <v>1</v>
      </c>
      <c r="GX157" t="b">
        <f>AND(DATA!Q1066,"AAAAAC+tv80=")</f>
        <v>1</v>
      </c>
      <c r="GY157" t="b">
        <f>AND(DATA!R1066,"AAAAAC+tv84=")</f>
        <v>1</v>
      </c>
      <c r="GZ157" t="b">
        <f>AND(DATA!S1066,"AAAAAC+tv88=")</f>
        <v>1</v>
      </c>
      <c r="HA157" t="b">
        <f>AND(DATA!T1066,"AAAAAC+tv9A=")</f>
        <v>1</v>
      </c>
      <c r="HB157" t="b">
        <f>AND(DATA!U1066,"AAAAAC+tv9E=")</f>
        <v>1</v>
      </c>
      <c r="HC157" t="b">
        <f>AND(DATA!V1066,"AAAAAC+tv9I=")</f>
        <v>1</v>
      </c>
      <c r="HD157" t="e">
        <f>AND(DATA!W1065,"AAAAAC+tv9M=")</f>
        <v>#VALUE!</v>
      </c>
      <c r="HE157" t="e">
        <f>AND(DATA!X1065,"AAAAAC+tv9Q=")</f>
        <v>#VALUE!</v>
      </c>
      <c r="HF157" t="e">
        <f>AND(DATA!Y1065,"AAAAAC+tv9U=")</f>
        <v>#VALUE!</v>
      </c>
      <c r="HG157">
        <f>IF(DATA!1066:1066,"AAAAAC+tv9Y=",0)</f>
        <v>0</v>
      </c>
      <c r="HH157" t="e">
        <f>AND(DATA!A1066,"AAAAAC+tv9c=")</f>
        <v>#VALUE!</v>
      </c>
      <c r="HI157" t="e">
        <f>AND(DATA!B1066,"AAAAAC+tv9g=")</f>
        <v>#VALUE!</v>
      </c>
      <c r="HJ157" t="e">
        <f>AND(DATA!C1066,"AAAAAC+tv9k=")</f>
        <v>#VALUE!</v>
      </c>
      <c r="HK157" t="e">
        <f>AND(DATA!D1066,"AAAAAC+tv9o=")</f>
        <v>#VALUE!</v>
      </c>
      <c r="HL157" t="e">
        <f>AND(DATA!E1066,"AAAAAC+tv9s=")</f>
        <v>#VALUE!</v>
      </c>
      <c r="HM157" t="e">
        <f>AND(DATA!F1066,"AAAAAC+tv9w=")</f>
        <v>#VALUE!</v>
      </c>
      <c r="HN157" t="e">
        <f>AND(DATA!G1066,"AAAAAC+tv90=")</f>
        <v>#VALUE!</v>
      </c>
      <c r="HO157" t="e">
        <f>AND(DATA!H1066,"AAAAAC+tv94=")</f>
        <v>#VALUE!</v>
      </c>
      <c r="HP157" t="e">
        <f>AND(DATA!I1066,"AAAAAC+tv98=")</f>
        <v>#VALUE!</v>
      </c>
      <c r="HQ157" t="e">
        <f>AND(DATA!J1066,"AAAAAC+tv+A=")</f>
        <v>#VALUE!</v>
      </c>
      <c r="HR157" t="e">
        <f>AND(DATA!K1066,"AAAAAC+tv+E=")</f>
        <v>#VALUE!</v>
      </c>
      <c r="HS157" t="b">
        <f>AND(DATA!L1067,"AAAAAC+tv+I=")</f>
        <v>1</v>
      </c>
      <c r="HT157" t="b">
        <f>AND(DATA!M1067,"AAAAAC+tv+M=")</f>
        <v>1</v>
      </c>
      <c r="HU157" t="b">
        <f>AND(DATA!N1067,"AAAAAC+tv+Q=")</f>
        <v>1</v>
      </c>
      <c r="HV157" t="b">
        <f>AND(DATA!O1067,"AAAAAC+tv+U=")</f>
        <v>1</v>
      </c>
      <c r="HW157" t="b">
        <f>AND(DATA!P1067,"AAAAAC+tv+Y=")</f>
        <v>1</v>
      </c>
      <c r="HX157" t="b">
        <f>AND(DATA!Q1067,"AAAAAC+tv+c=")</f>
        <v>1</v>
      </c>
      <c r="HY157" t="b">
        <f>AND(DATA!R1067,"AAAAAC+tv+g=")</f>
        <v>1</v>
      </c>
      <c r="HZ157" t="b">
        <f>AND(DATA!S1067,"AAAAAC+tv+k=")</f>
        <v>1</v>
      </c>
      <c r="IA157" t="b">
        <f>AND(DATA!T1067,"AAAAAC+tv+o=")</f>
        <v>1</v>
      </c>
      <c r="IB157" t="b">
        <f>AND(DATA!U1067,"AAAAAC+tv+s=")</f>
        <v>1</v>
      </c>
      <c r="IC157" t="b">
        <f>AND(DATA!V1067,"AAAAAC+tv+w=")</f>
        <v>1</v>
      </c>
      <c r="ID157" t="e">
        <f>AND(DATA!W1066,"AAAAAC+tv+0=")</f>
        <v>#VALUE!</v>
      </c>
      <c r="IE157" t="e">
        <f>AND(DATA!X1066,"AAAAAC+tv+4=")</f>
        <v>#VALUE!</v>
      </c>
      <c r="IF157" t="e">
        <f>AND(DATA!Y1066,"AAAAAC+tv+8=")</f>
        <v>#VALUE!</v>
      </c>
      <c r="IG157">
        <f>IF(DATA!1067:1067,"AAAAAC+tv/A=",0)</f>
        <v>0</v>
      </c>
      <c r="IH157" t="e">
        <f>AND(DATA!A1067,"AAAAAC+tv/E=")</f>
        <v>#VALUE!</v>
      </c>
      <c r="II157" t="e">
        <f>AND(DATA!B1067,"AAAAAC+tv/I=")</f>
        <v>#VALUE!</v>
      </c>
      <c r="IJ157" t="e">
        <f>AND(DATA!C1067,"AAAAAC+tv/M=")</f>
        <v>#VALUE!</v>
      </c>
      <c r="IK157" t="e">
        <f>AND(DATA!D1067,"AAAAAC+tv/Q=")</f>
        <v>#VALUE!</v>
      </c>
      <c r="IL157" t="e">
        <f>AND(DATA!E1067,"AAAAAC+tv/U=")</f>
        <v>#VALUE!</v>
      </c>
      <c r="IM157" t="e">
        <f>AND(DATA!F1067,"AAAAAC+tv/Y=")</f>
        <v>#VALUE!</v>
      </c>
      <c r="IN157" t="e">
        <f>AND(DATA!G1067,"AAAAAC+tv/c=")</f>
        <v>#VALUE!</v>
      </c>
      <c r="IO157" t="e">
        <f>AND(DATA!H1067,"AAAAAC+tv/g=")</f>
        <v>#VALUE!</v>
      </c>
      <c r="IP157" t="e">
        <f>AND(DATA!I1067,"AAAAAC+tv/k=")</f>
        <v>#VALUE!</v>
      </c>
      <c r="IQ157" t="e">
        <f>AND(DATA!J1067,"AAAAAC+tv/o=")</f>
        <v>#VALUE!</v>
      </c>
      <c r="IR157" t="e">
        <f>AND(DATA!K1067,"AAAAAC+tv/s=")</f>
        <v>#VALUE!</v>
      </c>
      <c r="IS157" t="b">
        <f>AND(DATA!L1068,"AAAAAC+tv/w=")</f>
        <v>1</v>
      </c>
      <c r="IT157" t="b">
        <f>AND(DATA!M1068,"AAAAAC+tv/0=")</f>
        <v>1</v>
      </c>
      <c r="IU157" t="b">
        <f>AND(DATA!N1068,"AAAAAC+tv/4=")</f>
        <v>1</v>
      </c>
      <c r="IV157" t="b">
        <f>AND(DATA!O1068,"AAAAAC+tv/8=")</f>
        <v>1</v>
      </c>
    </row>
    <row r="158" spans="1:256" x14ac:dyDescent="0.25">
      <c r="A158" t="b">
        <f>AND(DATA!P1068,"AAAAAB+ebwA=")</f>
        <v>1</v>
      </c>
      <c r="B158" t="b">
        <f>AND(DATA!Q1068,"AAAAAB+ebwE=")</f>
        <v>1</v>
      </c>
      <c r="C158" t="b">
        <f>AND(DATA!R1068,"AAAAAB+ebwI=")</f>
        <v>1</v>
      </c>
      <c r="D158" t="b">
        <f>AND(DATA!S1068,"AAAAAB+ebwM=")</f>
        <v>1</v>
      </c>
      <c r="E158" t="b">
        <f>AND(DATA!T1068,"AAAAAB+ebwQ=")</f>
        <v>1</v>
      </c>
      <c r="F158" t="b">
        <f>AND(DATA!U1068,"AAAAAB+ebwU=")</f>
        <v>1</v>
      </c>
      <c r="G158" t="b">
        <f>AND(DATA!V1068,"AAAAAB+ebwY=")</f>
        <v>1</v>
      </c>
      <c r="H158" t="e">
        <f>AND(DATA!W1067,"AAAAAB+ebwc=")</f>
        <v>#VALUE!</v>
      </c>
      <c r="I158" t="e">
        <f>AND(DATA!X1067,"AAAAAB+ebwg=")</f>
        <v>#VALUE!</v>
      </c>
      <c r="J158" t="e">
        <f>AND(DATA!Y1067,"AAAAAB+ebwk=")</f>
        <v>#VALUE!</v>
      </c>
      <c r="K158">
        <f>IF(DATA!1068:1068,"AAAAAB+ebwo=",0)</f>
        <v>0</v>
      </c>
      <c r="L158" t="e">
        <f>AND(DATA!A1068,"AAAAAB+ebws=")</f>
        <v>#VALUE!</v>
      </c>
      <c r="M158" t="e">
        <f>AND(DATA!B1068,"AAAAAB+ebww=")</f>
        <v>#VALUE!</v>
      </c>
      <c r="N158" t="e">
        <f>AND(DATA!C1068,"AAAAAB+ebw0=")</f>
        <v>#VALUE!</v>
      </c>
      <c r="O158" t="e">
        <f>AND(DATA!D1068,"AAAAAB+ebw4=")</f>
        <v>#VALUE!</v>
      </c>
      <c r="P158" t="e">
        <f>AND(DATA!E1068,"AAAAAB+ebw8=")</f>
        <v>#VALUE!</v>
      </c>
      <c r="Q158" t="e">
        <f>AND(DATA!F1068,"AAAAAB+ebxA=")</f>
        <v>#VALUE!</v>
      </c>
      <c r="R158" t="e">
        <f>AND(DATA!G1068,"AAAAAB+ebxE=")</f>
        <v>#VALUE!</v>
      </c>
      <c r="S158" t="e">
        <f>AND(DATA!H1068,"AAAAAB+ebxI=")</f>
        <v>#VALUE!</v>
      </c>
      <c r="T158" t="e">
        <f>AND(DATA!I1068,"AAAAAB+ebxM=")</f>
        <v>#VALUE!</v>
      </c>
      <c r="U158" t="e">
        <f>AND(DATA!J1068,"AAAAAB+ebxQ=")</f>
        <v>#VALUE!</v>
      </c>
      <c r="V158" t="e">
        <f>AND(DATA!K1068,"AAAAAB+ebxU=")</f>
        <v>#VALUE!</v>
      </c>
      <c r="W158" t="b">
        <f>AND(DATA!L1069,"AAAAAB+ebxY=")</f>
        <v>1</v>
      </c>
      <c r="X158" t="b">
        <f>AND(DATA!M1069,"AAAAAB+ebxc=")</f>
        <v>1</v>
      </c>
      <c r="Y158" t="b">
        <f>AND(DATA!N1069,"AAAAAB+ebxg=")</f>
        <v>1</v>
      </c>
      <c r="Z158" t="b">
        <f>AND(DATA!O1069,"AAAAAB+ebxk=")</f>
        <v>1</v>
      </c>
      <c r="AA158" t="b">
        <f>AND(DATA!P1069,"AAAAAB+ebxo=")</f>
        <v>1</v>
      </c>
      <c r="AB158" t="b">
        <f>AND(DATA!Q1069,"AAAAAB+ebxs=")</f>
        <v>1</v>
      </c>
      <c r="AC158" t="b">
        <f>AND(DATA!R1069,"AAAAAB+ebxw=")</f>
        <v>1</v>
      </c>
      <c r="AD158" t="b">
        <f>AND(DATA!S1069,"AAAAAB+ebx0=")</f>
        <v>1</v>
      </c>
      <c r="AE158" t="b">
        <f>AND(DATA!T1069,"AAAAAB+ebx4=")</f>
        <v>1</v>
      </c>
      <c r="AF158" t="b">
        <f>AND(DATA!U1069,"AAAAAB+ebx8=")</f>
        <v>1</v>
      </c>
      <c r="AG158" t="b">
        <f>AND(DATA!V1069,"AAAAAB+ebyA=")</f>
        <v>1</v>
      </c>
      <c r="AH158" t="e">
        <f>AND(DATA!W1068,"AAAAAB+ebyE=")</f>
        <v>#VALUE!</v>
      </c>
      <c r="AI158" t="e">
        <f>AND(DATA!X1068,"AAAAAB+ebyI=")</f>
        <v>#VALUE!</v>
      </c>
      <c r="AJ158" t="e">
        <f>AND(DATA!Y1068,"AAAAAB+ebyM=")</f>
        <v>#VALUE!</v>
      </c>
      <c r="AK158">
        <f>IF(DATA!1069:1069,"AAAAAB+ebyQ=",0)</f>
        <v>0</v>
      </c>
      <c r="AL158" t="e">
        <f>AND(DATA!A1069,"AAAAAB+ebyU=")</f>
        <v>#VALUE!</v>
      </c>
      <c r="AM158" t="e">
        <f>AND(DATA!B1069,"AAAAAB+ebyY=")</f>
        <v>#VALUE!</v>
      </c>
      <c r="AN158" t="e">
        <f>AND(DATA!C1069,"AAAAAB+ebyc=")</f>
        <v>#VALUE!</v>
      </c>
      <c r="AO158" t="e">
        <f>AND(DATA!D1069,"AAAAAB+ebyg=")</f>
        <v>#VALUE!</v>
      </c>
      <c r="AP158" t="e">
        <f>AND(DATA!E1069,"AAAAAB+ebyk=")</f>
        <v>#VALUE!</v>
      </c>
      <c r="AQ158" t="e">
        <f>AND(DATA!F1069,"AAAAAB+ebyo=")</f>
        <v>#VALUE!</v>
      </c>
      <c r="AR158" t="e">
        <f>AND(DATA!G1069,"AAAAAB+ebys=")</f>
        <v>#VALUE!</v>
      </c>
      <c r="AS158" t="e">
        <f>AND(DATA!H1069,"AAAAAB+ebyw=")</f>
        <v>#VALUE!</v>
      </c>
      <c r="AT158" t="e">
        <f>AND(DATA!I1069,"AAAAAB+eby0=")</f>
        <v>#VALUE!</v>
      </c>
      <c r="AU158" t="e">
        <f>AND(DATA!J1069,"AAAAAB+eby4=")</f>
        <v>#VALUE!</v>
      </c>
      <c r="AV158" t="e">
        <f>AND(DATA!K1069,"AAAAAB+eby8=")</f>
        <v>#VALUE!</v>
      </c>
      <c r="AW158" t="b">
        <f>AND(DATA!L1070,"AAAAAB+ebzA=")</f>
        <v>1</v>
      </c>
      <c r="AX158" t="b">
        <f>AND(DATA!M1070,"AAAAAB+ebzE=")</f>
        <v>1</v>
      </c>
      <c r="AY158" t="b">
        <f>AND(DATA!N1070,"AAAAAB+ebzI=")</f>
        <v>1</v>
      </c>
      <c r="AZ158" t="b">
        <f>AND(DATA!O1070,"AAAAAB+ebzM=")</f>
        <v>1</v>
      </c>
      <c r="BA158" t="b">
        <f>AND(DATA!P1070,"AAAAAB+ebzQ=")</f>
        <v>1</v>
      </c>
      <c r="BB158" t="b">
        <f>AND(DATA!Q1070,"AAAAAB+ebzU=")</f>
        <v>1</v>
      </c>
      <c r="BC158" t="b">
        <f>AND(DATA!R1070,"AAAAAB+ebzY=")</f>
        <v>1</v>
      </c>
      <c r="BD158" t="b">
        <f>AND(DATA!S1070,"AAAAAB+ebzc=")</f>
        <v>1</v>
      </c>
      <c r="BE158" t="b">
        <f>AND(DATA!T1070,"AAAAAB+ebzg=")</f>
        <v>1</v>
      </c>
      <c r="BF158" t="b">
        <f>AND(DATA!U1070,"AAAAAB+ebzk=")</f>
        <v>1</v>
      </c>
      <c r="BG158" t="b">
        <f>AND(DATA!V1070,"AAAAAB+ebzo=")</f>
        <v>1</v>
      </c>
      <c r="BH158" t="e">
        <f>AND(DATA!W1069,"AAAAAB+ebzs=")</f>
        <v>#VALUE!</v>
      </c>
      <c r="BI158" t="e">
        <f>AND(DATA!X1069,"AAAAAB+ebzw=")</f>
        <v>#VALUE!</v>
      </c>
      <c r="BJ158" t="e">
        <f>AND(DATA!Y1069,"AAAAAB+ebz0=")</f>
        <v>#VALUE!</v>
      </c>
      <c r="BK158">
        <f>IF(DATA!1070:1070,"AAAAAB+ebz4=",0)</f>
        <v>0</v>
      </c>
      <c r="BL158" t="e">
        <f>AND(DATA!A1070,"AAAAAB+ebz8=")</f>
        <v>#VALUE!</v>
      </c>
      <c r="BM158" t="e">
        <f>AND(DATA!B1070,"AAAAAB+eb0A=")</f>
        <v>#VALUE!</v>
      </c>
      <c r="BN158" t="e">
        <f>AND(DATA!C1070,"AAAAAB+eb0E=")</f>
        <v>#VALUE!</v>
      </c>
      <c r="BO158" t="e">
        <f>AND(DATA!D1070,"AAAAAB+eb0I=")</f>
        <v>#VALUE!</v>
      </c>
      <c r="BP158" t="e">
        <f>AND(DATA!E1070,"AAAAAB+eb0M=")</f>
        <v>#VALUE!</v>
      </c>
      <c r="BQ158" t="e">
        <f>AND(DATA!F1070,"AAAAAB+eb0Q=")</f>
        <v>#VALUE!</v>
      </c>
      <c r="BR158" t="e">
        <f>AND(DATA!G1070,"AAAAAB+eb0U=")</f>
        <v>#VALUE!</v>
      </c>
      <c r="BS158" t="e">
        <f>AND(DATA!H1070,"AAAAAB+eb0Y=")</f>
        <v>#VALUE!</v>
      </c>
      <c r="BT158" t="e">
        <f>AND(DATA!I1070,"AAAAAB+eb0c=")</f>
        <v>#VALUE!</v>
      </c>
      <c r="BU158" t="e">
        <f>AND(DATA!J1070,"AAAAAB+eb0g=")</f>
        <v>#VALUE!</v>
      </c>
      <c r="BV158" t="e">
        <f>AND(DATA!K1070,"AAAAAB+eb0k=")</f>
        <v>#VALUE!</v>
      </c>
      <c r="BW158" t="b">
        <f>AND(DATA!L1071,"AAAAAB+eb0o=")</f>
        <v>1</v>
      </c>
      <c r="BX158" t="b">
        <f>AND(DATA!M1071,"AAAAAB+eb0s=")</f>
        <v>1</v>
      </c>
      <c r="BY158" t="b">
        <f>AND(DATA!N1071,"AAAAAB+eb0w=")</f>
        <v>1</v>
      </c>
      <c r="BZ158" t="b">
        <f>AND(DATA!O1071,"AAAAAB+eb00=")</f>
        <v>1</v>
      </c>
      <c r="CA158" t="b">
        <f>AND(DATA!P1071,"AAAAAB+eb04=")</f>
        <v>1</v>
      </c>
      <c r="CB158" t="b">
        <f>AND(DATA!Q1071,"AAAAAB+eb08=")</f>
        <v>1</v>
      </c>
      <c r="CC158" t="b">
        <f>AND(DATA!R1071,"AAAAAB+eb1A=")</f>
        <v>1</v>
      </c>
      <c r="CD158" t="b">
        <f>AND(DATA!S1071,"AAAAAB+eb1E=")</f>
        <v>1</v>
      </c>
      <c r="CE158" t="b">
        <f>AND(DATA!T1071,"AAAAAB+eb1I=")</f>
        <v>1</v>
      </c>
      <c r="CF158" t="b">
        <f>AND(DATA!U1071,"AAAAAB+eb1M=")</f>
        <v>1</v>
      </c>
      <c r="CG158" t="b">
        <f>AND(DATA!V1071,"AAAAAB+eb1Q=")</f>
        <v>1</v>
      </c>
      <c r="CH158" t="e">
        <f>AND(DATA!W1070,"AAAAAB+eb1U=")</f>
        <v>#VALUE!</v>
      </c>
      <c r="CI158" t="e">
        <f>AND(DATA!X1070,"AAAAAB+eb1Y=")</f>
        <v>#VALUE!</v>
      </c>
      <c r="CJ158" t="e">
        <f>AND(DATA!Y1070,"AAAAAB+eb1c=")</f>
        <v>#VALUE!</v>
      </c>
      <c r="CK158">
        <f>IF(DATA!1071:1071,"AAAAAB+eb1g=",0)</f>
        <v>0</v>
      </c>
      <c r="CL158" t="e">
        <f>AND(DATA!A1071,"AAAAAB+eb1k=")</f>
        <v>#VALUE!</v>
      </c>
      <c r="CM158" t="e">
        <f>AND(DATA!B1071,"AAAAAB+eb1o=")</f>
        <v>#VALUE!</v>
      </c>
      <c r="CN158" t="e">
        <f>AND(DATA!C1071,"AAAAAB+eb1s=")</f>
        <v>#VALUE!</v>
      </c>
      <c r="CO158" t="e">
        <f>AND(DATA!D1071,"AAAAAB+eb1w=")</f>
        <v>#VALUE!</v>
      </c>
      <c r="CP158" t="e">
        <f>AND(DATA!E1071,"AAAAAB+eb10=")</f>
        <v>#VALUE!</v>
      </c>
      <c r="CQ158" t="e">
        <f>AND(DATA!F1071,"AAAAAB+eb14=")</f>
        <v>#VALUE!</v>
      </c>
      <c r="CR158" t="e">
        <f>AND(DATA!G1071,"AAAAAB+eb18=")</f>
        <v>#VALUE!</v>
      </c>
      <c r="CS158" t="e">
        <f>AND(DATA!H1071,"AAAAAB+eb2A=")</f>
        <v>#VALUE!</v>
      </c>
      <c r="CT158" t="e">
        <f>AND(DATA!I1071,"AAAAAB+eb2E=")</f>
        <v>#VALUE!</v>
      </c>
      <c r="CU158" t="e">
        <f>AND(DATA!J1071,"AAAAAB+eb2I=")</f>
        <v>#VALUE!</v>
      </c>
      <c r="CV158" t="e">
        <f>AND(DATA!K1071,"AAAAAB+eb2M=")</f>
        <v>#VALUE!</v>
      </c>
      <c r="CW158" t="b">
        <f>AND(DATA!L1072,"AAAAAB+eb2Q=")</f>
        <v>1</v>
      </c>
      <c r="CX158" t="b">
        <f>AND(DATA!M1072,"AAAAAB+eb2U=")</f>
        <v>1</v>
      </c>
      <c r="CY158" t="b">
        <f>AND(DATA!N1072,"AAAAAB+eb2Y=")</f>
        <v>1</v>
      </c>
      <c r="CZ158" t="b">
        <f>AND(DATA!O1072,"AAAAAB+eb2c=")</f>
        <v>1</v>
      </c>
      <c r="DA158" t="b">
        <f>AND(DATA!P1072,"AAAAAB+eb2g=")</f>
        <v>1</v>
      </c>
      <c r="DB158" t="b">
        <f>AND(DATA!Q1072,"AAAAAB+eb2k=")</f>
        <v>1</v>
      </c>
      <c r="DC158" t="b">
        <f>AND(DATA!R1072,"AAAAAB+eb2o=")</f>
        <v>1</v>
      </c>
      <c r="DD158" t="b">
        <f>AND(DATA!S1072,"AAAAAB+eb2s=")</f>
        <v>1</v>
      </c>
      <c r="DE158" t="b">
        <f>AND(DATA!T1072,"AAAAAB+eb2w=")</f>
        <v>1</v>
      </c>
      <c r="DF158" t="b">
        <f>AND(DATA!U1072,"AAAAAB+eb20=")</f>
        <v>1</v>
      </c>
      <c r="DG158" t="b">
        <f>AND(DATA!V1072,"AAAAAB+eb24=")</f>
        <v>1</v>
      </c>
      <c r="DH158" t="e">
        <f>AND(DATA!W1071,"AAAAAB+eb28=")</f>
        <v>#VALUE!</v>
      </c>
      <c r="DI158" t="e">
        <f>AND(DATA!X1071,"AAAAAB+eb3A=")</f>
        <v>#VALUE!</v>
      </c>
      <c r="DJ158" t="e">
        <f>AND(DATA!Y1071,"AAAAAB+eb3E=")</f>
        <v>#VALUE!</v>
      </c>
      <c r="DK158">
        <f>IF(DATA!1072:1072,"AAAAAB+eb3I=",0)</f>
        <v>0</v>
      </c>
      <c r="DL158" t="e">
        <f>AND(DATA!A1072,"AAAAAB+eb3M=")</f>
        <v>#VALUE!</v>
      </c>
      <c r="DM158" t="e">
        <f>AND(DATA!B1072,"AAAAAB+eb3Q=")</f>
        <v>#VALUE!</v>
      </c>
      <c r="DN158" t="e">
        <f>AND(DATA!C1072,"AAAAAB+eb3U=")</f>
        <v>#VALUE!</v>
      </c>
      <c r="DO158" t="e">
        <f>AND(DATA!D1072,"AAAAAB+eb3Y=")</f>
        <v>#VALUE!</v>
      </c>
      <c r="DP158" t="e">
        <f>AND(DATA!E1072,"AAAAAB+eb3c=")</f>
        <v>#VALUE!</v>
      </c>
      <c r="DQ158" t="e">
        <f>AND(DATA!F1072,"AAAAAB+eb3g=")</f>
        <v>#VALUE!</v>
      </c>
      <c r="DR158" t="e">
        <f>AND(DATA!G1072,"AAAAAB+eb3k=")</f>
        <v>#VALUE!</v>
      </c>
      <c r="DS158" t="e">
        <f>AND(DATA!H1072,"AAAAAB+eb3o=")</f>
        <v>#VALUE!</v>
      </c>
      <c r="DT158" t="e">
        <f>AND(DATA!I1072,"AAAAAB+eb3s=")</f>
        <v>#VALUE!</v>
      </c>
      <c r="DU158" t="e">
        <f>AND(DATA!J1072,"AAAAAB+eb3w=")</f>
        <v>#VALUE!</v>
      </c>
      <c r="DV158" t="e">
        <f>AND(DATA!K1072,"AAAAAB+eb30=")</f>
        <v>#VALUE!</v>
      </c>
      <c r="DW158" t="b">
        <f>AND(DATA!L1073,"AAAAAB+eb34=")</f>
        <v>1</v>
      </c>
      <c r="DX158" t="b">
        <f>AND(DATA!M1073,"AAAAAB+eb38=")</f>
        <v>1</v>
      </c>
      <c r="DY158" t="b">
        <f>AND(DATA!N1073,"AAAAAB+eb4A=")</f>
        <v>1</v>
      </c>
      <c r="DZ158" t="b">
        <f>AND(DATA!O1073,"AAAAAB+eb4E=")</f>
        <v>1</v>
      </c>
      <c r="EA158" t="b">
        <f>AND(DATA!P1073,"AAAAAB+eb4I=")</f>
        <v>1</v>
      </c>
      <c r="EB158" t="b">
        <f>AND(DATA!Q1073,"AAAAAB+eb4M=")</f>
        <v>1</v>
      </c>
      <c r="EC158" t="b">
        <f>AND(DATA!R1073,"AAAAAB+eb4Q=")</f>
        <v>1</v>
      </c>
      <c r="ED158" t="b">
        <f>AND(DATA!S1073,"AAAAAB+eb4U=")</f>
        <v>1</v>
      </c>
      <c r="EE158" t="b">
        <f>AND(DATA!T1073,"AAAAAB+eb4Y=")</f>
        <v>1</v>
      </c>
      <c r="EF158" t="b">
        <f>AND(DATA!U1073,"AAAAAB+eb4c=")</f>
        <v>1</v>
      </c>
      <c r="EG158" t="b">
        <f>AND(DATA!V1073,"AAAAAB+eb4g=")</f>
        <v>1</v>
      </c>
      <c r="EH158" t="e">
        <f>AND(DATA!W1072,"AAAAAB+eb4k=")</f>
        <v>#VALUE!</v>
      </c>
      <c r="EI158" t="e">
        <f>AND(DATA!X1072,"AAAAAB+eb4o=")</f>
        <v>#VALUE!</v>
      </c>
      <c r="EJ158" t="e">
        <f>AND(DATA!Y1072,"AAAAAB+eb4s=")</f>
        <v>#VALUE!</v>
      </c>
      <c r="EK158">
        <f>IF(DATA!1073:1073,"AAAAAB+eb4w=",0)</f>
        <v>0</v>
      </c>
      <c r="EL158" t="e">
        <f>AND(DATA!A1073,"AAAAAB+eb40=")</f>
        <v>#VALUE!</v>
      </c>
      <c r="EM158" t="e">
        <f>AND(DATA!B1073,"AAAAAB+eb44=")</f>
        <v>#VALUE!</v>
      </c>
      <c r="EN158" t="e">
        <f>AND(DATA!C1073,"AAAAAB+eb48=")</f>
        <v>#VALUE!</v>
      </c>
      <c r="EO158" t="e">
        <f>AND(DATA!D1073,"AAAAAB+eb5A=")</f>
        <v>#VALUE!</v>
      </c>
      <c r="EP158" t="e">
        <f>AND(DATA!E1073,"AAAAAB+eb5E=")</f>
        <v>#VALUE!</v>
      </c>
      <c r="EQ158" t="e">
        <f>AND(DATA!F1073,"AAAAAB+eb5I=")</f>
        <v>#VALUE!</v>
      </c>
      <c r="ER158" t="e">
        <f>AND(DATA!G1073,"AAAAAB+eb5M=")</f>
        <v>#VALUE!</v>
      </c>
      <c r="ES158" t="e">
        <f>AND(DATA!H1073,"AAAAAB+eb5Q=")</f>
        <v>#VALUE!</v>
      </c>
      <c r="ET158" t="e">
        <f>AND(DATA!I1073,"AAAAAB+eb5U=")</f>
        <v>#VALUE!</v>
      </c>
      <c r="EU158" t="e">
        <f>AND(DATA!J1073,"AAAAAB+eb5Y=")</f>
        <v>#VALUE!</v>
      </c>
      <c r="EV158" t="e">
        <f>AND(DATA!K1073,"AAAAAB+eb5c=")</f>
        <v>#VALUE!</v>
      </c>
      <c r="EW158" t="b">
        <f>AND(DATA!L1074,"AAAAAB+eb5g=")</f>
        <v>1</v>
      </c>
      <c r="EX158" t="b">
        <f>AND(DATA!M1074,"AAAAAB+eb5k=")</f>
        <v>1</v>
      </c>
      <c r="EY158" t="b">
        <f>AND(DATA!N1074,"AAAAAB+eb5o=")</f>
        <v>1</v>
      </c>
      <c r="EZ158" t="b">
        <f>AND(DATA!O1074,"AAAAAB+eb5s=")</f>
        <v>1</v>
      </c>
      <c r="FA158" t="b">
        <f>AND(DATA!P1074,"AAAAAB+eb5w=")</f>
        <v>1</v>
      </c>
      <c r="FB158" t="b">
        <f>AND(DATA!Q1074,"AAAAAB+eb50=")</f>
        <v>1</v>
      </c>
      <c r="FC158" t="b">
        <f>AND(DATA!R1074,"AAAAAB+eb54=")</f>
        <v>1</v>
      </c>
      <c r="FD158" t="b">
        <f>AND(DATA!S1074,"AAAAAB+eb58=")</f>
        <v>1</v>
      </c>
      <c r="FE158" t="b">
        <f>AND(DATA!T1074,"AAAAAB+eb6A=")</f>
        <v>1</v>
      </c>
      <c r="FF158" t="b">
        <f>AND(DATA!U1074,"AAAAAB+eb6E=")</f>
        <v>1</v>
      </c>
      <c r="FG158" t="b">
        <f>AND(DATA!V1074,"AAAAAB+eb6I=")</f>
        <v>1</v>
      </c>
      <c r="FH158" t="e">
        <f>AND(DATA!W1073,"AAAAAB+eb6M=")</f>
        <v>#VALUE!</v>
      </c>
      <c r="FI158" t="e">
        <f>AND(DATA!X1073,"AAAAAB+eb6Q=")</f>
        <v>#VALUE!</v>
      </c>
      <c r="FJ158" t="e">
        <f>AND(DATA!Y1073,"AAAAAB+eb6U=")</f>
        <v>#VALUE!</v>
      </c>
      <c r="FK158">
        <f>IF(DATA!1074:1074,"AAAAAB+eb6Y=",0)</f>
        <v>0</v>
      </c>
      <c r="FL158" t="e">
        <f>AND(DATA!A1074,"AAAAAB+eb6c=")</f>
        <v>#VALUE!</v>
      </c>
      <c r="FM158" t="e">
        <f>AND(DATA!B1074,"AAAAAB+eb6g=")</f>
        <v>#VALUE!</v>
      </c>
      <c r="FN158" t="e">
        <f>AND(DATA!C1074,"AAAAAB+eb6k=")</f>
        <v>#VALUE!</v>
      </c>
      <c r="FO158" t="e">
        <f>AND(DATA!D1074,"AAAAAB+eb6o=")</f>
        <v>#VALUE!</v>
      </c>
      <c r="FP158" t="e">
        <f>AND(DATA!E1074,"AAAAAB+eb6s=")</f>
        <v>#VALUE!</v>
      </c>
      <c r="FQ158" t="e">
        <f>AND(DATA!F1074,"AAAAAB+eb6w=")</f>
        <v>#VALUE!</v>
      </c>
      <c r="FR158" t="e">
        <f>AND(DATA!G1074,"AAAAAB+eb60=")</f>
        <v>#VALUE!</v>
      </c>
      <c r="FS158" t="e">
        <f>AND(DATA!H1074,"AAAAAB+eb64=")</f>
        <v>#VALUE!</v>
      </c>
      <c r="FT158" t="e">
        <f>AND(DATA!I1074,"AAAAAB+eb68=")</f>
        <v>#VALUE!</v>
      </c>
      <c r="FU158" t="e">
        <f>AND(DATA!J1074,"AAAAAB+eb7A=")</f>
        <v>#VALUE!</v>
      </c>
      <c r="FV158" t="e">
        <f>AND(DATA!K1074,"AAAAAB+eb7E=")</f>
        <v>#VALUE!</v>
      </c>
      <c r="FW158" t="b">
        <f>AND(DATA!L1075,"AAAAAB+eb7I=")</f>
        <v>1</v>
      </c>
      <c r="FX158" t="b">
        <f>AND(DATA!M1075,"AAAAAB+eb7M=")</f>
        <v>1</v>
      </c>
      <c r="FY158" t="b">
        <f>AND(DATA!N1075,"AAAAAB+eb7Q=")</f>
        <v>1</v>
      </c>
      <c r="FZ158" t="b">
        <f>AND(DATA!O1075,"AAAAAB+eb7U=")</f>
        <v>1</v>
      </c>
      <c r="GA158" t="b">
        <f>AND(DATA!P1075,"AAAAAB+eb7Y=")</f>
        <v>1</v>
      </c>
      <c r="GB158" t="b">
        <f>AND(DATA!Q1075,"AAAAAB+eb7c=")</f>
        <v>1</v>
      </c>
      <c r="GC158" t="b">
        <f>AND(DATA!R1075,"AAAAAB+eb7g=")</f>
        <v>1</v>
      </c>
      <c r="GD158" t="b">
        <f>AND(DATA!S1075,"AAAAAB+eb7k=")</f>
        <v>1</v>
      </c>
      <c r="GE158" t="b">
        <f>AND(DATA!T1075,"AAAAAB+eb7o=")</f>
        <v>1</v>
      </c>
      <c r="GF158" t="b">
        <f>AND(DATA!U1075,"AAAAAB+eb7s=")</f>
        <v>1</v>
      </c>
      <c r="GG158" t="b">
        <f>AND(DATA!V1075,"AAAAAB+eb7w=")</f>
        <v>1</v>
      </c>
      <c r="GH158" t="e">
        <f>AND(DATA!W1074,"AAAAAB+eb70=")</f>
        <v>#VALUE!</v>
      </c>
      <c r="GI158" t="e">
        <f>AND(DATA!X1074,"AAAAAB+eb74=")</f>
        <v>#VALUE!</v>
      </c>
      <c r="GJ158" t="e">
        <f>AND(DATA!Y1074,"AAAAAB+eb78=")</f>
        <v>#VALUE!</v>
      </c>
      <c r="GK158">
        <f>IF(DATA!1075:1075,"AAAAAB+eb8A=",0)</f>
        <v>0</v>
      </c>
      <c r="GL158" t="e">
        <f>AND(DATA!A1075,"AAAAAB+eb8E=")</f>
        <v>#VALUE!</v>
      </c>
      <c r="GM158" t="e">
        <f>AND(DATA!B1075,"AAAAAB+eb8I=")</f>
        <v>#VALUE!</v>
      </c>
      <c r="GN158" t="e">
        <f>AND(DATA!C1075,"AAAAAB+eb8M=")</f>
        <v>#VALUE!</v>
      </c>
      <c r="GO158" t="e">
        <f>AND(DATA!D1075,"AAAAAB+eb8Q=")</f>
        <v>#VALUE!</v>
      </c>
      <c r="GP158" t="e">
        <f>AND(DATA!E1075,"AAAAAB+eb8U=")</f>
        <v>#VALUE!</v>
      </c>
      <c r="GQ158" t="e">
        <f>AND(DATA!F1075,"AAAAAB+eb8Y=")</f>
        <v>#VALUE!</v>
      </c>
      <c r="GR158" t="e">
        <f>AND(DATA!G1075,"AAAAAB+eb8c=")</f>
        <v>#VALUE!</v>
      </c>
      <c r="GS158" t="e">
        <f>AND(DATA!H1075,"AAAAAB+eb8g=")</f>
        <v>#VALUE!</v>
      </c>
      <c r="GT158" t="e">
        <f>AND(DATA!I1075,"AAAAAB+eb8k=")</f>
        <v>#VALUE!</v>
      </c>
      <c r="GU158" t="e">
        <f>AND(DATA!J1075,"AAAAAB+eb8o=")</f>
        <v>#VALUE!</v>
      </c>
      <c r="GV158" t="e">
        <f>AND(DATA!K1075,"AAAAAB+eb8s=")</f>
        <v>#VALUE!</v>
      </c>
      <c r="GW158" t="b">
        <f>AND(DATA!L1076,"AAAAAB+eb8w=")</f>
        <v>1</v>
      </c>
      <c r="GX158" t="b">
        <f>AND(DATA!M1076,"AAAAAB+eb80=")</f>
        <v>1</v>
      </c>
      <c r="GY158" t="b">
        <f>AND(DATA!N1076,"AAAAAB+eb84=")</f>
        <v>1</v>
      </c>
      <c r="GZ158" t="b">
        <f>AND(DATA!O1076,"AAAAAB+eb88=")</f>
        <v>1</v>
      </c>
      <c r="HA158" t="b">
        <f>AND(DATA!P1076,"AAAAAB+eb9A=")</f>
        <v>1</v>
      </c>
      <c r="HB158" t="b">
        <f>AND(DATA!Q1076,"AAAAAB+eb9E=")</f>
        <v>1</v>
      </c>
      <c r="HC158" t="b">
        <f>AND(DATA!R1076,"AAAAAB+eb9I=")</f>
        <v>1</v>
      </c>
      <c r="HD158" t="b">
        <f>AND(DATA!S1076,"AAAAAB+eb9M=")</f>
        <v>1</v>
      </c>
      <c r="HE158" t="b">
        <f>AND(DATA!T1076,"AAAAAB+eb9Q=")</f>
        <v>1</v>
      </c>
      <c r="HF158" t="b">
        <f>AND(DATA!U1076,"AAAAAB+eb9U=")</f>
        <v>1</v>
      </c>
      <c r="HG158" t="b">
        <f>AND(DATA!V1076,"AAAAAB+eb9Y=")</f>
        <v>1</v>
      </c>
      <c r="HH158" t="e">
        <f>AND(DATA!W1075,"AAAAAB+eb9c=")</f>
        <v>#VALUE!</v>
      </c>
      <c r="HI158" t="e">
        <f>AND(DATA!X1075,"AAAAAB+eb9g=")</f>
        <v>#VALUE!</v>
      </c>
      <c r="HJ158" t="e">
        <f>AND(DATA!Y1075,"AAAAAB+eb9k=")</f>
        <v>#VALUE!</v>
      </c>
      <c r="HK158">
        <f>IF(DATA!1076:1076,"AAAAAB+eb9o=",0)</f>
        <v>0</v>
      </c>
      <c r="HL158" t="e">
        <f>AND(DATA!A1076,"AAAAAB+eb9s=")</f>
        <v>#VALUE!</v>
      </c>
      <c r="HM158" t="e">
        <f>AND(DATA!B1076,"AAAAAB+eb9w=")</f>
        <v>#VALUE!</v>
      </c>
      <c r="HN158" t="e">
        <f>AND(DATA!C1076,"AAAAAB+eb90=")</f>
        <v>#VALUE!</v>
      </c>
      <c r="HO158" t="e">
        <f>AND(DATA!D1076,"AAAAAB+eb94=")</f>
        <v>#VALUE!</v>
      </c>
      <c r="HP158" t="e">
        <f>AND(DATA!E1076,"AAAAAB+eb98=")</f>
        <v>#VALUE!</v>
      </c>
      <c r="HQ158" t="e">
        <f>AND(DATA!F1076,"AAAAAB+eb+A=")</f>
        <v>#VALUE!</v>
      </c>
      <c r="HR158" t="e">
        <f>AND(DATA!G1076,"AAAAAB+eb+E=")</f>
        <v>#VALUE!</v>
      </c>
      <c r="HS158" t="e">
        <f>AND(DATA!H1076,"AAAAAB+eb+I=")</f>
        <v>#VALUE!</v>
      </c>
      <c r="HT158" t="e">
        <f>AND(DATA!I1076,"AAAAAB+eb+M=")</f>
        <v>#VALUE!</v>
      </c>
      <c r="HU158" t="e">
        <f>AND(DATA!J1076,"AAAAAB+eb+Q=")</f>
        <v>#VALUE!</v>
      </c>
      <c r="HV158" t="e">
        <f>AND(DATA!K1076,"AAAAAB+eb+U=")</f>
        <v>#VALUE!</v>
      </c>
      <c r="HW158" t="b">
        <f>AND(DATA!L1077,"AAAAAB+eb+Y=")</f>
        <v>1</v>
      </c>
      <c r="HX158" t="b">
        <f>AND(DATA!M1077,"AAAAAB+eb+c=")</f>
        <v>1</v>
      </c>
      <c r="HY158" t="b">
        <f>AND(DATA!N1077,"AAAAAB+eb+g=")</f>
        <v>1</v>
      </c>
      <c r="HZ158" t="b">
        <f>AND(DATA!O1077,"AAAAAB+eb+k=")</f>
        <v>1</v>
      </c>
      <c r="IA158" t="b">
        <f>AND(DATA!P1077,"AAAAAB+eb+o=")</f>
        <v>1</v>
      </c>
      <c r="IB158" t="b">
        <f>AND(DATA!Q1077,"AAAAAB+eb+s=")</f>
        <v>1</v>
      </c>
      <c r="IC158" t="b">
        <f>AND(DATA!R1077,"AAAAAB+eb+w=")</f>
        <v>1</v>
      </c>
      <c r="ID158" t="b">
        <f>AND(DATA!S1077,"AAAAAB+eb+0=")</f>
        <v>1</v>
      </c>
      <c r="IE158" t="b">
        <f>AND(DATA!T1077,"AAAAAB+eb+4=")</f>
        <v>1</v>
      </c>
      <c r="IF158" t="b">
        <f>AND(DATA!U1077,"AAAAAB+eb+8=")</f>
        <v>1</v>
      </c>
      <c r="IG158" t="b">
        <f>AND(DATA!V1077,"AAAAAB+eb/A=")</f>
        <v>1</v>
      </c>
      <c r="IH158" t="e">
        <f>AND(DATA!W1076,"AAAAAB+eb/E=")</f>
        <v>#VALUE!</v>
      </c>
      <c r="II158" t="e">
        <f>AND(DATA!X1076,"AAAAAB+eb/I=")</f>
        <v>#VALUE!</v>
      </c>
      <c r="IJ158" t="e">
        <f>AND(DATA!Y1076,"AAAAAB+eb/M=")</f>
        <v>#VALUE!</v>
      </c>
      <c r="IK158">
        <f>IF(DATA!1077:1077,"AAAAAB+eb/Q=",0)</f>
        <v>0</v>
      </c>
      <c r="IL158" t="e">
        <f>AND(DATA!A1077,"AAAAAB+eb/U=")</f>
        <v>#VALUE!</v>
      </c>
      <c r="IM158" t="e">
        <f>AND(DATA!B1077,"AAAAAB+eb/Y=")</f>
        <v>#VALUE!</v>
      </c>
      <c r="IN158" t="e">
        <f>AND(DATA!C1077,"AAAAAB+eb/c=")</f>
        <v>#VALUE!</v>
      </c>
      <c r="IO158" t="e">
        <f>AND(DATA!D1077,"AAAAAB+eb/g=")</f>
        <v>#VALUE!</v>
      </c>
      <c r="IP158" t="e">
        <f>AND(DATA!E1077,"AAAAAB+eb/k=")</f>
        <v>#VALUE!</v>
      </c>
      <c r="IQ158" t="e">
        <f>AND(DATA!F1077,"AAAAAB+eb/o=")</f>
        <v>#VALUE!</v>
      </c>
      <c r="IR158" t="e">
        <f>AND(DATA!G1077,"AAAAAB+eb/s=")</f>
        <v>#VALUE!</v>
      </c>
      <c r="IS158" t="e">
        <f>AND(DATA!H1077,"AAAAAB+eb/w=")</f>
        <v>#VALUE!</v>
      </c>
      <c r="IT158" t="e">
        <f>AND(DATA!I1077,"AAAAAB+eb/0=")</f>
        <v>#VALUE!</v>
      </c>
      <c r="IU158" t="e">
        <f>AND(DATA!J1077,"AAAAAB+eb/4=")</f>
        <v>#VALUE!</v>
      </c>
      <c r="IV158" t="e">
        <f>AND(DATA!K1077,"AAAAAB+eb/8=")</f>
        <v>#VALUE!</v>
      </c>
    </row>
    <row r="159" spans="1:256" x14ac:dyDescent="0.25">
      <c r="A159" t="b">
        <f>AND(DATA!L1078,"AAAAAHv/1wA=")</f>
        <v>1</v>
      </c>
      <c r="B159" t="b">
        <f>AND(DATA!M1078,"AAAAAHv/1wE=")</f>
        <v>1</v>
      </c>
      <c r="C159" t="b">
        <f>AND(DATA!N1078,"AAAAAHv/1wI=")</f>
        <v>1</v>
      </c>
      <c r="D159" t="b">
        <f>AND(DATA!O1078,"AAAAAHv/1wM=")</f>
        <v>1</v>
      </c>
      <c r="E159" t="b">
        <f>AND(DATA!P1078,"AAAAAHv/1wQ=")</f>
        <v>1</v>
      </c>
      <c r="F159" t="b">
        <f>AND(DATA!Q1078,"AAAAAHv/1wU=")</f>
        <v>1</v>
      </c>
      <c r="G159" t="b">
        <f>AND(DATA!R1078,"AAAAAHv/1wY=")</f>
        <v>1</v>
      </c>
      <c r="H159" t="b">
        <f>AND(DATA!S1078,"AAAAAHv/1wc=")</f>
        <v>1</v>
      </c>
      <c r="I159" t="b">
        <f>AND(DATA!T1078,"AAAAAHv/1wg=")</f>
        <v>1</v>
      </c>
      <c r="J159" t="b">
        <f>AND(DATA!U1078,"AAAAAHv/1wk=")</f>
        <v>1</v>
      </c>
      <c r="K159" t="b">
        <f>AND(DATA!V1078,"AAAAAHv/1wo=")</f>
        <v>1</v>
      </c>
      <c r="L159" t="e">
        <f>AND(DATA!W1077,"AAAAAHv/1ws=")</f>
        <v>#VALUE!</v>
      </c>
      <c r="M159" t="e">
        <f>AND(DATA!X1077,"AAAAAHv/1ww=")</f>
        <v>#VALUE!</v>
      </c>
      <c r="N159" t="e">
        <f>AND(DATA!Y1077,"AAAAAHv/1w0=")</f>
        <v>#VALUE!</v>
      </c>
      <c r="O159" t="str">
        <f>IF(DATA!1078:1078,"AAAAAHv/1w4=",0)</f>
        <v>AAAAAHv/1w4=</v>
      </c>
      <c r="P159" t="e">
        <f>AND(DATA!A1078,"AAAAAHv/1w8=")</f>
        <v>#VALUE!</v>
      </c>
      <c r="Q159" t="e">
        <f>AND(DATA!B1078,"AAAAAHv/1xA=")</f>
        <v>#VALUE!</v>
      </c>
      <c r="R159" t="e">
        <f>AND(DATA!C1078,"AAAAAHv/1xE=")</f>
        <v>#VALUE!</v>
      </c>
      <c r="S159" t="e">
        <f>AND(DATA!D1078,"AAAAAHv/1xI=")</f>
        <v>#VALUE!</v>
      </c>
      <c r="T159" t="e">
        <f>AND(DATA!E1078,"AAAAAHv/1xM=")</f>
        <v>#VALUE!</v>
      </c>
      <c r="U159" t="e">
        <f>AND(DATA!F1078,"AAAAAHv/1xQ=")</f>
        <v>#VALUE!</v>
      </c>
      <c r="V159" t="e">
        <f>AND(DATA!G1078,"AAAAAHv/1xU=")</f>
        <v>#VALUE!</v>
      </c>
      <c r="W159" t="e">
        <f>AND(DATA!H1078,"AAAAAHv/1xY=")</f>
        <v>#VALUE!</v>
      </c>
      <c r="X159" t="e">
        <f>AND(DATA!I1078,"AAAAAHv/1xc=")</f>
        <v>#VALUE!</v>
      </c>
      <c r="Y159" t="e">
        <f>AND(DATA!J1078,"AAAAAHv/1xg=")</f>
        <v>#VALUE!</v>
      </c>
      <c r="Z159" t="e">
        <f>AND(DATA!K1078,"AAAAAHv/1xk=")</f>
        <v>#VALUE!</v>
      </c>
      <c r="AA159" t="b">
        <f>AND(DATA!L1079,"AAAAAHv/1xo=")</f>
        <v>1</v>
      </c>
      <c r="AB159" t="b">
        <f>AND(DATA!M1079,"AAAAAHv/1xs=")</f>
        <v>1</v>
      </c>
      <c r="AC159" t="b">
        <f>AND(DATA!N1079,"AAAAAHv/1xw=")</f>
        <v>1</v>
      </c>
      <c r="AD159" t="b">
        <f>AND(DATA!O1079,"AAAAAHv/1x0=")</f>
        <v>1</v>
      </c>
      <c r="AE159" t="b">
        <f>AND(DATA!P1079,"AAAAAHv/1x4=")</f>
        <v>1</v>
      </c>
      <c r="AF159" t="b">
        <f>AND(DATA!Q1079,"AAAAAHv/1x8=")</f>
        <v>1</v>
      </c>
      <c r="AG159" t="b">
        <f>AND(DATA!R1079,"AAAAAHv/1yA=")</f>
        <v>1</v>
      </c>
      <c r="AH159" t="b">
        <f>AND(DATA!S1079,"AAAAAHv/1yE=")</f>
        <v>1</v>
      </c>
      <c r="AI159" t="b">
        <f>AND(DATA!T1079,"AAAAAHv/1yI=")</f>
        <v>1</v>
      </c>
      <c r="AJ159" t="b">
        <f>AND(DATA!U1079,"AAAAAHv/1yM=")</f>
        <v>1</v>
      </c>
      <c r="AK159" t="b">
        <f>AND(DATA!V1079,"AAAAAHv/1yQ=")</f>
        <v>1</v>
      </c>
      <c r="AL159" t="e">
        <f>AND(DATA!W1078,"AAAAAHv/1yU=")</f>
        <v>#VALUE!</v>
      </c>
      <c r="AM159" t="e">
        <f>AND(DATA!X1078,"AAAAAHv/1yY=")</f>
        <v>#VALUE!</v>
      </c>
      <c r="AN159" t="e">
        <f>AND(DATA!Y1078,"AAAAAHv/1yc=")</f>
        <v>#VALUE!</v>
      </c>
      <c r="AO159">
        <f>IF(DATA!1079:1079,"AAAAAHv/1yg=",0)</f>
        <v>0</v>
      </c>
      <c r="AP159" t="e">
        <f>AND(DATA!A1079,"AAAAAHv/1yk=")</f>
        <v>#VALUE!</v>
      </c>
      <c r="AQ159" t="e">
        <f>AND(DATA!B1079,"AAAAAHv/1yo=")</f>
        <v>#VALUE!</v>
      </c>
      <c r="AR159" t="e">
        <f>AND(DATA!C1079,"AAAAAHv/1ys=")</f>
        <v>#VALUE!</v>
      </c>
      <c r="AS159" t="e">
        <f>AND(DATA!D1079,"AAAAAHv/1yw=")</f>
        <v>#VALUE!</v>
      </c>
      <c r="AT159" t="e">
        <f>AND(DATA!E1079,"AAAAAHv/1y0=")</f>
        <v>#VALUE!</v>
      </c>
      <c r="AU159" t="e">
        <f>AND(DATA!F1079,"AAAAAHv/1y4=")</f>
        <v>#VALUE!</v>
      </c>
      <c r="AV159" t="e">
        <f>AND(DATA!G1079,"AAAAAHv/1y8=")</f>
        <v>#VALUE!</v>
      </c>
      <c r="AW159" t="e">
        <f>AND(DATA!H1079,"AAAAAHv/1zA=")</f>
        <v>#VALUE!</v>
      </c>
      <c r="AX159" t="e">
        <f>AND(DATA!I1079,"AAAAAHv/1zE=")</f>
        <v>#VALUE!</v>
      </c>
      <c r="AY159" t="e">
        <f>AND(DATA!J1079,"AAAAAHv/1zI=")</f>
        <v>#VALUE!</v>
      </c>
      <c r="AZ159" t="e">
        <f>AND(DATA!K1079,"AAAAAHv/1zM=")</f>
        <v>#VALUE!</v>
      </c>
      <c r="BA159" t="b">
        <f>AND(DATA!L1080,"AAAAAHv/1zQ=")</f>
        <v>1</v>
      </c>
      <c r="BB159" t="b">
        <f>AND(DATA!M1080,"AAAAAHv/1zU=")</f>
        <v>1</v>
      </c>
      <c r="BC159" t="b">
        <f>AND(DATA!N1080,"AAAAAHv/1zY=")</f>
        <v>1</v>
      </c>
      <c r="BD159" t="b">
        <f>AND(DATA!O1080,"AAAAAHv/1zc=")</f>
        <v>1</v>
      </c>
      <c r="BE159" t="b">
        <f>AND(DATA!P1080,"AAAAAHv/1zg=")</f>
        <v>1</v>
      </c>
      <c r="BF159" t="b">
        <f>AND(DATA!Q1080,"AAAAAHv/1zk=")</f>
        <v>1</v>
      </c>
      <c r="BG159" t="b">
        <f>AND(DATA!R1080,"AAAAAHv/1zo=")</f>
        <v>1</v>
      </c>
      <c r="BH159" t="b">
        <f>AND(DATA!S1080,"AAAAAHv/1zs=")</f>
        <v>1</v>
      </c>
      <c r="BI159" t="b">
        <f>AND(DATA!T1080,"AAAAAHv/1zw=")</f>
        <v>1</v>
      </c>
      <c r="BJ159" t="b">
        <f>AND(DATA!U1080,"AAAAAHv/1z0=")</f>
        <v>1</v>
      </c>
      <c r="BK159" t="b">
        <f>AND(DATA!V1080,"AAAAAHv/1z4=")</f>
        <v>1</v>
      </c>
      <c r="BL159" t="e">
        <f>AND(DATA!W1079,"AAAAAHv/1z8=")</f>
        <v>#VALUE!</v>
      </c>
      <c r="BM159" t="e">
        <f>AND(DATA!X1079,"AAAAAHv/10A=")</f>
        <v>#VALUE!</v>
      </c>
      <c r="BN159" t="e">
        <f>AND(DATA!Y1079,"AAAAAHv/10E=")</f>
        <v>#VALUE!</v>
      </c>
      <c r="BO159">
        <f>IF(DATA!1080:1080,"AAAAAHv/10I=",0)</f>
        <v>0</v>
      </c>
      <c r="BP159" t="e">
        <f>AND(DATA!A1080,"AAAAAHv/10M=")</f>
        <v>#VALUE!</v>
      </c>
      <c r="BQ159" t="e">
        <f>AND(DATA!B1080,"AAAAAHv/10Q=")</f>
        <v>#VALUE!</v>
      </c>
      <c r="BR159" t="e">
        <f>AND(DATA!C1080,"AAAAAHv/10U=")</f>
        <v>#VALUE!</v>
      </c>
      <c r="BS159" t="e">
        <f>AND(DATA!D1080,"AAAAAHv/10Y=")</f>
        <v>#VALUE!</v>
      </c>
      <c r="BT159" t="e">
        <f>AND(DATA!E1080,"AAAAAHv/10c=")</f>
        <v>#VALUE!</v>
      </c>
      <c r="BU159" t="e">
        <f>AND(DATA!F1080,"AAAAAHv/10g=")</f>
        <v>#VALUE!</v>
      </c>
      <c r="BV159" t="e">
        <f>AND(DATA!G1080,"AAAAAHv/10k=")</f>
        <v>#VALUE!</v>
      </c>
      <c r="BW159" t="e">
        <f>AND(DATA!H1080,"AAAAAHv/10o=")</f>
        <v>#VALUE!</v>
      </c>
      <c r="BX159" t="e">
        <f>AND(DATA!I1080,"AAAAAHv/10s=")</f>
        <v>#VALUE!</v>
      </c>
      <c r="BY159" t="e">
        <f>AND(DATA!J1080,"AAAAAHv/10w=")</f>
        <v>#VALUE!</v>
      </c>
      <c r="BZ159" t="e">
        <f>AND(DATA!K1080,"AAAAAHv/100=")</f>
        <v>#VALUE!</v>
      </c>
      <c r="CA159" t="b">
        <f>AND(DATA!L1081,"AAAAAHv/104=")</f>
        <v>1</v>
      </c>
      <c r="CB159" t="b">
        <f>AND(DATA!M1081,"AAAAAHv/108=")</f>
        <v>1</v>
      </c>
      <c r="CC159" t="b">
        <f>AND(DATA!N1081,"AAAAAHv/11A=")</f>
        <v>1</v>
      </c>
      <c r="CD159" t="b">
        <f>AND(DATA!O1081,"AAAAAHv/11E=")</f>
        <v>1</v>
      </c>
      <c r="CE159" t="b">
        <f>AND(DATA!P1081,"AAAAAHv/11I=")</f>
        <v>1</v>
      </c>
      <c r="CF159" t="b">
        <f>AND(DATA!Q1081,"AAAAAHv/11M=")</f>
        <v>1</v>
      </c>
      <c r="CG159" t="b">
        <f>AND(DATA!R1081,"AAAAAHv/11Q=")</f>
        <v>1</v>
      </c>
      <c r="CH159" t="b">
        <f>AND(DATA!S1081,"AAAAAHv/11U=")</f>
        <v>1</v>
      </c>
      <c r="CI159" t="b">
        <f>AND(DATA!T1081,"AAAAAHv/11Y=")</f>
        <v>1</v>
      </c>
      <c r="CJ159" t="b">
        <f>AND(DATA!U1081,"AAAAAHv/11c=")</f>
        <v>1</v>
      </c>
      <c r="CK159" t="b">
        <f>AND(DATA!V1081,"AAAAAHv/11g=")</f>
        <v>1</v>
      </c>
      <c r="CL159" t="e">
        <f>AND(DATA!W1080,"AAAAAHv/11k=")</f>
        <v>#VALUE!</v>
      </c>
      <c r="CM159" t="e">
        <f>AND(DATA!X1080,"AAAAAHv/11o=")</f>
        <v>#VALUE!</v>
      </c>
      <c r="CN159" t="e">
        <f>AND(DATA!Y1080,"AAAAAHv/11s=")</f>
        <v>#VALUE!</v>
      </c>
      <c r="CO159">
        <f>IF(DATA!1081:1081,"AAAAAHv/11w=",0)</f>
        <v>0</v>
      </c>
      <c r="CP159" t="e">
        <f>AND(DATA!A1081,"AAAAAHv/110=")</f>
        <v>#VALUE!</v>
      </c>
      <c r="CQ159" t="e">
        <f>AND(DATA!B1081,"AAAAAHv/114=")</f>
        <v>#VALUE!</v>
      </c>
      <c r="CR159" t="e">
        <f>AND(DATA!C1081,"AAAAAHv/118=")</f>
        <v>#VALUE!</v>
      </c>
      <c r="CS159" t="e">
        <f>AND(DATA!D1081,"AAAAAHv/12A=")</f>
        <v>#VALUE!</v>
      </c>
      <c r="CT159" t="e">
        <f>AND(DATA!E1081,"AAAAAHv/12E=")</f>
        <v>#VALUE!</v>
      </c>
      <c r="CU159" t="e">
        <f>AND(DATA!F1081,"AAAAAHv/12I=")</f>
        <v>#VALUE!</v>
      </c>
      <c r="CV159" t="e">
        <f>AND(DATA!G1081,"AAAAAHv/12M=")</f>
        <v>#VALUE!</v>
      </c>
      <c r="CW159" t="e">
        <f>AND(DATA!H1081,"AAAAAHv/12Q=")</f>
        <v>#VALUE!</v>
      </c>
      <c r="CX159" t="e">
        <f>AND(DATA!I1081,"AAAAAHv/12U=")</f>
        <v>#VALUE!</v>
      </c>
      <c r="CY159" t="e">
        <f>AND(DATA!J1081,"AAAAAHv/12Y=")</f>
        <v>#VALUE!</v>
      </c>
      <c r="CZ159" t="e">
        <f>AND(DATA!K1081,"AAAAAHv/12c=")</f>
        <v>#VALUE!</v>
      </c>
      <c r="DA159" t="b">
        <f>AND(DATA!L1082,"AAAAAHv/12g=")</f>
        <v>1</v>
      </c>
      <c r="DB159" t="b">
        <f>AND(DATA!M1082,"AAAAAHv/12k=")</f>
        <v>1</v>
      </c>
      <c r="DC159" t="b">
        <f>AND(DATA!N1082,"AAAAAHv/12o=")</f>
        <v>1</v>
      </c>
      <c r="DD159" t="b">
        <f>AND(DATA!O1082,"AAAAAHv/12s=")</f>
        <v>1</v>
      </c>
      <c r="DE159" t="b">
        <f>AND(DATA!P1082,"AAAAAHv/12w=")</f>
        <v>1</v>
      </c>
      <c r="DF159" t="b">
        <f>AND(DATA!Q1082,"AAAAAHv/120=")</f>
        <v>1</v>
      </c>
      <c r="DG159" t="b">
        <f>AND(DATA!R1082,"AAAAAHv/124=")</f>
        <v>1</v>
      </c>
      <c r="DH159" t="b">
        <f>AND(DATA!S1082,"AAAAAHv/128=")</f>
        <v>1</v>
      </c>
      <c r="DI159" t="b">
        <f>AND(DATA!T1082,"AAAAAHv/13A=")</f>
        <v>1</v>
      </c>
      <c r="DJ159" t="b">
        <f>AND(DATA!U1082,"AAAAAHv/13E=")</f>
        <v>1</v>
      </c>
      <c r="DK159" t="b">
        <f>AND(DATA!V1082,"AAAAAHv/13I=")</f>
        <v>1</v>
      </c>
      <c r="DL159" t="e">
        <f>AND(DATA!W1081,"AAAAAHv/13M=")</f>
        <v>#VALUE!</v>
      </c>
      <c r="DM159" t="e">
        <f>AND(DATA!X1081,"AAAAAHv/13Q=")</f>
        <v>#VALUE!</v>
      </c>
      <c r="DN159" t="e">
        <f>AND(DATA!Y1081,"AAAAAHv/13U=")</f>
        <v>#VALUE!</v>
      </c>
      <c r="DO159">
        <f>IF(DATA!1082:1082,"AAAAAHv/13Y=",0)</f>
        <v>0</v>
      </c>
      <c r="DP159" t="e">
        <f>AND(DATA!A1082,"AAAAAHv/13c=")</f>
        <v>#VALUE!</v>
      </c>
      <c r="DQ159" t="e">
        <f>AND(DATA!B1082,"AAAAAHv/13g=")</f>
        <v>#VALUE!</v>
      </c>
      <c r="DR159" t="e">
        <f>AND(DATA!C1082,"AAAAAHv/13k=")</f>
        <v>#VALUE!</v>
      </c>
      <c r="DS159" t="e">
        <f>AND(DATA!D1082,"AAAAAHv/13o=")</f>
        <v>#VALUE!</v>
      </c>
      <c r="DT159" t="e">
        <f>AND(DATA!E1082,"AAAAAHv/13s=")</f>
        <v>#VALUE!</v>
      </c>
      <c r="DU159" t="e">
        <f>AND(DATA!F1082,"AAAAAHv/13w=")</f>
        <v>#VALUE!</v>
      </c>
      <c r="DV159" t="e">
        <f>AND(DATA!G1082,"AAAAAHv/130=")</f>
        <v>#VALUE!</v>
      </c>
      <c r="DW159" t="e">
        <f>AND(DATA!H1082,"AAAAAHv/134=")</f>
        <v>#VALUE!</v>
      </c>
      <c r="DX159" t="e">
        <f>AND(DATA!I1082,"AAAAAHv/138=")</f>
        <v>#VALUE!</v>
      </c>
      <c r="DY159" t="e">
        <f>AND(DATA!J1082,"AAAAAHv/14A=")</f>
        <v>#VALUE!</v>
      </c>
      <c r="DZ159" t="e">
        <f>AND(DATA!K1082,"AAAAAHv/14E=")</f>
        <v>#VALUE!</v>
      </c>
      <c r="EA159" t="b">
        <f>AND(DATA!L1083,"AAAAAHv/14I=")</f>
        <v>1</v>
      </c>
      <c r="EB159" t="b">
        <f>AND(DATA!M1083,"AAAAAHv/14M=")</f>
        <v>1</v>
      </c>
      <c r="EC159" t="b">
        <f>AND(DATA!N1083,"AAAAAHv/14Q=")</f>
        <v>1</v>
      </c>
      <c r="ED159" t="b">
        <f>AND(DATA!O1083,"AAAAAHv/14U=")</f>
        <v>1</v>
      </c>
      <c r="EE159" t="b">
        <f>AND(DATA!P1083,"AAAAAHv/14Y=")</f>
        <v>1</v>
      </c>
      <c r="EF159" t="b">
        <f>AND(DATA!Q1083,"AAAAAHv/14c=")</f>
        <v>1</v>
      </c>
      <c r="EG159" t="b">
        <f>AND(DATA!R1083,"AAAAAHv/14g=")</f>
        <v>1</v>
      </c>
      <c r="EH159" t="b">
        <f>AND(DATA!S1083,"AAAAAHv/14k=")</f>
        <v>1</v>
      </c>
      <c r="EI159" t="b">
        <f>AND(DATA!T1083,"AAAAAHv/14o=")</f>
        <v>1</v>
      </c>
      <c r="EJ159" t="b">
        <f>AND(DATA!U1083,"AAAAAHv/14s=")</f>
        <v>1</v>
      </c>
      <c r="EK159" t="b">
        <f>AND(DATA!V1083,"AAAAAHv/14w=")</f>
        <v>1</v>
      </c>
      <c r="EL159" t="e">
        <f>AND(DATA!W1082,"AAAAAHv/140=")</f>
        <v>#VALUE!</v>
      </c>
      <c r="EM159" t="e">
        <f>AND(DATA!X1082,"AAAAAHv/144=")</f>
        <v>#VALUE!</v>
      </c>
      <c r="EN159" t="e">
        <f>AND(DATA!Y1082,"AAAAAHv/148=")</f>
        <v>#VALUE!</v>
      </c>
      <c r="EO159">
        <f>IF(DATA!1083:1083,"AAAAAHv/15A=",0)</f>
        <v>0</v>
      </c>
      <c r="EP159" t="e">
        <f>AND(DATA!A1083,"AAAAAHv/15E=")</f>
        <v>#VALUE!</v>
      </c>
      <c r="EQ159" t="e">
        <f>AND(DATA!B1083,"AAAAAHv/15I=")</f>
        <v>#VALUE!</v>
      </c>
      <c r="ER159" t="e">
        <f>AND(DATA!C1083,"AAAAAHv/15M=")</f>
        <v>#VALUE!</v>
      </c>
      <c r="ES159" t="e">
        <f>AND(DATA!D1083,"AAAAAHv/15Q=")</f>
        <v>#VALUE!</v>
      </c>
      <c r="ET159" t="e">
        <f>AND(DATA!E1083,"AAAAAHv/15U=")</f>
        <v>#VALUE!</v>
      </c>
      <c r="EU159" t="e">
        <f>AND(DATA!F1083,"AAAAAHv/15Y=")</f>
        <v>#VALUE!</v>
      </c>
      <c r="EV159" t="e">
        <f>AND(DATA!G1083,"AAAAAHv/15c=")</f>
        <v>#VALUE!</v>
      </c>
      <c r="EW159" t="e">
        <f>AND(DATA!H1083,"AAAAAHv/15g=")</f>
        <v>#VALUE!</v>
      </c>
      <c r="EX159" t="e">
        <f>AND(DATA!I1083,"AAAAAHv/15k=")</f>
        <v>#VALUE!</v>
      </c>
      <c r="EY159" t="e">
        <f>AND(DATA!J1083,"AAAAAHv/15o=")</f>
        <v>#VALUE!</v>
      </c>
      <c r="EZ159" t="e">
        <f>AND(DATA!K1083,"AAAAAHv/15s=")</f>
        <v>#VALUE!</v>
      </c>
      <c r="FA159" t="b">
        <f>AND(DATA!L1084,"AAAAAHv/15w=")</f>
        <v>1</v>
      </c>
      <c r="FB159" t="b">
        <f>AND(DATA!M1084,"AAAAAHv/150=")</f>
        <v>1</v>
      </c>
      <c r="FC159" t="b">
        <f>AND(DATA!N1084,"AAAAAHv/154=")</f>
        <v>1</v>
      </c>
      <c r="FD159" t="b">
        <f>AND(DATA!O1084,"AAAAAHv/158=")</f>
        <v>1</v>
      </c>
      <c r="FE159" t="b">
        <f>AND(DATA!P1084,"AAAAAHv/16A=")</f>
        <v>1</v>
      </c>
      <c r="FF159" t="b">
        <f>AND(DATA!Q1084,"AAAAAHv/16E=")</f>
        <v>1</v>
      </c>
      <c r="FG159" t="b">
        <f>AND(DATA!R1084,"AAAAAHv/16I=")</f>
        <v>1</v>
      </c>
      <c r="FH159" t="b">
        <f>AND(DATA!S1084,"AAAAAHv/16M=")</f>
        <v>1</v>
      </c>
      <c r="FI159" t="b">
        <f>AND(DATA!T1084,"AAAAAHv/16Q=")</f>
        <v>1</v>
      </c>
      <c r="FJ159" t="b">
        <f>AND(DATA!U1084,"AAAAAHv/16U=")</f>
        <v>1</v>
      </c>
      <c r="FK159" t="b">
        <f>AND(DATA!V1084,"AAAAAHv/16Y=")</f>
        <v>1</v>
      </c>
      <c r="FL159" t="e">
        <f>AND(DATA!W1083,"AAAAAHv/16c=")</f>
        <v>#VALUE!</v>
      </c>
      <c r="FM159" t="e">
        <f>AND(DATA!X1083,"AAAAAHv/16g=")</f>
        <v>#VALUE!</v>
      </c>
      <c r="FN159" t="e">
        <f>AND(DATA!Y1083,"AAAAAHv/16k=")</f>
        <v>#VALUE!</v>
      </c>
      <c r="FO159">
        <f>IF(DATA!1084:1084,"AAAAAHv/16o=",0)</f>
        <v>0</v>
      </c>
      <c r="FP159" t="e">
        <f>AND(DATA!A1084,"AAAAAHv/16s=")</f>
        <v>#VALUE!</v>
      </c>
      <c r="FQ159" t="e">
        <f>AND(DATA!B1084,"AAAAAHv/16w=")</f>
        <v>#VALUE!</v>
      </c>
      <c r="FR159" t="e">
        <f>AND(DATA!C1084,"AAAAAHv/160=")</f>
        <v>#VALUE!</v>
      </c>
      <c r="FS159" t="e">
        <f>AND(DATA!D1084,"AAAAAHv/164=")</f>
        <v>#VALUE!</v>
      </c>
      <c r="FT159" t="e">
        <f>AND(DATA!E1084,"AAAAAHv/168=")</f>
        <v>#VALUE!</v>
      </c>
      <c r="FU159" t="e">
        <f>AND(DATA!F1084,"AAAAAHv/17A=")</f>
        <v>#VALUE!</v>
      </c>
      <c r="FV159" t="e">
        <f>AND(DATA!G1084,"AAAAAHv/17E=")</f>
        <v>#VALUE!</v>
      </c>
      <c r="FW159" t="e">
        <f>AND(DATA!H1084,"AAAAAHv/17I=")</f>
        <v>#VALUE!</v>
      </c>
      <c r="FX159" t="e">
        <f>AND(DATA!I1084,"AAAAAHv/17M=")</f>
        <v>#VALUE!</v>
      </c>
      <c r="FY159" t="e">
        <f>AND(DATA!J1084,"AAAAAHv/17Q=")</f>
        <v>#VALUE!</v>
      </c>
      <c r="FZ159" t="e">
        <f>AND(DATA!K1084,"AAAAAHv/17U=")</f>
        <v>#VALUE!</v>
      </c>
      <c r="GA159" t="b">
        <f>AND(DATA!L1085,"AAAAAHv/17Y=")</f>
        <v>1</v>
      </c>
      <c r="GB159" t="b">
        <f>AND(DATA!M1085,"AAAAAHv/17c=")</f>
        <v>1</v>
      </c>
      <c r="GC159" t="b">
        <f>AND(DATA!N1085,"AAAAAHv/17g=")</f>
        <v>1</v>
      </c>
      <c r="GD159" t="b">
        <f>AND(DATA!O1085,"AAAAAHv/17k=")</f>
        <v>1</v>
      </c>
      <c r="GE159" t="b">
        <f>AND(DATA!P1085,"AAAAAHv/17o=")</f>
        <v>1</v>
      </c>
      <c r="GF159" t="b">
        <f>AND(DATA!Q1085,"AAAAAHv/17s=")</f>
        <v>1</v>
      </c>
      <c r="GG159" t="b">
        <f>AND(DATA!R1085,"AAAAAHv/17w=")</f>
        <v>1</v>
      </c>
      <c r="GH159" t="b">
        <f>AND(DATA!S1085,"AAAAAHv/170=")</f>
        <v>1</v>
      </c>
      <c r="GI159" t="b">
        <f>AND(DATA!T1085,"AAAAAHv/174=")</f>
        <v>1</v>
      </c>
      <c r="GJ159" t="b">
        <f>AND(DATA!U1085,"AAAAAHv/178=")</f>
        <v>1</v>
      </c>
      <c r="GK159" t="b">
        <f>AND(DATA!V1085,"AAAAAHv/18A=")</f>
        <v>1</v>
      </c>
      <c r="GL159" t="e">
        <f>AND(DATA!W1084,"AAAAAHv/18E=")</f>
        <v>#VALUE!</v>
      </c>
      <c r="GM159" t="e">
        <f>AND(DATA!X1084,"AAAAAHv/18I=")</f>
        <v>#VALUE!</v>
      </c>
      <c r="GN159" t="e">
        <f>AND(DATA!Y1084,"AAAAAHv/18M=")</f>
        <v>#VALUE!</v>
      </c>
      <c r="GO159">
        <f>IF(DATA!1085:1085,"AAAAAHv/18Q=",0)</f>
        <v>0</v>
      </c>
      <c r="GP159" t="e">
        <f>AND(DATA!A1085,"AAAAAHv/18U=")</f>
        <v>#VALUE!</v>
      </c>
      <c r="GQ159" t="e">
        <f>AND(DATA!B1085,"AAAAAHv/18Y=")</f>
        <v>#VALUE!</v>
      </c>
      <c r="GR159" t="e">
        <f>AND(DATA!C1085,"AAAAAHv/18c=")</f>
        <v>#VALUE!</v>
      </c>
      <c r="GS159" t="e">
        <f>AND(DATA!D1085,"AAAAAHv/18g=")</f>
        <v>#VALUE!</v>
      </c>
      <c r="GT159" t="e">
        <f>AND(DATA!E1085,"AAAAAHv/18k=")</f>
        <v>#VALUE!</v>
      </c>
      <c r="GU159" t="e">
        <f>AND(DATA!F1085,"AAAAAHv/18o=")</f>
        <v>#VALUE!</v>
      </c>
      <c r="GV159" t="e">
        <f>AND(DATA!G1085,"AAAAAHv/18s=")</f>
        <v>#VALUE!</v>
      </c>
      <c r="GW159" t="e">
        <f>AND(DATA!H1085,"AAAAAHv/18w=")</f>
        <v>#VALUE!</v>
      </c>
      <c r="GX159" t="e">
        <f>AND(DATA!I1085,"AAAAAHv/180=")</f>
        <v>#VALUE!</v>
      </c>
      <c r="GY159" t="e">
        <f>AND(DATA!J1085,"AAAAAHv/184=")</f>
        <v>#VALUE!</v>
      </c>
      <c r="GZ159" t="e">
        <f>AND(DATA!K1085,"AAAAAHv/188=")</f>
        <v>#VALUE!</v>
      </c>
      <c r="HA159" t="b">
        <f>AND(DATA!L1086,"AAAAAHv/19A=")</f>
        <v>1</v>
      </c>
      <c r="HB159" t="b">
        <f>AND(DATA!M1086,"AAAAAHv/19E=")</f>
        <v>1</v>
      </c>
      <c r="HC159" t="b">
        <f>AND(DATA!N1086,"AAAAAHv/19I=")</f>
        <v>1</v>
      </c>
      <c r="HD159" t="b">
        <f>AND(DATA!O1086,"AAAAAHv/19M=")</f>
        <v>1</v>
      </c>
      <c r="HE159" t="b">
        <f>AND(DATA!P1086,"AAAAAHv/19Q=")</f>
        <v>1</v>
      </c>
      <c r="HF159" t="b">
        <f>AND(DATA!Q1086,"AAAAAHv/19U=")</f>
        <v>1</v>
      </c>
      <c r="HG159" t="b">
        <f>AND(DATA!R1086,"AAAAAHv/19Y=")</f>
        <v>1</v>
      </c>
      <c r="HH159" t="b">
        <f>AND(DATA!S1086,"AAAAAHv/19c=")</f>
        <v>1</v>
      </c>
      <c r="HI159" t="b">
        <f>AND(DATA!T1086,"AAAAAHv/19g=")</f>
        <v>1</v>
      </c>
      <c r="HJ159" t="b">
        <f>AND(DATA!U1086,"AAAAAHv/19k=")</f>
        <v>1</v>
      </c>
      <c r="HK159" t="b">
        <f>AND(DATA!V1086,"AAAAAHv/19o=")</f>
        <v>1</v>
      </c>
      <c r="HL159" t="e">
        <f>AND(DATA!W1085,"AAAAAHv/19s=")</f>
        <v>#VALUE!</v>
      </c>
      <c r="HM159" t="e">
        <f>AND(DATA!X1085,"AAAAAHv/19w=")</f>
        <v>#VALUE!</v>
      </c>
      <c r="HN159" t="e">
        <f>AND(DATA!Y1085,"AAAAAHv/190=")</f>
        <v>#VALUE!</v>
      </c>
      <c r="HO159">
        <f>IF(DATA!1086:1086,"AAAAAHv/194=",0)</f>
        <v>0</v>
      </c>
      <c r="HP159" t="e">
        <f>AND(DATA!A1086,"AAAAAHv/198=")</f>
        <v>#VALUE!</v>
      </c>
      <c r="HQ159" t="e">
        <f>AND(DATA!B1086,"AAAAAHv/1+A=")</f>
        <v>#VALUE!</v>
      </c>
      <c r="HR159" t="e">
        <f>AND(DATA!C1086,"AAAAAHv/1+E=")</f>
        <v>#VALUE!</v>
      </c>
      <c r="HS159" t="e">
        <f>AND(DATA!D1086,"AAAAAHv/1+I=")</f>
        <v>#VALUE!</v>
      </c>
      <c r="HT159" t="e">
        <f>AND(DATA!E1086,"AAAAAHv/1+M=")</f>
        <v>#VALUE!</v>
      </c>
      <c r="HU159" t="e">
        <f>AND(DATA!F1086,"AAAAAHv/1+Q=")</f>
        <v>#VALUE!</v>
      </c>
      <c r="HV159" t="e">
        <f>AND(DATA!G1086,"AAAAAHv/1+U=")</f>
        <v>#VALUE!</v>
      </c>
      <c r="HW159" t="e">
        <f>AND(DATA!H1086,"AAAAAHv/1+Y=")</f>
        <v>#VALUE!</v>
      </c>
      <c r="HX159" t="e">
        <f>AND(DATA!I1086,"AAAAAHv/1+c=")</f>
        <v>#VALUE!</v>
      </c>
      <c r="HY159" t="e">
        <f>AND(DATA!J1086,"AAAAAHv/1+g=")</f>
        <v>#VALUE!</v>
      </c>
      <c r="HZ159" t="e">
        <f>AND(DATA!K1086,"AAAAAHv/1+k=")</f>
        <v>#VALUE!</v>
      </c>
      <c r="IA159" t="b">
        <f>AND(DATA!L1087,"AAAAAHv/1+o=")</f>
        <v>1</v>
      </c>
      <c r="IB159" t="b">
        <f>AND(DATA!M1087,"AAAAAHv/1+s=")</f>
        <v>1</v>
      </c>
      <c r="IC159" t="b">
        <f>AND(DATA!N1087,"AAAAAHv/1+w=")</f>
        <v>1</v>
      </c>
      <c r="ID159" t="b">
        <f>AND(DATA!O1087,"AAAAAHv/1+0=")</f>
        <v>1</v>
      </c>
      <c r="IE159" t="b">
        <f>AND(DATA!P1087,"AAAAAHv/1+4=")</f>
        <v>1</v>
      </c>
      <c r="IF159" t="b">
        <f>AND(DATA!Q1087,"AAAAAHv/1+8=")</f>
        <v>1</v>
      </c>
      <c r="IG159" t="b">
        <f>AND(DATA!R1087,"AAAAAHv/1/A=")</f>
        <v>1</v>
      </c>
      <c r="IH159" t="b">
        <f>AND(DATA!S1087,"AAAAAHv/1/E=")</f>
        <v>1</v>
      </c>
      <c r="II159" t="b">
        <f>AND(DATA!T1087,"AAAAAHv/1/I=")</f>
        <v>1</v>
      </c>
      <c r="IJ159" t="b">
        <f>AND(DATA!U1087,"AAAAAHv/1/M=")</f>
        <v>1</v>
      </c>
      <c r="IK159" t="b">
        <f>AND(DATA!V1087,"AAAAAHv/1/Q=")</f>
        <v>1</v>
      </c>
      <c r="IL159" t="e">
        <f>AND(DATA!W1086,"AAAAAHv/1/U=")</f>
        <v>#VALUE!</v>
      </c>
      <c r="IM159" t="e">
        <f>AND(DATA!X1086,"AAAAAHv/1/Y=")</f>
        <v>#VALUE!</v>
      </c>
      <c r="IN159" t="e">
        <f>AND(DATA!Y1086,"AAAAAHv/1/c=")</f>
        <v>#VALUE!</v>
      </c>
      <c r="IO159">
        <f>IF(DATA!1087:1087,"AAAAAHv/1/g=",0)</f>
        <v>0</v>
      </c>
      <c r="IP159" t="e">
        <f>AND(DATA!A1087,"AAAAAHv/1/k=")</f>
        <v>#VALUE!</v>
      </c>
      <c r="IQ159" t="e">
        <f>AND(DATA!B1087,"AAAAAHv/1/o=")</f>
        <v>#VALUE!</v>
      </c>
      <c r="IR159" t="e">
        <f>AND(DATA!C1087,"AAAAAHv/1/s=")</f>
        <v>#VALUE!</v>
      </c>
      <c r="IS159" t="e">
        <f>AND(DATA!D1087,"AAAAAHv/1/w=")</f>
        <v>#VALUE!</v>
      </c>
      <c r="IT159" t="e">
        <f>AND(DATA!E1087,"AAAAAHv/1/0=")</f>
        <v>#VALUE!</v>
      </c>
      <c r="IU159" t="e">
        <f>AND(DATA!F1087,"AAAAAHv/1/4=")</f>
        <v>#VALUE!</v>
      </c>
      <c r="IV159" t="e">
        <f>AND(DATA!G1087,"AAAAAHv/1/8=")</f>
        <v>#VALUE!</v>
      </c>
    </row>
    <row r="160" spans="1:256" x14ac:dyDescent="0.25">
      <c r="A160" t="e">
        <f>AND(DATA!H1087,"AAAAAH/0/wA=")</f>
        <v>#VALUE!</v>
      </c>
      <c r="B160" t="e">
        <f>AND(DATA!I1087,"AAAAAH/0/wE=")</f>
        <v>#VALUE!</v>
      </c>
      <c r="C160" t="e">
        <f>AND(DATA!J1087,"AAAAAH/0/wI=")</f>
        <v>#VALUE!</v>
      </c>
      <c r="D160" t="e">
        <f>AND(DATA!K1087,"AAAAAH/0/wM=")</f>
        <v>#VALUE!</v>
      </c>
      <c r="E160" t="b">
        <f>AND(DATA!L1088,"AAAAAH/0/wQ=")</f>
        <v>1</v>
      </c>
      <c r="F160" t="b">
        <f>AND(DATA!M1088,"AAAAAH/0/wU=")</f>
        <v>1</v>
      </c>
      <c r="G160" t="b">
        <f>AND(DATA!N1088,"AAAAAH/0/wY=")</f>
        <v>1</v>
      </c>
      <c r="H160" t="b">
        <f>AND(DATA!O1088,"AAAAAH/0/wc=")</f>
        <v>1</v>
      </c>
      <c r="I160" t="b">
        <f>AND(DATA!P1088,"AAAAAH/0/wg=")</f>
        <v>1</v>
      </c>
      <c r="J160" t="b">
        <f>AND(DATA!Q1088,"AAAAAH/0/wk=")</f>
        <v>1</v>
      </c>
      <c r="K160" t="b">
        <f>AND(DATA!R1088,"AAAAAH/0/wo=")</f>
        <v>1</v>
      </c>
      <c r="L160" t="b">
        <f>AND(DATA!S1088,"AAAAAH/0/ws=")</f>
        <v>1</v>
      </c>
      <c r="M160" t="b">
        <f>AND(DATA!T1088,"AAAAAH/0/ww=")</f>
        <v>1</v>
      </c>
      <c r="N160" t="b">
        <f>AND(DATA!U1088,"AAAAAH/0/w0=")</f>
        <v>1</v>
      </c>
      <c r="O160" t="b">
        <f>AND(DATA!V1088,"AAAAAH/0/w4=")</f>
        <v>1</v>
      </c>
      <c r="P160" t="e">
        <f>AND(DATA!W1087,"AAAAAH/0/w8=")</f>
        <v>#VALUE!</v>
      </c>
      <c r="Q160" t="e">
        <f>AND(DATA!X1087,"AAAAAH/0/xA=")</f>
        <v>#VALUE!</v>
      </c>
      <c r="R160" t="e">
        <f>AND(DATA!Y1087,"AAAAAH/0/xE=")</f>
        <v>#VALUE!</v>
      </c>
      <c r="S160" t="str">
        <f>IF(DATA!1088:1088,"AAAAAH/0/xI=",0)</f>
        <v>AAAAAH/0/xI=</v>
      </c>
      <c r="T160" t="e">
        <f>AND(DATA!A1088,"AAAAAH/0/xM=")</f>
        <v>#VALUE!</v>
      </c>
      <c r="U160" t="e">
        <f>AND(DATA!B1088,"AAAAAH/0/xQ=")</f>
        <v>#VALUE!</v>
      </c>
      <c r="V160" t="e">
        <f>AND(DATA!C1088,"AAAAAH/0/xU=")</f>
        <v>#VALUE!</v>
      </c>
      <c r="W160" t="e">
        <f>AND(DATA!D1088,"AAAAAH/0/xY=")</f>
        <v>#VALUE!</v>
      </c>
      <c r="X160" t="e">
        <f>AND(DATA!E1088,"AAAAAH/0/xc=")</f>
        <v>#VALUE!</v>
      </c>
      <c r="Y160" t="e">
        <f>AND(DATA!F1088,"AAAAAH/0/xg=")</f>
        <v>#VALUE!</v>
      </c>
      <c r="Z160" t="e">
        <f>AND(DATA!G1088,"AAAAAH/0/xk=")</f>
        <v>#VALUE!</v>
      </c>
      <c r="AA160" t="e">
        <f>AND(DATA!H1088,"AAAAAH/0/xo=")</f>
        <v>#VALUE!</v>
      </c>
      <c r="AB160" t="e">
        <f>AND(DATA!I1088,"AAAAAH/0/xs=")</f>
        <v>#VALUE!</v>
      </c>
      <c r="AC160" t="e">
        <f>AND(DATA!J1088,"AAAAAH/0/xw=")</f>
        <v>#VALUE!</v>
      </c>
      <c r="AD160" t="e">
        <f>AND(DATA!K1088,"AAAAAH/0/x0=")</f>
        <v>#VALUE!</v>
      </c>
      <c r="AE160" t="b">
        <f>AND(DATA!L1089,"AAAAAH/0/x4=")</f>
        <v>1</v>
      </c>
      <c r="AF160" t="b">
        <f>AND(DATA!M1089,"AAAAAH/0/x8=")</f>
        <v>1</v>
      </c>
      <c r="AG160" t="b">
        <f>AND(DATA!N1089,"AAAAAH/0/yA=")</f>
        <v>1</v>
      </c>
      <c r="AH160" t="b">
        <f>AND(DATA!O1089,"AAAAAH/0/yE=")</f>
        <v>1</v>
      </c>
      <c r="AI160" t="b">
        <f>AND(DATA!P1089,"AAAAAH/0/yI=")</f>
        <v>1</v>
      </c>
      <c r="AJ160" t="b">
        <f>AND(DATA!Q1089,"AAAAAH/0/yM=")</f>
        <v>1</v>
      </c>
      <c r="AK160" t="b">
        <f>AND(DATA!R1089,"AAAAAH/0/yQ=")</f>
        <v>1</v>
      </c>
      <c r="AL160" t="b">
        <f>AND(DATA!S1089,"AAAAAH/0/yU=")</f>
        <v>1</v>
      </c>
      <c r="AM160" t="b">
        <f>AND(DATA!T1089,"AAAAAH/0/yY=")</f>
        <v>1</v>
      </c>
      <c r="AN160" t="b">
        <f>AND(DATA!U1089,"AAAAAH/0/yc=")</f>
        <v>1</v>
      </c>
      <c r="AO160" t="b">
        <f>AND(DATA!V1089,"AAAAAH/0/yg=")</f>
        <v>1</v>
      </c>
      <c r="AP160" t="e">
        <f>AND(DATA!W1088,"AAAAAH/0/yk=")</f>
        <v>#VALUE!</v>
      </c>
      <c r="AQ160" t="e">
        <f>AND(DATA!X1088,"AAAAAH/0/yo=")</f>
        <v>#VALUE!</v>
      </c>
      <c r="AR160" t="e">
        <f>AND(DATA!Y1088,"AAAAAH/0/ys=")</f>
        <v>#VALUE!</v>
      </c>
      <c r="AS160">
        <f>IF(DATA!1089:1089,"AAAAAH/0/yw=",0)</f>
        <v>0</v>
      </c>
      <c r="AT160" t="e">
        <f>AND(DATA!A1089,"AAAAAH/0/y0=")</f>
        <v>#VALUE!</v>
      </c>
      <c r="AU160" t="e">
        <f>AND(DATA!B1089,"AAAAAH/0/y4=")</f>
        <v>#VALUE!</v>
      </c>
      <c r="AV160" t="e">
        <f>AND(DATA!C1089,"AAAAAH/0/y8=")</f>
        <v>#VALUE!</v>
      </c>
      <c r="AW160" t="e">
        <f>AND(DATA!D1089,"AAAAAH/0/zA=")</f>
        <v>#VALUE!</v>
      </c>
      <c r="AX160" t="e">
        <f>AND(DATA!E1089,"AAAAAH/0/zE=")</f>
        <v>#VALUE!</v>
      </c>
      <c r="AY160" t="e">
        <f>AND(DATA!F1089,"AAAAAH/0/zI=")</f>
        <v>#VALUE!</v>
      </c>
      <c r="AZ160" t="e">
        <f>AND(DATA!G1089,"AAAAAH/0/zM=")</f>
        <v>#VALUE!</v>
      </c>
      <c r="BA160" t="e">
        <f>AND(DATA!H1089,"AAAAAH/0/zQ=")</f>
        <v>#VALUE!</v>
      </c>
      <c r="BB160" t="e">
        <f>AND(DATA!I1089,"AAAAAH/0/zU=")</f>
        <v>#VALUE!</v>
      </c>
      <c r="BC160" t="e">
        <f>AND(DATA!J1089,"AAAAAH/0/zY=")</f>
        <v>#VALUE!</v>
      </c>
      <c r="BD160" t="e">
        <f>AND(DATA!K1089,"AAAAAH/0/zc=")</f>
        <v>#VALUE!</v>
      </c>
      <c r="BE160" t="b">
        <f>AND(DATA!L1090,"AAAAAH/0/zg=")</f>
        <v>1</v>
      </c>
      <c r="BF160" t="b">
        <f>AND(DATA!M1090,"AAAAAH/0/zk=")</f>
        <v>1</v>
      </c>
      <c r="BG160" t="b">
        <f>AND(DATA!N1090,"AAAAAH/0/zo=")</f>
        <v>1</v>
      </c>
      <c r="BH160" t="b">
        <f>AND(DATA!O1090,"AAAAAH/0/zs=")</f>
        <v>1</v>
      </c>
      <c r="BI160" t="b">
        <f>AND(DATA!P1090,"AAAAAH/0/zw=")</f>
        <v>1</v>
      </c>
      <c r="BJ160" t="b">
        <f>AND(DATA!Q1090,"AAAAAH/0/z0=")</f>
        <v>1</v>
      </c>
      <c r="BK160" t="b">
        <f>AND(DATA!R1090,"AAAAAH/0/z4=")</f>
        <v>1</v>
      </c>
      <c r="BL160" t="b">
        <f>AND(DATA!S1090,"AAAAAH/0/z8=")</f>
        <v>1</v>
      </c>
      <c r="BM160" t="b">
        <f>AND(DATA!T1090,"AAAAAH/0/0A=")</f>
        <v>1</v>
      </c>
      <c r="BN160" t="b">
        <f>AND(DATA!U1090,"AAAAAH/0/0E=")</f>
        <v>1</v>
      </c>
      <c r="BO160" t="b">
        <f>AND(DATA!V1090,"AAAAAH/0/0I=")</f>
        <v>1</v>
      </c>
      <c r="BP160" t="e">
        <f>AND(DATA!W1089,"AAAAAH/0/0M=")</f>
        <v>#VALUE!</v>
      </c>
      <c r="BQ160" t="e">
        <f>AND(DATA!X1089,"AAAAAH/0/0Q=")</f>
        <v>#VALUE!</v>
      </c>
      <c r="BR160" t="e">
        <f>AND(DATA!Y1089,"AAAAAH/0/0U=")</f>
        <v>#VALUE!</v>
      </c>
      <c r="BS160">
        <f>IF(DATA!1090:1090,"AAAAAH/0/0Y=",0)</f>
        <v>0</v>
      </c>
      <c r="BT160" t="e">
        <f>AND(DATA!A1090,"AAAAAH/0/0c=")</f>
        <v>#VALUE!</v>
      </c>
      <c r="BU160" t="e">
        <f>AND(DATA!B1090,"AAAAAH/0/0g=")</f>
        <v>#VALUE!</v>
      </c>
      <c r="BV160" t="e">
        <f>AND(DATA!C1090,"AAAAAH/0/0k=")</f>
        <v>#VALUE!</v>
      </c>
      <c r="BW160" t="e">
        <f>AND(DATA!D1090,"AAAAAH/0/0o=")</f>
        <v>#VALUE!</v>
      </c>
      <c r="BX160" t="e">
        <f>AND(DATA!E1090,"AAAAAH/0/0s=")</f>
        <v>#VALUE!</v>
      </c>
      <c r="BY160" t="e">
        <f>AND(DATA!F1090,"AAAAAH/0/0w=")</f>
        <v>#VALUE!</v>
      </c>
      <c r="BZ160" t="e">
        <f>AND(DATA!G1090,"AAAAAH/0/00=")</f>
        <v>#VALUE!</v>
      </c>
      <c r="CA160" t="e">
        <f>AND(DATA!H1090,"AAAAAH/0/04=")</f>
        <v>#VALUE!</v>
      </c>
      <c r="CB160" t="e">
        <f>AND(DATA!I1090,"AAAAAH/0/08=")</f>
        <v>#VALUE!</v>
      </c>
      <c r="CC160" t="e">
        <f>AND(DATA!J1090,"AAAAAH/0/1A=")</f>
        <v>#VALUE!</v>
      </c>
      <c r="CD160" t="e">
        <f>AND(DATA!K1090,"AAAAAH/0/1E=")</f>
        <v>#VALUE!</v>
      </c>
      <c r="CE160" t="b">
        <f>AND(DATA!L1091,"AAAAAH/0/1I=")</f>
        <v>1</v>
      </c>
      <c r="CF160" t="b">
        <f>AND(DATA!M1091,"AAAAAH/0/1M=")</f>
        <v>1</v>
      </c>
      <c r="CG160" t="b">
        <f>AND(DATA!N1091,"AAAAAH/0/1Q=")</f>
        <v>1</v>
      </c>
      <c r="CH160" t="b">
        <f>AND(DATA!O1091,"AAAAAH/0/1U=")</f>
        <v>1</v>
      </c>
      <c r="CI160" t="b">
        <f>AND(DATA!P1091,"AAAAAH/0/1Y=")</f>
        <v>1</v>
      </c>
      <c r="CJ160" t="b">
        <f>AND(DATA!Q1091,"AAAAAH/0/1c=")</f>
        <v>1</v>
      </c>
      <c r="CK160" t="b">
        <f>AND(DATA!R1091,"AAAAAH/0/1g=")</f>
        <v>1</v>
      </c>
      <c r="CL160" t="b">
        <f>AND(DATA!S1091,"AAAAAH/0/1k=")</f>
        <v>1</v>
      </c>
      <c r="CM160" t="b">
        <f>AND(DATA!T1091,"AAAAAH/0/1o=")</f>
        <v>1</v>
      </c>
      <c r="CN160" t="b">
        <f>AND(DATA!U1091,"AAAAAH/0/1s=")</f>
        <v>1</v>
      </c>
      <c r="CO160" t="b">
        <f>AND(DATA!V1091,"AAAAAH/0/1w=")</f>
        <v>1</v>
      </c>
      <c r="CP160" t="e">
        <f>AND(DATA!W1090,"AAAAAH/0/10=")</f>
        <v>#VALUE!</v>
      </c>
      <c r="CQ160" t="e">
        <f>AND(DATA!X1090,"AAAAAH/0/14=")</f>
        <v>#VALUE!</v>
      </c>
      <c r="CR160" t="e">
        <f>AND(DATA!Y1090,"AAAAAH/0/18=")</f>
        <v>#VALUE!</v>
      </c>
      <c r="CS160">
        <f>IF(DATA!1091:1091,"AAAAAH/0/2A=",0)</f>
        <v>0</v>
      </c>
      <c r="CT160" t="e">
        <f>AND(DATA!A1091,"AAAAAH/0/2E=")</f>
        <v>#VALUE!</v>
      </c>
      <c r="CU160" t="e">
        <f>AND(DATA!B1091,"AAAAAH/0/2I=")</f>
        <v>#VALUE!</v>
      </c>
      <c r="CV160" t="e">
        <f>AND(DATA!C1091,"AAAAAH/0/2M=")</f>
        <v>#VALUE!</v>
      </c>
      <c r="CW160" t="e">
        <f>AND(DATA!D1091,"AAAAAH/0/2Q=")</f>
        <v>#VALUE!</v>
      </c>
      <c r="CX160" t="e">
        <f>AND(DATA!E1091,"AAAAAH/0/2U=")</f>
        <v>#VALUE!</v>
      </c>
      <c r="CY160" t="e">
        <f>AND(DATA!F1091,"AAAAAH/0/2Y=")</f>
        <v>#VALUE!</v>
      </c>
      <c r="CZ160" t="e">
        <f>AND(DATA!G1091,"AAAAAH/0/2c=")</f>
        <v>#VALUE!</v>
      </c>
      <c r="DA160" t="e">
        <f>AND(DATA!H1091,"AAAAAH/0/2g=")</f>
        <v>#VALUE!</v>
      </c>
      <c r="DB160" t="e">
        <f>AND(DATA!I1091,"AAAAAH/0/2k=")</f>
        <v>#VALUE!</v>
      </c>
      <c r="DC160" t="e">
        <f>AND(DATA!J1091,"AAAAAH/0/2o=")</f>
        <v>#VALUE!</v>
      </c>
      <c r="DD160" t="e">
        <f>AND(DATA!K1091,"AAAAAH/0/2s=")</f>
        <v>#VALUE!</v>
      </c>
      <c r="DE160" t="b">
        <f>AND(DATA!L1092,"AAAAAH/0/2w=")</f>
        <v>1</v>
      </c>
      <c r="DF160" t="b">
        <f>AND(DATA!M1092,"AAAAAH/0/20=")</f>
        <v>1</v>
      </c>
      <c r="DG160" t="b">
        <f>AND(DATA!N1092,"AAAAAH/0/24=")</f>
        <v>1</v>
      </c>
      <c r="DH160" t="b">
        <f>AND(DATA!O1092,"AAAAAH/0/28=")</f>
        <v>1</v>
      </c>
      <c r="DI160" t="b">
        <f>AND(DATA!P1092,"AAAAAH/0/3A=")</f>
        <v>1</v>
      </c>
      <c r="DJ160" t="b">
        <f>AND(DATA!Q1092,"AAAAAH/0/3E=")</f>
        <v>1</v>
      </c>
      <c r="DK160" t="b">
        <f>AND(DATA!R1092,"AAAAAH/0/3I=")</f>
        <v>1</v>
      </c>
      <c r="DL160" t="b">
        <f>AND(DATA!S1092,"AAAAAH/0/3M=")</f>
        <v>1</v>
      </c>
      <c r="DM160" t="b">
        <f>AND(DATA!T1092,"AAAAAH/0/3Q=")</f>
        <v>1</v>
      </c>
      <c r="DN160" t="b">
        <f>AND(DATA!U1092,"AAAAAH/0/3U=")</f>
        <v>1</v>
      </c>
      <c r="DO160" t="b">
        <f>AND(DATA!V1092,"AAAAAH/0/3Y=")</f>
        <v>1</v>
      </c>
      <c r="DP160" t="e">
        <f>AND(DATA!W1091,"AAAAAH/0/3c=")</f>
        <v>#VALUE!</v>
      </c>
      <c r="DQ160" t="e">
        <f>AND(DATA!X1091,"AAAAAH/0/3g=")</f>
        <v>#VALUE!</v>
      </c>
      <c r="DR160" t="e">
        <f>AND(DATA!Y1091,"AAAAAH/0/3k=")</f>
        <v>#VALUE!</v>
      </c>
      <c r="DS160">
        <f>IF(DATA!1092:1092,"AAAAAH/0/3o=",0)</f>
        <v>0</v>
      </c>
      <c r="DT160" t="e">
        <f>AND(DATA!A1092,"AAAAAH/0/3s=")</f>
        <v>#VALUE!</v>
      </c>
      <c r="DU160" t="e">
        <f>AND(DATA!B1092,"AAAAAH/0/3w=")</f>
        <v>#VALUE!</v>
      </c>
      <c r="DV160" t="e">
        <f>AND(DATA!C1092,"AAAAAH/0/30=")</f>
        <v>#VALUE!</v>
      </c>
      <c r="DW160" t="e">
        <f>AND(DATA!D1092,"AAAAAH/0/34=")</f>
        <v>#VALUE!</v>
      </c>
      <c r="DX160" t="e">
        <f>AND(DATA!E1092,"AAAAAH/0/38=")</f>
        <v>#VALUE!</v>
      </c>
      <c r="DY160" t="e">
        <f>AND(DATA!F1092,"AAAAAH/0/4A=")</f>
        <v>#VALUE!</v>
      </c>
      <c r="DZ160" t="e">
        <f>AND(DATA!G1092,"AAAAAH/0/4E=")</f>
        <v>#VALUE!</v>
      </c>
      <c r="EA160" t="e">
        <f>AND(DATA!H1092,"AAAAAH/0/4I=")</f>
        <v>#VALUE!</v>
      </c>
      <c r="EB160" t="e">
        <f>AND(DATA!I1092,"AAAAAH/0/4M=")</f>
        <v>#VALUE!</v>
      </c>
      <c r="EC160" t="e">
        <f>AND(DATA!J1092,"AAAAAH/0/4Q=")</f>
        <v>#VALUE!</v>
      </c>
      <c r="ED160" t="e">
        <f>AND(DATA!K1092,"AAAAAH/0/4U=")</f>
        <v>#VALUE!</v>
      </c>
      <c r="EE160" t="b">
        <f>AND(DATA!L1093,"AAAAAH/0/4Y=")</f>
        <v>1</v>
      </c>
      <c r="EF160" t="b">
        <f>AND(DATA!M1093,"AAAAAH/0/4c=")</f>
        <v>1</v>
      </c>
      <c r="EG160" t="b">
        <f>AND(DATA!N1093,"AAAAAH/0/4g=")</f>
        <v>1</v>
      </c>
      <c r="EH160" t="b">
        <f>AND(DATA!O1093,"AAAAAH/0/4k=")</f>
        <v>1</v>
      </c>
      <c r="EI160" t="b">
        <f>AND(DATA!P1093,"AAAAAH/0/4o=")</f>
        <v>1</v>
      </c>
      <c r="EJ160" t="b">
        <f>AND(DATA!Q1093,"AAAAAH/0/4s=")</f>
        <v>1</v>
      </c>
      <c r="EK160" t="b">
        <f>AND(DATA!R1093,"AAAAAH/0/4w=")</f>
        <v>1</v>
      </c>
      <c r="EL160" t="b">
        <f>AND(DATA!S1093,"AAAAAH/0/40=")</f>
        <v>1</v>
      </c>
      <c r="EM160" t="b">
        <f>AND(DATA!T1093,"AAAAAH/0/44=")</f>
        <v>1</v>
      </c>
      <c r="EN160" t="b">
        <f>AND(DATA!U1093,"AAAAAH/0/48=")</f>
        <v>1</v>
      </c>
      <c r="EO160" t="b">
        <f>AND(DATA!V1093,"AAAAAH/0/5A=")</f>
        <v>1</v>
      </c>
      <c r="EP160" t="e">
        <f>AND(DATA!W1092,"AAAAAH/0/5E=")</f>
        <v>#VALUE!</v>
      </c>
      <c r="EQ160" t="e">
        <f>AND(DATA!X1092,"AAAAAH/0/5I=")</f>
        <v>#VALUE!</v>
      </c>
      <c r="ER160" t="e">
        <f>AND(DATA!Y1092,"AAAAAH/0/5M=")</f>
        <v>#VALUE!</v>
      </c>
      <c r="ES160">
        <f>IF(DATA!1093:1093,"AAAAAH/0/5Q=",0)</f>
        <v>0</v>
      </c>
      <c r="ET160" t="e">
        <f>AND(DATA!A1093,"AAAAAH/0/5U=")</f>
        <v>#VALUE!</v>
      </c>
      <c r="EU160" t="e">
        <f>AND(DATA!B1093,"AAAAAH/0/5Y=")</f>
        <v>#VALUE!</v>
      </c>
      <c r="EV160" t="e">
        <f>AND(DATA!C1093,"AAAAAH/0/5c=")</f>
        <v>#VALUE!</v>
      </c>
      <c r="EW160" t="e">
        <f>AND(DATA!D1093,"AAAAAH/0/5g=")</f>
        <v>#VALUE!</v>
      </c>
      <c r="EX160" t="e">
        <f>AND(DATA!E1093,"AAAAAH/0/5k=")</f>
        <v>#VALUE!</v>
      </c>
      <c r="EY160" t="e">
        <f>AND(DATA!F1093,"AAAAAH/0/5o=")</f>
        <v>#VALUE!</v>
      </c>
      <c r="EZ160" t="e">
        <f>AND(DATA!G1093,"AAAAAH/0/5s=")</f>
        <v>#VALUE!</v>
      </c>
      <c r="FA160" t="e">
        <f>AND(DATA!H1093,"AAAAAH/0/5w=")</f>
        <v>#VALUE!</v>
      </c>
      <c r="FB160" t="e">
        <f>AND(DATA!I1093,"AAAAAH/0/50=")</f>
        <v>#VALUE!</v>
      </c>
      <c r="FC160" t="e">
        <f>AND(DATA!J1093,"AAAAAH/0/54=")</f>
        <v>#VALUE!</v>
      </c>
      <c r="FD160" t="e">
        <f>AND(DATA!K1093,"AAAAAH/0/58=")</f>
        <v>#VALUE!</v>
      </c>
      <c r="FE160" t="b">
        <f>AND(DATA!L1094,"AAAAAH/0/6A=")</f>
        <v>1</v>
      </c>
      <c r="FF160" t="b">
        <f>AND(DATA!M1094,"AAAAAH/0/6E=")</f>
        <v>1</v>
      </c>
      <c r="FG160" t="b">
        <f>AND(DATA!N1094,"AAAAAH/0/6I=")</f>
        <v>1</v>
      </c>
      <c r="FH160" t="b">
        <f>AND(DATA!O1094,"AAAAAH/0/6M=")</f>
        <v>1</v>
      </c>
      <c r="FI160" t="b">
        <f>AND(DATA!P1094,"AAAAAH/0/6Q=")</f>
        <v>1</v>
      </c>
      <c r="FJ160" t="b">
        <f>AND(DATA!Q1094,"AAAAAH/0/6U=")</f>
        <v>1</v>
      </c>
      <c r="FK160" t="b">
        <f>AND(DATA!R1094,"AAAAAH/0/6Y=")</f>
        <v>1</v>
      </c>
      <c r="FL160" t="b">
        <f>AND(DATA!S1094,"AAAAAH/0/6c=")</f>
        <v>1</v>
      </c>
      <c r="FM160" t="b">
        <f>AND(DATA!T1094,"AAAAAH/0/6g=")</f>
        <v>1</v>
      </c>
      <c r="FN160" t="b">
        <f>AND(DATA!U1094,"AAAAAH/0/6k=")</f>
        <v>1</v>
      </c>
      <c r="FO160" t="b">
        <f>AND(DATA!V1094,"AAAAAH/0/6o=")</f>
        <v>1</v>
      </c>
      <c r="FP160" t="e">
        <f>AND(DATA!W1093,"AAAAAH/0/6s=")</f>
        <v>#VALUE!</v>
      </c>
      <c r="FQ160" t="e">
        <f>AND(DATA!X1093,"AAAAAH/0/6w=")</f>
        <v>#VALUE!</v>
      </c>
      <c r="FR160" t="e">
        <f>AND(DATA!Y1093,"AAAAAH/0/60=")</f>
        <v>#VALUE!</v>
      </c>
      <c r="FS160">
        <f>IF(DATA!1094:1094,"AAAAAH/0/64=",0)</f>
        <v>0</v>
      </c>
      <c r="FT160" t="e">
        <f>AND(DATA!A1094,"AAAAAH/0/68=")</f>
        <v>#VALUE!</v>
      </c>
      <c r="FU160" t="e">
        <f>AND(DATA!B1094,"AAAAAH/0/7A=")</f>
        <v>#VALUE!</v>
      </c>
      <c r="FV160" t="e">
        <f>AND(DATA!C1094,"AAAAAH/0/7E=")</f>
        <v>#VALUE!</v>
      </c>
      <c r="FW160" t="e">
        <f>AND(DATA!D1094,"AAAAAH/0/7I=")</f>
        <v>#VALUE!</v>
      </c>
      <c r="FX160" t="e">
        <f>AND(DATA!E1094,"AAAAAH/0/7M=")</f>
        <v>#VALUE!</v>
      </c>
      <c r="FY160" t="e">
        <f>AND(DATA!F1094,"AAAAAH/0/7Q=")</f>
        <v>#VALUE!</v>
      </c>
      <c r="FZ160" t="e">
        <f>AND(DATA!G1094,"AAAAAH/0/7U=")</f>
        <v>#VALUE!</v>
      </c>
      <c r="GA160" t="e">
        <f>AND(DATA!H1094,"AAAAAH/0/7Y=")</f>
        <v>#VALUE!</v>
      </c>
      <c r="GB160" t="e">
        <f>AND(DATA!I1094,"AAAAAH/0/7c=")</f>
        <v>#VALUE!</v>
      </c>
      <c r="GC160" t="e">
        <f>AND(DATA!J1094,"AAAAAH/0/7g=")</f>
        <v>#VALUE!</v>
      </c>
      <c r="GD160" t="e">
        <f>AND(DATA!K1094,"AAAAAH/0/7k=")</f>
        <v>#VALUE!</v>
      </c>
      <c r="GE160" t="b">
        <f>AND(DATA!L1095,"AAAAAH/0/7o=")</f>
        <v>1</v>
      </c>
      <c r="GF160" t="b">
        <f>AND(DATA!M1095,"AAAAAH/0/7s=")</f>
        <v>1</v>
      </c>
      <c r="GG160" t="b">
        <f>AND(DATA!N1095,"AAAAAH/0/7w=")</f>
        <v>1</v>
      </c>
      <c r="GH160" t="b">
        <f>AND(DATA!O1095,"AAAAAH/0/70=")</f>
        <v>1</v>
      </c>
      <c r="GI160" t="b">
        <f>AND(DATA!P1095,"AAAAAH/0/74=")</f>
        <v>1</v>
      </c>
      <c r="GJ160" t="b">
        <f>AND(DATA!Q1095,"AAAAAH/0/78=")</f>
        <v>1</v>
      </c>
      <c r="GK160" t="b">
        <f>AND(DATA!R1095,"AAAAAH/0/8A=")</f>
        <v>1</v>
      </c>
      <c r="GL160" t="b">
        <f>AND(DATA!S1095,"AAAAAH/0/8E=")</f>
        <v>1</v>
      </c>
      <c r="GM160" t="b">
        <f>AND(DATA!T1095,"AAAAAH/0/8I=")</f>
        <v>1</v>
      </c>
      <c r="GN160" t="b">
        <f>AND(DATA!U1095,"AAAAAH/0/8M=")</f>
        <v>1</v>
      </c>
      <c r="GO160" t="b">
        <f>AND(DATA!V1095,"AAAAAH/0/8Q=")</f>
        <v>1</v>
      </c>
      <c r="GP160" t="e">
        <f>AND(DATA!W1094,"AAAAAH/0/8U=")</f>
        <v>#VALUE!</v>
      </c>
      <c r="GQ160" t="e">
        <f>AND(DATA!X1094,"AAAAAH/0/8Y=")</f>
        <v>#VALUE!</v>
      </c>
      <c r="GR160" t="e">
        <f>AND(DATA!Y1094,"AAAAAH/0/8c=")</f>
        <v>#VALUE!</v>
      </c>
      <c r="GS160">
        <f>IF(DATA!1095:1095,"AAAAAH/0/8g=",0)</f>
        <v>0</v>
      </c>
      <c r="GT160" t="e">
        <f>AND(DATA!A1095,"AAAAAH/0/8k=")</f>
        <v>#VALUE!</v>
      </c>
      <c r="GU160" t="e">
        <f>AND(DATA!B1095,"AAAAAH/0/8o=")</f>
        <v>#VALUE!</v>
      </c>
      <c r="GV160" t="e">
        <f>AND(DATA!C1095,"AAAAAH/0/8s=")</f>
        <v>#VALUE!</v>
      </c>
      <c r="GW160" t="e">
        <f>AND(DATA!D1095,"AAAAAH/0/8w=")</f>
        <v>#VALUE!</v>
      </c>
      <c r="GX160" t="e">
        <f>AND(DATA!E1095,"AAAAAH/0/80=")</f>
        <v>#VALUE!</v>
      </c>
      <c r="GY160" t="e">
        <f>AND(DATA!F1095,"AAAAAH/0/84=")</f>
        <v>#VALUE!</v>
      </c>
      <c r="GZ160" t="e">
        <f>AND(DATA!G1095,"AAAAAH/0/88=")</f>
        <v>#VALUE!</v>
      </c>
      <c r="HA160" t="e">
        <f>AND(DATA!H1095,"AAAAAH/0/9A=")</f>
        <v>#VALUE!</v>
      </c>
      <c r="HB160" t="e">
        <f>AND(DATA!I1095,"AAAAAH/0/9E=")</f>
        <v>#VALUE!</v>
      </c>
      <c r="HC160" t="e">
        <f>AND(DATA!J1095,"AAAAAH/0/9I=")</f>
        <v>#VALUE!</v>
      </c>
      <c r="HD160" t="e">
        <f>AND(DATA!K1095,"AAAAAH/0/9M=")</f>
        <v>#VALUE!</v>
      </c>
      <c r="HE160" t="b">
        <f>AND(DATA!L1096,"AAAAAH/0/9Q=")</f>
        <v>1</v>
      </c>
      <c r="HF160" t="b">
        <f>AND(DATA!M1096,"AAAAAH/0/9U=")</f>
        <v>1</v>
      </c>
      <c r="HG160" t="b">
        <f>AND(DATA!N1096,"AAAAAH/0/9Y=")</f>
        <v>1</v>
      </c>
      <c r="HH160" t="b">
        <f>AND(DATA!O1096,"AAAAAH/0/9c=")</f>
        <v>1</v>
      </c>
      <c r="HI160" t="b">
        <f>AND(DATA!P1096,"AAAAAH/0/9g=")</f>
        <v>1</v>
      </c>
      <c r="HJ160" t="b">
        <f>AND(DATA!Q1096,"AAAAAH/0/9k=")</f>
        <v>1</v>
      </c>
      <c r="HK160" t="b">
        <f>AND(DATA!R1096,"AAAAAH/0/9o=")</f>
        <v>1</v>
      </c>
      <c r="HL160" t="b">
        <f>AND(DATA!S1096,"AAAAAH/0/9s=")</f>
        <v>1</v>
      </c>
      <c r="HM160" t="b">
        <f>AND(DATA!T1096,"AAAAAH/0/9w=")</f>
        <v>1</v>
      </c>
      <c r="HN160" t="b">
        <f>AND(DATA!U1096,"AAAAAH/0/90=")</f>
        <v>1</v>
      </c>
      <c r="HO160" t="b">
        <f>AND(DATA!V1096,"AAAAAH/0/94=")</f>
        <v>1</v>
      </c>
      <c r="HP160" t="e">
        <f>AND(DATA!W1095,"AAAAAH/0/98=")</f>
        <v>#VALUE!</v>
      </c>
      <c r="HQ160" t="e">
        <f>AND(DATA!X1095,"AAAAAH/0/+A=")</f>
        <v>#VALUE!</v>
      </c>
      <c r="HR160" t="e">
        <f>AND(DATA!Y1095,"AAAAAH/0/+E=")</f>
        <v>#VALUE!</v>
      </c>
      <c r="HS160">
        <f>IF(DATA!1096:1096,"AAAAAH/0/+I=",0)</f>
        <v>0</v>
      </c>
      <c r="HT160" t="e">
        <f>AND(DATA!A1096,"AAAAAH/0/+M=")</f>
        <v>#VALUE!</v>
      </c>
      <c r="HU160" t="e">
        <f>AND(DATA!B1096,"AAAAAH/0/+Q=")</f>
        <v>#VALUE!</v>
      </c>
      <c r="HV160" t="e">
        <f>AND(DATA!C1096,"AAAAAH/0/+U=")</f>
        <v>#VALUE!</v>
      </c>
      <c r="HW160" t="e">
        <f>AND(DATA!D1096,"AAAAAH/0/+Y=")</f>
        <v>#VALUE!</v>
      </c>
      <c r="HX160" t="e">
        <f>AND(DATA!E1096,"AAAAAH/0/+c=")</f>
        <v>#VALUE!</v>
      </c>
      <c r="HY160" t="e">
        <f>AND(DATA!F1096,"AAAAAH/0/+g=")</f>
        <v>#VALUE!</v>
      </c>
      <c r="HZ160" t="e">
        <f>AND(DATA!G1096,"AAAAAH/0/+k=")</f>
        <v>#VALUE!</v>
      </c>
      <c r="IA160" t="e">
        <f>AND(DATA!H1096,"AAAAAH/0/+o=")</f>
        <v>#VALUE!</v>
      </c>
      <c r="IB160" t="e">
        <f>AND(DATA!I1096,"AAAAAH/0/+s=")</f>
        <v>#VALUE!</v>
      </c>
      <c r="IC160" t="e">
        <f>AND(DATA!J1096,"AAAAAH/0/+w=")</f>
        <v>#VALUE!</v>
      </c>
      <c r="ID160" t="e">
        <f>AND(DATA!K1096,"AAAAAH/0/+0=")</f>
        <v>#VALUE!</v>
      </c>
      <c r="IE160" t="b">
        <f>AND(DATA!L1097,"AAAAAH/0/+4=")</f>
        <v>1</v>
      </c>
      <c r="IF160" t="b">
        <f>AND(DATA!M1097,"AAAAAH/0/+8=")</f>
        <v>1</v>
      </c>
      <c r="IG160" t="b">
        <f>AND(DATA!N1097,"AAAAAH/0//A=")</f>
        <v>1</v>
      </c>
      <c r="IH160" t="b">
        <f>AND(DATA!O1097,"AAAAAH/0//E=")</f>
        <v>1</v>
      </c>
      <c r="II160" t="b">
        <f>AND(DATA!P1097,"AAAAAH/0//I=")</f>
        <v>1</v>
      </c>
      <c r="IJ160" t="b">
        <f>AND(DATA!Q1097,"AAAAAH/0//M=")</f>
        <v>1</v>
      </c>
      <c r="IK160" t="b">
        <f>AND(DATA!R1097,"AAAAAH/0//Q=")</f>
        <v>1</v>
      </c>
      <c r="IL160" t="b">
        <f>AND(DATA!S1097,"AAAAAH/0//U=")</f>
        <v>1</v>
      </c>
      <c r="IM160" t="b">
        <f>AND(DATA!T1097,"AAAAAH/0//Y=")</f>
        <v>1</v>
      </c>
      <c r="IN160" t="b">
        <f>AND(DATA!U1097,"AAAAAH/0//c=")</f>
        <v>1</v>
      </c>
      <c r="IO160" t="b">
        <f>AND(DATA!V1097,"AAAAAH/0//g=")</f>
        <v>1</v>
      </c>
      <c r="IP160" t="e">
        <f>AND(DATA!W1096,"AAAAAH/0//k=")</f>
        <v>#VALUE!</v>
      </c>
      <c r="IQ160" t="e">
        <f>AND(DATA!X1096,"AAAAAH/0//o=")</f>
        <v>#VALUE!</v>
      </c>
      <c r="IR160" t="e">
        <f>AND(DATA!Y1096,"AAAAAH/0//s=")</f>
        <v>#VALUE!</v>
      </c>
      <c r="IS160">
        <f>IF(DATA!1097:1097,"AAAAAH/0//w=",0)</f>
        <v>0</v>
      </c>
      <c r="IT160" t="e">
        <f>AND(DATA!A1097,"AAAAAH/0//0=")</f>
        <v>#VALUE!</v>
      </c>
      <c r="IU160" t="e">
        <f>AND(DATA!B1097,"AAAAAH/0//4=")</f>
        <v>#VALUE!</v>
      </c>
      <c r="IV160" t="e">
        <f>AND(DATA!C1097,"AAAAAH/0//8=")</f>
        <v>#VALUE!</v>
      </c>
    </row>
    <row r="161" spans="1:256" x14ac:dyDescent="0.25">
      <c r="A161" t="e">
        <f>AND(DATA!D1097,"AAAAAH03/wA=")</f>
        <v>#VALUE!</v>
      </c>
      <c r="B161" t="e">
        <f>AND(DATA!E1097,"AAAAAH03/wE=")</f>
        <v>#VALUE!</v>
      </c>
      <c r="C161" t="e">
        <f>AND(DATA!F1097,"AAAAAH03/wI=")</f>
        <v>#VALUE!</v>
      </c>
      <c r="D161" t="e">
        <f>AND(DATA!G1097,"AAAAAH03/wM=")</f>
        <v>#VALUE!</v>
      </c>
      <c r="E161" t="e">
        <f>AND(DATA!H1097,"AAAAAH03/wQ=")</f>
        <v>#VALUE!</v>
      </c>
      <c r="F161" t="e">
        <f>AND(DATA!I1097,"AAAAAH03/wU=")</f>
        <v>#VALUE!</v>
      </c>
      <c r="G161" t="e">
        <f>AND(DATA!J1097,"AAAAAH03/wY=")</f>
        <v>#VALUE!</v>
      </c>
      <c r="H161" t="e">
        <f>AND(DATA!K1097,"AAAAAH03/wc=")</f>
        <v>#VALUE!</v>
      </c>
      <c r="I161" t="b">
        <f>AND(DATA!L1098,"AAAAAH03/wg=")</f>
        <v>1</v>
      </c>
      <c r="J161" t="b">
        <f>AND(DATA!M1098,"AAAAAH03/wk=")</f>
        <v>1</v>
      </c>
      <c r="K161" t="b">
        <f>AND(DATA!N1098,"AAAAAH03/wo=")</f>
        <v>1</v>
      </c>
      <c r="L161" t="b">
        <f>AND(DATA!O1098,"AAAAAH03/ws=")</f>
        <v>1</v>
      </c>
      <c r="M161" t="b">
        <f>AND(DATA!P1098,"AAAAAH03/ww=")</f>
        <v>1</v>
      </c>
      <c r="N161" t="b">
        <f>AND(DATA!Q1098,"AAAAAH03/w0=")</f>
        <v>1</v>
      </c>
      <c r="O161" t="b">
        <f>AND(DATA!R1098,"AAAAAH03/w4=")</f>
        <v>1</v>
      </c>
      <c r="P161" t="b">
        <f>AND(DATA!S1098,"AAAAAH03/w8=")</f>
        <v>1</v>
      </c>
      <c r="Q161" t="b">
        <f>AND(DATA!T1098,"AAAAAH03/xA=")</f>
        <v>1</v>
      </c>
      <c r="R161" t="b">
        <f>AND(DATA!U1098,"AAAAAH03/xE=")</f>
        <v>1</v>
      </c>
      <c r="S161" t="b">
        <f>AND(DATA!V1098,"AAAAAH03/xI=")</f>
        <v>1</v>
      </c>
      <c r="T161" t="e">
        <f>AND(DATA!W1097,"AAAAAH03/xM=")</f>
        <v>#VALUE!</v>
      </c>
      <c r="U161" t="e">
        <f>AND(DATA!X1097,"AAAAAH03/xQ=")</f>
        <v>#VALUE!</v>
      </c>
      <c r="V161" t="e">
        <f>AND(DATA!Y1097,"AAAAAH03/xU=")</f>
        <v>#VALUE!</v>
      </c>
      <c r="W161">
        <f>IF(DATA!1098:1098,"AAAAAH03/xY=",0)</f>
        <v>0</v>
      </c>
      <c r="X161" t="e">
        <f>AND(DATA!A1098,"AAAAAH03/xc=")</f>
        <v>#VALUE!</v>
      </c>
      <c r="Y161" t="e">
        <f>AND(DATA!B1098,"AAAAAH03/xg=")</f>
        <v>#VALUE!</v>
      </c>
      <c r="Z161" t="e">
        <f>AND(DATA!C1098,"AAAAAH03/xk=")</f>
        <v>#VALUE!</v>
      </c>
      <c r="AA161" t="e">
        <f>AND(DATA!D1098,"AAAAAH03/xo=")</f>
        <v>#VALUE!</v>
      </c>
      <c r="AB161" t="e">
        <f>AND(DATA!E1098,"AAAAAH03/xs=")</f>
        <v>#VALUE!</v>
      </c>
      <c r="AC161" t="e">
        <f>AND(DATA!F1098,"AAAAAH03/xw=")</f>
        <v>#VALUE!</v>
      </c>
      <c r="AD161" t="e">
        <f>AND(DATA!G1098,"AAAAAH03/x0=")</f>
        <v>#VALUE!</v>
      </c>
      <c r="AE161" t="e">
        <f>AND(DATA!H1098,"AAAAAH03/x4=")</f>
        <v>#VALUE!</v>
      </c>
      <c r="AF161" t="e">
        <f>AND(DATA!I1098,"AAAAAH03/x8=")</f>
        <v>#VALUE!</v>
      </c>
      <c r="AG161" t="e">
        <f>AND(DATA!J1098,"AAAAAH03/yA=")</f>
        <v>#VALUE!</v>
      </c>
      <c r="AH161" t="e">
        <f>AND(DATA!K1098,"AAAAAH03/yE=")</f>
        <v>#VALUE!</v>
      </c>
      <c r="AI161" t="b">
        <f>AND(DATA!L1099,"AAAAAH03/yI=")</f>
        <v>1</v>
      </c>
      <c r="AJ161" t="b">
        <f>AND(DATA!M1099,"AAAAAH03/yM=")</f>
        <v>1</v>
      </c>
      <c r="AK161" t="b">
        <f>AND(DATA!N1099,"AAAAAH03/yQ=")</f>
        <v>1</v>
      </c>
      <c r="AL161" t="b">
        <f>AND(DATA!O1099,"AAAAAH03/yU=")</f>
        <v>1</v>
      </c>
      <c r="AM161" t="b">
        <f>AND(DATA!P1099,"AAAAAH03/yY=")</f>
        <v>1</v>
      </c>
      <c r="AN161" t="b">
        <f>AND(DATA!Q1099,"AAAAAH03/yc=")</f>
        <v>1</v>
      </c>
      <c r="AO161" t="b">
        <f>AND(DATA!R1099,"AAAAAH03/yg=")</f>
        <v>1</v>
      </c>
      <c r="AP161" t="b">
        <f>AND(DATA!S1099,"AAAAAH03/yk=")</f>
        <v>1</v>
      </c>
      <c r="AQ161" t="b">
        <f>AND(DATA!T1099,"AAAAAH03/yo=")</f>
        <v>1</v>
      </c>
      <c r="AR161" t="b">
        <f>AND(DATA!U1099,"AAAAAH03/ys=")</f>
        <v>1</v>
      </c>
      <c r="AS161" t="b">
        <f>AND(DATA!V1099,"AAAAAH03/yw=")</f>
        <v>1</v>
      </c>
      <c r="AT161" t="e">
        <f>AND(DATA!W1098,"AAAAAH03/y0=")</f>
        <v>#VALUE!</v>
      </c>
      <c r="AU161" t="e">
        <f>AND(DATA!X1098,"AAAAAH03/y4=")</f>
        <v>#VALUE!</v>
      </c>
      <c r="AV161" t="e">
        <f>AND(DATA!Y1098,"AAAAAH03/y8=")</f>
        <v>#VALUE!</v>
      </c>
      <c r="AW161">
        <f>IF(DATA!1099:1099,"AAAAAH03/zA=",0)</f>
        <v>0</v>
      </c>
      <c r="AX161" t="e">
        <f>AND(DATA!A1099,"AAAAAH03/zE=")</f>
        <v>#VALUE!</v>
      </c>
      <c r="AY161" t="e">
        <f>AND(DATA!B1099,"AAAAAH03/zI=")</f>
        <v>#VALUE!</v>
      </c>
      <c r="AZ161" t="e">
        <f>AND(DATA!C1099,"AAAAAH03/zM=")</f>
        <v>#VALUE!</v>
      </c>
      <c r="BA161" t="e">
        <f>AND(DATA!D1099,"AAAAAH03/zQ=")</f>
        <v>#VALUE!</v>
      </c>
      <c r="BB161" t="e">
        <f>AND(DATA!E1099,"AAAAAH03/zU=")</f>
        <v>#VALUE!</v>
      </c>
      <c r="BC161" t="e">
        <f>AND(DATA!F1099,"AAAAAH03/zY=")</f>
        <v>#VALUE!</v>
      </c>
      <c r="BD161" t="e">
        <f>AND(DATA!G1099,"AAAAAH03/zc=")</f>
        <v>#VALUE!</v>
      </c>
      <c r="BE161" t="e">
        <f>AND(DATA!H1099,"AAAAAH03/zg=")</f>
        <v>#VALUE!</v>
      </c>
      <c r="BF161" t="e">
        <f>AND(DATA!I1099,"AAAAAH03/zk=")</f>
        <v>#VALUE!</v>
      </c>
      <c r="BG161" t="e">
        <f>AND(DATA!J1099,"AAAAAH03/zo=")</f>
        <v>#VALUE!</v>
      </c>
      <c r="BH161" t="e">
        <f>AND(DATA!K1099,"AAAAAH03/zs=")</f>
        <v>#VALUE!</v>
      </c>
      <c r="BI161" t="b">
        <f>AND(DATA!L1100,"AAAAAH03/zw=")</f>
        <v>1</v>
      </c>
      <c r="BJ161" t="b">
        <f>AND(DATA!M1100,"AAAAAH03/z0=")</f>
        <v>1</v>
      </c>
      <c r="BK161" t="b">
        <f>AND(DATA!N1100,"AAAAAH03/z4=")</f>
        <v>1</v>
      </c>
      <c r="BL161" t="b">
        <f>AND(DATA!O1100,"AAAAAH03/z8=")</f>
        <v>1</v>
      </c>
      <c r="BM161" t="b">
        <f>AND(DATA!P1100,"AAAAAH03/0A=")</f>
        <v>1</v>
      </c>
      <c r="BN161" t="b">
        <f>AND(DATA!Q1100,"AAAAAH03/0E=")</f>
        <v>1</v>
      </c>
      <c r="BO161" t="b">
        <f>AND(DATA!R1100,"AAAAAH03/0I=")</f>
        <v>1</v>
      </c>
      <c r="BP161" t="b">
        <f>AND(DATA!S1100,"AAAAAH03/0M=")</f>
        <v>1</v>
      </c>
      <c r="BQ161" t="b">
        <f>AND(DATA!T1100,"AAAAAH03/0Q=")</f>
        <v>1</v>
      </c>
      <c r="BR161" t="b">
        <f>AND(DATA!U1100,"AAAAAH03/0U=")</f>
        <v>1</v>
      </c>
      <c r="BS161" t="b">
        <f>AND(DATA!V1100,"AAAAAH03/0Y=")</f>
        <v>1</v>
      </c>
      <c r="BT161" t="e">
        <f>AND(DATA!W1099,"AAAAAH03/0c=")</f>
        <v>#VALUE!</v>
      </c>
      <c r="BU161" t="e">
        <f>AND(DATA!X1099,"AAAAAH03/0g=")</f>
        <v>#VALUE!</v>
      </c>
      <c r="BV161" t="e">
        <f>AND(DATA!Y1099,"AAAAAH03/0k=")</f>
        <v>#VALUE!</v>
      </c>
      <c r="BW161">
        <f>IF(DATA!1100:1100,"AAAAAH03/0o=",0)</f>
        <v>0</v>
      </c>
      <c r="BX161" t="e">
        <f>AND(DATA!A1100,"AAAAAH03/0s=")</f>
        <v>#VALUE!</v>
      </c>
      <c r="BY161" t="e">
        <f>AND(DATA!B1100,"AAAAAH03/0w=")</f>
        <v>#VALUE!</v>
      </c>
      <c r="BZ161" t="e">
        <f>AND(DATA!C1100,"AAAAAH03/00=")</f>
        <v>#VALUE!</v>
      </c>
      <c r="CA161" t="e">
        <f>AND(DATA!D1100,"AAAAAH03/04=")</f>
        <v>#VALUE!</v>
      </c>
      <c r="CB161" t="e">
        <f>AND(DATA!E1100,"AAAAAH03/08=")</f>
        <v>#VALUE!</v>
      </c>
      <c r="CC161" t="e">
        <f>AND(DATA!F1100,"AAAAAH03/1A=")</f>
        <v>#VALUE!</v>
      </c>
      <c r="CD161" t="e">
        <f>AND(DATA!G1100,"AAAAAH03/1E=")</f>
        <v>#VALUE!</v>
      </c>
      <c r="CE161" t="e">
        <f>AND(DATA!H1100,"AAAAAH03/1I=")</f>
        <v>#VALUE!</v>
      </c>
      <c r="CF161" t="e">
        <f>AND(DATA!I1100,"AAAAAH03/1M=")</f>
        <v>#VALUE!</v>
      </c>
      <c r="CG161" t="e">
        <f>AND(DATA!J1100,"AAAAAH03/1Q=")</f>
        <v>#VALUE!</v>
      </c>
      <c r="CH161" t="e">
        <f>AND(DATA!K1100,"AAAAAH03/1U=")</f>
        <v>#VALUE!</v>
      </c>
      <c r="CI161" t="b">
        <f>AND(DATA!L1101,"AAAAAH03/1Y=")</f>
        <v>1</v>
      </c>
      <c r="CJ161" t="b">
        <f>AND(DATA!M1101,"AAAAAH03/1c=")</f>
        <v>1</v>
      </c>
      <c r="CK161" t="b">
        <f>AND(DATA!N1101,"AAAAAH03/1g=")</f>
        <v>1</v>
      </c>
      <c r="CL161" t="b">
        <f>AND(DATA!O1101,"AAAAAH03/1k=")</f>
        <v>1</v>
      </c>
      <c r="CM161" t="b">
        <f>AND(DATA!P1101,"AAAAAH03/1o=")</f>
        <v>1</v>
      </c>
      <c r="CN161" t="b">
        <f>AND(DATA!Q1101,"AAAAAH03/1s=")</f>
        <v>1</v>
      </c>
      <c r="CO161" t="b">
        <f>AND(DATA!R1101,"AAAAAH03/1w=")</f>
        <v>1</v>
      </c>
      <c r="CP161" t="b">
        <f>AND(DATA!S1101,"AAAAAH03/10=")</f>
        <v>1</v>
      </c>
      <c r="CQ161" t="b">
        <f>AND(DATA!T1101,"AAAAAH03/14=")</f>
        <v>1</v>
      </c>
      <c r="CR161" t="b">
        <f>AND(DATA!U1101,"AAAAAH03/18=")</f>
        <v>1</v>
      </c>
      <c r="CS161" t="b">
        <f>AND(DATA!V1101,"AAAAAH03/2A=")</f>
        <v>1</v>
      </c>
      <c r="CT161" t="e">
        <f>AND(DATA!W1100,"AAAAAH03/2E=")</f>
        <v>#VALUE!</v>
      </c>
      <c r="CU161" t="e">
        <f>AND(DATA!X1100,"AAAAAH03/2I=")</f>
        <v>#VALUE!</v>
      </c>
      <c r="CV161" t="e">
        <f>AND(DATA!Y1100,"AAAAAH03/2M=")</f>
        <v>#VALUE!</v>
      </c>
      <c r="CW161">
        <f>IF(DATA!1101:1101,"AAAAAH03/2Q=",0)</f>
        <v>0</v>
      </c>
      <c r="CX161" t="e">
        <f>AND(DATA!A1101,"AAAAAH03/2U=")</f>
        <v>#VALUE!</v>
      </c>
      <c r="CY161" t="e">
        <f>AND(DATA!B1101,"AAAAAH03/2Y=")</f>
        <v>#VALUE!</v>
      </c>
      <c r="CZ161" t="e">
        <f>AND(DATA!C1101,"AAAAAH03/2c=")</f>
        <v>#VALUE!</v>
      </c>
      <c r="DA161" t="e">
        <f>AND(DATA!D1101,"AAAAAH03/2g=")</f>
        <v>#VALUE!</v>
      </c>
      <c r="DB161" t="e">
        <f>AND(DATA!E1101,"AAAAAH03/2k=")</f>
        <v>#VALUE!</v>
      </c>
      <c r="DC161" t="e">
        <f>AND(DATA!F1101,"AAAAAH03/2o=")</f>
        <v>#VALUE!</v>
      </c>
      <c r="DD161" t="e">
        <f>AND(DATA!G1101,"AAAAAH03/2s=")</f>
        <v>#VALUE!</v>
      </c>
      <c r="DE161" t="e">
        <f>AND(DATA!H1101,"AAAAAH03/2w=")</f>
        <v>#VALUE!</v>
      </c>
      <c r="DF161" t="e">
        <f>AND(DATA!I1101,"AAAAAH03/20=")</f>
        <v>#VALUE!</v>
      </c>
      <c r="DG161" t="e">
        <f>AND(DATA!J1101,"AAAAAH03/24=")</f>
        <v>#VALUE!</v>
      </c>
      <c r="DH161" t="e">
        <f>AND(DATA!K1101,"AAAAAH03/28=")</f>
        <v>#VALUE!</v>
      </c>
      <c r="DI161" t="b">
        <f>AND(DATA!L1102,"AAAAAH03/3A=")</f>
        <v>1</v>
      </c>
      <c r="DJ161" t="b">
        <f>AND(DATA!M1102,"AAAAAH03/3E=")</f>
        <v>1</v>
      </c>
      <c r="DK161" t="b">
        <f>AND(DATA!N1102,"AAAAAH03/3I=")</f>
        <v>1</v>
      </c>
      <c r="DL161" t="b">
        <f>AND(DATA!O1102,"AAAAAH03/3M=")</f>
        <v>1</v>
      </c>
      <c r="DM161" t="b">
        <f>AND(DATA!P1102,"AAAAAH03/3Q=")</f>
        <v>1</v>
      </c>
      <c r="DN161" t="b">
        <f>AND(DATA!Q1102,"AAAAAH03/3U=")</f>
        <v>1</v>
      </c>
      <c r="DO161" t="b">
        <f>AND(DATA!R1102,"AAAAAH03/3Y=")</f>
        <v>1</v>
      </c>
      <c r="DP161" t="b">
        <f>AND(DATA!S1102,"AAAAAH03/3c=")</f>
        <v>1</v>
      </c>
      <c r="DQ161" t="b">
        <f>AND(DATA!T1102,"AAAAAH03/3g=")</f>
        <v>1</v>
      </c>
      <c r="DR161" t="b">
        <f>AND(DATA!U1102,"AAAAAH03/3k=")</f>
        <v>1</v>
      </c>
      <c r="DS161" t="b">
        <f>AND(DATA!V1102,"AAAAAH03/3o=")</f>
        <v>1</v>
      </c>
      <c r="DT161" t="e">
        <f>AND(DATA!W1101,"AAAAAH03/3s=")</f>
        <v>#VALUE!</v>
      </c>
      <c r="DU161" t="e">
        <f>AND(DATA!X1101,"AAAAAH03/3w=")</f>
        <v>#VALUE!</v>
      </c>
      <c r="DV161" t="e">
        <f>AND(DATA!Y1101,"AAAAAH03/30=")</f>
        <v>#VALUE!</v>
      </c>
      <c r="DW161">
        <f>IF(DATA!1102:1102,"AAAAAH03/34=",0)</f>
        <v>0</v>
      </c>
      <c r="DX161" t="e">
        <f>AND(DATA!A1102,"AAAAAH03/38=")</f>
        <v>#VALUE!</v>
      </c>
      <c r="DY161" t="e">
        <f>AND(DATA!B1102,"AAAAAH03/4A=")</f>
        <v>#VALUE!</v>
      </c>
      <c r="DZ161" t="e">
        <f>AND(DATA!C1102,"AAAAAH03/4E=")</f>
        <v>#VALUE!</v>
      </c>
      <c r="EA161" t="e">
        <f>AND(DATA!D1102,"AAAAAH03/4I=")</f>
        <v>#VALUE!</v>
      </c>
      <c r="EB161" t="e">
        <f>AND(DATA!E1102,"AAAAAH03/4M=")</f>
        <v>#VALUE!</v>
      </c>
      <c r="EC161" t="e">
        <f>AND(DATA!F1102,"AAAAAH03/4Q=")</f>
        <v>#VALUE!</v>
      </c>
      <c r="ED161" t="e">
        <f>AND(DATA!G1102,"AAAAAH03/4U=")</f>
        <v>#VALUE!</v>
      </c>
      <c r="EE161" t="e">
        <f>AND(DATA!H1102,"AAAAAH03/4Y=")</f>
        <v>#VALUE!</v>
      </c>
      <c r="EF161" t="e">
        <f>AND(DATA!I1102,"AAAAAH03/4c=")</f>
        <v>#VALUE!</v>
      </c>
      <c r="EG161" t="e">
        <f>AND(DATA!J1102,"AAAAAH03/4g=")</f>
        <v>#VALUE!</v>
      </c>
      <c r="EH161" t="e">
        <f>AND(DATA!K1102,"AAAAAH03/4k=")</f>
        <v>#VALUE!</v>
      </c>
      <c r="EI161" t="b">
        <f>AND(DATA!L1103,"AAAAAH03/4o=")</f>
        <v>1</v>
      </c>
      <c r="EJ161" t="b">
        <f>AND(DATA!M1103,"AAAAAH03/4s=")</f>
        <v>1</v>
      </c>
      <c r="EK161" t="b">
        <f>AND(DATA!N1103,"AAAAAH03/4w=")</f>
        <v>1</v>
      </c>
      <c r="EL161" t="b">
        <f>AND(DATA!O1103,"AAAAAH03/40=")</f>
        <v>1</v>
      </c>
      <c r="EM161" t="b">
        <f>AND(DATA!P1103,"AAAAAH03/44=")</f>
        <v>1</v>
      </c>
      <c r="EN161" t="b">
        <f>AND(DATA!Q1103,"AAAAAH03/48=")</f>
        <v>1</v>
      </c>
      <c r="EO161" t="b">
        <f>AND(DATA!R1103,"AAAAAH03/5A=")</f>
        <v>1</v>
      </c>
      <c r="EP161" t="b">
        <f>AND(DATA!S1103,"AAAAAH03/5E=")</f>
        <v>1</v>
      </c>
      <c r="EQ161" t="b">
        <f>AND(DATA!T1103,"AAAAAH03/5I=")</f>
        <v>1</v>
      </c>
      <c r="ER161" t="b">
        <f>AND(DATA!U1103,"AAAAAH03/5M=")</f>
        <v>1</v>
      </c>
      <c r="ES161" t="b">
        <f>AND(DATA!V1103,"AAAAAH03/5Q=")</f>
        <v>1</v>
      </c>
      <c r="ET161" t="e">
        <f>AND(DATA!W1102,"AAAAAH03/5U=")</f>
        <v>#VALUE!</v>
      </c>
      <c r="EU161" t="e">
        <f>AND(DATA!X1102,"AAAAAH03/5Y=")</f>
        <v>#VALUE!</v>
      </c>
      <c r="EV161" t="e">
        <f>AND(DATA!Y1102,"AAAAAH03/5c=")</f>
        <v>#VALUE!</v>
      </c>
      <c r="EW161">
        <f>IF(DATA!1103:1103,"AAAAAH03/5g=",0)</f>
        <v>0</v>
      </c>
      <c r="EX161" t="e">
        <f>AND(DATA!A1103,"AAAAAH03/5k=")</f>
        <v>#VALUE!</v>
      </c>
      <c r="EY161" t="e">
        <f>AND(DATA!B1103,"AAAAAH03/5o=")</f>
        <v>#VALUE!</v>
      </c>
      <c r="EZ161" t="e">
        <f>AND(DATA!C1103,"AAAAAH03/5s=")</f>
        <v>#VALUE!</v>
      </c>
      <c r="FA161" t="e">
        <f>AND(DATA!D1103,"AAAAAH03/5w=")</f>
        <v>#VALUE!</v>
      </c>
      <c r="FB161" t="e">
        <f>AND(DATA!E1103,"AAAAAH03/50=")</f>
        <v>#VALUE!</v>
      </c>
      <c r="FC161" t="e">
        <f>AND(DATA!F1103,"AAAAAH03/54=")</f>
        <v>#VALUE!</v>
      </c>
      <c r="FD161" t="e">
        <f>AND(DATA!G1103,"AAAAAH03/58=")</f>
        <v>#VALUE!</v>
      </c>
      <c r="FE161" t="e">
        <f>AND(DATA!H1103,"AAAAAH03/6A=")</f>
        <v>#VALUE!</v>
      </c>
      <c r="FF161" t="e">
        <f>AND(DATA!I1103,"AAAAAH03/6E=")</f>
        <v>#VALUE!</v>
      </c>
      <c r="FG161" t="e">
        <f>AND(DATA!J1103,"AAAAAH03/6I=")</f>
        <v>#VALUE!</v>
      </c>
      <c r="FH161" t="e">
        <f>AND(DATA!K1103,"AAAAAH03/6M=")</f>
        <v>#VALUE!</v>
      </c>
      <c r="FI161" t="b">
        <f>AND(DATA!L1104,"AAAAAH03/6Q=")</f>
        <v>1</v>
      </c>
      <c r="FJ161" t="b">
        <f>AND(DATA!M1104,"AAAAAH03/6U=")</f>
        <v>1</v>
      </c>
      <c r="FK161" t="b">
        <f>AND(DATA!N1104,"AAAAAH03/6Y=")</f>
        <v>1</v>
      </c>
      <c r="FL161" t="b">
        <f>AND(DATA!O1104,"AAAAAH03/6c=")</f>
        <v>1</v>
      </c>
      <c r="FM161" t="b">
        <f>AND(DATA!P1104,"AAAAAH03/6g=")</f>
        <v>1</v>
      </c>
      <c r="FN161" t="b">
        <f>AND(DATA!Q1104,"AAAAAH03/6k=")</f>
        <v>1</v>
      </c>
      <c r="FO161" t="b">
        <f>AND(DATA!R1104,"AAAAAH03/6o=")</f>
        <v>1</v>
      </c>
      <c r="FP161" t="b">
        <f>AND(DATA!S1104,"AAAAAH03/6s=")</f>
        <v>1</v>
      </c>
      <c r="FQ161" t="b">
        <f>AND(DATA!T1104,"AAAAAH03/6w=")</f>
        <v>1</v>
      </c>
      <c r="FR161" t="b">
        <f>AND(DATA!U1104,"AAAAAH03/60=")</f>
        <v>1</v>
      </c>
      <c r="FS161" t="b">
        <f>AND(DATA!V1104,"AAAAAH03/64=")</f>
        <v>1</v>
      </c>
      <c r="FT161" t="e">
        <f>AND(DATA!W1103,"AAAAAH03/68=")</f>
        <v>#VALUE!</v>
      </c>
      <c r="FU161" t="e">
        <f>AND(DATA!X1103,"AAAAAH03/7A=")</f>
        <v>#VALUE!</v>
      </c>
      <c r="FV161" t="e">
        <f>AND(DATA!Y1103,"AAAAAH03/7E=")</f>
        <v>#VALUE!</v>
      </c>
      <c r="FW161">
        <f>IF(DATA!1104:1104,"AAAAAH03/7I=",0)</f>
        <v>0</v>
      </c>
      <c r="FX161" t="e">
        <f>AND(DATA!A1104,"AAAAAH03/7M=")</f>
        <v>#VALUE!</v>
      </c>
      <c r="FY161" t="e">
        <f>AND(DATA!B1104,"AAAAAH03/7Q=")</f>
        <v>#VALUE!</v>
      </c>
      <c r="FZ161" t="e">
        <f>AND(DATA!C1104,"AAAAAH03/7U=")</f>
        <v>#VALUE!</v>
      </c>
      <c r="GA161" t="e">
        <f>AND(DATA!D1104,"AAAAAH03/7Y=")</f>
        <v>#VALUE!</v>
      </c>
      <c r="GB161" t="e">
        <f>AND(DATA!E1104,"AAAAAH03/7c=")</f>
        <v>#VALUE!</v>
      </c>
      <c r="GC161" t="e">
        <f>AND(DATA!F1104,"AAAAAH03/7g=")</f>
        <v>#VALUE!</v>
      </c>
      <c r="GD161" t="e">
        <f>AND(DATA!G1104,"AAAAAH03/7k=")</f>
        <v>#VALUE!</v>
      </c>
      <c r="GE161" t="e">
        <f>AND(DATA!H1104,"AAAAAH03/7o=")</f>
        <v>#VALUE!</v>
      </c>
      <c r="GF161" t="e">
        <f>AND(DATA!I1104,"AAAAAH03/7s=")</f>
        <v>#VALUE!</v>
      </c>
      <c r="GG161" t="e">
        <f>AND(DATA!J1104,"AAAAAH03/7w=")</f>
        <v>#VALUE!</v>
      </c>
      <c r="GH161" t="e">
        <f>AND(DATA!K1104,"AAAAAH03/70=")</f>
        <v>#VALUE!</v>
      </c>
      <c r="GI161" t="b">
        <f>AND(DATA!L1105,"AAAAAH03/74=")</f>
        <v>1</v>
      </c>
      <c r="GJ161" t="b">
        <f>AND(DATA!M1105,"AAAAAH03/78=")</f>
        <v>1</v>
      </c>
      <c r="GK161" t="b">
        <f>AND(DATA!N1105,"AAAAAH03/8A=")</f>
        <v>1</v>
      </c>
      <c r="GL161" t="b">
        <f>AND(DATA!O1105,"AAAAAH03/8E=")</f>
        <v>1</v>
      </c>
      <c r="GM161" t="b">
        <f>AND(DATA!P1105,"AAAAAH03/8I=")</f>
        <v>1</v>
      </c>
      <c r="GN161" t="b">
        <f>AND(DATA!Q1105,"AAAAAH03/8M=")</f>
        <v>1</v>
      </c>
      <c r="GO161" t="b">
        <f>AND(DATA!R1105,"AAAAAH03/8Q=")</f>
        <v>1</v>
      </c>
      <c r="GP161" t="b">
        <f>AND(DATA!S1105,"AAAAAH03/8U=")</f>
        <v>1</v>
      </c>
      <c r="GQ161" t="b">
        <f>AND(DATA!T1105,"AAAAAH03/8Y=")</f>
        <v>1</v>
      </c>
      <c r="GR161" t="b">
        <f>AND(DATA!U1105,"AAAAAH03/8c=")</f>
        <v>1</v>
      </c>
      <c r="GS161" t="b">
        <f>AND(DATA!V1105,"AAAAAH03/8g=")</f>
        <v>1</v>
      </c>
      <c r="GT161" t="e">
        <f>AND(DATA!W1104,"AAAAAH03/8k=")</f>
        <v>#VALUE!</v>
      </c>
      <c r="GU161" t="e">
        <f>AND(DATA!X1104,"AAAAAH03/8o=")</f>
        <v>#VALUE!</v>
      </c>
      <c r="GV161" t="e">
        <f>AND(DATA!Y1104,"AAAAAH03/8s=")</f>
        <v>#VALUE!</v>
      </c>
      <c r="GW161">
        <f>IF(DATA!1105:1105,"AAAAAH03/8w=",0)</f>
        <v>0</v>
      </c>
      <c r="GX161" t="e">
        <f>AND(DATA!A1105,"AAAAAH03/80=")</f>
        <v>#VALUE!</v>
      </c>
      <c r="GY161" t="e">
        <f>AND(DATA!B1105,"AAAAAH03/84=")</f>
        <v>#VALUE!</v>
      </c>
      <c r="GZ161" t="e">
        <f>AND(DATA!C1105,"AAAAAH03/88=")</f>
        <v>#VALUE!</v>
      </c>
      <c r="HA161" t="e">
        <f>AND(DATA!D1105,"AAAAAH03/9A=")</f>
        <v>#VALUE!</v>
      </c>
      <c r="HB161" t="e">
        <f>AND(DATA!E1105,"AAAAAH03/9E=")</f>
        <v>#VALUE!</v>
      </c>
      <c r="HC161" t="e">
        <f>AND(DATA!F1105,"AAAAAH03/9I=")</f>
        <v>#VALUE!</v>
      </c>
      <c r="HD161" t="e">
        <f>AND(DATA!G1105,"AAAAAH03/9M=")</f>
        <v>#VALUE!</v>
      </c>
      <c r="HE161" t="e">
        <f>AND(DATA!H1105,"AAAAAH03/9Q=")</f>
        <v>#VALUE!</v>
      </c>
      <c r="HF161" t="e">
        <f>AND(DATA!I1105,"AAAAAH03/9U=")</f>
        <v>#VALUE!</v>
      </c>
      <c r="HG161" t="e">
        <f>AND(DATA!J1105,"AAAAAH03/9Y=")</f>
        <v>#VALUE!</v>
      </c>
      <c r="HH161" t="e">
        <f>AND(DATA!K1105,"AAAAAH03/9c=")</f>
        <v>#VALUE!</v>
      </c>
      <c r="HI161" t="b">
        <f>AND(DATA!L1106,"AAAAAH03/9g=")</f>
        <v>1</v>
      </c>
      <c r="HJ161" t="b">
        <f>AND(DATA!M1106,"AAAAAH03/9k=")</f>
        <v>1</v>
      </c>
      <c r="HK161" t="b">
        <f>AND(DATA!N1106,"AAAAAH03/9o=")</f>
        <v>1</v>
      </c>
      <c r="HL161" t="b">
        <f>AND(DATA!O1106,"AAAAAH03/9s=")</f>
        <v>1</v>
      </c>
      <c r="HM161" t="b">
        <f>AND(DATA!P1106,"AAAAAH03/9w=")</f>
        <v>1</v>
      </c>
      <c r="HN161" t="b">
        <f>AND(DATA!Q1106,"AAAAAH03/90=")</f>
        <v>1</v>
      </c>
      <c r="HO161" t="b">
        <f>AND(DATA!R1106,"AAAAAH03/94=")</f>
        <v>1</v>
      </c>
      <c r="HP161" t="b">
        <f>AND(DATA!S1106,"AAAAAH03/98=")</f>
        <v>1</v>
      </c>
      <c r="HQ161" t="b">
        <f>AND(DATA!T1106,"AAAAAH03/+A=")</f>
        <v>1</v>
      </c>
      <c r="HR161" t="b">
        <f>AND(DATA!U1106,"AAAAAH03/+E=")</f>
        <v>1</v>
      </c>
      <c r="HS161" t="b">
        <f>AND(DATA!V1106,"AAAAAH03/+I=")</f>
        <v>1</v>
      </c>
      <c r="HT161" t="e">
        <f>AND(DATA!W1105,"AAAAAH03/+M=")</f>
        <v>#VALUE!</v>
      </c>
      <c r="HU161" t="e">
        <f>AND(DATA!X1105,"AAAAAH03/+Q=")</f>
        <v>#VALUE!</v>
      </c>
      <c r="HV161" t="e">
        <f>AND(DATA!Y1105,"AAAAAH03/+U=")</f>
        <v>#VALUE!</v>
      </c>
      <c r="HW161">
        <f>IF(DATA!1106:1106,"AAAAAH03/+Y=",0)</f>
        <v>0</v>
      </c>
      <c r="HX161" t="e">
        <f>AND(DATA!A1106,"AAAAAH03/+c=")</f>
        <v>#VALUE!</v>
      </c>
      <c r="HY161" t="e">
        <f>AND(DATA!B1106,"AAAAAH03/+g=")</f>
        <v>#VALUE!</v>
      </c>
      <c r="HZ161" t="e">
        <f>AND(DATA!C1106,"AAAAAH03/+k=")</f>
        <v>#VALUE!</v>
      </c>
      <c r="IA161" t="e">
        <f>AND(DATA!D1106,"AAAAAH03/+o=")</f>
        <v>#VALUE!</v>
      </c>
      <c r="IB161" t="e">
        <f>AND(DATA!E1106,"AAAAAH03/+s=")</f>
        <v>#VALUE!</v>
      </c>
      <c r="IC161" t="e">
        <f>AND(DATA!F1106,"AAAAAH03/+w=")</f>
        <v>#VALUE!</v>
      </c>
      <c r="ID161" t="e">
        <f>AND(DATA!G1106,"AAAAAH03/+0=")</f>
        <v>#VALUE!</v>
      </c>
      <c r="IE161" t="e">
        <f>AND(DATA!H1106,"AAAAAH03/+4=")</f>
        <v>#VALUE!</v>
      </c>
      <c r="IF161" t="e">
        <f>AND(DATA!I1106,"AAAAAH03/+8=")</f>
        <v>#VALUE!</v>
      </c>
      <c r="IG161" t="e">
        <f>AND(DATA!J1106,"AAAAAH03//A=")</f>
        <v>#VALUE!</v>
      </c>
      <c r="IH161" t="e">
        <f>AND(DATA!K1106,"AAAAAH03//E=")</f>
        <v>#VALUE!</v>
      </c>
      <c r="II161" t="b">
        <f>AND(DATA!L1107,"AAAAAH03//I=")</f>
        <v>1</v>
      </c>
      <c r="IJ161" t="b">
        <f>AND(DATA!M1107,"AAAAAH03//M=")</f>
        <v>1</v>
      </c>
      <c r="IK161" t="b">
        <f>AND(DATA!N1107,"AAAAAH03//Q=")</f>
        <v>1</v>
      </c>
      <c r="IL161" t="b">
        <f>AND(DATA!O1107,"AAAAAH03//U=")</f>
        <v>1</v>
      </c>
      <c r="IM161" t="b">
        <f>AND(DATA!P1107,"AAAAAH03//Y=")</f>
        <v>1</v>
      </c>
      <c r="IN161" t="b">
        <f>AND(DATA!Q1107,"AAAAAH03//c=")</f>
        <v>1</v>
      </c>
      <c r="IO161" t="b">
        <f>AND(DATA!R1107,"AAAAAH03//g=")</f>
        <v>1</v>
      </c>
      <c r="IP161" t="b">
        <f>AND(DATA!S1107,"AAAAAH03//k=")</f>
        <v>1</v>
      </c>
      <c r="IQ161" t="b">
        <f>AND(DATA!T1107,"AAAAAH03//o=")</f>
        <v>1</v>
      </c>
      <c r="IR161" t="b">
        <f>AND(DATA!U1107,"AAAAAH03//s=")</f>
        <v>1</v>
      </c>
      <c r="IS161" t="b">
        <f>AND(DATA!V1107,"AAAAAH03//w=")</f>
        <v>1</v>
      </c>
      <c r="IT161" t="e">
        <f>AND(DATA!W1106,"AAAAAH03//0=")</f>
        <v>#VALUE!</v>
      </c>
      <c r="IU161" t="e">
        <f>AND(DATA!X1106,"AAAAAH03//4=")</f>
        <v>#VALUE!</v>
      </c>
      <c r="IV161" t="e">
        <f>AND(DATA!Y1106,"AAAAAH03//8=")</f>
        <v>#VALUE!</v>
      </c>
    </row>
    <row r="162" spans="1:256" x14ac:dyDescent="0.25">
      <c r="A162">
        <f>IF(DATA!1107:1107,"AAAAAD632QA=",0)</f>
        <v>0</v>
      </c>
      <c r="B162" t="e">
        <f>AND(DATA!A1107,"AAAAAD632QE=")</f>
        <v>#VALUE!</v>
      </c>
      <c r="C162" t="e">
        <f>AND(DATA!B1107,"AAAAAD632QI=")</f>
        <v>#VALUE!</v>
      </c>
      <c r="D162" t="e">
        <f>AND(DATA!C1107,"AAAAAD632QM=")</f>
        <v>#VALUE!</v>
      </c>
      <c r="E162" t="e">
        <f>AND(DATA!D1107,"AAAAAD632QQ=")</f>
        <v>#VALUE!</v>
      </c>
      <c r="F162" t="e">
        <f>AND(DATA!E1107,"AAAAAD632QU=")</f>
        <v>#VALUE!</v>
      </c>
      <c r="G162" t="e">
        <f>AND(DATA!F1107,"AAAAAD632QY=")</f>
        <v>#VALUE!</v>
      </c>
      <c r="H162" t="e">
        <f>AND(DATA!G1107,"AAAAAD632Qc=")</f>
        <v>#VALUE!</v>
      </c>
      <c r="I162" t="e">
        <f>AND(DATA!H1107,"AAAAAD632Qg=")</f>
        <v>#VALUE!</v>
      </c>
      <c r="J162" t="e">
        <f>AND(DATA!I1107,"AAAAAD632Qk=")</f>
        <v>#VALUE!</v>
      </c>
      <c r="K162" t="e">
        <f>AND(DATA!J1107,"AAAAAD632Qo=")</f>
        <v>#VALUE!</v>
      </c>
      <c r="L162" t="e">
        <f>AND(DATA!K1107,"AAAAAD632Qs=")</f>
        <v>#VALUE!</v>
      </c>
      <c r="M162" t="b">
        <f>AND(DATA!L1108,"AAAAAD632Qw=")</f>
        <v>1</v>
      </c>
      <c r="N162" t="b">
        <f>AND(DATA!M1108,"AAAAAD632Q0=")</f>
        <v>1</v>
      </c>
      <c r="O162" t="b">
        <f>AND(DATA!N1108,"AAAAAD632Q4=")</f>
        <v>1</v>
      </c>
      <c r="P162" t="b">
        <f>AND(DATA!O1108,"AAAAAD632Q8=")</f>
        <v>1</v>
      </c>
      <c r="Q162" t="b">
        <f>AND(DATA!P1108,"AAAAAD632RA=")</f>
        <v>1</v>
      </c>
      <c r="R162" t="b">
        <f>AND(DATA!Q1108,"AAAAAD632RE=")</f>
        <v>1</v>
      </c>
      <c r="S162" t="b">
        <f>AND(DATA!R1108,"AAAAAD632RI=")</f>
        <v>1</v>
      </c>
      <c r="T162" t="b">
        <f>AND(DATA!S1108,"AAAAAD632RM=")</f>
        <v>1</v>
      </c>
      <c r="U162" t="b">
        <f>AND(DATA!T1108,"AAAAAD632RQ=")</f>
        <v>1</v>
      </c>
      <c r="V162" t="b">
        <f>AND(DATA!U1108,"AAAAAD632RU=")</f>
        <v>1</v>
      </c>
      <c r="W162" t="b">
        <f>AND(DATA!V1108,"AAAAAD632RY=")</f>
        <v>1</v>
      </c>
      <c r="X162" t="e">
        <f>AND(DATA!W1107,"AAAAAD632Rc=")</f>
        <v>#VALUE!</v>
      </c>
      <c r="Y162" t="e">
        <f>AND(DATA!X1107,"AAAAAD632Rg=")</f>
        <v>#VALUE!</v>
      </c>
      <c r="Z162" t="e">
        <f>AND(DATA!Y1107,"AAAAAD632Rk=")</f>
        <v>#VALUE!</v>
      </c>
      <c r="AA162">
        <f>IF(DATA!1108:1108,"AAAAAD632Ro=",0)</f>
        <v>0</v>
      </c>
      <c r="AB162" t="e">
        <f>AND(DATA!A1108,"AAAAAD632Rs=")</f>
        <v>#VALUE!</v>
      </c>
      <c r="AC162" t="e">
        <f>AND(DATA!B1108,"AAAAAD632Rw=")</f>
        <v>#VALUE!</v>
      </c>
      <c r="AD162" t="e">
        <f>AND(DATA!C1108,"AAAAAD632R0=")</f>
        <v>#VALUE!</v>
      </c>
      <c r="AE162" t="e">
        <f>AND(DATA!D1108,"AAAAAD632R4=")</f>
        <v>#VALUE!</v>
      </c>
      <c r="AF162" t="e">
        <f>AND(DATA!E1108,"AAAAAD632R8=")</f>
        <v>#VALUE!</v>
      </c>
      <c r="AG162" t="e">
        <f>AND(DATA!F1108,"AAAAAD632SA=")</f>
        <v>#VALUE!</v>
      </c>
      <c r="AH162" t="e">
        <f>AND(DATA!G1108,"AAAAAD632SE=")</f>
        <v>#VALUE!</v>
      </c>
      <c r="AI162" t="e">
        <f>AND(DATA!H1108,"AAAAAD632SI=")</f>
        <v>#VALUE!</v>
      </c>
      <c r="AJ162" t="e">
        <f>AND(DATA!I1108,"AAAAAD632SM=")</f>
        <v>#VALUE!</v>
      </c>
      <c r="AK162" t="e">
        <f>AND(DATA!J1108,"AAAAAD632SQ=")</f>
        <v>#VALUE!</v>
      </c>
      <c r="AL162" t="e">
        <f>AND(DATA!K1108,"AAAAAD632SU=")</f>
        <v>#VALUE!</v>
      </c>
      <c r="AM162" t="b">
        <f>AND(DATA!L1109,"AAAAAD632SY=")</f>
        <v>1</v>
      </c>
      <c r="AN162" t="b">
        <f>AND(DATA!M1109,"AAAAAD632Sc=")</f>
        <v>1</v>
      </c>
      <c r="AO162" t="b">
        <f>AND(DATA!N1109,"AAAAAD632Sg=")</f>
        <v>1</v>
      </c>
      <c r="AP162" t="b">
        <f>AND(DATA!O1109,"AAAAAD632Sk=")</f>
        <v>1</v>
      </c>
      <c r="AQ162" t="b">
        <f>AND(DATA!P1109,"AAAAAD632So=")</f>
        <v>1</v>
      </c>
      <c r="AR162" t="b">
        <f>AND(DATA!Q1109,"AAAAAD632Ss=")</f>
        <v>1</v>
      </c>
      <c r="AS162" t="b">
        <f>AND(DATA!R1109,"AAAAAD632Sw=")</f>
        <v>1</v>
      </c>
      <c r="AT162" t="b">
        <f>AND(DATA!S1109,"AAAAAD632S0=")</f>
        <v>1</v>
      </c>
      <c r="AU162" t="b">
        <f>AND(DATA!T1109,"AAAAAD632S4=")</f>
        <v>1</v>
      </c>
      <c r="AV162" t="b">
        <f>AND(DATA!U1109,"AAAAAD632S8=")</f>
        <v>1</v>
      </c>
      <c r="AW162" t="b">
        <f>AND(DATA!V1109,"AAAAAD632TA=")</f>
        <v>1</v>
      </c>
      <c r="AX162" t="e">
        <f>AND(DATA!W1108,"AAAAAD632TE=")</f>
        <v>#VALUE!</v>
      </c>
      <c r="AY162" t="e">
        <f>AND(DATA!X1108,"AAAAAD632TI=")</f>
        <v>#VALUE!</v>
      </c>
      <c r="AZ162" t="e">
        <f>AND(DATA!Y1108,"AAAAAD632TM=")</f>
        <v>#VALUE!</v>
      </c>
      <c r="BA162">
        <f>IF(DATA!1109:1109,"AAAAAD632TQ=",0)</f>
        <v>0</v>
      </c>
      <c r="BB162" t="e">
        <f>AND(DATA!A1109,"AAAAAD632TU=")</f>
        <v>#VALUE!</v>
      </c>
      <c r="BC162" t="e">
        <f>AND(DATA!B1109,"AAAAAD632TY=")</f>
        <v>#VALUE!</v>
      </c>
      <c r="BD162" t="e">
        <f>AND(DATA!C1109,"AAAAAD632Tc=")</f>
        <v>#VALUE!</v>
      </c>
      <c r="BE162" t="e">
        <f>AND(DATA!D1109,"AAAAAD632Tg=")</f>
        <v>#VALUE!</v>
      </c>
      <c r="BF162" t="e">
        <f>AND(DATA!E1109,"AAAAAD632Tk=")</f>
        <v>#VALUE!</v>
      </c>
      <c r="BG162" t="e">
        <f>AND(DATA!F1109,"AAAAAD632To=")</f>
        <v>#VALUE!</v>
      </c>
      <c r="BH162" t="e">
        <f>AND(DATA!G1109,"AAAAAD632Ts=")</f>
        <v>#VALUE!</v>
      </c>
      <c r="BI162" t="e">
        <f>AND(DATA!H1109,"AAAAAD632Tw=")</f>
        <v>#VALUE!</v>
      </c>
      <c r="BJ162" t="e">
        <f>AND(DATA!I1109,"AAAAAD632T0=")</f>
        <v>#VALUE!</v>
      </c>
      <c r="BK162" t="e">
        <f>AND(DATA!J1109,"AAAAAD632T4=")</f>
        <v>#VALUE!</v>
      </c>
      <c r="BL162" t="e">
        <f>AND(DATA!K1109,"AAAAAD632T8=")</f>
        <v>#VALUE!</v>
      </c>
      <c r="BM162" t="b">
        <f>AND(DATA!L1110,"AAAAAD632UA=")</f>
        <v>1</v>
      </c>
      <c r="BN162" t="b">
        <f>AND(DATA!M1110,"AAAAAD632UE=")</f>
        <v>1</v>
      </c>
      <c r="BO162" t="b">
        <f>AND(DATA!N1110,"AAAAAD632UI=")</f>
        <v>1</v>
      </c>
      <c r="BP162" t="b">
        <f>AND(DATA!O1110,"AAAAAD632UM=")</f>
        <v>1</v>
      </c>
      <c r="BQ162" t="b">
        <f>AND(DATA!P1110,"AAAAAD632UQ=")</f>
        <v>1</v>
      </c>
      <c r="BR162" t="b">
        <f>AND(DATA!Q1110,"AAAAAD632UU=")</f>
        <v>1</v>
      </c>
      <c r="BS162" t="b">
        <f>AND(DATA!R1110,"AAAAAD632UY=")</f>
        <v>1</v>
      </c>
      <c r="BT162" t="b">
        <f>AND(DATA!S1110,"AAAAAD632Uc=")</f>
        <v>1</v>
      </c>
      <c r="BU162" t="b">
        <f>AND(DATA!T1110,"AAAAAD632Ug=")</f>
        <v>1</v>
      </c>
      <c r="BV162" t="b">
        <f>AND(DATA!U1110,"AAAAAD632Uk=")</f>
        <v>1</v>
      </c>
      <c r="BW162" t="b">
        <f>AND(DATA!V1110,"AAAAAD632Uo=")</f>
        <v>1</v>
      </c>
      <c r="BX162" t="e">
        <f>AND(DATA!W1109,"AAAAAD632Us=")</f>
        <v>#VALUE!</v>
      </c>
      <c r="BY162" t="e">
        <f>AND(DATA!X1109,"AAAAAD632Uw=")</f>
        <v>#VALUE!</v>
      </c>
      <c r="BZ162" t="e">
        <f>AND(DATA!Y1109,"AAAAAD632U0=")</f>
        <v>#VALUE!</v>
      </c>
      <c r="CA162">
        <f>IF(DATA!1110:1110,"AAAAAD632U4=",0)</f>
        <v>0</v>
      </c>
      <c r="CB162" t="e">
        <f>AND(DATA!A1110,"AAAAAD632U8=")</f>
        <v>#VALUE!</v>
      </c>
      <c r="CC162" t="e">
        <f>AND(DATA!B1110,"AAAAAD632VA=")</f>
        <v>#VALUE!</v>
      </c>
      <c r="CD162" t="e">
        <f>AND(DATA!C1110,"AAAAAD632VE=")</f>
        <v>#VALUE!</v>
      </c>
      <c r="CE162" t="e">
        <f>AND(DATA!D1110,"AAAAAD632VI=")</f>
        <v>#VALUE!</v>
      </c>
      <c r="CF162" t="e">
        <f>AND(DATA!E1110,"AAAAAD632VM=")</f>
        <v>#VALUE!</v>
      </c>
      <c r="CG162" t="e">
        <f>AND(DATA!F1110,"AAAAAD632VQ=")</f>
        <v>#VALUE!</v>
      </c>
      <c r="CH162" t="e">
        <f>AND(DATA!G1110,"AAAAAD632VU=")</f>
        <v>#VALUE!</v>
      </c>
      <c r="CI162" t="e">
        <f>AND(DATA!H1110,"AAAAAD632VY=")</f>
        <v>#VALUE!</v>
      </c>
      <c r="CJ162" t="e">
        <f>AND(DATA!I1110,"AAAAAD632Vc=")</f>
        <v>#VALUE!</v>
      </c>
      <c r="CK162" t="e">
        <f>AND(DATA!J1110,"AAAAAD632Vg=")</f>
        <v>#VALUE!</v>
      </c>
      <c r="CL162" t="e">
        <f>AND(DATA!K1110,"AAAAAD632Vk=")</f>
        <v>#VALUE!</v>
      </c>
      <c r="CM162" t="b">
        <f>AND(DATA!L1111,"AAAAAD632Vo=")</f>
        <v>1</v>
      </c>
      <c r="CN162" t="b">
        <f>AND(DATA!M1111,"AAAAAD632Vs=")</f>
        <v>1</v>
      </c>
      <c r="CO162" t="b">
        <f>AND(DATA!N1111,"AAAAAD632Vw=")</f>
        <v>1</v>
      </c>
      <c r="CP162" t="b">
        <f>AND(DATA!O1111,"AAAAAD632V0=")</f>
        <v>1</v>
      </c>
      <c r="CQ162" t="b">
        <f>AND(DATA!P1111,"AAAAAD632V4=")</f>
        <v>1</v>
      </c>
      <c r="CR162" t="b">
        <f>AND(DATA!Q1111,"AAAAAD632V8=")</f>
        <v>1</v>
      </c>
      <c r="CS162" t="b">
        <f>AND(DATA!R1111,"AAAAAD632WA=")</f>
        <v>1</v>
      </c>
      <c r="CT162" t="b">
        <f>AND(DATA!S1111,"AAAAAD632WE=")</f>
        <v>1</v>
      </c>
      <c r="CU162" t="b">
        <f>AND(DATA!T1111,"AAAAAD632WI=")</f>
        <v>1</v>
      </c>
      <c r="CV162" t="b">
        <f>AND(DATA!U1111,"AAAAAD632WM=")</f>
        <v>1</v>
      </c>
      <c r="CW162" t="b">
        <f>AND(DATA!V1111,"AAAAAD632WQ=")</f>
        <v>1</v>
      </c>
      <c r="CX162" t="e">
        <f>AND(DATA!W1110,"AAAAAD632WU=")</f>
        <v>#VALUE!</v>
      </c>
      <c r="CY162" t="e">
        <f>AND(DATA!X1110,"AAAAAD632WY=")</f>
        <v>#VALUE!</v>
      </c>
      <c r="CZ162" t="e">
        <f>AND(DATA!Y1110,"AAAAAD632Wc=")</f>
        <v>#VALUE!</v>
      </c>
      <c r="DA162">
        <f>IF(DATA!1111:1111,"AAAAAD632Wg=",0)</f>
        <v>0</v>
      </c>
      <c r="DB162" t="e">
        <f>AND(DATA!A1111,"AAAAAD632Wk=")</f>
        <v>#VALUE!</v>
      </c>
      <c r="DC162" t="e">
        <f>AND(DATA!B1111,"AAAAAD632Wo=")</f>
        <v>#VALUE!</v>
      </c>
      <c r="DD162" t="e">
        <f>AND(DATA!C1111,"AAAAAD632Ws=")</f>
        <v>#VALUE!</v>
      </c>
      <c r="DE162" t="e">
        <f>AND(DATA!D1111,"AAAAAD632Ww=")</f>
        <v>#VALUE!</v>
      </c>
      <c r="DF162" t="e">
        <f>AND(DATA!E1111,"AAAAAD632W0=")</f>
        <v>#VALUE!</v>
      </c>
      <c r="DG162" t="e">
        <f>AND(DATA!F1111,"AAAAAD632W4=")</f>
        <v>#VALUE!</v>
      </c>
      <c r="DH162" t="e">
        <f>AND(DATA!G1111,"AAAAAD632W8=")</f>
        <v>#VALUE!</v>
      </c>
      <c r="DI162" t="e">
        <f>AND(DATA!H1111,"AAAAAD632XA=")</f>
        <v>#VALUE!</v>
      </c>
      <c r="DJ162" t="e">
        <f>AND(DATA!I1111,"AAAAAD632XE=")</f>
        <v>#VALUE!</v>
      </c>
      <c r="DK162" t="e">
        <f>AND(DATA!J1111,"AAAAAD632XI=")</f>
        <v>#VALUE!</v>
      </c>
      <c r="DL162" t="e">
        <f>AND(DATA!K1111,"AAAAAD632XM=")</f>
        <v>#VALUE!</v>
      </c>
      <c r="DM162" t="b">
        <f>AND(DATA!L1112,"AAAAAD632XQ=")</f>
        <v>1</v>
      </c>
      <c r="DN162" t="b">
        <f>AND(DATA!M1112,"AAAAAD632XU=")</f>
        <v>1</v>
      </c>
      <c r="DO162" t="b">
        <f>AND(DATA!N1112,"AAAAAD632XY=")</f>
        <v>1</v>
      </c>
      <c r="DP162" t="b">
        <f>AND(DATA!O1112,"AAAAAD632Xc=")</f>
        <v>1</v>
      </c>
      <c r="DQ162" t="b">
        <f>AND(DATA!P1112,"AAAAAD632Xg=")</f>
        <v>1</v>
      </c>
      <c r="DR162" t="b">
        <f>AND(DATA!Q1112,"AAAAAD632Xk=")</f>
        <v>1</v>
      </c>
      <c r="DS162" t="b">
        <f>AND(DATA!R1112,"AAAAAD632Xo=")</f>
        <v>1</v>
      </c>
      <c r="DT162" t="b">
        <f>AND(DATA!S1112,"AAAAAD632Xs=")</f>
        <v>1</v>
      </c>
      <c r="DU162" t="b">
        <f>AND(DATA!T1112,"AAAAAD632Xw=")</f>
        <v>1</v>
      </c>
      <c r="DV162" t="b">
        <f>AND(DATA!U1112,"AAAAAD632X0=")</f>
        <v>1</v>
      </c>
      <c r="DW162" t="b">
        <f>AND(DATA!V1112,"AAAAAD632X4=")</f>
        <v>1</v>
      </c>
      <c r="DX162" t="e">
        <f>AND(DATA!W1111,"AAAAAD632X8=")</f>
        <v>#VALUE!</v>
      </c>
      <c r="DY162" t="e">
        <f>AND(DATA!X1111,"AAAAAD632YA=")</f>
        <v>#VALUE!</v>
      </c>
      <c r="DZ162" t="e">
        <f>AND(DATA!Y1111,"AAAAAD632YE=")</f>
        <v>#VALUE!</v>
      </c>
      <c r="EA162">
        <f>IF(DATA!1112:1112,"AAAAAD632YI=",0)</f>
        <v>0</v>
      </c>
      <c r="EB162" t="e">
        <f>AND(DATA!A1112,"AAAAAD632YM=")</f>
        <v>#VALUE!</v>
      </c>
      <c r="EC162" t="e">
        <f>AND(DATA!B1112,"AAAAAD632YQ=")</f>
        <v>#VALUE!</v>
      </c>
      <c r="ED162" t="e">
        <f>AND(DATA!C1112,"AAAAAD632YU=")</f>
        <v>#VALUE!</v>
      </c>
      <c r="EE162" t="e">
        <f>AND(DATA!D1112,"AAAAAD632YY=")</f>
        <v>#VALUE!</v>
      </c>
      <c r="EF162" t="e">
        <f>AND(DATA!E1112,"AAAAAD632Yc=")</f>
        <v>#VALUE!</v>
      </c>
      <c r="EG162" t="e">
        <f>AND(DATA!F1112,"AAAAAD632Yg=")</f>
        <v>#VALUE!</v>
      </c>
      <c r="EH162" t="e">
        <f>AND(DATA!G1112,"AAAAAD632Yk=")</f>
        <v>#VALUE!</v>
      </c>
      <c r="EI162" t="e">
        <f>AND(DATA!H1112,"AAAAAD632Yo=")</f>
        <v>#VALUE!</v>
      </c>
      <c r="EJ162" t="e">
        <f>AND(DATA!I1112,"AAAAAD632Ys=")</f>
        <v>#VALUE!</v>
      </c>
      <c r="EK162" t="e">
        <f>AND(DATA!J1112,"AAAAAD632Yw=")</f>
        <v>#VALUE!</v>
      </c>
      <c r="EL162" t="e">
        <f>AND(DATA!K1112,"AAAAAD632Y0=")</f>
        <v>#VALUE!</v>
      </c>
      <c r="EM162" t="b">
        <f>AND(DATA!L1113,"AAAAAD632Y4=")</f>
        <v>1</v>
      </c>
      <c r="EN162" t="b">
        <f>AND(DATA!M1113,"AAAAAD632Y8=")</f>
        <v>1</v>
      </c>
      <c r="EO162" t="b">
        <f>AND(DATA!N1113,"AAAAAD632ZA=")</f>
        <v>1</v>
      </c>
      <c r="EP162" t="b">
        <f>AND(DATA!O1113,"AAAAAD632ZE=")</f>
        <v>1</v>
      </c>
      <c r="EQ162" t="b">
        <f>AND(DATA!P1113,"AAAAAD632ZI=")</f>
        <v>1</v>
      </c>
      <c r="ER162" t="b">
        <f>AND(DATA!Q1113,"AAAAAD632ZM=")</f>
        <v>1</v>
      </c>
      <c r="ES162" t="b">
        <f>AND(DATA!R1113,"AAAAAD632ZQ=")</f>
        <v>1</v>
      </c>
      <c r="ET162" t="b">
        <f>AND(DATA!S1113,"AAAAAD632ZU=")</f>
        <v>1</v>
      </c>
      <c r="EU162" t="b">
        <f>AND(DATA!T1113,"AAAAAD632ZY=")</f>
        <v>1</v>
      </c>
      <c r="EV162" t="b">
        <f>AND(DATA!U1113,"AAAAAD632Zc=")</f>
        <v>1</v>
      </c>
      <c r="EW162" t="b">
        <f>AND(DATA!V1113,"AAAAAD632Zg=")</f>
        <v>1</v>
      </c>
      <c r="EX162" t="e">
        <f>AND(DATA!W1112,"AAAAAD632Zk=")</f>
        <v>#VALUE!</v>
      </c>
      <c r="EY162" t="e">
        <f>AND(DATA!X1112,"AAAAAD632Zo=")</f>
        <v>#VALUE!</v>
      </c>
      <c r="EZ162" t="e">
        <f>AND(DATA!Y1112,"AAAAAD632Zs=")</f>
        <v>#VALUE!</v>
      </c>
      <c r="FA162">
        <f>IF(DATA!1113:1113,"AAAAAD632Zw=",0)</f>
        <v>0</v>
      </c>
      <c r="FB162" t="e">
        <f>AND(DATA!A1113,"AAAAAD632Z0=")</f>
        <v>#VALUE!</v>
      </c>
      <c r="FC162" t="e">
        <f>AND(DATA!B1113,"AAAAAD632Z4=")</f>
        <v>#VALUE!</v>
      </c>
      <c r="FD162" t="e">
        <f>AND(DATA!C1113,"AAAAAD632Z8=")</f>
        <v>#VALUE!</v>
      </c>
      <c r="FE162" t="e">
        <f>AND(DATA!D1113,"AAAAAD632aA=")</f>
        <v>#VALUE!</v>
      </c>
      <c r="FF162" t="e">
        <f>AND(DATA!E1113,"AAAAAD632aE=")</f>
        <v>#VALUE!</v>
      </c>
      <c r="FG162" t="e">
        <f>AND(DATA!F1113,"AAAAAD632aI=")</f>
        <v>#VALUE!</v>
      </c>
      <c r="FH162" t="e">
        <f>AND(DATA!G1113,"AAAAAD632aM=")</f>
        <v>#VALUE!</v>
      </c>
      <c r="FI162" t="e">
        <f>AND(DATA!H1113,"AAAAAD632aQ=")</f>
        <v>#VALUE!</v>
      </c>
      <c r="FJ162" t="e">
        <f>AND(DATA!I1113,"AAAAAD632aU=")</f>
        <v>#VALUE!</v>
      </c>
      <c r="FK162" t="e">
        <f>AND(DATA!J1113,"AAAAAD632aY=")</f>
        <v>#VALUE!</v>
      </c>
      <c r="FL162" t="e">
        <f>AND(DATA!K1113,"AAAAAD632ac=")</f>
        <v>#VALUE!</v>
      </c>
      <c r="FM162" t="b">
        <f>AND(DATA!L1114,"AAAAAD632ag=")</f>
        <v>1</v>
      </c>
      <c r="FN162" t="b">
        <f>AND(DATA!M1114,"AAAAAD632ak=")</f>
        <v>1</v>
      </c>
      <c r="FO162" t="b">
        <f>AND(DATA!N1114,"AAAAAD632ao=")</f>
        <v>1</v>
      </c>
      <c r="FP162" t="b">
        <f>AND(DATA!O1114,"AAAAAD632as=")</f>
        <v>1</v>
      </c>
      <c r="FQ162" t="b">
        <f>AND(DATA!P1114,"AAAAAD632aw=")</f>
        <v>1</v>
      </c>
      <c r="FR162" t="b">
        <f>AND(DATA!Q1114,"AAAAAD632a0=")</f>
        <v>1</v>
      </c>
      <c r="FS162" t="b">
        <f>AND(DATA!R1114,"AAAAAD632a4=")</f>
        <v>1</v>
      </c>
      <c r="FT162" t="b">
        <f>AND(DATA!S1114,"AAAAAD632a8=")</f>
        <v>1</v>
      </c>
      <c r="FU162" t="b">
        <f>AND(DATA!T1114,"AAAAAD632bA=")</f>
        <v>1</v>
      </c>
      <c r="FV162" t="b">
        <f>AND(DATA!U1114,"AAAAAD632bE=")</f>
        <v>1</v>
      </c>
      <c r="FW162" t="b">
        <f>AND(DATA!V1114,"AAAAAD632bI=")</f>
        <v>1</v>
      </c>
      <c r="FX162" t="e">
        <f>AND(DATA!W1113,"AAAAAD632bM=")</f>
        <v>#VALUE!</v>
      </c>
      <c r="FY162" t="e">
        <f>AND(DATA!X1113,"AAAAAD632bQ=")</f>
        <v>#VALUE!</v>
      </c>
      <c r="FZ162" t="e">
        <f>AND(DATA!Y1113,"AAAAAD632bU=")</f>
        <v>#VALUE!</v>
      </c>
      <c r="GA162">
        <f>IF(DATA!1114:1114,"AAAAAD632bY=",0)</f>
        <v>0</v>
      </c>
      <c r="GB162" t="e">
        <f>AND(DATA!A1114,"AAAAAD632bc=")</f>
        <v>#VALUE!</v>
      </c>
      <c r="GC162" t="e">
        <f>AND(DATA!B1114,"AAAAAD632bg=")</f>
        <v>#VALUE!</v>
      </c>
      <c r="GD162" t="e">
        <f>AND(DATA!C1114,"AAAAAD632bk=")</f>
        <v>#VALUE!</v>
      </c>
      <c r="GE162" t="e">
        <f>AND(DATA!D1114,"AAAAAD632bo=")</f>
        <v>#VALUE!</v>
      </c>
      <c r="GF162" t="e">
        <f>AND(DATA!E1114,"AAAAAD632bs=")</f>
        <v>#VALUE!</v>
      </c>
      <c r="GG162" t="e">
        <f>AND(DATA!F1114,"AAAAAD632bw=")</f>
        <v>#VALUE!</v>
      </c>
      <c r="GH162" t="e">
        <f>AND(DATA!G1114,"AAAAAD632b0=")</f>
        <v>#VALUE!</v>
      </c>
      <c r="GI162" t="e">
        <f>AND(DATA!H1114,"AAAAAD632b4=")</f>
        <v>#VALUE!</v>
      </c>
      <c r="GJ162" t="e">
        <f>AND(DATA!I1114,"AAAAAD632b8=")</f>
        <v>#VALUE!</v>
      </c>
      <c r="GK162" t="e">
        <f>AND(DATA!J1114,"AAAAAD632cA=")</f>
        <v>#VALUE!</v>
      </c>
      <c r="GL162" t="e">
        <f>AND(DATA!K1114,"AAAAAD632cE=")</f>
        <v>#VALUE!</v>
      </c>
      <c r="GM162" t="b">
        <f>AND(DATA!L1115,"AAAAAD632cI=")</f>
        <v>1</v>
      </c>
      <c r="GN162" t="b">
        <f>AND(DATA!M1115,"AAAAAD632cM=")</f>
        <v>1</v>
      </c>
      <c r="GO162" t="b">
        <f>AND(DATA!N1115,"AAAAAD632cQ=")</f>
        <v>1</v>
      </c>
      <c r="GP162" t="b">
        <f>AND(DATA!O1115,"AAAAAD632cU=")</f>
        <v>1</v>
      </c>
      <c r="GQ162" t="b">
        <f>AND(DATA!P1115,"AAAAAD632cY=")</f>
        <v>1</v>
      </c>
      <c r="GR162" t="b">
        <f>AND(DATA!Q1115,"AAAAAD632cc=")</f>
        <v>1</v>
      </c>
      <c r="GS162" t="b">
        <f>AND(DATA!R1115,"AAAAAD632cg=")</f>
        <v>1</v>
      </c>
      <c r="GT162" t="b">
        <f>AND(DATA!S1115,"AAAAAD632ck=")</f>
        <v>1</v>
      </c>
      <c r="GU162" t="b">
        <f>AND(DATA!T1115,"AAAAAD632co=")</f>
        <v>1</v>
      </c>
      <c r="GV162" t="b">
        <f>AND(DATA!U1115,"AAAAAD632cs=")</f>
        <v>1</v>
      </c>
      <c r="GW162" t="b">
        <f>AND(DATA!V1115,"AAAAAD632cw=")</f>
        <v>1</v>
      </c>
      <c r="GX162" t="e">
        <f>AND(DATA!W1114,"AAAAAD632c0=")</f>
        <v>#VALUE!</v>
      </c>
      <c r="GY162" t="e">
        <f>AND(DATA!X1114,"AAAAAD632c4=")</f>
        <v>#VALUE!</v>
      </c>
      <c r="GZ162" t="e">
        <f>AND(DATA!Y1114,"AAAAAD632c8=")</f>
        <v>#VALUE!</v>
      </c>
      <c r="HA162">
        <f>IF(DATA!1115:1115,"AAAAAD632dA=",0)</f>
        <v>0</v>
      </c>
      <c r="HB162" t="e">
        <f>AND(DATA!A1115,"AAAAAD632dE=")</f>
        <v>#VALUE!</v>
      </c>
      <c r="HC162" t="e">
        <f>AND(DATA!B1115,"AAAAAD632dI=")</f>
        <v>#VALUE!</v>
      </c>
      <c r="HD162" t="e">
        <f>AND(DATA!C1115,"AAAAAD632dM=")</f>
        <v>#VALUE!</v>
      </c>
      <c r="HE162" t="e">
        <f>AND(DATA!D1115,"AAAAAD632dQ=")</f>
        <v>#VALUE!</v>
      </c>
      <c r="HF162" t="e">
        <f>AND(DATA!E1115,"AAAAAD632dU=")</f>
        <v>#VALUE!</v>
      </c>
      <c r="HG162" t="e">
        <f>AND(DATA!F1115,"AAAAAD632dY=")</f>
        <v>#VALUE!</v>
      </c>
      <c r="HH162" t="e">
        <f>AND(DATA!G1115,"AAAAAD632dc=")</f>
        <v>#VALUE!</v>
      </c>
      <c r="HI162" t="e">
        <f>AND(DATA!H1115,"AAAAAD632dg=")</f>
        <v>#VALUE!</v>
      </c>
      <c r="HJ162" t="e">
        <f>AND(DATA!I1115,"AAAAAD632dk=")</f>
        <v>#VALUE!</v>
      </c>
      <c r="HK162" t="e">
        <f>AND(DATA!J1115,"AAAAAD632do=")</f>
        <v>#VALUE!</v>
      </c>
      <c r="HL162" t="e">
        <f>AND(DATA!K1115,"AAAAAD632ds=")</f>
        <v>#VALUE!</v>
      </c>
      <c r="HM162" t="b">
        <f>AND(DATA!L1116,"AAAAAD632dw=")</f>
        <v>1</v>
      </c>
      <c r="HN162" t="b">
        <f>AND(DATA!M1116,"AAAAAD632d0=")</f>
        <v>1</v>
      </c>
      <c r="HO162" t="b">
        <f>AND(DATA!N1116,"AAAAAD632d4=")</f>
        <v>1</v>
      </c>
      <c r="HP162" t="b">
        <f>AND(DATA!O1116,"AAAAAD632d8=")</f>
        <v>1</v>
      </c>
      <c r="HQ162" t="b">
        <f>AND(DATA!P1116,"AAAAAD632eA=")</f>
        <v>1</v>
      </c>
      <c r="HR162" t="b">
        <f>AND(DATA!Q1116,"AAAAAD632eE=")</f>
        <v>1</v>
      </c>
      <c r="HS162" t="b">
        <f>AND(DATA!R1116,"AAAAAD632eI=")</f>
        <v>1</v>
      </c>
      <c r="HT162" t="b">
        <f>AND(DATA!S1116,"AAAAAD632eM=")</f>
        <v>1</v>
      </c>
      <c r="HU162" t="b">
        <f>AND(DATA!T1116,"AAAAAD632eQ=")</f>
        <v>1</v>
      </c>
      <c r="HV162" t="b">
        <f>AND(DATA!U1116,"AAAAAD632eU=")</f>
        <v>1</v>
      </c>
      <c r="HW162" t="b">
        <f>AND(DATA!V1116,"AAAAAD632eY=")</f>
        <v>1</v>
      </c>
      <c r="HX162" t="e">
        <f>AND(DATA!W1115,"AAAAAD632ec=")</f>
        <v>#VALUE!</v>
      </c>
      <c r="HY162" t="e">
        <f>AND(DATA!X1115,"AAAAAD632eg=")</f>
        <v>#VALUE!</v>
      </c>
      <c r="HZ162" t="e">
        <f>AND(DATA!Y1115,"AAAAAD632ek=")</f>
        <v>#VALUE!</v>
      </c>
      <c r="IA162">
        <f>IF(DATA!1116:1116,"AAAAAD632eo=",0)</f>
        <v>0</v>
      </c>
      <c r="IB162" t="e">
        <f>AND(DATA!A1116,"AAAAAD632es=")</f>
        <v>#VALUE!</v>
      </c>
      <c r="IC162" t="e">
        <f>AND(DATA!B1116,"AAAAAD632ew=")</f>
        <v>#VALUE!</v>
      </c>
      <c r="ID162" t="e">
        <f>AND(DATA!C1116,"AAAAAD632e0=")</f>
        <v>#VALUE!</v>
      </c>
      <c r="IE162" t="e">
        <f>AND(DATA!D1116,"AAAAAD632e4=")</f>
        <v>#VALUE!</v>
      </c>
      <c r="IF162" t="e">
        <f>AND(DATA!E1116,"AAAAAD632e8=")</f>
        <v>#VALUE!</v>
      </c>
      <c r="IG162" t="e">
        <f>AND(DATA!F1116,"AAAAAD632fA=")</f>
        <v>#VALUE!</v>
      </c>
      <c r="IH162" t="e">
        <f>AND(DATA!G1116,"AAAAAD632fE=")</f>
        <v>#VALUE!</v>
      </c>
      <c r="II162" t="e">
        <f>AND(DATA!H1116,"AAAAAD632fI=")</f>
        <v>#VALUE!</v>
      </c>
      <c r="IJ162" t="e">
        <f>AND(DATA!I1116,"AAAAAD632fM=")</f>
        <v>#VALUE!</v>
      </c>
      <c r="IK162" t="e">
        <f>AND(DATA!J1116,"AAAAAD632fQ=")</f>
        <v>#VALUE!</v>
      </c>
      <c r="IL162" t="e">
        <f>AND(DATA!K1116,"AAAAAD632fU=")</f>
        <v>#VALUE!</v>
      </c>
      <c r="IM162" t="b">
        <f>AND(DATA!L1117,"AAAAAD632fY=")</f>
        <v>1</v>
      </c>
      <c r="IN162" t="b">
        <f>AND(DATA!M1117,"AAAAAD632fc=")</f>
        <v>1</v>
      </c>
      <c r="IO162" t="b">
        <f>AND(DATA!N1117,"AAAAAD632fg=")</f>
        <v>1</v>
      </c>
      <c r="IP162" t="b">
        <f>AND(DATA!O1117,"AAAAAD632fk=")</f>
        <v>1</v>
      </c>
      <c r="IQ162" t="b">
        <f>AND(DATA!P1117,"AAAAAD632fo=")</f>
        <v>1</v>
      </c>
      <c r="IR162" t="b">
        <f>AND(DATA!Q1117,"AAAAAD632fs=")</f>
        <v>1</v>
      </c>
      <c r="IS162" t="b">
        <f>AND(DATA!R1117,"AAAAAD632fw=")</f>
        <v>1</v>
      </c>
      <c r="IT162" t="b">
        <f>AND(DATA!S1117,"AAAAAD632f0=")</f>
        <v>1</v>
      </c>
      <c r="IU162" t="b">
        <f>AND(DATA!T1117,"AAAAAD632f4=")</f>
        <v>1</v>
      </c>
      <c r="IV162" t="b">
        <f>AND(DATA!U1117,"AAAAAD632f8=")</f>
        <v>1</v>
      </c>
    </row>
    <row r="163" spans="1:256" x14ac:dyDescent="0.25">
      <c r="A163" t="b">
        <f>AND(DATA!V1117,"AAAAAFf3WAA=")</f>
        <v>1</v>
      </c>
      <c r="B163" t="e">
        <f>AND(DATA!W1116,"AAAAAFf3WAE=")</f>
        <v>#VALUE!</v>
      </c>
      <c r="C163" t="e">
        <f>AND(DATA!X1116,"AAAAAFf3WAI=")</f>
        <v>#VALUE!</v>
      </c>
      <c r="D163" t="e">
        <f>AND(DATA!Y1116,"AAAAAFf3WAM=")</f>
        <v>#VALUE!</v>
      </c>
      <c r="E163">
        <f>IF(DATA!1117:1117,"AAAAAFf3WAQ=",0)</f>
        <v>0</v>
      </c>
      <c r="F163" t="e">
        <f>AND(DATA!A1117,"AAAAAFf3WAU=")</f>
        <v>#VALUE!</v>
      </c>
      <c r="G163" t="e">
        <f>AND(DATA!B1117,"AAAAAFf3WAY=")</f>
        <v>#VALUE!</v>
      </c>
      <c r="H163" t="e">
        <f>AND(DATA!C1117,"AAAAAFf3WAc=")</f>
        <v>#VALUE!</v>
      </c>
      <c r="I163" t="e">
        <f>AND(DATA!D1117,"AAAAAFf3WAg=")</f>
        <v>#VALUE!</v>
      </c>
      <c r="J163" t="e">
        <f>AND(DATA!E1117,"AAAAAFf3WAk=")</f>
        <v>#VALUE!</v>
      </c>
      <c r="K163" t="e">
        <f>AND(DATA!F1117,"AAAAAFf3WAo=")</f>
        <v>#VALUE!</v>
      </c>
      <c r="L163" t="e">
        <f>AND(DATA!G1117,"AAAAAFf3WAs=")</f>
        <v>#VALUE!</v>
      </c>
      <c r="M163" t="e">
        <f>AND(DATA!H1117,"AAAAAFf3WAw=")</f>
        <v>#VALUE!</v>
      </c>
      <c r="N163" t="e">
        <f>AND(DATA!I1117,"AAAAAFf3WA0=")</f>
        <v>#VALUE!</v>
      </c>
      <c r="O163" t="e">
        <f>AND(DATA!J1117,"AAAAAFf3WA4=")</f>
        <v>#VALUE!</v>
      </c>
      <c r="P163" t="e">
        <f>AND(DATA!K1117,"AAAAAFf3WA8=")</f>
        <v>#VALUE!</v>
      </c>
      <c r="Q163" t="b">
        <f>AND(DATA!L1118,"AAAAAFf3WBA=")</f>
        <v>1</v>
      </c>
      <c r="R163" t="b">
        <f>AND(DATA!M1118,"AAAAAFf3WBE=")</f>
        <v>1</v>
      </c>
      <c r="S163" t="b">
        <f>AND(DATA!N1118,"AAAAAFf3WBI=")</f>
        <v>1</v>
      </c>
      <c r="T163" t="b">
        <f>AND(DATA!O1118,"AAAAAFf3WBM=")</f>
        <v>1</v>
      </c>
      <c r="U163" t="b">
        <f>AND(DATA!P1118,"AAAAAFf3WBQ=")</f>
        <v>1</v>
      </c>
      <c r="V163" t="b">
        <f>AND(DATA!Q1118,"AAAAAFf3WBU=")</f>
        <v>1</v>
      </c>
      <c r="W163" t="b">
        <f>AND(DATA!R1118,"AAAAAFf3WBY=")</f>
        <v>1</v>
      </c>
      <c r="X163" t="b">
        <f>AND(DATA!S1118,"AAAAAFf3WBc=")</f>
        <v>1</v>
      </c>
      <c r="Y163" t="b">
        <f>AND(DATA!T1118,"AAAAAFf3WBg=")</f>
        <v>1</v>
      </c>
      <c r="Z163" t="b">
        <f>AND(DATA!U1118,"AAAAAFf3WBk=")</f>
        <v>1</v>
      </c>
      <c r="AA163" t="b">
        <f>AND(DATA!V1118,"AAAAAFf3WBo=")</f>
        <v>1</v>
      </c>
      <c r="AB163" t="e">
        <f>AND(DATA!W1117,"AAAAAFf3WBs=")</f>
        <v>#VALUE!</v>
      </c>
      <c r="AC163" t="e">
        <f>AND(DATA!X1117,"AAAAAFf3WBw=")</f>
        <v>#VALUE!</v>
      </c>
      <c r="AD163" t="e">
        <f>AND(DATA!Y1117,"AAAAAFf3WB0=")</f>
        <v>#VALUE!</v>
      </c>
      <c r="AE163">
        <f>IF(DATA!1118:1118,"AAAAAFf3WB4=",0)</f>
        <v>0</v>
      </c>
      <c r="AF163" t="e">
        <f>AND(DATA!A1118,"AAAAAFf3WB8=")</f>
        <v>#VALUE!</v>
      </c>
      <c r="AG163" t="e">
        <f>AND(DATA!B1118,"AAAAAFf3WCA=")</f>
        <v>#VALUE!</v>
      </c>
      <c r="AH163" t="e">
        <f>AND(DATA!C1118,"AAAAAFf3WCE=")</f>
        <v>#VALUE!</v>
      </c>
      <c r="AI163" t="e">
        <f>AND(DATA!D1118,"AAAAAFf3WCI=")</f>
        <v>#VALUE!</v>
      </c>
      <c r="AJ163" t="e">
        <f>AND(DATA!E1118,"AAAAAFf3WCM=")</f>
        <v>#VALUE!</v>
      </c>
      <c r="AK163" t="e">
        <f>AND(DATA!F1118,"AAAAAFf3WCQ=")</f>
        <v>#VALUE!</v>
      </c>
      <c r="AL163" t="e">
        <f>AND(DATA!G1118,"AAAAAFf3WCU=")</f>
        <v>#VALUE!</v>
      </c>
      <c r="AM163" t="e">
        <f>AND(DATA!H1118,"AAAAAFf3WCY=")</f>
        <v>#VALUE!</v>
      </c>
      <c r="AN163" t="e">
        <f>AND(DATA!I1118,"AAAAAFf3WCc=")</f>
        <v>#VALUE!</v>
      </c>
      <c r="AO163" t="e">
        <f>AND(DATA!J1118,"AAAAAFf3WCg=")</f>
        <v>#VALUE!</v>
      </c>
      <c r="AP163" t="e">
        <f>AND(DATA!K1118,"AAAAAFf3WCk=")</f>
        <v>#VALUE!</v>
      </c>
      <c r="AQ163" t="b">
        <f>AND(DATA!L1119,"AAAAAFf3WCo=")</f>
        <v>1</v>
      </c>
      <c r="AR163" t="b">
        <f>AND(DATA!M1119,"AAAAAFf3WCs=")</f>
        <v>1</v>
      </c>
      <c r="AS163" t="b">
        <f>AND(DATA!N1119,"AAAAAFf3WCw=")</f>
        <v>1</v>
      </c>
      <c r="AT163" t="b">
        <f>AND(DATA!O1119,"AAAAAFf3WC0=")</f>
        <v>1</v>
      </c>
      <c r="AU163" t="b">
        <f>AND(DATA!P1119,"AAAAAFf3WC4=")</f>
        <v>1</v>
      </c>
      <c r="AV163" t="b">
        <f>AND(DATA!Q1119,"AAAAAFf3WC8=")</f>
        <v>1</v>
      </c>
      <c r="AW163" t="b">
        <f>AND(DATA!R1119,"AAAAAFf3WDA=")</f>
        <v>1</v>
      </c>
      <c r="AX163" t="b">
        <f>AND(DATA!S1119,"AAAAAFf3WDE=")</f>
        <v>1</v>
      </c>
      <c r="AY163" t="b">
        <f>AND(DATA!T1119,"AAAAAFf3WDI=")</f>
        <v>1</v>
      </c>
      <c r="AZ163" t="b">
        <f>AND(DATA!U1119,"AAAAAFf3WDM=")</f>
        <v>1</v>
      </c>
      <c r="BA163" t="b">
        <f>AND(DATA!V1119,"AAAAAFf3WDQ=")</f>
        <v>1</v>
      </c>
      <c r="BB163" t="e">
        <f>AND(DATA!W1118,"AAAAAFf3WDU=")</f>
        <v>#VALUE!</v>
      </c>
      <c r="BC163" t="e">
        <f>AND(DATA!X1118,"AAAAAFf3WDY=")</f>
        <v>#VALUE!</v>
      </c>
      <c r="BD163" t="e">
        <f>AND(DATA!Y1118,"AAAAAFf3WDc=")</f>
        <v>#VALUE!</v>
      </c>
      <c r="BE163">
        <f>IF(DATA!1119:1119,"AAAAAFf3WDg=",0)</f>
        <v>0</v>
      </c>
      <c r="BF163" t="e">
        <f>AND(DATA!A1119,"AAAAAFf3WDk=")</f>
        <v>#VALUE!</v>
      </c>
      <c r="BG163" t="e">
        <f>AND(DATA!B1119,"AAAAAFf3WDo=")</f>
        <v>#VALUE!</v>
      </c>
      <c r="BH163" t="e">
        <f>AND(DATA!C1119,"AAAAAFf3WDs=")</f>
        <v>#VALUE!</v>
      </c>
      <c r="BI163" t="e">
        <f>AND(DATA!D1119,"AAAAAFf3WDw=")</f>
        <v>#VALUE!</v>
      </c>
      <c r="BJ163" t="e">
        <f>AND(DATA!E1119,"AAAAAFf3WD0=")</f>
        <v>#VALUE!</v>
      </c>
      <c r="BK163" t="e">
        <f>AND(DATA!F1119,"AAAAAFf3WD4=")</f>
        <v>#VALUE!</v>
      </c>
      <c r="BL163" t="e">
        <f>AND(DATA!G1119,"AAAAAFf3WD8=")</f>
        <v>#VALUE!</v>
      </c>
      <c r="BM163" t="e">
        <f>AND(DATA!H1119,"AAAAAFf3WEA=")</f>
        <v>#VALUE!</v>
      </c>
      <c r="BN163" t="e">
        <f>AND(DATA!I1119,"AAAAAFf3WEE=")</f>
        <v>#VALUE!</v>
      </c>
      <c r="BO163" t="e">
        <f>AND(DATA!J1119,"AAAAAFf3WEI=")</f>
        <v>#VALUE!</v>
      </c>
      <c r="BP163" t="e">
        <f>AND(DATA!K1119,"AAAAAFf3WEM=")</f>
        <v>#VALUE!</v>
      </c>
      <c r="BQ163" t="b">
        <f>AND(DATA!L1120,"AAAAAFf3WEQ=")</f>
        <v>1</v>
      </c>
      <c r="BR163" t="b">
        <f>AND(DATA!M1120,"AAAAAFf3WEU=")</f>
        <v>1</v>
      </c>
      <c r="BS163" t="b">
        <f>AND(DATA!N1120,"AAAAAFf3WEY=")</f>
        <v>1</v>
      </c>
      <c r="BT163" t="b">
        <f>AND(DATA!O1120,"AAAAAFf3WEc=")</f>
        <v>1</v>
      </c>
      <c r="BU163" t="b">
        <f>AND(DATA!P1120,"AAAAAFf3WEg=")</f>
        <v>1</v>
      </c>
      <c r="BV163" t="b">
        <f>AND(DATA!Q1120,"AAAAAFf3WEk=")</f>
        <v>1</v>
      </c>
      <c r="BW163" t="b">
        <f>AND(DATA!R1120,"AAAAAFf3WEo=")</f>
        <v>1</v>
      </c>
      <c r="BX163" t="b">
        <f>AND(DATA!S1120,"AAAAAFf3WEs=")</f>
        <v>1</v>
      </c>
      <c r="BY163" t="b">
        <f>AND(DATA!T1120,"AAAAAFf3WEw=")</f>
        <v>1</v>
      </c>
      <c r="BZ163" t="b">
        <f>AND(DATA!U1120,"AAAAAFf3WE0=")</f>
        <v>1</v>
      </c>
      <c r="CA163" t="b">
        <f>AND(DATA!V1120,"AAAAAFf3WE4=")</f>
        <v>1</v>
      </c>
      <c r="CB163" t="e">
        <f>AND(DATA!W1119,"AAAAAFf3WE8=")</f>
        <v>#VALUE!</v>
      </c>
      <c r="CC163" t="e">
        <f>AND(DATA!X1119,"AAAAAFf3WFA=")</f>
        <v>#VALUE!</v>
      </c>
      <c r="CD163" t="e">
        <f>AND(DATA!Y1119,"AAAAAFf3WFE=")</f>
        <v>#VALUE!</v>
      </c>
      <c r="CE163">
        <f>IF(DATA!1120:1120,"AAAAAFf3WFI=",0)</f>
        <v>0</v>
      </c>
      <c r="CF163" t="e">
        <f>AND(DATA!A1120,"AAAAAFf3WFM=")</f>
        <v>#VALUE!</v>
      </c>
      <c r="CG163" t="e">
        <f>AND(DATA!B1120,"AAAAAFf3WFQ=")</f>
        <v>#VALUE!</v>
      </c>
      <c r="CH163" t="e">
        <f>AND(DATA!C1120,"AAAAAFf3WFU=")</f>
        <v>#VALUE!</v>
      </c>
      <c r="CI163" t="e">
        <f>AND(DATA!D1120,"AAAAAFf3WFY=")</f>
        <v>#VALUE!</v>
      </c>
      <c r="CJ163" t="e">
        <f>AND(DATA!E1120,"AAAAAFf3WFc=")</f>
        <v>#VALUE!</v>
      </c>
      <c r="CK163" t="e">
        <f>AND(DATA!F1120,"AAAAAFf3WFg=")</f>
        <v>#VALUE!</v>
      </c>
      <c r="CL163" t="e">
        <f>AND(DATA!G1120,"AAAAAFf3WFk=")</f>
        <v>#VALUE!</v>
      </c>
      <c r="CM163" t="e">
        <f>AND(DATA!H1120,"AAAAAFf3WFo=")</f>
        <v>#VALUE!</v>
      </c>
      <c r="CN163" t="e">
        <f>AND(DATA!I1120,"AAAAAFf3WFs=")</f>
        <v>#VALUE!</v>
      </c>
      <c r="CO163" t="e">
        <f>AND(DATA!J1120,"AAAAAFf3WFw=")</f>
        <v>#VALUE!</v>
      </c>
      <c r="CP163" t="e">
        <f>AND(DATA!K1120,"AAAAAFf3WF0=")</f>
        <v>#VALUE!</v>
      </c>
      <c r="CQ163" t="b">
        <f>AND(DATA!L1121,"AAAAAFf3WF4=")</f>
        <v>1</v>
      </c>
      <c r="CR163" t="b">
        <f>AND(DATA!M1121,"AAAAAFf3WF8=")</f>
        <v>1</v>
      </c>
      <c r="CS163" t="b">
        <f>AND(DATA!N1121,"AAAAAFf3WGA=")</f>
        <v>1</v>
      </c>
      <c r="CT163" t="b">
        <f>AND(DATA!O1121,"AAAAAFf3WGE=")</f>
        <v>1</v>
      </c>
      <c r="CU163" t="b">
        <f>AND(DATA!P1121,"AAAAAFf3WGI=")</f>
        <v>1</v>
      </c>
      <c r="CV163" t="b">
        <f>AND(DATA!Q1121,"AAAAAFf3WGM=")</f>
        <v>1</v>
      </c>
      <c r="CW163" t="b">
        <f>AND(DATA!R1121,"AAAAAFf3WGQ=")</f>
        <v>1</v>
      </c>
      <c r="CX163" t="b">
        <f>AND(DATA!S1121,"AAAAAFf3WGU=")</f>
        <v>1</v>
      </c>
      <c r="CY163" t="b">
        <f>AND(DATA!T1121,"AAAAAFf3WGY=")</f>
        <v>1</v>
      </c>
      <c r="CZ163" t="b">
        <f>AND(DATA!U1121,"AAAAAFf3WGc=")</f>
        <v>1</v>
      </c>
      <c r="DA163" t="b">
        <f>AND(DATA!V1121,"AAAAAFf3WGg=")</f>
        <v>1</v>
      </c>
      <c r="DB163" t="e">
        <f>AND(DATA!W1120,"AAAAAFf3WGk=")</f>
        <v>#VALUE!</v>
      </c>
      <c r="DC163" t="e">
        <f>AND(DATA!X1120,"AAAAAFf3WGo=")</f>
        <v>#VALUE!</v>
      </c>
      <c r="DD163" t="e">
        <f>AND(DATA!Y1120,"AAAAAFf3WGs=")</f>
        <v>#VALUE!</v>
      </c>
      <c r="DE163">
        <f>IF(DATA!1121:1121,"AAAAAFf3WGw=",0)</f>
        <v>0</v>
      </c>
      <c r="DF163" t="e">
        <f>AND(DATA!A1121,"AAAAAFf3WG0=")</f>
        <v>#VALUE!</v>
      </c>
      <c r="DG163" t="e">
        <f>AND(DATA!B1121,"AAAAAFf3WG4=")</f>
        <v>#VALUE!</v>
      </c>
      <c r="DH163" t="e">
        <f>AND(DATA!C1121,"AAAAAFf3WG8=")</f>
        <v>#VALUE!</v>
      </c>
      <c r="DI163" t="e">
        <f>AND(DATA!D1121,"AAAAAFf3WHA=")</f>
        <v>#VALUE!</v>
      </c>
      <c r="DJ163" t="e">
        <f>AND(DATA!E1121,"AAAAAFf3WHE=")</f>
        <v>#VALUE!</v>
      </c>
      <c r="DK163" t="e">
        <f>AND(DATA!F1121,"AAAAAFf3WHI=")</f>
        <v>#VALUE!</v>
      </c>
      <c r="DL163" t="e">
        <f>AND(DATA!G1121,"AAAAAFf3WHM=")</f>
        <v>#VALUE!</v>
      </c>
      <c r="DM163" t="e">
        <f>AND(DATA!H1121,"AAAAAFf3WHQ=")</f>
        <v>#VALUE!</v>
      </c>
      <c r="DN163" t="e">
        <f>AND(DATA!I1121,"AAAAAFf3WHU=")</f>
        <v>#VALUE!</v>
      </c>
      <c r="DO163" t="e">
        <f>AND(DATA!J1121,"AAAAAFf3WHY=")</f>
        <v>#VALUE!</v>
      </c>
      <c r="DP163" t="e">
        <f>AND(DATA!K1121,"AAAAAFf3WHc=")</f>
        <v>#VALUE!</v>
      </c>
      <c r="DQ163" t="b">
        <f>AND(DATA!L1122,"AAAAAFf3WHg=")</f>
        <v>1</v>
      </c>
      <c r="DR163" t="b">
        <f>AND(DATA!M1122,"AAAAAFf3WHk=")</f>
        <v>1</v>
      </c>
      <c r="DS163" t="b">
        <f>AND(DATA!N1122,"AAAAAFf3WHo=")</f>
        <v>1</v>
      </c>
      <c r="DT163" t="b">
        <f>AND(DATA!O1122,"AAAAAFf3WHs=")</f>
        <v>1</v>
      </c>
      <c r="DU163" t="b">
        <f>AND(DATA!P1122,"AAAAAFf3WHw=")</f>
        <v>1</v>
      </c>
      <c r="DV163" t="b">
        <f>AND(DATA!Q1122,"AAAAAFf3WH0=")</f>
        <v>1</v>
      </c>
      <c r="DW163" t="b">
        <f>AND(DATA!R1122,"AAAAAFf3WH4=")</f>
        <v>1</v>
      </c>
      <c r="DX163" t="b">
        <f>AND(DATA!S1122,"AAAAAFf3WH8=")</f>
        <v>1</v>
      </c>
      <c r="DY163" t="b">
        <f>AND(DATA!T1122,"AAAAAFf3WIA=")</f>
        <v>1</v>
      </c>
      <c r="DZ163" t="b">
        <f>AND(DATA!U1122,"AAAAAFf3WIE=")</f>
        <v>1</v>
      </c>
      <c r="EA163" t="b">
        <f>AND(DATA!V1122,"AAAAAFf3WII=")</f>
        <v>1</v>
      </c>
      <c r="EB163" t="e">
        <f>AND(DATA!W1121,"AAAAAFf3WIM=")</f>
        <v>#VALUE!</v>
      </c>
      <c r="EC163" t="e">
        <f>AND(DATA!X1121,"AAAAAFf3WIQ=")</f>
        <v>#VALUE!</v>
      </c>
      <c r="ED163" t="e">
        <f>AND(DATA!Y1121,"AAAAAFf3WIU=")</f>
        <v>#VALUE!</v>
      </c>
      <c r="EE163">
        <f>IF(DATA!1122:1122,"AAAAAFf3WIY=",0)</f>
        <v>0</v>
      </c>
      <c r="EF163" t="e">
        <f>AND(DATA!A1122,"AAAAAFf3WIc=")</f>
        <v>#VALUE!</v>
      </c>
      <c r="EG163" t="e">
        <f>AND(DATA!B1122,"AAAAAFf3WIg=")</f>
        <v>#VALUE!</v>
      </c>
      <c r="EH163" t="e">
        <f>AND(DATA!C1122,"AAAAAFf3WIk=")</f>
        <v>#VALUE!</v>
      </c>
      <c r="EI163" t="e">
        <f>AND(DATA!D1122,"AAAAAFf3WIo=")</f>
        <v>#VALUE!</v>
      </c>
      <c r="EJ163" t="e">
        <f>AND(DATA!E1122,"AAAAAFf3WIs=")</f>
        <v>#VALUE!</v>
      </c>
      <c r="EK163" t="e">
        <f>AND(DATA!F1122,"AAAAAFf3WIw=")</f>
        <v>#VALUE!</v>
      </c>
      <c r="EL163" t="e">
        <f>AND(DATA!G1122,"AAAAAFf3WI0=")</f>
        <v>#VALUE!</v>
      </c>
      <c r="EM163" t="e">
        <f>AND(DATA!H1122,"AAAAAFf3WI4=")</f>
        <v>#VALUE!</v>
      </c>
      <c r="EN163" t="e">
        <f>AND(DATA!I1122,"AAAAAFf3WI8=")</f>
        <v>#VALUE!</v>
      </c>
      <c r="EO163" t="e">
        <f>AND(DATA!J1122,"AAAAAFf3WJA=")</f>
        <v>#VALUE!</v>
      </c>
      <c r="EP163" t="e">
        <f>AND(DATA!K1122,"AAAAAFf3WJE=")</f>
        <v>#VALUE!</v>
      </c>
      <c r="EQ163" t="b">
        <f>AND(DATA!L1123,"AAAAAFf3WJI=")</f>
        <v>1</v>
      </c>
      <c r="ER163" t="b">
        <f>AND(DATA!M1123,"AAAAAFf3WJM=")</f>
        <v>1</v>
      </c>
      <c r="ES163" t="b">
        <f>AND(DATA!N1123,"AAAAAFf3WJQ=")</f>
        <v>1</v>
      </c>
      <c r="ET163" t="b">
        <f>AND(DATA!O1123,"AAAAAFf3WJU=")</f>
        <v>1</v>
      </c>
      <c r="EU163" t="b">
        <f>AND(DATA!P1123,"AAAAAFf3WJY=")</f>
        <v>1</v>
      </c>
      <c r="EV163" t="b">
        <f>AND(DATA!Q1123,"AAAAAFf3WJc=")</f>
        <v>1</v>
      </c>
      <c r="EW163" t="b">
        <f>AND(DATA!R1123,"AAAAAFf3WJg=")</f>
        <v>1</v>
      </c>
      <c r="EX163" t="b">
        <f>AND(DATA!S1123,"AAAAAFf3WJk=")</f>
        <v>1</v>
      </c>
      <c r="EY163" t="b">
        <f>AND(DATA!T1123,"AAAAAFf3WJo=")</f>
        <v>1</v>
      </c>
      <c r="EZ163" t="b">
        <f>AND(DATA!U1123,"AAAAAFf3WJs=")</f>
        <v>1</v>
      </c>
      <c r="FA163" t="b">
        <f>AND(DATA!V1123,"AAAAAFf3WJw=")</f>
        <v>1</v>
      </c>
      <c r="FB163" t="e">
        <f>AND(DATA!W1122,"AAAAAFf3WJ0=")</f>
        <v>#VALUE!</v>
      </c>
      <c r="FC163" t="e">
        <f>AND(DATA!X1122,"AAAAAFf3WJ4=")</f>
        <v>#VALUE!</v>
      </c>
      <c r="FD163" t="e">
        <f>AND(DATA!Y1122,"AAAAAFf3WJ8=")</f>
        <v>#VALUE!</v>
      </c>
      <c r="FE163">
        <f>IF(DATA!1123:1123,"AAAAAFf3WKA=",0)</f>
        <v>0</v>
      </c>
      <c r="FF163" t="e">
        <f>AND(DATA!A1123,"AAAAAFf3WKE=")</f>
        <v>#VALUE!</v>
      </c>
      <c r="FG163" t="e">
        <f>AND(DATA!B1123,"AAAAAFf3WKI=")</f>
        <v>#VALUE!</v>
      </c>
      <c r="FH163" t="e">
        <f>AND(DATA!C1123,"AAAAAFf3WKM=")</f>
        <v>#VALUE!</v>
      </c>
      <c r="FI163" t="e">
        <f>AND(DATA!D1123,"AAAAAFf3WKQ=")</f>
        <v>#VALUE!</v>
      </c>
      <c r="FJ163" t="e">
        <f>AND(DATA!E1123,"AAAAAFf3WKU=")</f>
        <v>#VALUE!</v>
      </c>
      <c r="FK163" t="e">
        <f>AND(DATA!F1123,"AAAAAFf3WKY=")</f>
        <v>#VALUE!</v>
      </c>
      <c r="FL163" t="e">
        <f>AND(DATA!G1123,"AAAAAFf3WKc=")</f>
        <v>#VALUE!</v>
      </c>
      <c r="FM163" t="e">
        <f>AND(DATA!H1123,"AAAAAFf3WKg=")</f>
        <v>#VALUE!</v>
      </c>
      <c r="FN163" t="e">
        <f>AND(DATA!I1123,"AAAAAFf3WKk=")</f>
        <v>#VALUE!</v>
      </c>
      <c r="FO163" t="e">
        <f>AND(DATA!J1123,"AAAAAFf3WKo=")</f>
        <v>#VALUE!</v>
      </c>
      <c r="FP163" t="e">
        <f>AND(DATA!K1123,"AAAAAFf3WKs=")</f>
        <v>#VALUE!</v>
      </c>
      <c r="FQ163" t="b">
        <f>AND(DATA!L1124,"AAAAAFf3WKw=")</f>
        <v>1</v>
      </c>
      <c r="FR163" t="b">
        <f>AND(DATA!M1124,"AAAAAFf3WK0=")</f>
        <v>1</v>
      </c>
      <c r="FS163" t="b">
        <f>AND(DATA!N1124,"AAAAAFf3WK4=")</f>
        <v>1</v>
      </c>
      <c r="FT163" t="b">
        <f>AND(DATA!O1124,"AAAAAFf3WK8=")</f>
        <v>1</v>
      </c>
      <c r="FU163" t="b">
        <f>AND(DATA!P1124,"AAAAAFf3WLA=")</f>
        <v>1</v>
      </c>
      <c r="FV163" t="b">
        <f>AND(DATA!Q1124,"AAAAAFf3WLE=")</f>
        <v>1</v>
      </c>
      <c r="FW163" t="b">
        <f>AND(DATA!R1124,"AAAAAFf3WLI=")</f>
        <v>1</v>
      </c>
      <c r="FX163" t="b">
        <f>AND(DATA!S1124,"AAAAAFf3WLM=")</f>
        <v>1</v>
      </c>
      <c r="FY163" t="b">
        <f>AND(DATA!T1124,"AAAAAFf3WLQ=")</f>
        <v>1</v>
      </c>
      <c r="FZ163" t="b">
        <f>AND(DATA!U1124,"AAAAAFf3WLU=")</f>
        <v>1</v>
      </c>
      <c r="GA163" t="b">
        <f>AND(DATA!V1124,"AAAAAFf3WLY=")</f>
        <v>1</v>
      </c>
      <c r="GB163" t="e">
        <f>AND(DATA!W1123,"AAAAAFf3WLc=")</f>
        <v>#VALUE!</v>
      </c>
      <c r="GC163" t="e">
        <f>AND(DATA!X1123,"AAAAAFf3WLg=")</f>
        <v>#VALUE!</v>
      </c>
      <c r="GD163" t="e">
        <f>AND(DATA!Y1123,"AAAAAFf3WLk=")</f>
        <v>#VALUE!</v>
      </c>
      <c r="GE163">
        <f>IF(DATA!1124:1124,"AAAAAFf3WLo=",0)</f>
        <v>0</v>
      </c>
      <c r="GF163" t="e">
        <f>AND(DATA!A1124,"AAAAAFf3WLs=")</f>
        <v>#VALUE!</v>
      </c>
      <c r="GG163" t="e">
        <f>AND(DATA!B1124,"AAAAAFf3WLw=")</f>
        <v>#VALUE!</v>
      </c>
      <c r="GH163" t="e">
        <f>AND(DATA!C1124,"AAAAAFf3WL0=")</f>
        <v>#VALUE!</v>
      </c>
      <c r="GI163" t="e">
        <f>AND(DATA!D1124,"AAAAAFf3WL4=")</f>
        <v>#VALUE!</v>
      </c>
      <c r="GJ163" t="e">
        <f>AND(DATA!E1124,"AAAAAFf3WL8=")</f>
        <v>#VALUE!</v>
      </c>
      <c r="GK163" t="e">
        <f>AND(DATA!F1124,"AAAAAFf3WMA=")</f>
        <v>#VALUE!</v>
      </c>
      <c r="GL163" t="e">
        <f>AND(DATA!G1124,"AAAAAFf3WME=")</f>
        <v>#VALUE!</v>
      </c>
      <c r="GM163" t="e">
        <f>AND(DATA!H1124,"AAAAAFf3WMI=")</f>
        <v>#VALUE!</v>
      </c>
      <c r="GN163" t="e">
        <f>AND(DATA!I1124,"AAAAAFf3WMM=")</f>
        <v>#VALUE!</v>
      </c>
      <c r="GO163" t="e">
        <f>AND(DATA!J1124,"AAAAAFf3WMQ=")</f>
        <v>#VALUE!</v>
      </c>
      <c r="GP163" t="e">
        <f>AND(DATA!K1124,"AAAAAFf3WMU=")</f>
        <v>#VALUE!</v>
      </c>
      <c r="GQ163" t="b">
        <f>AND(DATA!L1125,"AAAAAFf3WMY=")</f>
        <v>1</v>
      </c>
      <c r="GR163" t="b">
        <f>AND(DATA!M1125,"AAAAAFf3WMc=")</f>
        <v>1</v>
      </c>
      <c r="GS163" t="b">
        <f>AND(DATA!N1125,"AAAAAFf3WMg=")</f>
        <v>1</v>
      </c>
      <c r="GT163" t="b">
        <f>AND(DATA!O1125,"AAAAAFf3WMk=")</f>
        <v>1</v>
      </c>
      <c r="GU163" t="b">
        <f>AND(DATA!P1125,"AAAAAFf3WMo=")</f>
        <v>1</v>
      </c>
      <c r="GV163" t="b">
        <f>AND(DATA!Q1125,"AAAAAFf3WMs=")</f>
        <v>1</v>
      </c>
      <c r="GW163" t="b">
        <f>AND(DATA!R1125,"AAAAAFf3WMw=")</f>
        <v>1</v>
      </c>
      <c r="GX163" t="b">
        <f>AND(DATA!S1125,"AAAAAFf3WM0=")</f>
        <v>1</v>
      </c>
      <c r="GY163" t="b">
        <f>AND(DATA!T1125,"AAAAAFf3WM4=")</f>
        <v>1</v>
      </c>
      <c r="GZ163" t="b">
        <f>AND(DATA!U1125,"AAAAAFf3WM8=")</f>
        <v>1</v>
      </c>
      <c r="HA163" t="b">
        <f>AND(DATA!V1125,"AAAAAFf3WNA=")</f>
        <v>1</v>
      </c>
      <c r="HB163" t="e">
        <f>AND(DATA!W1124,"AAAAAFf3WNE=")</f>
        <v>#VALUE!</v>
      </c>
      <c r="HC163" t="e">
        <f>AND(DATA!X1124,"AAAAAFf3WNI=")</f>
        <v>#VALUE!</v>
      </c>
      <c r="HD163" t="e">
        <f>AND(DATA!Y1124,"AAAAAFf3WNM=")</f>
        <v>#VALUE!</v>
      </c>
      <c r="HE163">
        <f>IF(DATA!1125:1125,"AAAAAFf3WNQ=",0)</f>
        <v>0</v>
      </c>
      <c r="HF163" t="e">
        <f>AND(DATA!A1125,"AAAAAFf3WNU=")</f>
        <v>#VALUE!</v>
      </c>
      <c r="HG163" t="e">
        <f>AND(DATA!B1125,"AAAAAFf3WNY=")</f>
        <v>#VALUE!</v>
      </c>
      <c r="HH163" t="e">
        <f>AND(DATA!C1125,"AAAAAFf3WNc=")</f>
        <v>#VALUE!</v>
      </c>
      <c r="HI163" t="e">
        <f>AND(DATA!D1125,"AAAAAFf3WNg=")</f>
        <v>#VALUE!</v>
      </c>
      <c r="HJ163" t="e">
        <f>AND(DATA!E1125,"AAAAAFf3WNk=")</f>
        <v>#VALUE!</v>
      </c>
      <c r="HK163" t="e">
        <f>AND(DATA!F1125,"AAAAAFf3WNo=")</f>
        <v>#VALUE!</v>
      </c>
      <c r="HL163" t="e">
        <f>AND(DATA!G1125,"AAAAAFf3WNs=")</f>
        <v>#VALUE!</v>
      </c>
      <c r="HM163" t="e">
        <f>AND(DATA!H1125,"AAAAAFf3WNw=")</f>
        <v>#VALUE!</v>
      </c>
      <c r="HN163" t="e">
        <f>AND(DATA!I1125,"AAAAAFf3WN0=")</f>
        <v>#VALUE!</v>
      </c>
      <c r="HO163" t="e">
        <f>AND(DATA!J1125,"AAAAAFf3WN4=")</f>
        <v>#VALUE!</v>
      </c>
      <c r="HP163" t="e">
        <f>AND(DATA!K1125,"AAAAAFf3WN8=")</f>
        <v>#VALUE!</v>
      </c>
      <c r="HQ163" t="b">
        <f>AND(DATA!L1126,"AAAAAFf3WOA=")</f>
        <v>1</v>
      </c>
      <c r="HR163" t="b">
        <f>AND(DATA!M1126,"AAAAAFf3WOE=")</f>
        <v>1</v>
      </c>
      <c r="HS163" t="b">
        <f>AND(DATA!N1126,"AAAAAFf3WOI=")</f>
        <v>1</v>
      </c>
      <c r="HT163" t="b">
        <f>AND(DATA!O1126,"AAAAAFf3WOM=")</f>
        <v>1</v>
      </c>
      <c r="HU163" t="b">
        <f>AND(DATA!P1126,"AAAAAFf3WOQ=")</f>
        <v>1</v>
      </c>
      <c r="HV163" t="b">
        <f>AND(DATA!Q1126,"AAAAAFf3WOU=")</f>
        <v>1</v>
      </c>
      <c r="HW163" t="b">
        <f>AND(DATA!R1126,"AAAAAFf3WOY=")</f>
        <v>1</v>
      </c>
      <c r="HX163" t="b">
        <f>AND(DATA!S1126,"AAAAAFf3WOc=")</f>
        <v>1</v>
      </c>
      <c r="HY163" t="b">
        <f>AND(DATA!T1126,"AAAAAFf3WOg=")</f>
        <v>1</v>
      </c>
      <c r="HZ163" t="b">
        <f>AND(DATA!U1126,"AAAAAFf3WOk=")</f>
        <v>1</v>
      </c>
      <c r="IA163" t="b">
        <f>AND(DATA!V1126,"AAAAAFf3WOo=")</f>
        <v>1</v>
      </c>
      <c r="IB163" t="e">
        <f>AND(DATA!W1125,"AAAAAFf3WOs=")</f>
        <v>#VALUE!</v>
      </c>
      <c r="IC163" t="e">
        <f>AND(DATA!X1125,"AAAAAFf3WOw=")</f>
        <v>#VALUE!</v>
      </c>
      <c r="ID163" t="e">
        <f>AND(DATA!Y1125,"AAAAAFf3WO0=")</f>
        <v>#VALUE!</v>
      </c>
      <c r="IE163">
        <f>IF(DATA!1126:1126,"AAAAAFf3WO4=",0)</f>
        <v>0</v>
      </c>
      <c r="IF163" t="e">
        <f>AND(DATA!A1126,"AAAAAFf3WO8=")</f>
        <v>#VALUE!</v>
      </c>
      <c r="IG163" t="e">
        <f>AND(DATA!B1126,"AAAAAFf3WPA=")</f>
        <v>#VALUE!</v>
      </c>
      <c r="IH163" t="e">
        <f>AND(DATA!C1126,"AAAAAFf3WPE=")</f>
        <v>#VALUE!</v>
      </c>
      <c r="II163" t="e">
        <f>AND(DATA!D1126,"AAAAAFf3WPI=")</f>
        <v>#VALUE!</v>
      </c>
      <c r="IJ163" t="e">
        <f>AND(DATA!E1126,"AAAAAFf3WPM=")</f>
        <v>#VALUE!</v>
      </c>
      <c r="IK163" t="e">
        <f>AND(DATA!F1126,"AAAAAFf3WPQ=")</f>
        <v>#VALUE!</v>
      </c>
      <c r="IL163" t="e">
        <f>AND(DATA!G1126,"AAAAAFf3WPU=")</f>
        <v>#VALUE!</v>
      </c>
      <c r="IM163" t="e">
        <f>AND(DATA!H1126,"AAAAAFf3WPY=")</f>
        <v>#VALUE!</v>
      </c>
      <c r="IN163" t="e">
        <f>AND(DATA!I1126,"AAAAAFf3WPc=")</f>
        <v>#VALUE!</v>
      </c>
      <c r="IO163" t="e">
        <f>AND(DATA!J1126,"AAAAAFf3WPg=")</f>
        <v>#VALUE!</v>
      </c>
      <c r="IP163" t="e">
        <f>AND(DATA!K1126,"AAAAAFf3WPk=")</f>
        <v>#VALUE!</v>
      </c>
      <c r="IQ163" t="b">
        <f>AND(DATA!L1127,"AAAAAFf3WPo=")</f>
        <v>1</v>
      </c>
      <c r="IR163" t="b">
        <f>AND(DATA!M1127,"AAAAAFf3WPs=")</f>
        <v>1</v>
      </c>
      <c r="IS163" t="b">
        <f>AND(DATA!N1127,"AAAAAFf3WPw=")</f>
        <v>1</v>
      </c>
      <c r="IT163" t="b">
        <f>AND(DATA!O1127,"AAAAAFf3WP0=")</f>
        <v>1</v>
      </c>
      <c r="IU163" t="b">
        <f>AND(DATA!P1127,"AAAAAFf3WP4=")</f>
        <v>1</v>
      </c>
      <c r="IV163" t="b">
        <f>AND(DATA!Q1127,"AAAAAFf3WP8=")</f>
        <v>1</v>
      </c>
    </row>
    <row r="164" spans="1:256" x14ac:dyDescent="0.25">
      <c r="A164" t="b">
        <f>AND(DATA!R1127,"AAAAACexrwA=")</f>
        <v>1</v>
      </c>
      <c r="B164" t="b">
        <f>AND(DATA!S1127,"AAAAACexrwE=")</f>
        <v>1</v>
      </c>
      <c r="C164" t="b">
        <f>AND(DATA!T1127,"AAAAACexrwI=")</f>
        <v>1</v>
      </c>
      <c r="D164" t="b">
        <f>AND(DATA!U1127,"AAAAACexrwM=")</f>
        <v>1</v>
      </c>
      <c r="E164" t="b">
        <f>AND(DATA!V1127,"AAAAACexrwQ=")</f>
        <v>1</v>
      </c>
      <c r="F164" t="e">
        <f>AND(DATA!W1126,"AAAAACexrwU=")</f>
        <v>#VALUE!</v>
      </c>
      <c r="G164" t="e">
        <f>AND(DATA!X1126,"AAAAACexrwY=")</f>
        <v>#VALUE!</v>
      </c>
      <c r="H164" t="e">
        <f>AND(DATA!Y1126,"AAAAACexrwc=")</f>
        <v>#VALUE!</v>
      </c>
      <c r="I164">
        <f>IF(DATA!1127:1127,"AAAAACexrwg=",0)</f>
        <v>0</v>
      </c>
      <c r="J164" t="e">
        <f>AND(DATA!A1127,"AAAAACexrwk=")</f>
        <v>#VALUE!</v>
      </c>
      <c r="K164" t="e">
        <f>AND(DATA!B1127,"AAAAACexrwo=")</f>
        <v>#VALUE!</v>
      </c>
      <c r="L164" t="e">
        <f>AND(DATA!C1127,"AAAAACexrws=")</f>
        <v>#VALUE!</v>
      </c>
      <c r="M164" t="e">
        <f>AND(DATA!D1127,"AAAAACexrww=")</f>
        <v>#VALUE!</v>
      </c>
      <c r="N164" t="e">
        <f>AND(DATA!E1127,"AAAAACexrw0=")</f>
        <v>#VALUE!</v>
      </c>
      <c r="O164" t="e">
        <f>AND(DATA!F1127,"AAAAACexrw4=")</f>
        <v>#VALUE!</v>
      </c>
      <c r="P164" t="e">
        <f>AND(DATA!G1127,"AAAAACexrw8=")</f>
        <v>#VALUE!</v>
      </c>
      <c r="Q164" t="e">
        <f>AND(DATA!H1127,"AAAAACexrxA=")</f>
        <v>#VALUE!</v>
      </c>
      <c r="R164" t="e">
        <f>AND(DATA!I1127,"AAAAACexrxE=")</f>
        <v>#VALUE!</v>
      </c>
      <c r="S164" t="e">
        <f>AND(DATA!J1127,"AAAAACexrxI=")</f>
        <v>#VALUE!</v>
      </c>
      <c r="T164" t="e">
        <f>AND(DATA!K1127,"AAAAACexrxM=")</f>
        <v>#VALUE!</v>
      </c>
      <c r="U164" t="b">
        <f>AND(DATA!L1128,"AAAAACexrxQ=")</f>
        <v>1</v>
      </c>
      <c r="V164" t="b">
        <f>AND(DATA!M1128,"AAAAACexrxU=")</f>
        <v>1</v>
      </c>
      <c r="W164" t="b">
        <f>AND(DATA!N1128,"AAAAACexrxY=")</f>
        <v>1</v>
      </c>
      <c r="X164" t="b">
        <f>AND(DATA!O1128,"AAAAACexrxc=")</f>
        <v>1</v>
      </c>
      <c r="Y164" t="b">
        <f>AND(DATA!P1128,"AAAAACexrxg=")</f>
        <v>1</v>
      </c>
      <c r="Z164" t="b">
        <f>AND(DATA!Q1128,"AAAAACexrxk=")</f>
        <v>1</v>
      </c>
      <c r="AA164" t="b">
        <f>AND(DATA!R1128,"AAAAACexrxo=")</f>
        <v>1</v>
      </c>
      <c r="AB164" t="b">
        <f>AND(DATA!S1128,"AAAAACexrxs=")</f>
        <v>1</v>
      </c>
      <c r="AC164" t="b">
        <f>AND(DATA!T1128,"AAAAACexrxw=")</f>
        <v>1</v>
      </c>
      <c r="AD164" t="b">
        <f>AND(DATA!U1128,"AAAAACexrx0=")</f>
        <v>1</v>
      </c>
      <c r="AE164" t="b">
        <f>AND(DATA!V1128,"AAAAACexrx4=")</f>
        <v>1</v>
      </c>
      <c r="AF164" t="e">
        <f>AND(DATA!W1127,"AAAAACexrx8=")</f>
        <v>#VALUE!</v>
      </c>
      <c r="AG164" t="e">
        <f>AND(DATA!X1127,"AAAAACexryA=")</f>
        <v>#VALUE!</v>
      </c>
      <c r="AH164" t="e">
        <f>AND(DATA!Y1127,"AAAAACexryE=")</f>
        <v>#VALUE!</v>
      </c>
      <c r="AI164">
        <f>IF(DATA!1128:1128,"AAAAACexryI=",0)</f>
        <v>0</v>
      </c>
      <c r="AJ164" t="e">
        <f>AND(DATA!A1128,"AAAAACexryM=")</f>
        <v>#VALUE!</v>
      </c>
      <c r="AK164" t="e">
        <f>AND(DATA!B1128,"AAAAACexryQ=")</f>
        <v>#VALUE!</v>
      </c>
      <c r="AL164" t="e">
        <f>AND(DATA!C1128,"AAAAACexryU=")</f>
        <v>#VALUE!</v>
      </c>
      <c r="AM164" t="e">
        <f>AND(DATA!D1128,"AAAAACexryY=")</f>
        <v>#VALUE!</v>
      </c>
      <c r="AN164" t="e">
        <f>AND(DATA!E1128,"AAAAACexryc=")</f>
        <v>#VALUE!</v>
      </c>
      <c r="AO164" t="e">
        <f>AND(DATA!F1128,"AAAAACexryg=")</f>
        <v>#VALUE!</v>
      </c>
      <c r="AP164" t="e">
        <f>AND(DATA!G1128,"AAAAACexryk=")</f>
        <v>#VALUE!</v>
      </c>
      <c r="AQ164" t="e">
        <f>AND(DATA!H1128,"AAAAACexryo=")</f>
        <v>#VALUE!</v>
      </c>
      <c r="AR164" t="e">
        <f>AND(DATA!I1128,"AAAAACexrys=")</f>
        <v>#VALUE!</v>
      </c>
      <c r="AS164" t="e">
        <f>AND(DATA!J1128,"AAAAACexryw=")</f>
        <v>#VALUE!</v>
      </c>
      <c r="AT164" t="e">
        <f>AND(DATA!K1128,"AAAAACexry0=")</f>
        <v>#VALUE!</v>
      </c>
      <c r="AU164" t="b">
        <f>AND(DATA!L1129,"AAAAACexry4=")</f>
        <v>1</v>
      </c>
      <c r="AV164" t="b">
        <f>AND(DATA!M1129,"AAAAACexry8=")</f>
        <v>1</v>
      </c>
      <c r="AW164" t="b">
        <f>AND(DATA!N1129,"AAAAACexrzA=")</f>
        <v>1</v>
      </c>
      <c r="AX164" t="b">
        <f>AND(DATA!O1129,"AAAAACexrzE=")</f>
        <v>1</v>
      </c>
      <c r="AY164" t="b">
        <f>AND(DATA!P1129,"AAAAACexrzI=")</f>
        <v>1</v>
      </c>
      <c r="AZ164" t="b">
        <f>AND(DATA!Q1129,"AAAAACexrzM=")</f>
        <v>1</v>
      </c>
      <c r="BA164" t="b">
        <f>AND(DATA!R1129,"AAAAACexrzQ=")</f>
        <v>1</v>
      </c>
      <c r="BB164" t="b">
        <f>AND(DATA!S1129,"AAAAACexrzU=")</f>
        <v>1</v>
      </c>
      <c r="BC164" t="b">
        <f>AND(DATA!T1129,"AAAAACexrzY=")</f>
        <v>1</v>
      </c>
      <c r="BD164" t="b">
        <f>AND(DATA!U1129,"AAAAACexrzc=")</f>
        <v>1</v>
      </c>
      <c r="BE164" t="b">
        <f>AND(DATA!V1129,"AAAAACexrzg=")</f>
        <v>1</v>
      </c>
      <c r="BF164" t="e">
        <f>AND(DATA!W1128,"AAAAACexrzk=")</f>
        <v>#VALUE!</v>
      </c>
      <c r="BG164" t="e">
        <f>AND(DATA!X1128,"AAAAACexrzo=")</f>
        <v>#VALUE!</v>
      </c>
      <c r="BH164" t="e">
        <f>AND(DATA!Y1128,"AAAAACexrzs=")</f>
        <v>#VALUE!</v>
      </c>
      <c r="BI164">
        <f>IF(DATA!1129:1129,"AAAAACexrzw=",0)</f>
        <v>0</v>
      </c>
      <c r="BJ164" t="e">
        <f>AND(DATA!A1129,"AAAAACexrz0=")</f>
        <v>#VALUE!</v>
      </c>
      <c r="BK164" t="e">
        <f>AND(DATA!B1129,"AAAAACexrz4=")</f>
        <v>#VALUE!</v>
      </c>
      <c r="BL164" t="e">
        <f>AND(DATA!C1129,"AAAAACexrz8=")</f>
        <v>#VALUE!</v>
      </c>
      <c r="BM164" t="e">
        <f>AND(DATA!D1129,"AAAAACexr0A=")</f>
        <v>#VALUE!</v>
      </c>
      <c r="BN164" t="e">
        <f>AND(DATA!E1129,"AAAAACexr0E=")</f>
        <v>#VALUE!</v>
      </c>
      <c r="BO164" t="e">
        <f>AND(DATA!F1129,"AAAAACexr0I=")</f>
        <v>#VALUE!</v>
      </c>
      <c r="BP164" t="e">
        <f>AND(DATA!G1129,"AAAAACexr0M=")</f>
        <v>#VALUE!</v>
      </c>
      <c r="BQ164" t="e">
        <f>AND(DATA!H1129,"AAAAACexr0Q=")</f>
        <v>#VALUE!</v>
      </c>
      <c r="BR164" t="e">
        <f>AND(DATA!I1129,"AAAAACexr0U=")</f>
        <v>#VALUE!</v>
      </c>
      <c r="BS164" t="e">
        <f>AND(DATA!J1129,"AAAAACexr0Y=")</f>
        <v>#VALUE!</v>
      </c>
      <c r="BT164" t="e">
        <f>AND(DATA!K1129,"AAAAACexr0c=")</f>
        <v>#VALUE!</v>
      </c>
      <c r="BU164" t="b">
        <f>AND(DATA!L1130,"AAAAACexr0g=")</f>
        <v>1</v>
      </c>
      <c r="BV164" t="b">
        <f>AND(DATA!M1130,"AAAAACexr0k=")</f>
        <v>1</v>
      </c>
      <c r="BW164" t="b">
        <f>AND(DATA!N1130,"AAAAACexr0o=")</f>
        <v>1</v>
      </c>
      <c r="BX164" t="b">
        <f>AND(DATA!O1130,"AAAAACexr0s=")</f>
        <v>1</v>
      </c>
      <c r="BY164" t="b">
        <f>AND(DATA!P1130,"AAAAACexr0w=")</f>
        <v>1</v>
      </c>
      <c r="BZ164" t="b">
        <f>AND(DATA!Q1130,"AAAAACexr00=")</f>
        <v>1</v>
      </c>
      <c r="CA164" t="b">
        <f>AND(DATA!R1130,"AAAAACexr04=")</f>
        <v>1</v>
      </c>
      <c r="CB164" t="b">
        <f>AND(DATA!S1130,"AAAAACexr08=")</f>
        <v>1</v>
      </c>
      <c r="CC164" t="b">
        <f>AND(DATA!T1130,"AAAAACexr1A=")</f>
        <v>1</v>
      </c>
      <c r="CD164" t="b">
        <f>AND(DATA!U1130,"AAAAACexr1E=")</f>
        <v>1</v>
      </c>
      <c r="CE164" t="b">
        <f>AND(DATA!V1130,"AAAAACexr1I=")</f>
        <v>1</v>
      </c>
      <c r="CF164" t="e">
        <f>AND(DATA!W1129,"AAAAACexr1M=")</f>
        <v>#VALUE!</v>
      </c>
      <c r="CG164" t="e">
        <f>AND(DATA!X1129,"AAAAACexr1Q=")</f>
        <v>#VALUE!</v>
      </c>
      <c r="CH164" t="e">
        <f>AND(DATA!Y1129,"AAAAACexr1U=")</f>
        <v>#VALUE!</v>
      </c>
      <c r="CI164">
        <f>IF(DATA!1130:1130,"AAAAACexr1Y=",0)</f>
        <v>0</v>
      </c>
      <c r="CJ164" t="e">
        <f>AND(DATA!A1130,"AAAAACexr1c=")</f>
        <v>#VALUE!</v>
      </c>
      <c r="CK164" t="e">
        <f>AND(DATA!B1130,"AAAAACexr1g=")</f>
        <v>#VALUE!</v>
      </c>
      <c r="CL164" t="e">
        <f>AND(DATA!C1130,"AAAAACexr1k=")</f>
        <v>#VALUE!</v>
      </c>
      <c r="CM164" t="e">
        <f>AND(DATA!D1130,"AAAAACexr1o=")</f>
        <v>#VALUE!</v>
      </c>
      <c r="CN164" t="e">
        <f>AND(DATA!E1130,"AAAAACexr1s=")</f>
        <v>#VALUE!</v>
      </c>
      <c r="CO164" t="e">
        <f>AND(DATA!F1130,"AAAAACexr1w=")</f>
        <v>#VALUE!</v>
      </c>
      <c r="CP164" t="e">
        <f>AND(DATA!G1130,"AAAAACexr10=")</f>
        <v>#VALUE!</v>
      </c>
      <c r="CQ164" t="e">
        <f>AND(DATA!H1130,"AAAAACexr14=")</f>
        <v>#VALUE!</v>
      </c>
      <c r="CR164" t="e">
        <f>AND(DATA!I1130,"AAAAACexr18=")</f>
        <v>#VALUE!</v>
      </c>
      <c r="CS164" t="e">
        <f>AND(DATA!J1130,"AAAAACexr2A=")</f>
        <v>#VALUE!</v>
      </c>
      <c r="CT164" t="e">
        <f>AND(DATA!K1130,"AAAAACexr2E=")</f>
        <v>#VALUE!</v>
      </c>
      <c r="CU164" t="b">
        <f>AND(DATA!L1131,"AAAAACexr2I=")</f>
        <v>1</v>
      </c>
      <c r="CV164" t="b">
        <f>AND(DATA!M1131,"AAAAACexr2M=")</f>
        <v>1</v>
      </c>
      <c r="CW164" t="b">
        <f>AND(DATA!N1131,"AAAAACexr2Q=")</f>
        <v>1</v>
      </c>
      <c r="CX164" t="b">
        <f>AND(DATA!O1131,"AAAAACexr2U=")</f>
        <v>1</v>
      </c>
      <c r="CY164" t="b">
        <f>AND(DATA!P1131,"AAAAACexr2Y=")</f>
        <v>1</v>
      </c>
      <c r="CZ164" t="b">
        <f>AND(DATA!Q1131,"AAAAACexr2c=")</f>
        <v>1</v>
      </c>
      <c r="DA164" t="b">
        <f>AND(DATA!R1131,"AAAAACexr2g=")</f>
        <v>1</v>
      </c>
      <c r="DB164" t="b">
        <f>AND(DATA!S1131,"AAAAACexr2k=")</f>
        <v>1</v>
      </c>
      <c r="DC164" t="b">
        <f>AND(DATA!T1131,"AAAAACexr2o=")</f>
        <v>1</v>
      </c>
      <c r="DD164" t="b">
        <f>AND(DATA!U1131,"AAAAACexr2s=")</f>
        <v>1</v>
      </c>
      <c r="DE164" t="b">
        <f>AND(DATA!V1131,"AAAAACexr2w=")</f>
        <v>1</v>
      </c>
      <c r="DF164" t="e">
        <f>AND(DATA!W1130,"AAAAACexr20=")</f>
        <v>#VALUE!</v>
      </c>
      <c r="DG164" t="e">
        <f>AND(DATA!X1130,"AAAAACexr24=")</f>
        <v>#VALUE!</v>
      </c>
      <c r="DH164" t="e">
        <f>AND(DATA!Y1130,"AAAAACexr28=")</f>
        <v>#VALUE!</v>
      </c>
      <c r="DI164">
        <f>IF(DATA!1131:1131,"AAAAACexr3A=",0)</f>
        <v>0</v>
      </c>
      <c r="DJ164" t="e">
        <f>AND(DATA!A1131,"AAAAACexr3E=")</f>
        <v>#VALUE!</v>
      </c>
      <c r="DK164" t="e">
        <f>AND(DATA!B1131,"AAAAACexr3I=")</f>
        <v>#VALUE!</v>
      </c>
      <c r="DL164" t="e">
        <f>AND(DATA!C1131,"AAAAACexr3M=")</f>
        <v>#VALUE!</v>
      </c>
      <c r="DM164" t="e">
        <f>AND(DATA!D1131,"AAAAACexr3Q=")</f>
        <v>#VALUE!</v>
      </c>
      <c r="DN164" t="e">
        <f>AND(DATA!E1131,"AAAAACexr3U=")</f>
        <v>#VALUE!</v>
      </c>
      <c r="DO164" t="e">
        <f>AND(DATA!F1131,"AAAAACexr3Y=")</f>
        <v>#VALUE!</v>
      </c>
      <c r="DP164" t="e">
        <f>AND(DATA!G1131,"AAAAACexr3c=")</f>
        <v>#VALUE!</v>
      </c>
      <c r="DQ164" t="e">
        <f>AND(DATA!H1131,"AAAAACexr3g=")</f>
        <v>#VALUE!</v>
      </c>
      <c r="DR164" t="e">
        <f>AND(DATA!I1131,"AAAAACexr3k=")</f>
        <v>#VALUE!</v>
      </c>
      <c r="DS164" t="e">
        <f>AND(DATA!J1131,"AAAAACexr3o=")</f>
        <v>#VALUE!</v>
      </c>
      <c r="DT164" t="e">
        <f>AND(DATA!K1131,"AAAAACexr3s=")</f>
        <v>#VALUE!</v>
      </c>
      <c r="DU164" t="b">
        <f>AND(DATA!L1132,"AAAAACexr3w=")</f>
        <v>1</v>
      </c>
      <c r="DV164" t="b">
        <f>AND(DATA!M1132,"AAAAACexr30=")</f>
        <v>1</v>
      </c>
      <c r="DW164" t="b">
        <f>AND(DATA!N1132,"AAAAACexr34=")</f>
        <v>1</v>
      </c>
      <c r="DX164" t="b">
        <f>AND(DATA!O1132,"AAAAACexr38=")</f>
        <v>1</v>
      </c>
      <c r="DY164" t="b">
        <f>AND(DATA!P1132,"AAAAACexr4A=")</f>
        <v>1</v>
      </c>
      <c r="DZ164" t="b">
        <f>AND(DATA!Q1132,"AAAAACexr4E=")</f>
        <v>1</v>
      </c>
      <c r="EA164" t="b">
        <f>AND(DATA!R1132,"AAAAACexr4I=")</f>
        <v>1</v>
      </c>
      <c r="EB164" t="b">
        <f>AND(DATA!S1132,"AAAAACexr4M=")</f>
        <v>1</v>
      </c>
      <c r="EC164" t="b">
        <f>AND(DATA!T1132,"AAAAACexr4Q=")</f>
        <v>1</v>
      </c>
      <c r="ED164" t="b">
        <f>AND(DATA!U1132,"AAAAACexr4U=")</f>
        <v>1</v>
      </c>
      <c r="EE164" t="b">
        <f>AND(DATA!V1132,"AAAAACexr4Y=")</f>
        <v>1</v>
      </c>
      <c r="EF164" t="e">
        <f>AND(DATA!W1131,"AAAAACexr4c=")</f>
        <v>#VALUE!</v>
      </c>
      <c r="EG164" t="e">
        <f>AND(DATA!X1131,"AAAAACexr4g=")</f>
        <v>#VALUE!</v>
      </c>
      <c r="EH164" t="e">
        <f>AND(DATA!Y1131,"AAAAACexr4k=")</f>
        <v>#VALUE!</v>
      </c>
      <c r="EI164">
        <f>IF(DATA!1132:1132,"AAAAACexr4o=",0)</f>
        <v>0</v>
      </c>
      <c r="EJ164" t="e">
        <f>AND(DATA!A1132,"AAAAACexr4s=")</f>
        <v>#VALUE!</v>
      </c>
      <c r="EK164" t="e">
        <f>AND(DATA!B1132,"AAAAACexr4w=")</f>
        <v>#VALUE!</v>
      </c>
      <c r="EL164" t="e">
        <f>AND(DATA!C1132,"AAAAACexr40=")</f>
        <v>#VALUE!</v>
      </c>
      <c r="EM164" t="e">
        <f>AND(DATA!D1132,"AAAAACexr44=")</f>
        <v>#VALUE!</v>
      </c>
      <c r="EN164" t="e">
        <f>AND(DATA!E1132,"AAAAACexr48=")</f>
        <v>#VALUE!</v>
      </c>
      <c r="EO164" t="e">
        <f>AND(DATA!F1132,"AAAAACexr5A=")</f>
        <v>#VALUE!</v>
      </c>
      <c r="EP164" t="e">
        <f>AND(DATA!G1132,"AAAAACexr5E=")</f>
        <v>#VALUE!</v>
      </c>
      <c r="EQ164" t="e">
        <f>AND(DATA!H1132,"AAAAACexr5I=")</f>
        <v>#VALUE!</v>
      </c>
      <c r="ER164" t="e">
        <f>AND(DATA!I1132,"AAAAACexr5M=")</f>
        <v>#VALUE!</v>
      </c>
      <c r="ES164" t="e">
        <f>AND(DATA!J1132,"AAAAACexr5Q=")</f>
        <v>#VALUE!</v>
      </c>
      <c r="ET164" t="e">
        <f>AND(DATA!K1132,"AAAAACexr5U=")</f>
        <v>#VALUE!</v>
      </c>
      <c r="EU164" t="b">
        <f>AND(DATA!L1133,"AAAAACexr5Y=")</f>
        <v>1</v>
      </c>
      <c r="EV164" t="b">
        <f>AND(DATA!M1133,"AAAAACexr5c=")</f>
        <v>1</v>
      </c>
      <c r="EW164" t="b">
        <f>AND(DATA!N1133,"AAAAACexr5g=")</f>
        <v>1</v>
      </c>
      <c r="EX164" t="b">
        <f>AND(DATA!O1133,"AAAAACexr5k=")</f>
        <v>1</v>
      </c>
      <c r="EY164" t="b">
        <f>AND(DATA!P1133,"AAAAACexr5o=")</f>
        <v>1</v>
      </c>
      <c r="EZ164" t="b">
        <f>AND(DATA!Q1133,"AAAAACexr5s=")</f>
        <v>1</v>
      </c>
      <c r="FA164" t="b">
        <f>AND(DATA!R1133,"AAAAACexr5w=")</f>
        <v>1</v>
      </c>
      <c r="FB164" t="b">
        <f>AND(DATA!S1133,"AAAAACexr50=")</f>
        <v>1</v>
      </c>
      <c r="FC164" t="b">
        <f>AND(DATA!T1133,"AAAAACexr54=")</f>
        <v>1</v>
      </c>
      <c r="FD164" t="b">
        <f>AND(DATA!U1133,"AAAAACexr58=")</f>
        <v>1</v>
      </c>
      <c r="FE164" t="b">
        <f>AND(DATA!V1133,"AAAAACexr6A=")</f>
        <v>1</v>
      </c>
      <c r="FF164" t="e">
        <f>AND(DATA!W1132,"AAAAACexr6E=")</f>
        <v>#VALUE!</v>
      </c>
      <c r="FG164" t="e">
        <f>AND(DATA!X1132,"AAAAACexr6I=")</f>
        <v>#VALUE!</v>
      </c>
      <c r="FH164" t="e">
        <f>AND(DATA!Y1132,"AAAAACexr6M=")</f>
        <v>#VALUE!</v>
      </c>
      <c r="FI164">
        <f>IF(DATA!1133:1133,"AAAAACexr6Q=",0)</f>
        <v>0</v>
      </c>
      <c r="FJ164" t="e">
        <f>AND(DATA!A1133,"AAAAACexr6U=")</f>
        <v>#VALUE!</v>
      </c>
      <c r="FK164" t="e">
        <f>AND(DATA!B1133,"AAAAACexr6Y=")</f>
        <v>#VALUE!</v>
      </c>
      <c r="FL164" t="e">
        <f>AND(DATA!C1133,"AAAAACexr6c=")</f>
        <v>#VALUE!</v>
      </c>
      <c r="FM164" t="e">
        <f>AND(DATA!D1133,"AAAAACexr6g=")</f>
        <v>#VALUE!</v>
      </c>
      <c r="FN164" t="e">
        <f>AND(DATA!E1133,"AAAAACexr6k=")</f>
        <v>#VALUE!</v>
      </c>
      <c r="FO164" t="e">
        <f>AND(DATA!F1133,"AAAAACexr6o=")</f>
        <v>#VALUE!</v>
      </c>
      <c r="FP164" t="e">
        <f>AND(DATA!G1133,"AAAAACexr6s=")</f>
        <v>#VALUE!</v>
      </c>
      <c r="FQ164" t="e">
        <f>AND(DATA!H1133,"AAAAACexr6w=")</f>
        <v>#VALUE!</v>
      </c>
      <c r="FR164" t="e">
        <f>AND(DATA!I1133,"AAAAACexr60=")</f>
        <v>#VALUE!</v>
      </c>
      <c r="FS164" t="e">
        <f>AND(DATA!J1133,"AAAAACexr64=")</f>
        <v>#VALUE!</v>
      </c>
      <c r="FT164" t="e">
        <f>AND(DATA!K1133,"AAAAACexr68=")</f>
        <v>#VALUE!</v>
      </c>
      <c r="FU164" t="b">
        <f>AND(DATA!L1134,"AAAAACexr7A=")</f>
        <v>1</v>
      </c>
      <c r="FV164" t="b">
        <f>AND(DATA!M1134,"AAAAACexr7E=")</f>
        <v>1</v>
      </c>
      <c r="FW164" t="b">
        <f>AND(DATA!N1134,"AAAAACexr7I=")</f>
        <v>1</v>
      </c>
      <c r="FX164" t="b">
        <f>AND(DATA!O1134,"AAAAACexr7M=")</f>
        <v>1</v>
      </c>
      <c r="FY164" t="b">
        <f>AND(DATA!P1134,"AAAAACexr7Q=")</f>
        <v>1</v>
      </c>
      <c r="FZ164" t="b">
        <f>AND(DATA!Q1134,"AAAAACexr7U=")</f>
        <v>1</v>
      </c>
      <c r="GA164" t="b">
        <f>AND(DATA!R1134,"AAAAACexr7Y=")</f>
        <v>1</v>
      </c>
      <c r="GB164" t="b">
        <f>AND(DATA!S1134,"AAAAACexr7c=")</f>
        <v>1</v>
      </c>
      <c r="GC164" t="b">
        <f>AND(DATA!T1134,"AAAAACexr7g=")</f>
        <v>1</v>
      </c>
      <c r="GD164" t="b">
        <f>AND(DATA!U1134,"AAAAACexr7k=")</f>
        <v>1</v>
      </c>
      <c r="GE164" t="b">
        <f>AND(DATA!V1134,"AAAAACexr7o=")</f>
        <v>1</v>
      </c>
      <c r="GF164" t="e">
        <f>AND(DATA!W1133,"AAAAACexr7s=")</f>
        <v>#VALUE!</v>
      </c>
      <c r="GG164" t="e">
        <f>AND(DATA!X1133,"AAAAACexr7w=")</f>
        <v>#VALUE!</v>
      </c>
      <c r="GH164" t="e">
        <f>AND(DATA!Y1133,"AAAAACexr70=")</f>
        <v>#VALUE!</v>
      </c>
      <c r="GI164">
        <f>IF(DATA!1134:1134,"AAAAACexr74=",0)</f>
        <v>0</v>
      </c>
      <c r="GJ164" t="e">
        <f>AND(DATA!A1134,"AAAAACexr78=")</f>
        <v>#VALUE!</v>
      </c>
      <c r="GK164" t="e">
        <f>AND(DATA!B1134,"AAAAACexr8A=")</f>
        <v>#VALUE!</v>
      </c>
      <c r="GL164" t="e">
        <f>AND(DATA!C1134,"AAAAACexr8E=")</f>
        <v>#VALUE!</v>
      </c>
      <c r="GM164" t="e">
        <f>AND(DATA!D1134,"AAAAACexr8I=")</f>
        <v>#VALUE!</v>
      </c>
      <c r="GN164" t="e">
        <f>AND(DATA!E1134,"AAAAACexr8M=")</f>
        <v>#VALUE!</v>
      </c>
      <c r="GO164" t="e">
        <f>AND(DATA!F1134,"AAAAACexr8Q=")</f>
        <v>#VALUE!</v>
      </c>
      <c r="GP164" t="e">
        <f>AND(DATA!G1134,"AAAAACexr8U=")</f>
        <v>#VALUE!</v>
      </c>
      <c r="GQ164" t="e">
        <f>AND(DATA!H1134,"AAAAACexr8Y=")</f>
        <v>#VALUE!</v>
      </c>
      <c r="GR164" t="e">
        <f>AND(DATA!I1134,"AAAAACexr8c=")</f>
        <v>#VALUE!</v>
      </c>
      <c r="GS164" t="e">
        <f>AND(DATA!J1134,"AAAAACexr8g=")</f>
        <v>#VALUE!</v>
      </c>
      <c r="GT164" t="e">
        <f>AND(DATA!K1134,"AAAAACexr8k=")</f>
        <v>#VALUE!</v>
      </c>
      <c r="GU164" t="b">
        <f>AND(DATA!L1135,"AAAAACexr8o=")</f>
        <v>1</v>
      </c>
      <c r="GV164" t="b">
        <f>AND(DATA!M1135,"AAAAACexr8s=")</f>
        <v>1</v>
      </c>
      <c r="GW164" t="b">
        <f>AND(DATA!N1135,"AAAAACexr8w=")</f>
        <v>1</v>
      </c>
      <c r="GX164" t="b">
        <f>AND(DATA!O1135,"AAAAACexr80=")</f>
        <v>1</v>
      </c>
      <c r="GY164" t="b">
        <f>AND(DATA!P1135,"AAAAACexr84=")</f>
        <v>1</v>
      </c>
      <c r="GZ164" t="b">
        <f>AND(DATA!Q1135,"AAAAACexr88=")</f>
        <v>1</v>
      </c>
      <c r="HA164" t="b">
        <f>AND(DATA!R1135,"AAAAACexr9A=")</f>
        <v>1</v>
      </c>
      <c r="HB164" t="b">
        <f>AND(DATA!S1135,"AAAAACexr9E=")</f>
        <v>1</v>
      </c>
      <c r="HC164" t="b">
        <f>AND(DATA!T1135,"AAAAACexr9I=")</f>
        <v>1</v>
      </c>
      <c r="HD164" t="b">
        <f>AND(DATA!U1135,"AAAAACexr9M=")</f>
        <v>1</v>
      </c>
      <c r="HE164" t="b">
        <f>AND(DATA!V1135,"AAAAACexr9Q=")</f>
        <v>1</v>
      </c>
      <c r="HF164" t="e">
        <f>AND(DATA!W1134,"AAAAACexr9U=")</f>
        <v>#VALUE!</v>
      </c>
      <c r="HG164" t="e">
        <f>AND(DATA!X1134,"AAAAACexr9Y=")</f>
        <v>#VALUE!</v>
      </c>
      <c r="HH164" t="e">
        <f>AND(DATA!Y1134,"AAAAACexr9c=")</f>
        <v>#VALUE!</v>
      </c>
      <c r="HI164">
        <f>IF(DATA!1135:1135,"AAAAACexr9g=",0)</f>
        <v>0</v>
      </c>
      <c r="HJ164" t="e">
        <f>AND(DATA!A1135,"AAAAACexr9k=")</f>
        <v>#VALUE!</v>
      </c>
      <c r="HK164" t="e">
        <f>AND(DATA!B1135,"AAAAACexr9o=")</f>
        <v>#VALUE!</v>
      </c>
      <c r="HL164" t="e">
        <f>AND(DATA!C1135,"AAAAACexr9s=")</f>
        <v>#VALUE!</v>
      </c>
      <c r="HM164" t="e">
        <f>AND(DATA!D1135,"AAAAACexr9w=")</f>
        <v>#VALUE!</v>
      </c>
      <c r="HN164" t="e">
        <f>AND(DATA!E1135,"AAAAACexr90=")</f>
        <v>#VALUE!</v>
      </c>
      <c r="HO164" t="e">
        <f>AND(DATA!F1135,"AAAAACexr94=")</f>
        <v>#VALUE!</v>
      </c>
      <c r="HP164" t="e">
        <f>AND(DATA!G1135,"AAAAACexr98=")</f>
        <v>#VALUE!</v>
      </c>
      <c r="HQ164" t="e">
        <f>AND(DATA!H1135,"AAAAACexr+A=")</f>
        <v>#VALUE!</v>
      </c>
      <c r="HR164" t="e">
        <f>AND(DATA!I1135,"AAAAACexr+E=")</f>
        <v>#VALUE!</v>
      </c>
      <c r="HS164" t="e">
        <f>AND(DATA!J1135,"AAAAACexr+I=")</f>
        <v>#VALUE!</v>
      </c>
      <c r="HT164" t="e">
        <f>AND(DATA!K1135,"AAAAACexr+M=")</f>
        <v>#VALUE!</v>
      </c>
      <c r="HU164" t="b">
        <f>AND(DATA!L1136,"AAAAACexr+Q=")</f>
        <v>1</v>
      </c>
      <c r="HV164" t="b">
        <f>AND(DATA!M1136,"AAAAACexr+U=")</f>
        <v>1</v>
      </c>
      <c r="HW164" t="b">
        <f>AND(DATA!N1136,"AAAAACexr+Y=")</f>
        <v>1</v>
      </c>
      <c r="HX164" t="b">
        <f>AND(DATA!O1136,"AAAAACexr+c=")</f>
        <v>1</v>
      </c>
      <c r="HY164" t="b">
        <f>AND(DATA!P1136,"AAAAACexr+g=")</f>
        <v>1</v>
      </c>
      <c r="HZ164" t="b">
        <f>AND(DATA!Q1136,"AAAAACexr+k=")</f>
        <v>1</v>
      </c>
      <c r="IA164" t="b">
        <f>AND(DATA!R1136,"AAAAACexr+o=")</f>
        <v>1</v>
      </c>
      <c r="IB164" t="b">
        <f>AND(DATA!S1136,"AAAAACexr+s=")</f>
        <v>1</v>
      </c>
      <c r="IC164" t="b">
        <f>AND(DATA!T1136,"AAAAACexr+w=")</f>
        <v>1</v>
      </c>
      <c r="ID164" t="b">
        <f>AND(DATA!U1136,"AAAAACexr+0=")</f>
        <v>1</v>
      </c>
      <c r="IE164" t="b">
        <f>AND(DATA!V1136,"AAAAACexr+4=")</f>
        <v>1</v>
      </c>
      <c r="IF164" t="e">
        <f>AND(DATA!W1135,"AAAAACexr+8=")</f>
        <v>#VALUE!</v>
      </c>
      <c r="IG164" t="e">
        <f>AND(DATA!X1135,"AAAAACexr/A=")</f>
        <v>#VALUE!</v>
      </c>
      <c r="IH164" t="e">
        <f>AND(DATA!Y1135,"AAAAACexr/E=")</f>
        <v>#VALUE!</v>
      </c>
      <c r="II164">
        <f>IF(DATA!1136:1136,"AAAAACexr/I=",0)</f>
        <v>0</v>
      </c>
      <c r="IJ164" t="e">
        <f>AND(DATA!A1136,"AAAAACexr/M=")</f>
        <v>#VALUE!</v>
      </c>
      <c r="IK164" t="e">
        <f>AND(DATA!B1136,"AAAAACexr/Q=")</f>
        <v>#VALUE!</v>
      </c>
      <c r="IL164" t="e">
        <f>AND(DATA!C1136,"AAAAACexr/U=")</f>
        <v>#VALUE!</v>
      </c>
      <c r="IM164" t="e">
        <f>AND(DATA!D1136,"AAAAACexr/Y=")</f>
        <v>#VALUE!</v>
      </c>
      <c r="IN164" t="e">
        <f>AND(DATA!E1136,"AAAAACexr/c=")</f>
        <v>#VALUE!</v>
      </c>
      <c r="IO164" t="e">
        <f>AND(DATA!F1136,"AAAAACexr/g=")</f>
        <v>#VALUE!</v>
      </c>
      <c r="IP164" t="e">
        <f>AND(DATA!G1136,"AAAAACexr/k=")</f>
        <v>#VALUE!</v>
      </c>
      <c r="IQ164" t="e">
        <f>AND(DATA!H1136,"AAAAACexr/o=")</f>
        <v>#VALUE!</v>
      </c>
      <c r="IR164" t="e">
        <f>AND(DATA!I1136,"AAAAACexr/s=")</f>
        <v>#VALUE!</v>
      </c>
      <c r="IS164" t="e">
        <f>AND(DATA!J1136,"AAAAACexr/w=")</f>
        <v>#VALUE!</v>
      </c>
      <c r="IT164" t="e">
        <f>AND(DATA!K1136,"AAAAACexr/0=")</f>
        <v>#VALUE!</v>
      </c>
      <c r="IU164" t="b">
        <f>AND(DATA!L1137,"AAAAACexr/4=")</f>
        <v>1</v>
      </c>
      <c r="IV164" t="b">
        <f>AND(DATA!M1137,"AAAAACexr/8=")</f>
        <v>1</v>
      </c>
    </row>
    <row r="165" spans="1:256" x14ac:dyDescent="0.25">
      <c r="A165" t="b">
        <f>AND(DATA!N1137,"AAAAAE978wA=")</f>
        <v>1</v>
      </c>
      <c r="B165" t="b">
        <f>AND(DATA!O1137,"AAAAAE978wE=")</f>
        <v>1</v>
      </c>
      <c r="C165" t="b">
        <f>AND(DATA!P1137,"AAAAAE978wI=")</f>
        <v>1</v>
      </c>
      <c r="D165" t="b">
        <f>AND(DATA!Q1137,"AAAAAE978wM=")</f>
        <v>1</v>
      </c>
      <c r="E165" t="b">
        <f>AND(DATA!R1137,"AAAAAE978wQ=")</f>
        <v>1</v>
      </c>
      <c r="F165" t="b">
        <f>AND(DATA!S1137,"AAAAAE978wU=")</f>
        <v>1</v>
      </c>
      <c r="G165" t="b">
        <f>AND(DATA!T1137,"AAAAAE978wY=")</f>
        <v>1</v>
      </c>
      <c r="H165" t="b">
        <f>AND(DATA!U1137,"AAAAAE978wc=")</f>
        <v>1</v>
      </c>
      <c r="I165" t="b">
        <f>AND(DATA!V1137,"AAAAAE978wg=")</f>
        <v>1</v>
      </c>
      <c r="J165" t="e">
        <f>AND(DATA!W1136,"AAAAAE978wk=")</f>
        <v>#VALUE!</v>
      </c>
      <c r="K165" t="e">
        <f>AND(DATA!X1136,"AAAAAE978wo=")</f>
        <v>#VALUE!</v>
      </c>
      <c r="L165" t="e">
        <f>AND(DATA!Y1136,"AAAAAE978ws=")</f>
        <v>#VALUE!</v>
      </c>
      <c r="M165" t="str">
        <f>IF(DATA!1137:1137,"AAAAAE978ww=",0)</f>
        <v>AAAAAE978ww=</v>
      </c>
      <c r="N165" t="e">
        <f>AND(DATA!A1137,"AAAAAE978w0=")</f>
        <v>#VALUE!</v>
      </c>
      <c r="O165" t="e">
        <f>AND(DATA!B1137,"AAAAAE978w4=")</f>
        <v>#VALUE!</v>
      </c>
      <c r="P165" t="e">
        <f>AND(DATA!C1137,"AAAAAE978w8=")</f>
        <v>#VALUE!</v>
      </c>
      <c r="Q165" t="e">
        <f>AND(DATA!D1137,"AAAAAE978xA=")</f>
        <v>#VALUE!</v>
      </c>
      <c r="R165" t="e">
        <f>AND(DATA!E1137,"AAAAAE978xE=")</f>
        <v>#VALUE!</v>
      </c>
      <c r="S165" t="e">
        <f>AND(DATA!F1137,"AAAAAE978xI=")</f>
        <v>#VALUE!</v>
      </c>
      <c r="T165" t="e">
        <f>AND(DATA!G1137,"AAAAAE978xM=")</f>
        <v>#VALUE!</v>
      </c>
      <c r="U165" t="e">
        <f>AND(DATA!H1137,"AAAAAE978xQ=")</f>
        <v>#VALUE!</v>
      </c>
      <c r="V165" t="e">
        <f>AND(DATA!I1137,"AAAAAE978xU=")</f>
        <v>#VALUE!</v>
      </c>
      <c r="W165" t="e">
        <f>AND(DATA!J1137,"AAAAAE978xY=")</f>
        <v>#VALUE!</v>
      </c>
      <c r="X165" t="e">
        <f>AND(DATA!K1137,"AAAAAE978xc=")</f>
        <v>#VALUE!</v>
      </c>
      <c r="Y165" t="b">
        <f>AND(DATA!L1138,"AAAAAE978xg=")</f>
        <v>1</v>
      </c>
      <c r="Z165" t="b">
        <f>AND(DATA!M1138,"AAAAAE978xk=")</f>
        <v>1</v>
      </c>
      <c r="AA165" t="b">
        <f>AND(DATA!N1138,"AAAAAE978xo=")</f>
        <v>1</v>
      </c>
      <c r="AB165" t="b">
        <f>AND(DATA!O1138,"AAAAAE978xs=")</f>
        <v>1</v>
      </c>
      <c r="AC165" t="b">
        <f>AND(DATA!P1138,"AAAAAE978xw=")</f>
        <v>1</v>
      </c>
      <c r="AD165" t="b">
        <f>AND(DATA!Q1138,"AAAAAE978x0=")</f>
        <v>1</v>
      </c>
      <c r="AE165" t="b">
        <f>AND(DATA!R1138,"AAAAAE978x4=")</f>
        <v>1</v>
      </c>
      <c r="AF165" t="b">
        <f>AND(DATA!S1138,"AAAAAE978x8=")</f>
        <v>1</v>
      </c>
      <c r="AG165" t="b">
        <f>AND(DATA!T1138,"AAAAAE978yA=")</f>
        <v>1</v>
      </c>
      <c r="AH165" t="b">
        <f>AND(DATA!U1138,"AAAAAE978yE=")</f>
        <v>1</v>
      </c>
      <c r="AI165" t="b">
        <f>AND(DATA!V1138,"AAAAAE978yI=")</f>
        <v>1</v>
      </c>
      <c r="AJ165" t="e">
        <f>AND(DATA!W1137,"AAAAAE978yM=")</f>
        <v>#VALUE!</v>
      </c>
      <c r="AK165" t="e">
        <f>AND(DATA!X1137,"AAAAAE978yQ=")</f>
        <v>#VALUE!</v>
      </c>
      <c r="AL165" t="e">
        <f>AND(DATA!Y1137,"AAAAAE978yU=")</f>
        <v>#VALUE!</v>
      </c>
      <c r="AM165">
        <f>IF(DATA!1138:1138,"AAAAAE978yY=",0)</f>
        <v>0</v>
      </c>
      <c r="AN165" t="e">
        <f>AND(DATA!A1138,"AAAAAE978yc=")</f>
        <v>#VALUE!</v>
      </c>
      <c r="AO165" t="e">
        <f>AND(DATA!B1138,"AAAAAE978yg=")</f>
        <v>#VALUE!</v>
      </c>
      <c r="AP165" t="e">
        <f>AND(DATA!C1138,"AAAAAE978yk=")</f>
        <v>#VALUE!</v>
      </c>
      <c r="AQ165" t="e">
        <f>AND(DATA!D1138,"AAAAAE978yo=")</f>
        <v>#VALUE!</v>
      </c>
      <c r="AR165" t="e">
        <f>AND(DATA!E1138,"AAAAAE978ys=")</f>
        <v>#VALUE!</v>
      </c>
      <c r="AS165" t="e">
        <f>AND(DATA!F1138,"AAAAAE978yw=")</f>
        <v>#VALUE!</v>
      </c>
      <c r="AT165" t="e">
        <f>AND(DATA!G1138,"AAAAAE978y0=")</f>
        <v>#VALUE!</v>
      </c>
      <c r="AU165" t="e">
        <f>AND(DATA!H1138,"AAAAAE978y4=")</f>
        <v>#VALUE!</v>
      </c>
      <c r="AV165" t="e">
        <f>AND(DATA!I1138,"AAAAAE978y8=")</f>
        <v>#VALUE!</v>
      </c>
      <c r="AW165" t="e">
        <f>AND(DATA!J1138,"AAAAAE978zA=")</f>
        <v>#VALUE!</v>
      </c>
      <c r="AX165" t="e">
        <f>AND(DATA!K1138,"AAAAAE978zE=")</f>
        <v>#VALUE!</v>
      </c>
      <c r="AY165" t="b">
        <f>AND(DATA!L1139,"AAAAAE978zI=")</f>
        <v>1</v>
      </c>
      <c r="AZ165" t="b">
        <f>AND(DATA!M1139,"AAAAAE978zM=")</f>
        <v>1</v>
      </c>
      <c r="BA165" t="b">
        <f>AND(DATA!N1139,"AAAAAE978zQ=")</f>
        <v>1</v>
      </c>
      <c r="BB165" t="b">
        <f>AND(DATA!O1139,"AAAAAE978zU=")</f>
        <v>1</v>
      </c>
      <c r="BC165" t="b">
        <f>AND(DATA!P1139,"AAAAAE978zY=")</f>
        <v>1</v>
      </c>
      <c r="BD165" t="b">
        <f>AND(DATA!Q1139,"AAAAAE978zc=")</f>
        <v>1</v>
      </c>
      <c r="BE165" t="b">
        <f>AND(DATA!R1139,"AAAAAE978zg=")</f>
        <v>1</v>
      </c>
      <c r="BF165" t="b">
        <f>AND(DATA!S1139,"AAAAAE978zk=")</f>
        <v>1</v>
      </c>
      <c r="BG165" t="b">
        <f>AND(DATA!T1139,"AAAAAE978zo=")</f>
        <v>1</v>
      </c>
      <c r="BH165" t="b">
        <f>AND(DATA!U1139,"AAAAAE978zs=")</f>
        <v>1</v>
      </c>
      <c r="BI165" t="b">
        <f>AND(DATA!V1139,"AAAAAE978zw=")</f>
        <v>1</v>
      </c>
      <c r="BJ165" t="e">
        <f>AND(DATA!W1138,"AAAAAE978z0=")</f>
        <v>#VALUE!</v>
      </c>
      <c r="BK165" t="e">
        <f>AND(DATA!X1138,"AAAAAE978z4=")</f>
        <v>#VALUE!</v>
      </c>
      <c r="BL165" t="e">
        <f>AND(DATA!Y1138,"AAAAAE978z8=")</f>
        <v>#VALUE!</v>
      </c>
      <c r="BM165">
        <f>IF(DATA!1139:1139,"AAAAAE9780A=",0)</f>
        <v>0</v>
      </c>
      <c r="BN165" t="e">
        <f>AND(DATA!A1139,"AAAAAE9780E=")</f>
        <v>#VALUE!</v>
      </c>
      <c r="BO165" t="e">
        <f>AND(DATA!B1139,"AAAAAE9780I=")</f>
        <v>#VALUE!</v>
      </c>
      <c r="BP165" t="e">
        <f>AND(DATA!C1139,"AAAAAE9780M=")</f>
        <v>#VALUE!</v>
      </c>
      <c r="BQ165" t="e">
        <f>AND(DATA!D1139,"AAAAAE9780Q=")</f>
        <v>#VALUE!</v>
      </c>
      <c r="BR165" t="e">
        <f>AND(DATA!E1139,"AAAAAE9780U=")</f>
        <v>#VALUE!</v>
      </c>
      <c r="BS165" t="e">
        <f>AND(DATA!F1139,"AAAAAE9780Y=")</f>
        <v>#VALUE!</v>
      </c>
      <c r="BT165" t="e">
        <f>AND(DATA!G1139,"AAAAAE9780c=")</f>
        <v>#VALUE!</v>
      </c>
      <c r="BU165" t="e">
        <f>AND(DATA!H1139,"AAAAAE9780g=")</f>
        <v>#VALUE!</v>
      </c>
      <c r="BV165" t="e">
        <f>AND(DATA!I1139,"AAAAAE9780k=")</f>
        <v>#VALUE!</v>
      </c>
      <c r="BW165" t="e">
        <f>AND(DATA!J1139,"AAAAAE9780o=")</f>
        <v>#VALUE!</v>
      </c>
      <c r="BX165" t="e">
        <f>AND(DATA!K1139,"AAAAAE9780s=")</f>
        <v>#VALUE!</v>
      </c>
      <c r="BY165" t="b">
        <f>AND(DATA!L1140,"AAAAAE9780w=")</f>
        <v>1</v>
      </c>
      <c r="BZ165" t="b">
        <f>AND(DATA!M1140,"AAAAAE97800=")</f>
        <v>1</v>
      </c>
      <c r="CA165" t="b">
        <f>AND(DATA!N1140,"AAAAAE97804=")</f>
        <v>1</v>
      </c>
      <c r="CB165" t="b">
        <f>AND(DATA!O1140,"AAAAAE97808=")</f>
        <v>1</v>
      </c>
      <c r="CC165" t="b">
        <f>AND(DATA!P1140,"AAAAAE9781A=")</f>
        <v>1</v>
      </c>
      <c r="CD165" t="b">
        <f>AND(DATA!Q1140,"AAAAAE9781E=")</f>
        <v>1</v>
      </c>
      <c r="CE165" t="b">
        <f>AND(DATA!R1140,"AAAAAE9781I=")</f>
        <v>1</v>
      </c>
      <c r="CF165" t="b">
        <f>AND(DATA!S1140,"AAAAAE9781M=")</f>
        <v>1</v>
      </c>
      <c r="CG165" t="b">
        <f>AND(DATA!T1140,"AAAAAE9781Q=")</f>
        <v>1</v>
      </c>
      <c r="CH165" t="b">
        <f>AND(DATA!U1140,"AAAAAE9781U=")</f>
        <v>1</v>
      </c>
      <c r="CI165" t="b">
        <f>AND(DATA!V1140,"AAAAAE9781Y=")</f>
        <v>1</v>
      </c>
      <c r="CJ165" t="e">
        <f>AND(DATA!W1139,"AAAAAE9781c=")</f>
        <v>#VALUE!</v>
      </c>
      <c r="CK165" t="e">
        <f>AND(DATA!X1139,"AAAAAE9781g=")</f>
        <v>#VALUE!</v>
      </c>
      <c r="CL165" t="e">
        <f>AND(DATA!Y1139,"AAAAAE9781k=")</f>
        <v>#VALUE!</v>
      </c>
      <c r="CM165">
        <f>IF(DATA!1140:1140,"AAAAAE9781o=",0)</f>
        <v>0</v>
      </c>
      <c r="CN165" t="e">
        <f>AND(DATA!A1140,"AAAAAE9781s=")</f>
        <v>#VALUE!</v>
      </c>
      <c r="CO165" t="e">
        <f>AND(DATA!B1140,"AAAAAE9781w=")</f>
        <v>#VALUE!</v>
      </c>
      <c r="CP165" t="e">
        <f>AND(DATA!C1140,"AAAAAE97810=")</f>
        <v>#VALUE!</v>
      </c>
      <c r="CQ165" t="e">
        <f>AND(DATA!D1140,"AAAAAE97814=")</f>
        <v>#VALUE!</v>
      </c>
      <c r="CR165" t="e">
        <f>AND(DATA!E1140,"AAAAAE97818=")</f>
        <v>#VALUE!</v>
      </c>
      <c r="CS165" t="e">
        <f>AND(DATA!F1140,"AAAAAE9782A=")</f>
        <v>#VALUE!</v>
      </c>
      <c r="CT165" t="e">
        <f>AND(DATA!G1140,"AAAAAE9782E=")</f>
        <v>#VALUE!</v>
      </c>
      <c r="CU165" t="e">
        <f>AND(DATA!H1140,"AAAAAE9782I=")</f>
        <v>#VALUE!</v>
      </c>
      <c r="CV165" t="e">
        <f>AND(DATA!I1140,"AAAAAE9782M=")</f>
        <v>#VALUE!</v>
      </c>
      <c r="CW165" t="e">
        <f>AND(DATA!J1140,"AAAAAE9782Q=")</f>
        <v>#VALUE!</v>
      </c>
      <c r="CX165" t="e">
        <f>AND(DATA!K1140,"AAAAAE9782U=")</f>
        <v>#VALUE!</v>
      </c>
      <c r="CY165" t="b">
        <f>AND(DATA!L1141,"AAAAAE9782Y=")</f>
        <v>1</v>
      </c>
      <c r="CZ165" t="b">
        <f>AND(DATA!M1141,"AAAAAE9782c=")</f>
        <v>1</v>
      </c>
      <c r="DA165" t="b">
        <f>AND(DATA!N1141,"AAAAAE9782g=")</f>
        <v>1</v>
      </c>
      <c r="DB165" t="b">
        <f>AND(DATA!O1141,"AAAAAE9782k=")</f>
        <v>1</v>
      </c>
      <c r="DC165" t="b">
        <f>AND(DATA!P1141,"AAAAAE9782o=")</f>
        <v>1</v>
      </c>
      <c r="DD165" t="b">
        <f>AND(DATA!Q1141,"AAAAAE9782s=")</f>
        <v>1</v>
      </c>
      <c r="DE165" t="b">
        <f>AND(DATA!R1141,"AAAAAE9782w=")</f>
        <v>1</v>
      </c>
      <c r="DF165" t="b">
        <f>AND(DATA!S1141,"AAAAAE97820=")</f>
        <v>1</v>
      </c>
      <c r="DG165" t="b">
        <f>AND(DATA!T1141,"AAAAAE97824=")</f>
        <v>1</v>
      </c>
      <c r="DH165" t="b">
        <f>AND(DATA!U1141,"AAAAAE97828=")</f>
        <v>1</v>
      </c>
      <c r="DI165" t="b">
        <f>AND(DATA!V1141,"AAAAAE9783A=")</f>
        <v>1</v>
      </c>
      <c r="DJ165" t="e">
        <f>AND(DATA!W1140,"AAAAAE9783E=")</f>
        <v>#VALUE!</v>
      </c>
      <c r="DK165" t="e">
        <f>AND(DATA!X1140,"AAAAAE9783I=")</f>
        <v>#VALUE!</v>
      </c>
      <c r="DL165" t="e">
        <f>AND(DATA!Y1140,"AAAAAE9783M=")</f>
        <v>#VALUE!</v>
      </c>
      <c r="DM165">
        <f>IF(DATA!1141:1141,"AAAAAE9783Q=",0)</f>
        <v>0</v>
      </c>
      <c r="DN165" t="e">
        <f>AND(DATA!A1141,"AAAAAE9783U=")</f>
        <v>#VALUE!</v>
      </c>
      <c r="DO165" t="e">
        <f>AND(DATA!B1141,"AAAAAE9783Y=")</f>
        <v>#VALUE!</v>
      </c>
      <c r="DP165" t="e">
        <f>AND(DATA!C1141,"AAAAAE9783c=")</f>
        <v>#VALUE!</v>
      </c>
      <c r="DQ165" t="e">
        <f>AND(DATA!D1141,"AAAAAE9783g=")</f>
        <v>#VALUE!</v>
      </c>
      <c r="DR165" t="e">
        <f>AND(DATA!E1141,"AAAAAE9783k=")</f>
        <v>#VALUE!</v>
      </c>
      <c r="DS165" t="e">
        <f>AND(DATA!F1141,"AAAAAE9783o=")</f>
        <v>#VALUE!</v>
      </c>
      <c r="DT165" t="e">
        <f>AND(DATA!G1141,"AAAAAE9783s=")</f>
        <v>#VALUE!</v>
      </c>
      <c r="DU165" t="e">
        <f>AND(DATA!H1141,"AAAAAE9783w=")</f>
        <v>#VALUE!</v>
      </c>
      <c r="DV165" t="e">
        <f>AND(DATA!I1141,"AAAAAE97830=")</f>
        <v>#VALUE!</v>
      </c>
      <c r="DW165" t="e">
        <f>AND(DATA!J1141,"AAAAAE97834=")</f>
        <v>#VALUE!</v>
      </c>
      <c r="DX165" t="e">
        <f>AND(DATA!K1141,"AAAAAE97838=")</f>
        <v>#VALUE!</v>
      </c>
      <c r="DY165" t="b">
        <f>AND(DATA!L1142,"AAAAAE9784A=")</f>
        <v>1</v>
      </c>
      <c r="DZ165" t="b">
        <f>AND(DATA!M1142,"AAAAAE9784E=")</f>
        <v>1</v>
      </c>
      <c r="EA165" t="b">
        <f>AND(DATA!N1142,"AAAAAE9784I=")</f>
        <v>1</v>
      </c>
      <c r="EB165" t="b">
        <f>AND(DATA!O1142,"AAAAAE9784M=")</f>
        <v>1</v>
      </c>
      <c r="EC165" t="b">
        <f>AND(DATA!P1142,"AAAAAE9784Q=")</f>
        <v>1</v>
      </c>
      <c r="ED165" t="b">
        <f>AND(DATA!Q1142,"AAAAAE9784U=")</f>
        <v>1</v>
      </c>
      <c r="EE165" t="b">
        <f>AND(DATA!R1142,"AAAAAE9784Y=")</f>
        <v>1</v>
      </c>
      <c r="EF165" t="b">
        <f>AND(DATA!S1142,"AAAAAE9784c=")</f>
        <v>1</v>
      </c>
      <c r="EG165" t="b">
        <f>AND(DATA!T1142,"AAAAAE9784g=")</f>
        <v>1</v>
      </c>
      <c r="EH165" t="b">
        <f>AND(DATA!U1142,"AAAAAE9784k=")</f>
        <v>1</v>
      </c>
      <c r="EI165" t="b">
        <f>AND(DATA!V1142,"AAAAAE9784o=")</f>
        <v>1</v>
      </c>
      <c r="EJ165" t="e">
        <f>AND(DATA!W1141,"AAAAAE9784s=")</f>
        <v>#VALUE!</v>
      </c>
      <c r="EK165" t="e">
        <f>AND(DATA!X1141,"AAAAAE9784w=")</f>
        <v>#VALUE!</v>
      </c>
      <c r="EL165" t="e">
        <f>AND(DATA!Y1141,"AAAAAE97840=")</f>
        <v>#VALUE!</v>
      </c>
      <c r="EM165">
        <f>IF(DATA!1142:1142,"AAAAAE97844=",0)</f>
        <v>0</v>
      </c>
      <c r="EN165" t="e">
        <f>AND(DATA!A1142,"AAAAAE97848=")</f>
        <v>#VALUE!</v>
      </c>
      <c r="EO165" t="e">
        <f>AND(DATA!B1142,"AAAAAE9785A=")</f>
        <v>#VALUE!</v>
      </c>
      <c r="EP165" t="e">
        <f>AND(DATA!C1142,"AAAAAE9785E=")</f>
        <v>#VALUE!</v>
      </c>
      <c r="EQ165" t="e">
        <f>AND(DATA!D1142,"AAAAAE9785I=")</f>
        <v>#VALUE!</v>
      </c>
      <c r="ER165" t="e">
        <f>AND(DATA!E1142,"AAAAAE9785M=")</f>
        <v>#VALUE!</v>
      </c>
      <c r="ES165" t="e">
        <f>AND(DATA!F1142,"AAAAAE9785Q=")</f>
        <v>#VALUE!</v>
      </c>
      <c r="ET165" t="e">
        <f>AND(DATA!G1142,"AAAAAE9785U=")</f>
        <v>#VALUE!</v>
      </c>
      <c r="EU165" t="e">
        <f>AND(DATA!H1142,"AAAAAE9785Y=")</f>
        <v>#VALUE!</v>
      </c>
      <c r="EV165" t="e">
        <f>AND(DATA!I1142,"AAAAAE9785c=")</f>
        <v>#VALUE!</v>
      </c>
      <c r="EW165" t="e">
        <f>AND(DATA!J1142,"AAAAAE9785g=")</f>
        <v>#VALUE!</v>
      </c>
      <c r="EX165" t="e">
        <f>AND(DATA!K1142,"AAAAAE9785k=")</f>
        <v>#VALUE!</v>
      </c>
      <c r="EY165" t="b">
        <f>AND(DATA!L1143,"AAAAAE9785o=")</f>
        <v>1</v>
      </c>
      <c r="EZ165" t="b">
        <f>AND(DATA!M1143,"AAAAAE9785s=")</f>
        <v>1</v>
      </c>
      <c r="FA165" t="b">
        <f>AND(DATA!N1143,"AAAAAE9785w=")</f>
        <v>1</v>
      </c>
      <c r="FB165" t="b">
        <f>AND(DATA!O1143,"AAAAAE97850=")</f>
        <v>1</v>
      </c>
      <c r="FC165" t="b">
        <f>AND(DATA!P1143,"AAAAAE97854=")</f>
        <v>1</v>
      </c>
      <c r="FD165" t="b">
        <f>AND(DATA!Q1143,"AAAAAE97858=")</f>
        <v>1</v>
      </c>
      <c r="FE165" t="b">
        <f>AND(DATA!R1143,"AAAAAE9786A=")</f>
        <v>1</v>
      </c>
      <c r="FF165" t="b">
        <f>AND(DATA!S1143,"AAAAAE9786E=")</f>
        <v>1</v>
      </c>
      <c r="FG165" t="b">
        <f>AND(DATA!T1143,"AAAAAE9786I=")</f>
        <v>1</v>
      </c>
      <c r="FH165" t="b">
        <f>AND(DATA!U1143,"AAAAAE9786M=")</f>
        <v>1</v>
      </c>
      <c r="FI165" t="b">
        <f>AND(DATA!V1143,"AAAAAE9786Q=")</f>
        <v>1</v>
      </c>
      <c r="FJ165" t="e">
        <f>AND(DATA!W1142,"AAAAAE9786U=")</f>
        <v>#VALUE!</v>
      </c>
      <c r="FK165" t="e">
        <f>AND(DATA!X1142,"AAAAAE9786Y=")</f>
        <v>#VALUE!</v>
      </c>
      <c r="FL165" t="e">
        <f>AND(DATA!Y1142,"AAAAAE9786c=")</f>
        <v>#VALUE!</v>
      </c>
      <c r="FM165">
        <f>IF(DATA!1143:1143,"AAAAAE9786g=",0)</f>
        <v>0</v>
      </c>
      <c r="FN165" t="e">
        <f>AND(DATA!A1143,"AAAAAE9786k=")</f>
        <v>#VALUE!</v>
      </c>
      <c r="FO165" t="e">
        <f>AND(DATA!B1143,"AAAAAE9786o=")</f>
        <v>#VALUE!</v>
      </c>
      <c r="FP165" t="e">
        <f>AND(DATA!C1143,"AAAAAE9786s=")</f>
        <v>#VALUE!</v>
      </c>
      <c r="FQ165" t="e">
        <f>AND(DATA!D1143,"AAAAAE9786w=")</f>
        <v>#VALUE!</v>
      </c>
      <c r="FR165" t="e">
        <f>AND(DATA!E1143,"AAAAAE97860=")</f>
        <v>#VALUE!</v>
      </c>
      <c r="FS165" t="e">
        <f>AND(DATA!F1143,"AAAAAE97864=")</f>
        <v>#VALUE!</v>
      </c>
      <c r="FT165" t="e">
        <f>AND(DATA!G1143,"AAAAAE97868=")</f>
        <v>#VALUE!</v>
      </c>
      <c r="FU165" t="e">
        <f>AND(DATA!H1143,"AAAAAE9787A=")</f>
        <v>#VALUE!</v>
      </c>
      <c r="FV165" t="e">
        <f>AND(DATA!I1143,"AAAAAE9787E=")</f>
        <v>#VALUE!</v>
      </c>
      <c r="FW165" t="e">
        <f>AND(DATA!J1143,"AAAAAE9787I=")</f>
        <v>#VALUE!</v>
      </c>
      <c r="FX165" t="e">
        <f>AND(DATA!K1143,"AAAAAE9787M=")</f>
        <v>#VALUE!</v>
      </c>
      <c r="FY165" t="b">
        <f>AND(DATA!L1144,"AAAAAE9787Q=")</f>
        <v>1</v>
      </c>
      <c r="FZ165" t="b">
        <f>AND(DATA!M1144,"AAAAAE9787U=")</f>
        <v>1</v>
      </c>
      <c r="GA165" t="b">
        <f>AND(DATA!N1144,"AAAAAE9787Y=")</f>
        <v>1</v>
      </c>
      <c r="GB165" t="b">
        <f>AND(DATA!O1144,"AAAAAE9787c=")</f>
        <v>1</v>
      </c>
      <c r="GC165" t="b">
        <f>AND(DATA!P1144,"AAAAAE9787g=")</f>
        <v>1</v>
      </c>
      <c r="GD165" t="b">
        <f>AND(DATA!Q1144,"AAAAAE9787k=")</f>
        <v>1</v>
      </c>
      <c r="GE165" t="b">
        <f>AND(DATA!R1144,"AAAAAE9787o=")</f>
        <v>1</v>
      </c>
      <c r="GF165" t="b">
        <f>AND(DATA!S1144,"AAAAAE9787s=")</f>
        <v>1</v>
      </c>
      <c r="GG165" t="b">
        <f>AND(DATA!T1144,"AAAAAE9787w=")</f>
        <v>1</v>
      </c>
      <c r="GH165" t="b">
        <f>AND(DATA!U1144,"AAAAAE97870=")</f>
        <v>1</v>
      </c>
      <c r="GI165" t="b">
        <f>AND(DATA!V1144,"AAAAAE97874=")</f>
        <v>1</v>
      </c>
      <c r="GJ165" t="e">
        <f>AND(DATA!W1143,"AAAAAE97878=")</f>
        <v>#VALUE!</v>
      </c>
      <c r="GK165" t="e">
        <f>AND(DATA!X1143,"AAAAAE9788A=")</f>
        <v>#VALUE!</v>
      </c>
      <c r="GL165" t="e">
        <f>AND(DATA!Y1143,"AAAAAE9788E=")</f>
        <v>#VALUE!</v>
      </c>
      <c r="GM165">
        <f>IF(DATA!1144:1144,"AAAAAE9788I=",0)</f>
        <v>0</v>
      </c>
      <c r="GN165" t="e">
        <f>AND(DATA!A1144,"AAAAAE9788M=")</f>
        <v>#VALUE!</v>
      </c>
      <c r="GO165" t="e">
        <f>AND(DATA!B1144,"AAAAAE9788Q=")</f>
        <v>#VALUE!</v>
      </c>
      <c r="GP165" t="e">
        <f>AND(DATA!C1144,"AAAAAE9788U=")</f>
        <v>#VALUE!</v>
      </c>
      <c r="GQ165" t="e">
        <f>AND(DATA!D1144,"AAAAAE9788Y=")</f>
        <v>#VALUE!</v>
      </c>
      <c r="GR165" t="e">
        <f>AND(DATA!E1144,"AAAAAE9788c=")</f>
        <v>#VALUE!</v>
      </c>
      <c r="GS165" t="e">
        <f>AND(DATA!F1144,"AAAAAE9788g=")</f>
        <v>#VALUE!</v>
      </c>
      <c r="GT165" t="e">
        <f>AND(DATA!G1144,"AAAAAE9788k=")</f>
        <v>#VALUE!</v>
      </c>
      <c r="GU165" t="e">
        <f>AND(DATA!H1144,"AAAAAE9788o=")</f>
        <v>#VALUE!</v>
      </c>
      <c r="GV165" t="e">
        <f>AND(DATA!I1144,"AAAAAE9788s=")</f>
        <v>#VALUE!</v>
      </c>
      <c r="GW165" t="e">
        <f>AND(DATA!J1144,"AAAAAE9788w=")</f>
        <v>#VALUE!</v>
      </c>
      <c r="GX165" t="e">
        <f>AND(DATA!K1144,"AAAAAE97880=")</f>
        <v>#VALUE!</v>
      </c>
      <c r="GY165" t="b">
        <f>AND(DATA!L1145,"AAAAAE97884=")</f>
        <v>1</v>
      </c>
      <c r="GZ165" t="b">
        <f>AND(DATA!M1145,"AAAAAE97888=")</f>
        <v>1</v>
      </c>
      <c r="HA165" t="b">
        <f>AND(DATA!N1145,"AAAAAE9789A=")</f>
        <v>1</v>
      </c>
      <c r="HB165" t="b">
        <f>AND(DATA!O1145,"AAAAAE9789E=")</f>
        <v>1</v>
      </c>
      <c r="HC165" t="b">
        <f>AND(DATA!P1145,"AAAAAE9789I=")</f>
        <v>1</v>
      </c>
      <c r="HD165" t="b">
        <f>AND(DATA!Q1145,"AAAAAE9789M=")</f>
        <v>1</v>
      </c>
      <c r="HE165" t="b">
        <f>AND(DATA!R1145,"AAAAAE9789Q=")</f>
        <v>1</v>
      </c>
      <c r="HF165" t="b">
        <f>AND(DATA!S1145,"AAAAAE9789U=")</f>
        <v>1</v>
      </c>
      <c r="HG165" t="b">
        <f>AND(DATA!T1145,"AAAAAE9789Y=")</f>
        <v>1</v>
      </c>
      <c r="HH165" t="b">
        <f>AND(DATA!U1145,"AAAAAE9789c=")</f>
        <v>1</v>
      </c>
      <c r="HI165" t="b">
        <f>AND(DATA!V1145,"AAAAAE9789g=")</f>
        <v>1</v>
      </c>
      <c r="HJ165" t="e">
        <f>AND(DATA!W1144,"AAAAAE9789k=")</f>
        <v>#VALUE!</v>
      </c>
      <c r="HK165" t="e">
        <f>AND(DATA!X1144,"AAAAAE9789o=")</f>
        <v>#VALUE!</v>
      </c>
      <c r="HL165" t="e">
        <f>AND(DATA!Y1144,"AAAAAE9789s=")</f>
        <v>#VALUE!</v>
      </c>
      <c r="HM165">
        <f>IF(DATA!1145:1145,"AAAAAE9789w=",0)</f>
        <v>0</v>
      </c>
      <c r="HN165" t="e">
        <f>AND(DATA!A1145,"AAAAAE97890=")</f>
        <v>#VALUE!</v>
      </c>
      <c r="HO165" t="e">
        <f>AND(DATA!B1145,"AAAAAE97894=")</f>
        <v>#VALUE!</v>
      </c>
      <c r="HP165" t="e">
        <f>AND(DATA!C1145,"AAAAAE97898=")</f>
        <v>#VALUE!</v>
      </c>
      <c r="HQ165" t="e">
        <f>AND(DATA!D1145,"AAAAAE978+A=")</f>
        <v>#VALUE!</v>
      </c>
      <c r="HR165" t="e">
        <f>AND(DATA!E1145,"AAAAAE978+E=")</f>
        <v>#VALUE!</v>
      </c>
      <c r="HS165" t="e">
        <f>AND(DATA!F1145,"AAAAAE978+I=")</f>
        <v>#VALUE!</v>
      </c>
      <c r="HT165" t="e">
        <f>AND(DATA!G1145,"AAAAAE978+M=")</f>
        <v>#VALUE!</v>
      </c>
      <c r="HU165" t="e">
        <f>AND(DATA!H1145,"AAAAAE978+Q=")</f>
        <v>#VALUE!</v>
      </c>
      <c r="HV165" t="e">
        <f>AND(DATA!I1145,"AAAAAE978+U=")</f>
        <v>#VALUE!</v>
      </c>
      <c r="HW165" t="e">
        <f>AND(DATA!J1145,"AAAAAE978+Y=")</f>
        <v>#VALUE!</v>
      </c>
      <c r="HX165" t="e">
        <f>AND(DATA!K1145,"AAAAAE978+c=")</f>
        <v>#VALUE!</v>
      </c>
      <c r="HY165" t="b">
        <f>AND(DATA!L1146,"AAAAAE978+g=")</f>
        <v>1</v>
      </c>
      <c r="HZ165" t="b">
        <f>AND(DATA!M1146,"AAAAAE978+k=")</f>
        <v>1</v>
      </c>
      <c r="IA165" t="b">
        <f>AND(DATA!N1146,"AAAAAE978+o=")</f>
        <v>1</v>
      </c>
      <c r="IB165" t="b">
        <f>AND(DATA!O1146,"AAAAAE978+s=")</f>
        <v>1</v>
      </c>
      <c r="IC165" t="b">
        <f>AND(DATA!P1146,"AAAAAE978+w=")</f>
        <v>1</v>
      </c>
      <c r="ID165" t="b">
        <f>AND(DATA!Q1146,"AAAAAE978+0=")</f>
        <v>1</v>
      </c>
      <c r="IE165" t="b">
        <f>AND(DATA!R1146,"AAAAAE978+4=")</f>
        <v>1</v>
      </c>
      <c r="IF165" t="b">
        <f>AND(DATA!S1146,"AAAAAE978+8=")</f>
        <v>1</v>
      </c>
      <c r="IG165" t="b">
        <f>AND(DATA!T1146,"AAAAAE978/A=")</f>
        <v>1</v>
      </c>
      <c r="IH165" t="b">
        <f>AND(DATA!U1146,"AAAAAE978/E=")</f>
        <v>1</v>
      </c>
      <c r="II165" t="b">
        <f>AND(DATA!V1146,"AAAAAE978/I=")</f>
        <v>1</v>
      </c>
      <c r="IJ165" t="e">
        <f>AND(DATA!W1145,"AAAAAE978/M=")</f>
        <v>#VALUE!</v>
      </c>
      <c r="IK165" t="e">
        <f>AND(DATA!X1145,"AAAAAE978/Q=")</f>
        <v>#VALUE!</v>
      </c>
      <c r="IL165" t="e">
        <f>AND(DATA!Y1145,"AAAAAE978/U=")</f>
        <v>#VALUE!</v>
      </c>
      <c r="IM165">
        <f>IF(DATA!1146:1146,"AAAAAE978/Y=",0)</f>
        <v>0</v>
      </c>
      <c r="IN165" t="e">
        <f>AND(DATA!A1146,"AAAAAE978/c=")</f>
        <v>#VALUE!</v>
      </c>
      <c r="IO165" t="e">
        <f>AND(DATA!B1146,"AAAAAE978/g=")</f>
        <v>#VALUE!</v>
      </c>
      <c r="IP165" t="e">
        <f>AND(DATA!C1146,"AAAAAE978/k=")</f>
        <v>#VALUE!</v>
      </c>
      <c r="IQ165" t="e">
        <f>AND(DATA!D1146,"AAAAAE978/o=")</f>
        <v>#VALUE!</v>
      </c>
      <c r="IR165" t="e">
        <f>AND(DATA!E1146,"AAAAAE978/s=")</f>
        <v>#VALUE!</v>
      </c>
      <c r="IS165" t="e">
        <f>AND(DATA!F1146,"AAAAAE978/w=")</f>
        <v>#VALUE!</v>
      </c>
      <c r="IT165" t="e">
        <f>AND(DATA!G1146,"AAAAAE978/0=")</f>
        <v>#VALUE!</v>
      </c>
      <c r="IU165" t="e">
        <f>AND(DATA!H1146,"AAAAAE978/4=")</f>
        <v>#VALUE!</v>
      </c>
      <c r="IV165" t="e">
        <f>AND(DATA!I1146,"AAAAAE978/8=")</f>
        <v>#VALUE!</v>
      </c>
    </row>
    <row r="166" spans="1:256" x14ac:dyDescent="0.25">
      <c r="A166" t="e">
        <f>AND(DATA!J1146,"AAAAAHr/dwA=")</f>
        <v>#VALUE!</v>
      </c>
      <c r="B166" t="e">
        <f>AND(DATA!K1146,"AAAAAHr/dwE=")</f>
        <v>#VALUE!</v>
      </c>
      <c r="C166" t="b">
        <f>AND(DATA!L1147,"AAAAAHr/dwI=")</f>
        <v>1</v>
      </c>
      <c r="D166" t="b">
        <f>AND(DATA!M1147,"AAAAAHr/dwM=")</f>
        <v>1</v>
      </c>
      <c r="E166" t="b">
        <f>AND(DATA!N1147,"AAAAAHr/dwQ=")</f>
        <v>1</v>
      </c>
      <c r="F166" t="b">
        <f>AND(DATA!O1147,"AAAAAHr/dwU=")</f>
        <v>1</v>
      </c>
      <c r="G166" t="b">
        <f>AND(DATA!P1147,"AAAAAHr/dwY=")</f>
        <v>1</v>
      </c>
      <c r="H166" t="b">
        <f>AND(DATA!Q1147,"AAAAAHr/dwc=")</f>
        <v>1</v>
      </c>
      <c r="I166" t="b">
        <f>AND(DATA!R1147,"AAAAAHr/dwg=")</f>
        <v>1</v>
      </c>
      <c r="J166" t="b">
        <f>AND(DATA!S1147,"AAAAAHr/dwk=")</f>
        <v>1</v>
      </c>
      <c r="K166" t="b">
        <f>AND(DATA!T1147,"AAAAAHr/dwo=")</f>
        <v>1</v>
      </c>
      <c r="L166" t="b">
        <f>AND(DATA!U1147,"AAAAAHr/dws=")</f>
        <v>1</v>
      </c>
      <c r="M166" t="b">
        <f>AND(DATA!V1147,"AAAAAHr/dww=")</f>
        <v>1</v>
      </c>
      <c r="N166" t="e">
        <f>AND(DATA!W1146,"AAAAAHr/dw0=")</f>
        <v>#VALUE!</v>
      </c>
      <c r="O166" t="e">
        <f>AND(DATA!X1146,"AAAAAHr/dw4=")</f>
        <v>#VALUE!</v>
      </c>
      <c r="P166" t="e">
        <f>AND(DATA!Y1146,"AAAAAHr/dw8=")</f>
        <v>#VALUE!</v>
      </c>
      <c r="Q166" t="str">
        <f>IF(DATA!1147:1147,"AAAAAHr/dxA=",0)</f>
        <v>AAAAAHr/dxA=</v>
      </c>
      <c r="R166" t="e">
        <f>AND(DATA!A1147,"AAAAAHr/dxE=")</f>
        <v>#VALUE!</v>
      </c>
      <c r="S166" t="e">
        <f>AND(DATA!B1147,"AAAAAHr/dxI=")</f>
        <v>#VALUE!</v>
      </c>
      <c r="T166" t="e">
        <f>AND(DATA!C1147,"AAAAAHr/dxM=")</f>
        <v>#VALUE!</v>
      </c>
      <c r="U166" t="e">
        <f>AND(DATA!D1147,"AAAAAHr/dxQ=")</f>
        <v>#VALUE!</v>
      </c>
      <c r="V166" t="e">
        <f>AND(DATA!E1147,"AAAAAHr/dxU=")</f>
        <v>#VALUE!</v>
      </c>
      <c r="W166" t="e">
        <f>AND(DATA!F1147,"AAAAAHr/dxY=")</f>
        <v>#VALUE!</v>
      </c>
      <c r="X166" t="e">
        <f>AND(DATA!G1147,"AAAAAHr/dxc=")</f>
        <v>#VALUE!</v>
      </c>
      <c r="Y166" t="e">
        <f>AND(DATA!H1147,"AAAAAHr/dxg=")</f>
        <v>#VALUE!</v>
      </c>
      <c r="Z166" t="e">
        <f>AND(DATA!I1147,"AAAAAHr/dxk=")</f>
        <v>#VALUE!</v>
      </c>
      <c r="AA166" t="e">
        <f>AND(DATA!J1147,"AAAAAHr/dxo=")</f>
        <v>#VALUE!</v>
      </c>
      <c r="AB166" t="e">
        <f>AND(DATA!K1147,"AAAAAHr/dxs=")</f>
        <v>#VALUE!</v>
      </c>
      <c r="AC166" t="b">
        <f>AND(DATA!L1148,"AAAAAHr/dxw=")</f>
        <v>1</v>
      </c>
      <c r="AD166" t="b">
        <f>AND(DATA!M1148,"AAAAAHr/dx0=")</f>
        <v>1</v>
      </c>
      <c r="AE166" t="b">
        <f>AND(DATA!N1148,"AAAAAHr/dx4=")</f>
        <v>1</v>
      </c>
      <c r="AF166" t="b">
        <f>AND(DATA!O1148,"AAAAAHr/dx8=")</f>
        <v>1</v>
      </c>
      <c r="AG166" t="b">
        <f>AND(DATA!P1148,"AAAAAHr/dyA=")</f>
        <v>1</v>
      </c>
      <c r="AH166" t="b">
        <f>AND(DATA!Q1148,"AAAAAHr/dyE=")</f>
        <v>1</v>
      </c>
      <c r="AI166" t="b">
        <f>AND(DATA!R1148,"AAAAAHr/dyI=")</f>
        <v>1</v>
      </c>
      <c r="AJ166" t="b">
        <f>AND(DATA!S1148,"AAAAAHr/dyM=")</f>
        <v>1</v>
      </c>
      <c r="AK166" t="b">
        <f>AND(DATA!T1148,"AAAAAHr/dyQ=")</f>
        <v>1</v>
      </c>
      <c r="AL166" t="b">
        <f>AND(DATA!U1148,"AAAAAHr/dyU=")</f>
        <v>1</v>
      </c>
      <c r="AM166" t="b">
        <f>AND(DATA!V1148,"AAAAAHr/dyY=")</f>
        <v>1</v>
      </c>
      <c r="AN166" t="e">
        <f>AND(DATA!W1147,"AAAAAHr/dyc=")</f>
        <v>#VALUE!</v>
      </c>
      <c r="AO166" t="e">
        <f>AND(DATA!X1147,"AAAAAHr/dyg=")</f>
        <v>#VALUE!</v>
      </c>
      <c r="AP166" t="e">
        <f>AND(DATA!Y1147,"AAAAAHr/dyk=")</f>
        <v>#VALUE!</v>
      </c>
      <c r="AQ166">
        <f>IF(DATA!1148:1148,"AAAAAHr/dyo=",0)</f>
        <v>0</v>
      </c>
      <c r="AR166" t="e">
        <f>AND(DATA!A1148,"AAAAAHr/dys=")</f>
        <v>#VALUE!</v>
      </c>
      <c r="AS166" t="e">
        <f>AND(DATA!B1148,"AAAAAHr/dyw=")</f>
        <v>#VALUE!</v>
      </c>
      <c r="AT166" t="e">
        <f>AND(DATA!C1148,"AAAAAHr/dy0=")</f>
        <v>#VALUE!</v>
      </c>
      <c r="AU166" t="e">
        <f>AND(DATA!D1148,"AAAAAHr/dy4=")</f>
        <v>#VALUE!</v>
      </c>
      <c r="AV166" t="e">
        <f>AND(DATA!E1148,"AAAAAHr/dy8=")</f>
        <v>#VALUE!</v>
      </c>
      <c r="AW166" t="e">
        <f>AND(DATA!F1148,"AAAAAHr/dzA=")</f>
        <v>#VALUE!</v>
      </c>
      <c r="AX166" t="e">
        <f>AND(DATA!G1148,"AAAAAHr/dzE=")</f>
        <v>#VALUE!</v>
      </c>
      <c r="AY166" t="e">
        <f>AND(DATA!H1148,"AAAAAHr/dzI=")</f>
        <v>#VALUE!</v>
      </c>
      <c r="AZ166" t="e">
        <f>AND(DATA!I1148,"AAAAAHr/dzM=")</f>
        <v>#VALUE!</v>
      </c>
      <c r="BA166" t="e">
        <f>AND(DATA!J1148,"AAAAAHr/dzQ=")</f>
        <v>#VALUE!</v>
      </c>
      <c r="BB166" t="e">
        <f>AND(DATA!K1148,"AAAAAHr/dzU=")</f>
        <v>#VALUE!</v>
      </c>
      <c r="BC166" t="b">
        <f>AND(DATA!L1149,"AAAAAHr/dzY=")</f>
        <v>1</v>
      </c>
      <c r="BD166" t="b">
        <f>AND(DATA!M1149,"AAAAAHr/dzc=")</f>
        <v>1</v>
      </c>
      <c r="BE166" t="b">
        <f>AND(DATA!N1149,"AAAAAHr/dzg=")</f>
        <v>1</v>
      </c>
      <c r="BF166" t="b">
        <f>AND(DATA!O1149,"AAAAAHr/dzk=")</f>
        <v>1</v>
      </c>
      <c r="BG166" t="b">
        <f>AND(DATA!P1149,"AAAAAHr/dzo=")</f>
        <v>1</v>
      </c>
      <c r="BH166" t="b">
        <f>AND(DATA!Q1149,"AAAAAHr/dzs=")</f>
        <v>1</v>
      </c>
      <c r="BI166" t="b">
        <f>AND(DATA!R1149,"AAAAAHr/dzw=")</f>
        <v>1</v>
      </c>
      <c r="BJ166" t="b">
        <f>AND(DATA!S1149,"AAAAAHr/dz0=")</f>
        <v>1</v>
      </c>
      <c r="BK166" t="b">
        <f>AND(DATA!T1149,"AAAAAHr/dz4=")</f>
        <v>1</v>
      </c>
      <c r="BL166" t="b">
        <f>AND(DATA!U1149,"AAAAAHr/dz8=")</f>
        <v>1</v>
      </c>
      <c r="BM166" t="b">
        <f>AND(DATA!V1149,"AAAAAHr/d0A=")</f>
        <v>1</v>
      </c>
      <c r="BN166" t="e">
        <f>AND(DATA!W1148,"AAAAAHr/d0E=")</f>
        <v>#VALUE!</v>
      </c>
      <c r="BO166" t="e">
        <f>AND(DATA!X1148,"AAAAAHr/d0I=")</f>
        <v>#VALUE!</v>
      </c>
      <c r="BP166" t="e">
        <f>AND(DATA!Y1148,"AAAAAHr/d0M=")</f>
        <v>#VALUE!</v>
      </c>
      <c r="BQ166">
        <f>IF(DATA!1149:1149,"AAAAAHr/d0Q=",0)</f>
        <v>0</v>
      </c>
      <c r="BR166" t="e">
        <f>AND(DATA!A1149,"AAAAAHr/d0U=")</f>
        <v>#VALUE!</v>
      </c>
      <c r="BS166" t="e">
        <f>AND(DATA!B1149,"AAAAAHr/d0Y=")</f>
        <v>#VALUE!</v>
      </c>
      <c r="BT166" t="e">
        <f>AND(DATA!C1149,"AAAAAHr/d0c=")</f>
        <v>#VALUE!</v>
      </c>
      <c r="BU166" t="e">
        <f>AND(DATA!D1149,"AAAAAHr/d0g=")</f>
        <v>#VALUE!</v>
      </c>
      <c r="BV166" t="e">
        <f>AND(DATA!E1149,"AAAAAHr/d0k=")</f>
        <v>#VALUE!</v>
      </c>
      <c r="BW166" t="e">
        <f>AND(DATA!F1149,"AAAAAHr/d0o=")</f>
        <v>#VALUE!</v>
      </c>
      <c r="BX166" t="e">
        <f>AND(DATA!G1149,"AAAAAHr/d0s=")</f>
        <v>#VALUE!</v>
      </c>
      <c r="BY166" t="e">
        <f>AND(DATA!H1149,"AAAAAHr/d0w=")</f>
        <v>#VALUE!</v>
      </c>
      <c r="BZ166" t="e">
        <f>AND(DATA!I1149,"AAAAAHr/d00=")</f>
        <v>#VALUE!</v>
      </c>
      <c r="CA166" t="e">
        <f>AND(DATA!J1149,"AAAAAHr/d04=")</f>
        <v>#VALUE!</v>
      </c>
      <c r="CB166" t="e">
        <f>AND(DATA!K1149,"AAAAAHr/d08=")</f>
        <v>#VALUE!</v>
      </c>
      <c r="CC166" t="b">
        <f>AND(DATA!L1150,"AAAAAHr/d1A=")</f>
        <v>1</v>
      </c>
      <c r="CD166" t="b">
        <f>AND(DATA!M1150,"AAAAAHr/d1E=")</f>
        <v>1</v>
      </c>
      <c r="CE166" t="b">
        <f>AND(DATA!N1150,"AAAAAHr/d1I=")</f>
        <v>1</v>
      </c>
      <c r="CF166" t="b">
        <f>AND(DATA!O1150,"AAAAAHr/d1M=")</f>
        <v>1</v>
      </c>
      <c r="CG166" t="b">
        <f>AND(DATA!P1150,"AAAAAHr/d1Q=")</f>
        <v>1</v>
      </c>
      <c r="CH166" t="b">
        <f>AND(DATA!Q1150,"AAAAAHr/d1U=")</f>
        <v>1</v>
      </c>
      <c r="CI166" t="b">
        <f>AND(DATA!R1150,"AAAAAHr/d1Y=")</f>
        <v>1</v>
      </c>
      <c r="CJ166" t="b">
        <f>AND(DATA!S1150,"AAAAAHr/d1c=")</f>
        <v>1</v>
      </c>
      <c r="CK166" t="b">
        <f>AND(DATA!T1150,"AAAAAHr/d1g=")</f>
        <v>1</v>
      </c>
      <c r="CL166" t="b">
        <f>AND(DATA!U1150,"AAAAAHr/d1k=")</f>
        <v>1</v>
      </c>
      <c r="CM166" t="b">
        <f>AND(DATA!V1150,"AAAAAHr/d1o=")</f>
        <v>1</v>
      </c>
      <c r="CN166" t="e">
        <f>AND(DATA!W1149,"AAAAAHr/d1s=")</f>
        <v>#VALUE!</v>
      </c>
      <c r="CO166" t="e">
        <f>AND(DATA!X1149,"AAAAAHr/d1w=")</f>
        <v>#VALUE!</v>
      </c>
      <c r="CP166" t="e">
        <f>AND(DATA!Y1149,"AAAAAHr/d10=")</f>
        <v>#VALUE!</v>
      </c>
      <c r="CQ166">
        <f>IF(DATA!1150:1150,"AAAAAHr/d14=",0)</f>
        <v>0</v>
      </c>
      <c r="CR166" t="e">
        <f>AND(DATA!A1150,"AAAAAHr/d18=")</f>
        <v>#VALUE!</v>
      </c>
      <c r="CS166" t="e">
        <f>AND(DATA!B1150,"AAAAAHr/d2A=")</f>
        <v>#VALUE!</v>
      </c>
      <c r="CT166" t="e">
        <f>AND(DATA!C1150,"AAAAAHr/d2E=")</f>
        <v>#VALUE!</v>
      </c>
      <c r="CU166" t="e">
        <f>AND(DATA!D1150,"AAAAAHr/d2I=")</f>
        <v>#VALUE!</v>
      </c>
      <c r="CV166" t="e">
        <f>AND(DATA!E1150,"AAAAAHr/d2M=")</f>
        <v>#VALUE!</v>
      </c>
      <c r="CW166" t="e">
        <f>AND(DATA!F1150,"AAAAAHr/d2Q=")</f>
        <v>#VALUE!</v>
      </c>
      <c r="CX166" t="e">
        <f>AND(DATA!G1150,"AAAAAHr/d2U=")</f>
        <v>#VALUE!</v>
      </c>
      <c r="CY166" t="e">
        <f>AND(DATA!H1150,"AAAAAHr/d2Y=")</f>
        <v>#VALUE!</v>
      </c>
      <c r="CZ166" t="e">
        <f>AND(DATA!I1150,"AAAAAHr/d2c=")</f>
        <v>#VALUE!</v>
      </c>
      <c r="DA166" t="e">
        <f>AND(DATA!J1150,"AAAAAHr/d2g=")</f>
        <v>#VALUE!</v>
      </c>
      <c r="DB166" t="e">
        <f>AND(DATA!K1150,"AAAAAHr/d2k=")</f>
        <v>#VALUE!</v>
      </c>
      <c r="DC166" t="b">
        <f>AND(DATA!L1151,"AAAAAHr/d2o=")</f>
        <v>1</v>
      </c>
      <c r="DD166" t="b">
        <f>AND(DATA!M1151,"AAAAAHr/d2s=")</f>
        <v>1</v>
      </c>
      <c r="DE166" t="b">
        <f>AND(DATA!N1151,"AAAAAHr/d2w=")</f>
        <v>1</v>
      </c>
      <c r="DF166" t="b">
        <f>AND(DATA!O1151,"AAAAAHr/d20=")</f>
        <v>1</v>
      </c>
      <c r="DG166" t="b">
        <f>AND(DATA!P1151,"AAAAAHr/d24=")</f>
        <v>1</v>
      </c>
      <c r="DH166" t="b">
        <f>AND(DATA!Q1151,"AAAAAHr/d28=")</f>
        <v>1</v>
      </c>
      <c r="DI166" t="b">
        <f>AND(DATA!R1151,"AAAAAHr/d3A=")</f>
        <v>1</v>
      </c>
      <c r="DJ166" t="b">
        <f>AND(DATA!S1151,"AAAAAHr/d3E=")</f>
        <v>1</v>
      </c>
      <c r="DK166" t="b">
        <f>AND(DATA!T1151,"AAAAAHr/d3I=")</f>
        <v>1</v>
      </c>
      <c r="DL166" t="b">
        <f>AND(DATA!U1151,"AAAAAHr/d3M=")</f>
        <v>1</v>
      </c>
      <c r="DM166" t="b">
        <f>AND(DATA!V1151,"AAAAAHr/d3Q=")</f>
        <v>1</v>
      </c>
      <c r="DN166" t="e">
        <f>AND(DATA!W1150,"AAAAAHr/d3U=")</f>
        <v>#VALUE!</v>
      </c>
      <c r="DO166" t="e">
        <f>AND(DATA!X1150,"AAAAAHr/d3Y=")</f>
        <v>#VALUE!</v>
      </c>
      <c r="DP166" t="e">
        <f>AND(DATA!Y1150,"AAAAAHr/d3c=")</f>
        <v>#VALUE!</v>
      </c>
      <c r="DQ166">
        <f>IF(DATA!1151:1151,"AAAAAHr/d3g=",0)</f>
        <v>0</v>
      </c>
      <c r="DR166" t="e">
        <f>AND(DATA!A1151,"AAAAAHr/d3k=")</f>
        <v>#VALUE!</v>
      </c>
      <c r="DS166" t="e">
        <f>AND(DATA!B1151,"AAAAAHr/d3o=")</f>
        <v>#VALUE!</v>
      </c>
      <c r="DT166" t="e">
        <f>AND(DATA!C1151,"AAAAAHr/d3s=")</f>
        <v>#VALUE!</v>
      </c>
      <c r="DU166" t="e">
        <f>AND(DATA!D1151,"AAAAAHr/d3w=")</f>
        <v>#VALUE!</v>
      </c>
      <c r="DV166" t="e">
        <f>AND(DATA!E1151,"AAAAAHr/d30=")</f>
        <v>#VALUE!</v>
      </c>
      <c r="DW166" t="e">
        <f>AND(DATA!F1151,"AAAAAHr/d34=")</f>
        <v>#VALUE!</v>
      </c>
      <c r="DX166" t="e">
        <f>AND(DATA!G1151,"AAAAAHr/d38=")</f>
        <v>#VALUE!</v>
      </c>
      <c r="DY166" t="e">
        <f>AND(DATA!H1151,"AAAAAHr/d4A=")</f>
        <v>#VALUE!</v>
      </c>
      <c r="DZ166" t="e">
        <f>AND(DATA!I1151,"AAAAAHr/d4E=")</f>
        <v>#VALUE!</v>
      </c>
      <c r="EA166" t="e">
        <f>AND(DATA!J1151,"AAAAAHr/d4I=")</f>
        <v>#VALUE!</v>
      </c>
      <c r="EB166" t="e">
        <f>AND(DATA!K1151,"AAAAAHr/d4M=")</f>
        <v>#VALUE!</v>
      </c>
      <c r="EC166" t="b">
        <f>AND(DATA!L1152,"AAAAAHr/d4Q=")</f>
        <v>1</v>
      </c>
      <c r="ED166" t="b">
        <f>AND(DATA!M1152,"AAAAAHr/d4U=")</f>
        <v>1</v>
      </c>
      <c r="EE166" t="b">
        <f>AND(DATA!N1152,"AAAAAHr/d4Y=")</f>
        <v>1</v>
      </c>
      <c r="EF166" t="b">
        <f>AND(DATA!O1152,"AAAAAHr/d4c=")</f>
        <v>1</v>
      </c>
      <c r="EG166" t="b">
        <f>AND(DATA!P1152,"AAAAAHr/d4g=")</f>
        <v>1</v>
      </c>
      <c r="EH166" t="b">
        <f>AND(DATA!Q1152,"AAAAAHr/d4k=")</f>
        <v>1</v>
      </c>
      <c r="EI166" t="b">
        <f>AND(DATA!R1152,"AAAAAHr/d4o=")</f>
        <v>1</v>
      </c>
      <c r="EJ166" t="b">
        <f>AND(DATA!S1152,"AAAAAHr/d4s=")</f>
        <v>1</v>
      </c>
      <c r="EK166" t="b">
        <f>AND(DATA!T1152,"AAAAAHr/d4w=")</f>
        <v>1</v>
      </c>
      <c r="EL166" t="b">
        <f>AND(DATA!U1152,"AAAAAHr/d40=")</f>
        <v>1</v>
      </c>
      <c r="EM166" t="b">
        <f>AND(DATA!V1152,"AAAAAHr/d44=")</f>
        <v>1</v>
      </c>
      <c r="EN166" t="e">
        <f>AND(DATA!W1151,"AAAAAHr/d48=")</f>
        <v>#VALUE!</v>
      </c>
      <c r="EO166" t="e">
        <f>AND(DATA!X1151,"AAAAAHr/d5A=")</f>
        <v>#VALUE!</v>
      </c>
      <c r="EP166" t="e">
        <f>AND(DATA!Y1151,"AAAAAHr/d5E=")</f>
        <v>#VALUE!</v>
      </c>
      <c r="EQ166">
        <f>IF(DATA!1152:1152,"AAAAAHr/d5I=",0)</f>
        <v>0</v>
      </c>
      <c r="ER166" t="e">
        <f>AND(DATA!A1152,"AAAAAHr/d5M=")</f>
        <v>#VALUE!</v>
      </c>
      <c r="ES166" t="e">
        <f>AND(DATA!B1152,"AAAAAHr/d5Q=")</f>
        <v>#VALUE!</v>
      </c>
      <c r="ET166" t="e">
        <f>AND(DATA!C1152,"AAAAAHr/d5U=")</f>
        <v>#VALUE!</v>
      </c>
      <c r="EU166" t="e">
        <f>AND(DATA!D1152,"AAAAAHr/d5Y=")</f>
        <v>#VALUE!</v>
      </c>
      <c r="EV166" t="e">
        <f>AND(DATA!E1152,"AAAAAHr/d5c=")</f>
        <v>#VALUE!</v>
      </c>
      <c r="EW166" t="e">
        <f>AND(DATA!F1152,"AAAAAHr/d5g=")</f>
        <v>#VALUE!</v>
      </c>
      <c r="EX166" t="e">
        <f>AND(DATA!G1152,"AAAAAHr/d5k=")</f>
        <v>#VALUE!</v>
      </c>
      <c r="EY166" t="e">
        <f>AND(DATA!H1152,"AAAAAHr/d5o=")</f>
        <v>#VALUE!</v>
      </c>
      <c r="EZ166" t="e">
        <f>AND(DATA!I1152,"AAAAAHr/d5s=")</f>
        <v>#VALUE!</v>
      </c>
      <c r="FA166" t="e">
        <f>AND(DATA!J1152,"AAAAAHr/d5w=")</f>
        <v>#VALUE!</v>
      </c>
      <c r="FB166" t="e">
        <f>AND(DATA!K1152,"AAAAAHr/d50=")</f>
        <v>#VALUE!</v>
      </c>
      <c r="FC166" t="b">
        <f>AND(DATA!L1153,"AAAAAHr/d54=")</f>
        <v>1</v>
      </c>
      <c r="FD166" t="b">
        <f>AND(DATA!M1153,"AAAAAHr/d58=")</f>
        <v>1</v>
      </c>
      <c r="FE166" t="b">
        <f>AND(DATA!N1153,"AAAAAHr/d6A=")</f>
        <v>1</v>
      </c>
      <c r="FF166" t="b">
        <f>AND(DATA!O1153,"AAAAAHr/d6E=")</f>
        <v>1</v>
      </c>
      <c r="FG166" t="b">
        <f>AND(DATA!P1153,"AAAAAHr/d6I=")</f>
        <v>1</v>
      </c>
      <c r="FH166" t="b">
        <f>AND(DATA!Q1153,"AAAAAHr/d6M=")</f>
        <v>1</v>
      </c>
      <c r="FI166" t="b">
        <f>AND(DATA!R1153,"AAAAAHr/d6Q=")</f>
        <v>1</v>
      </c>
      <c r="FJ166" t="b">
        <f>AND(DATA!S1153,"AAAAAHr/d6U=")</f>
        <v>1</v>
      </c>
      <c r="FK166" t="b">
        <f>AND(DATA!T1153,"AAAAAHr/d6Y=")</f>
        <v>1</v>
      </c>
      <c r="FL166" t="b">
        <f>AND(DATA!U1153,"AAAAAHr/d6c=")</f>
        <v>1</v>
      </c>
      <c r="FM166" t="b">
        <f>AND(DATA!V1153,"AAAAAHr/d6g=")</f>
        <v>1</v>
      </c>
      <c r="FN166" t="e">
        <f>AND(DATA!W1152,"AAAAAHr/d6k=")</f>
        <v>#VALUE!</v>
      </c>
      <c r="FO166" t="e">
        <f>AND(DATA!X1152,"AAAAAHr/d6o=")</f>
        <v>#VALUE!</v>
      </c>
      <c r="FP166" t="e">
        <f>AND(DATA!Y1152,"AAAAAHr/d6s=")</f>
        <v>#VALUE!</v>
      </c>
      <c r="FQ166">
        <f>IF(DATA!1153:1153,"AAAAAHr/d6w=",0)</f>
        <v>0</v>
      </c>
      <c r="FR166" t="e">
        <f>AND(DATA!A1153,"AAAAAHr/d60=")</f>
        <v>#VALUE!</v>
      </c>
      <c r="FS166" t="e">
        <f>AND(DATA!B1153,"AAAAAHr/d64=")</f>
        <v>#VALUE!</v>
      </c>
      <c r="FT166" t="e">
        <f>AND(DATA!C1153,"AAAAAHr/d68=")</f>
        <v>#VALUE!</v>
      </c>
      <c r="FU166" t="e">
        <f>AND(DATA!D1153,"AAAAAHr/d7A=")</f>
        <v>#VALUE!</v>
      </c>
      <c r="FV166" t="e">
        <f>AND(DATA!E1153,"AAAAAHr/d7E=")</f>
        <v>#VALUE!</v>
      </c>
      <c r="FW166" t="e">
        <f>AND(DATA!F1153,"AAAAAHr/d7I=")</f>
        <v>#VALUE!</v>
      </c>
      <c r="FX166" t="e">
        <f>AND(DATA!G1153,"AAAAAHr/d7M=")</f>
        <v>#VALUE!</v>
      </c>
      <c r="FY166" t="e">
        <f>AND(DATA!H1153,"AAAAAHr/d7Q=")</f>
        <v>#VALUE!</v>
      </c>
      <c r="FZ166" t="e">
        <f>AND(DATA!I1153,"AAAAAHr/d7U=")</f>
        <v>#VALUE!</v>
      </c>
      <c r="GA166" t="e">
        <f>AND(DATA!J1153,"AAAAAHr/d7Y=")</f>
        <v>#VALUE!</v>
      </c>
      <c r="GB166" t="e">
        <f>AND(DATA!K1153,"AAAAAHr/d7c=")</f>
        <v>#VALUE!</v>
      </c>
      <c r="GC166" t="b">
        <f>AND(DATA!L1154,"AAAAAHr/d7g=")</f>
        <v>1</v>
      </c>
      <c r="GD166" t="b">
        <f>AND(DATA!M1154,"AAAAAHr/d7k=")</f>
        <v>1</v>
      </c>
      <c r="GE166" t="b">
        <f>AND(DATA!N1154,"AAAAAHr/d7o=")</f>
        <v>1</v>
      </c>
      <c r="GF166" t="b">
        <f>AND(DATA!O1154,"AAAAAHr/d7s=")</f>
        <v>1</v>
      </c>
      <c r="GG166" t="b">
        <f>AND(DATA!P1154,"AAAAAHr/d7w=")</f>
        <v>1</v>
      </c>
      <c r="GH166" t="b">
        <f>AND(DATA!Q1154,"AAAAAHr/d70=")</f>
        <v>1</v>
      </c>
      <c r="GI166" t="b">
        <f>AND(DATA!R1154,"AAAAAHr/d74=")</f>
        <v>1</v>
      </c>
      <c r="GJ166" t="b">
        <f>AND(DATA!S1154,"AAAAAHr/d78=")</f>
        <v>1</v>
      </c>
      <c r="GK166" t="b">
        <f>AND(DATA!T1154,"AAAAAHr/d8A=")</f>
        <v>1</v>
      </c>
      <c r="GL166" t="b">
        <f>AND(DATA!U1154,"AAAAAHr/d8E=")</f>
        <v>1</v>
      </c>
      <c r="GM166" t="b">
        <f>AND(DATA!V1154,"AAAAAHr/d8I=")</f>
        <v>1</v>
      </c>
      <c r="GN166" t="e">
        <f>AND(DATA!W1153,"AAAAAHr/d8M=")</f>
        <v>#VALUE!</v>
      </c>
      <c r="GO166" t="e">
        <f>AND(DATA!X1153,"AAAAAHr/d8Q=")</f>
        <v>#VALUE!</v>
      </c>
      <c r="GP166" t="e">
        <f>AND(DATA!Y1153,"AAAAAHr/d8U=")</f>
        <v>#VALUE!</v>
      </c>
      <c r="GQ166">
        <f>IF(DATA!1154:1154,"AAAAAHr/d8Y=",0)</f>
        <v>0</v>
      </c>
      <c r="GR166" t="e">
        <f>AND(DATA!A1154,"AAAAAHr/d8c=")</f>
        <v>#VALUE!</v>
      </c>
      <c r="GS166" t="e">
        <f>AND(DATA!B1154,"AAAAAHr/d8g=")</f>
        <v>#VALUE!</v>
      </c>
      <c r="GT166" t="e">
        <f>AND(DATA!C1154,"AAAAAHr/d8k=")</f>
        <v>#VALUE!</v>
      </c>
      <c r="GU166" t="e">
        <f>AND(DATA!D1154,"AAAAAHr/d8o=")</f>
        <v>#VALUE!</v>
      </c>
      <c r="GV166" t="e">
        <f>AND(DATA!E1154,"AAAAAHr/d8s=")</f>
        <v>#VALUE!</v>
      </c>
      <c r="GW166" t="e">
        <f>AND(DATA!F1154,"AAAAAHr/d8w=")</f>
        <v>#VALUE!</v>
      </c>
      <c r="GX166" t="e">
        <f>AND(DATA!G1154,"AAAAAHr/d80=")</f>
        <v>#VALUE!</v>
      </c>
      <c r="GY166" t="e">
        <f>AND(DATA!H1154,"AAAAAHr/d84=")</f>
        <v>#VALUE!</v>
      </c>
      <c r="GZ166" t="e">
        <f>AND(DATA!I1154,"AAAAAHr/d88=")</f>
        <v>#VALUE!</v>
      </c>
      <c r="HA166" t="e">
        <f>AND(DATA!J1154,"AAAAAHr/d9A=")</f>
        <v>#VALUE!</v>
      </c>
      <c r="HB166" t="e">
        <f>AND(DATA!K1154,"AAAAAHr/d9E=")</f>
        <v>#VALUE!</v>
      </c>
      <c r="HC166" t="b">
        <f>AND(DATA!L1155,"AAAAAHr/d9I=")</f>
        <v>1</v>
      </c>
      <c r="HD166" t="b">
        <f>AND(DATA!M1155,"AAAAAHr/d9M=")</f>
        <v>1</v>
      </c>
      <c r="HE166" t="b">
        <f>AND(DATA!N1155,"AAAAAHr/d9Q=")</f>
        <v>1</v>
      </c>
      <c r="HF166" t="b">
        <f>AND(DATA!O1155,"AAAAAHr/d9U=")</f>
        <v>1</v>
      </c>
      <c r="HG166" t="b">
        <f>AND(DATA!P1155,"AAAAAHr/d9Y=")</f>
        <v>1</v>
      </c>
      <c r="HH166" t="b">
        <f>AND(DATA!Q1155,"AAAAAHr/d9c=")</f>
        <v>1</v>
      </c>
      <c r="HI166" t="b">
        <f>AND(DATA!R1155,"AAAAAHr/d9g=")</f>
        <v>1</v>
      </c>
      <c r="HJ166" t="b">
        <f>AND(DATA!S1155,"AAAAAHr/d9k=")</f>
        <v>1</v>
      </c>
      <c r="HK166" t="b">
        <f>AND(DATA!T1155,"AAAAAHr/d9o=")</f>
        <v>1</v>
      </c>
      <c r="HL166" t="b">
        <f>AND(DATA!U1155,"AAAAAHr/d9s=")</f>
        <v>1</v>
      </c>
      <c r="HM166" t="b">
        <f>AND(DATA!V1155,"AAAAAHr/d9w=")</f>
        <v>1</v>
      </c>
      <c r="HN166" t="e">
        <f>AND(DATA!W1154,"AAAAAHr/d90=")</f>
        <v>#VALUE!</v>
      </c>
      <c r="HO166" t="e">
        <f>AND(DATA!X1154,"AAAAAHr/d94=")</f>
        <v>#VALUE!</v>
      </c>
      <c r="HP166" t="e">
        <f>AND(DATA!Y1154,"AAAAAHr/d98=")</f>
        <v>#VALUE!</v>
      </c>
      <c r="HQ166">
        <f>IF(DATA!1155:1155,"AAAAAHr/d+A=",0)</f>
        <v>0</v>
      </c>
      <c r="HR166" t="e">
        <f>AND(DATA!A1155,"AAAAAHr/d+E=")</f>
        <v>#VALUE!</v>
      </c>
      <c r="HS166" t="e">
        <f>AND(DATA!B1155,"AAAAAHr/d+I=")</f>
        <v>#VALUE!</v>
      </c>
      <c r="HT166" t="e">
        <f>AND(DATA!C1155,"AAAAAHr/d+M=")</f>
        <v>#VALUE!</v>
      </c>
      <c r="HU166" t="e">
        <f>AND(DATA!D1155,"AAAAAHr/d+Q=")</f>
        <v>#VALUE!</v>
      </c>
      <c r="HV166" t="e">
        <f>AND(DATA!E1155,"AAAAAHr/d+U=")</f>
        <v>#VALUE!</v>
      </c>
      <c r="HW166" t="e">
        <f>AND(DATA!F1155,"AAAAAHr/d+Y=")</f>
        <v>#VALUE!</v>
      </c>
      <c r="HX166" t="e">
        <f>AND(DATA!G1155,"AAAAAHr/d+c=")</f>
        <v>#VALUE!</v>
      </c>
      <c r="HY166" t="e">
        <f>AND(DATA!H1155,"AAAAAHr/d+g=")</f>
        <v>#VALUE!</v>
      </c>
      <c r="HZ166" t="e">
        <f>AND(DATA!I1155,"AAAAAHr/d+k=")</f>
        <v>#VALUE!</v>
      </c>
      <c r="IA166" t="e">
        <f>AND(DATA!J1155,"AAAAAHr/d+o=")</f>
        <v>#VALUE!</v>
      </c>
      <c r="IB166" t="e">
        <f>AND(DATA!K1155,"AAAAAHr/d+s=")</f>
        <v>#VALUE!</v>
      </c>
      <c r="IC166" t="b">
        <f>AND(DATA!L1156,"AAAAAHr/d+w=")</f>
        <v>1</v>
      </c>
      <c r="ID166" t="b">
        <f>AND(DATA!M1156,"AAAAAHr/d+0=")</f>
        <v>1</v>
      </c>
      <c r="IE166" t="b">
        <f>AND(DATA!N1156,"AAAAAHr/d+4=")</f>
        <v>1</v>
      </c>
      <c r="IF166" t="b">
        <f>AND(DATA!O1156,"AAAAAHr/d+8=")</f>
        <v>1</v>
      </c>
      <c r="IG166" t="b">
        <f>AND(DATA!P1156,"AAAAAHr/d/A=")</f>
        <v>1</v>
      </c>
      <c r="IH166" t="b">
        <f>AND(DATA!Q1156,"AAAAAHr/d/E=")</f>
        <v>1</v>
      </c>
      <c r="II166" t="b">
        <f>AND(DATA!R1156,"AAAAAHr/d/I=")</f>
        <v>1</v>
      </c>
      <c r="IJ166" t="b">
        <f>AND(DATA!S1156,"AAAAAHr/d/M=")</f>
        <v>1</v>
      </c>
      <c r="IK166" t="b">
        <f>AND(DATA!T1156,"AAAAAHr/d/Q=")</f>
        <v>1</v>
      </c>
      <c r="IL166" t="b">
        <f>AND(DATA!U1156,"AAAAAHr/d/U=")</f>
        <v>1</v>
      </c>
      <c r="IM166" t="b">
        <f>AND(DATA!V1156,"AAAAAHr/d/Y=")</f>
        <v>1</v>
      </c>
      <c r="IN166" t="e">
        <f>AND(DATA!W1155,"AAAAAHr/d/c=")</f>
        <v>#VALUE!</v>
      </c>
      <c r="IO166" t="e">
        <f>AND(DATA!X1155,"AAAAAHr/d/g=")</f>
        <v>#VALUE!</v>
      </c>
      <c r="IP166" t="e">
        <f>AND(DATA!Y1155,"AAAAAHr/d/k=")</f>
        <v>#VALUE!</v>
      </c>
      <c r="IQ166">
        <f>IF(DATA!1156:1156,"AAAAAHr/d/o=",0)</f>
        <v>0</v>
      </c>
      <c r="IR166" t="e">
        <f>AND(DATA!A1156,"AAAAAHr/d/s=")</f>
        <v>#VALUE!</v>
      </c>
      <c r="IS166" t="e">
        <f>AND(DATA!B1156,"AAAAAHr/d/w=")</f>
        <v>#VALUE!</v>
      </c>
      <c r="IT166" t="e">
        <f>AND(DATA!C1156,"AAAAAHr/d/0=")</f>
        <v>#VALUE!</v>
      </c>
      <c r="IU166" t="e">
        <f>AND(DATA!D1156,"AAAAAHr/d/4=")</f>
        <v>#VALUE!</v>
      </c>
      <c r="IV166" t="e">
        <f>AND(DATA!E1156,"AAAAAHr/d/8=")</f>
        <v>#VALUE!</v>
      </c>
    </row>
    <row r="167" spans="1:256" x14ac:dyDescent="0.25">
      <c r="A167" t="e">
        <f>AND(DATA!F1156,"AAAAAG//+wA=")</f>
        <v>#VALUE!</v>
      </c>
      <c r="B167" t="e">
        <f>AND(DATA!G1156,"AAAAAG//+wE=")</f>
        <v>#VALUE!</v>
      </c>
      <c r="C167" t="e">
        <f>AND(DATA!H1156,"AAAAAG//+wI=")</f>
        <v>#VALUE!</v>
      </c>
      <c r="D167" t="e">
        <f>AND(DATA!I1156,"AAAAAG//+wM=")</f>
        <v>#VALUE!</v>
      </c>
      <c r="E167" t="e">
        <f>AND(DATA!J1156,"AAAAAG//+wQ=")</f>
        <v>#VALUE!</v>
      </c>
      <c r="F167" t="e">
        <f>AND(DATA!K1156,"AAAAAG//+wU=")</f>
        <v>#VALUE!</v>
      </c>
      <c r="G167" t="b">
        <f>AND(DATA!L1157,"AAAAAG//+wY=")</f>
        <v>1</v>
      </c>
      <c r="H167" t="b">
        <f>AND(DATA!M1157,"AAAAAG//+wc=")</f>
        <v>1</v>
      </c>
      <c r="I167" t="b">
        <f>AND(DATA!N1157,"AAAAAG//+wg=")</f>
        <v>1</v>
      </c>
      <c r="J167" t="b">
        <f>AND(DATA!O1157,"AAAAAG//+wk=")</f>
        <v>1</v>
      </c>
      <c r="K167" t="b">
        <f>AND(DATA!P1157,"AAAAAG//+wo=")</f>
        <v>1</v>
      </c>
      <c r="L167" t="b">
        <f>AND(DATA!Q1157,"AAAAAG//+ws=")</f>
        <v>1</v>
      </c>
      <c r="M167" t="b">
        <f>AND(DATA!R1157,"AAAAAG//+ww=")</f>
        <v>1</v>
      </c>
      <c r="N167" t="b">
        <f>AND(DATA!S1157,"AAAAAG//+w0=")</f>
        <v>1</v>
      </c>
      <c r="O167" t="b">
        <f>AND(DATA!T1157,"AAAAAG//+w4=")</f>
        <v>1</v>
      </c>
      <c r="P167" t="b">
        <f>AND(DATA!U1157,"AAAAAG//+w8=")</f>
        <v>1</v>
      </c>
      <c r="Q167" t="b">
        <f>AND(DATA!V1157,"AAAAAG//+xA=")</f>
        <v>1</v>
      </c>
      <c r="R167" t="e">
        <f>AND(DATA!W1156,"AAAAAG//+xE=")</f>
        <v>#VALUE!</v>
      </c>
      <c r="S167" t="e">
        <f>AND(DATA!X1156,"AAAAAG//+xI=")</f>
        <v>#VALUE!</v>
      </c>
      <c r="T167" t="e">
        <f>AND(DATA!Y1156,"AAAAAG//+xM=")</f>
        <v>#VALUE!</v>
      </c>
      <c r="U167" t="str">
        <f>IF(DATA!1157:1157,"AAAAAG//+xQ=",0)</f>
        <v>AAAAAG//+xQ=</v>
      </c>
      <c r="V167" t="e">
        <f>AND(DATA!A1157,"AAAAAG//+xU=")</f>
        <v>#VALUE!</v>
      </c>
      <c r="W167" t="e">
        <f>AND(DATA!B1157,"AAAAAG//+xY=")</f>
        <v>#VALUE!</v>
      </c>
      <c r="X167" t="e">
        <f>AND(DATA!C1157,"AAAAAG//+xc=")</f>
        <v>#VALUE!</v>
      </c>
      <c r="Y167" t="e">
        <f>AND(DATA!D1157,"AAAAAG//+xg=")</f>
        <v>#VALUE!</v>
      </c>
      <c r="Z167" t="e">
        <f>AND(DATA!E1157,"AAAAAG//+xk=")</f>
        <v>#VALUE!</v>
      </c>
      <c r="AA167" t="e">
        <f>AND(DATA!F1157,"AAAAAG//+xo=")</f>
        <v>#VALUE!</v>
      </c>
      <c r="AB167" t="e">
        <f>AND(DATA!G1157,"AAAAAG//+xs=")</f>
        <v>#VALUE!</v>
      </c>
      <c r="AC167" t="e">
        <f>AND(DATA!H1157,"AAAAAG//+xw=")</f>
        <v>#VALUE!</v>
      </c>
      <c r="AD167" t="e">
        <f>AND(DATA!I1157,"AAAAAG//+x0=")</f>
        <v>#VALUE!</v>
      </c>
      <c r="AE167" t="e">
        <f>AND(DATA!J1157,"AAAAAG//+x4=")</f>
        <v>#VALUE!</v>
      </c>
      <c r="AF167" t="e">
        <f>AND(DATA!K1157,"AAAAAG//+x8=")</f>
        <v>#VALUE!</v>
      </c>
      <c r="AG167" t="b">
        <f>AND(DATA!L1158,"AAAAAG//+yA=")</f>
        <v>1</v>
      </c>
      <c r="AH167" t="b">
        <f>AND(DATA!M1158,"AAAAAG//+yE=")</f>
        <v>1</v>
      </c>
      <c r="AI167" t="b">
        <f>AND(DATA!N1158,"AAAAAG//+yI=")</f>
        <v>1</v>
      </c>
      <c r="AJ167" t="b">
        <f>AND(DATA!O1158,"AAAAAG//+yM=")</f>
        <v>1</v>
      </c>
      <c r="AK167" t="b">
        <f>AND(DATA!P1158,"AAAAAG//+yQ=")</f>
        <v>1</v>
      </c>
      <c r="AL167" t="b">
        <f>AND(DATA!Q1158,"AAAAAG//+yU=")</f>
        <v>1</v>
      </c>
      <c r="AM167" t="b">
        <f>AND(DATA!R1158,"AAAAAG//+yY=")</f>
        <v>1</v>
      </c>
      <c r="AN167" t="b">
        <f>AND(DATA!S1158,"AAAAAG//+yc=")</f>
        <v>1</v>
      </c>
      <c r="AO167" t="b">
        <f>AND(DATA!T1158,"AAAAAG//+yg=")</f>
        <v>1</v>
      </c>
      <c r="AP167" t="b">
        <f>AND(DATA!U1158,"AAAAAG//+yk=")</f>
        <v>1</v>
      </c>
      <c r="AQ167" t="b">
        <f>AND(DATA!V1158,"AAAAAG//+yo=")</f>
        <v>1</v>
      </c>
      <c r="AR167" t="e">
        <f>AND(DATA!W1157,"AAAAAG//+ys=")</f>
        <v>#VALUE!</v>
      </c>
      <c r="AS167" t="e">
        <f>AND(DATA!X1157,"AAAAAG//+yw=")</f>
        <v>#VALUE!</v>
      </c>
      <c r="AT167" t="e">
        <f>AND(DATA!Y1157,"AAAAAG//+y0=")</f>
        <v>#VALUE!</v>
      </c>
      <c r="AU167">
        <f>IF(DATA!1158:1158,"AAAAAG//+y4=",0)</f>
        <v>0</v>
      </c>
      <c r="AV167" t="e">
        <f>AND(DATA!A1158,"AAAAAG//+y8=")</f>
        <v>#VALUE!</v>
      </c>
      <c r="AW167" t="e">
        <f>AND(DATA!B1158,"AAAAAG//+zA=")</f>
        <v>#VALUE!</v>
      </c>
      <c r="AX167" t="e">
        <f>AND(DATA!C1158,"AAAAAG//+zE=")</f>
        <v>#VALUE!</v>
      </c>
      <c r="AY167" t="e">
        <f>AND(DATA!D1158,"AAAAAG//+zI=")</f>
        <v>#VALUE!</v>
      </c>
      <c r="AZ167" t="e">
        <f>AND(DATA!E1158,"AAAAAG//+zM=")</f>
        <v>#VALUE!</v>
      </c>
      <c r="BA167" t="e">
        <f>AND(DATA!F1158,"AAAAAG//+zQ=")</f>
        <v>#VALUE!</v>
      </c>
      <c r="BB167" t="e">
        <f>AND(DATA!G1158,"AAAAAG//+zU=")</f>
        <v>#VALUE!</v>
      </c>
      <c r="BC167" t="e">
        <f>AND(DATA!H1158,"AAAAAG//+zY=")</f>
        <v>#VALUE!</v>
      </c>
      <c r="BD167" t="e">
        <f>AND(DATA!I1158,"AAAAAG//+zc=")</f>
        <v>#VALUE!</v>
      </c>
      <c r="BE167" t="e">
        <f>AND(DATA!J1158,"AAAAAG//+zg=")</f>
        <v>#VALUE!</v>
      </c>
      <c r="BF167" t="e">
        <f>AND(DATA!K1158,"AAAAAG//+zk=")</f>
        <v>#VALUE!</v>
      </c>
      <c r="BG167" t="b">
        <f>AND(DATA!L1159,"AAAAAG//+zo=")</f>
        <v>1</v>
      </c>
      <c r="BH167" t="b">
        <f>AND(DATA!M1159,"AAAAAG//+zs=")</f>
        <v>1</v>
      </c>
      <c r="BI167" t="b">
        <f>AND(DATA!N1159,"AAAAAG//+zw=")</f>
        <v>1</v>
      </c>
      <c r="BJ167" t="b">
        <f>AND(DATA!O1159,"AAAAAG//+z0=")</f>
        <v>1</v>
      </c>
      <c r="BK167" t="b">
        <f>AND(DATA!P1159,"AAAAAG//+z4=")</f>
        <v>1</v>
      </c>
      <c r="BL167" t="b">
        <f>AND(DATA!Q1159,"AAAAAG//+z8=")</f>
        <v>1</v>
      </c>
      <c r="BM167" t="b">
        <f>AND(DATA!R1159,"AAAAAG//+0A=")</f>
        <v>1</v>
      </c>
      <c r="BN167" t="b">
        <f>AND(DATA!S1159,"AAAAAG//+0E=")</f>
        <v>1</v>
      </c>
      <c r="BO167" t="b">
        <f>AND(DATA!T1159,"AAAAAG//+0I=")</f>
        <v>1</v>
      </c>
      <c r="BP167" t="b">
        <f>AND(DATA!U1159,"AAAAAG//+0M=")</f>
        <v>1</v>
      </c>
      <c r="BQ167" t="b">
        <f>AND(DATA!V1159,"AAAAAG//+0Q=")</f>
        <v>1</v>
      </c>
      <c r="BR167" t="e">
        <f>AND(DATA!W1158,"AAAAAG//+0U=")</f>
        <v>#VALUE!</v>
      </c>
      <c r="BS167" t="e">
        <f>AND(DATA!X1158,"AAAAAG//+0Y=")</f>
        <v>#VALUE!</v>
      </c>
      <c r="BT167" t="e">
        <f>AND(DATA!Y1158,"AAAAAG//+0c=")</f>
        <v>#VALUE!</v>
      </c>
      <c r="BU167">
        <f>IF(DATA!1159:1159,"AAAAAG//+0g=",0)</f>
        <v>0</v>
      </c>
      <c r="BV167" t="e">
        <f>AND(DATA!A1159,"AAAAAG//+0k=")</f>
        <v>#VALUE!</v>
      </c>
      <c r="BW167" t="e">
        <f>AND(DATA!B1159,"AAAAAG//+0o=")</f>
        <v>#VALUE!</v>
      </c>
      <c r="BX167" t="e">
        <f>AND(DATA!C1159,"AAAAAG//+0s=")</f>
        <v>#VALUE!</v>
      </c>
      <c r="BY167" t="e">
        <f>AND(DATA!D1159,"AAAAAG//+0w=")</f>
        <v>#VALUE!</v>
      </c>
      <c r="BZ167" t="e">
        <f>AND(DATA!E1159,"AAAAAG//+00=")</f>
        <v>#VALUE!</v>
      </c>
      <c r="CA167" t="e">
        <f>AND(DATA!F1159,"AAAAAG//+04=")</f>
        <v>#VALUE!</v>
      </c>
      <c r="CB167" t="e">
        <f>AND(DATA!G1159,"AAAAAG//+08=")</f>
        <v>#VALUE!</v>
      </c>
      <c r="CC167" t="e">
        <f>AND(DATA!H1159,"AAAAAG//+1A=")</f>
        <v>#VALUE!</v>
      </c>
      <c r="CD167" t="e">
        <f>AND(DATA!I1159,"AAAAAG//+1E=")</f>
        <v>#VALUE!</v>
      </c>
      <c r="CE167" t="e">
        <f>AND(DATA!J1159,"AAAAAG//+1I=")</f>
        <v>#VALUE!</v>
      </c>
      <c r="CF167" t="e">
        <f>AND(DATA!K1159,"AAAAAG//+1M=")</f>
        <v>#VALUE!</v>
      </c>
      <c r="CG167" t="b">
        <f>AND(DATA!L1160,"AAAAAG//+1Q=")</f>
        <v>1</v>
      </c>
      <c r="CH167" t="b">
        <f>AND(DATA!M1160,"AAAAAG//+1U=")</f>
        <v>1</v>
      </c>
      <c r="CI167" t="b">
        <f>AND(DATA!N1160,"AAAAAG//+1Y=")</f>
        <v>1</v>
      </c>
      <c r="CJ167" t="b">
        <f>AND(DATA!O1160,"AAAAAG//+1c=")</f>
        <v>1</v>
      </c>
      <c r="CK167" t="b">
        <f>AND(DATA!P1160,"AAAAAG//+1g=")</f>
        <v>1</v>
      </c>
      <c r="CL167" t="b">
        <f>AND(DATA!Q1160,"AAAAAG//+1k=")</f>
        <v>1</v>
      </c>
      <c r="CM167" t="b">
        <f>AND(DATA!R1160,"AAAAAG//+1o=")</f>
        <v>1</v>
      </c>
      <c r="CN167" t="b">
        <f>AND(DATA!S1160,"AAAAAG//+1s=")</f>
        <v>1</v>
      </c>
      <c r="CO167" t="b">
        <f>AND(DATA!T1160,"AAAAAG//+1w=")</f>
        <v>1</v>
      </c>
      <c r="CP167" t="b">
        <f>AND(DATA!U1160,"AAAAAG//+10=")</f>
        <v>1</v>
      </c>
      <c r="CQ167" t="b">
        <f>AND(DATA!V1160,"AAAAAG//+14=")</f>
        <v>1</v>
      </c>
      <c r="CR167" t="e">
        <f>AND(DATA!W1159,"AAAAAG//+18=")</f>
        <v>#VALUE!</v>
      </c>
      <c r="CS167" t="e">
        <f>AND(DATA!X1159,"AAAAAG//+2A=")</f>
        <v>#VALUE!</v>
      </c>
      <c r="CT167" t="e">
        <f>AND(DATA!Y1159,"AAAAAG//+2E=")</f>
        <v>#VALUE!</v>
      </c>
      <c r="CU167">
        <f>IF(DATA!1160:1160,"AAAAAG//+2I=",0)</f>
        <v>0</v>
      </c>
      <c r="CV167" t="e">
        <f>AND(DATA!A1160,"AAAAAG//+2M=")</f>
        <v>#VALUE!</v>
      </c>
      <c r="CW167" t="e">
        <f>AND(DATA!B1160,"AAAAAG//+2Q=")</f>
        <v>#VALUE!</v>
      </c>
      <c r="CX167" t="e">
        <f>AND(DATA!C1160,"AAAAAG//+2U=")</f>
        <v>#VALUE!</v>
      </c>
      <c r="CY167" t="e">
        <f>AND(DATA!D1160,"AAAAAG//+2Y=")</f>
        <v>#VALUE!</v>
      </c>
      <c r="CZ167" t="e">
        <f>AND(DATA!E1160,"AAAAAG//+2c=")</f>
        <v>#VALUE!</v>
      </c>
      <c r="DA167" t="e">
        <f>AND(DATA!F1160,"AAAAAG//+2g=")</f>
        <v>#VALUE!</v>
      </c>
      <c r="DB167" t="e">
        <f>AND(DATA!G1160,"AAAAAG//+2k=")</f>
        <v>#VALUE!</v>
      </c>
      <c r="DC167" t="e">
        <f>AND(DATA!H1160,"AAAAAG//+2o=")</f>
        <v>#VALUE!</v>
      </c>
      <c r="DD167" t="e">
        <f>AND(DATA!I1160,"AAAAAG//+2s=")</f>
        <v>#VALUE!</v>
      </c>
      <c r="DE167" t="e">
        <f>AND(DATA!J1160,"AAAAAG//+2w=")</f>
        <v>#VALUE!</v>
      </c>
      <c r="DF167" t="e">
        <f>AND(DATA!K1160,"AAAAAG//+20=")</f>
        <v>#VALUE!</v>
      </c>
      <c r="DG167" t="b">
        <f>AND(DATA!L1161,"AAAAAG//+24=")</f>
        <v>1</v>
      </c>
      <c r="DH167" t="b">
        <f>AND(DATA!M1161,"AAAAAG//+28=")</f>
        <v>1</v>
      </c>
      <c r="DI167" t="b">
        <f>AND(DATA!N1161,"AAAAAG//+3A=")</f>
        <v>1</v>
      </c>
      <c r="DJ167" t="b">
        <f>AND(DATA!O1161,"AAAAAG//+3E=")</f>
        <v>1</v>
      </c>
      <c r="DK167" t="b">
        <f>AND(DATA!P1161,"AAAAAG//+3I=")</f>
        <v>1</v>
      </c>
      <c r="DL167" t="b">
        <f>AND(DATA!Q1161,"AAAAAG//+3M=")</f>
        <v>1</v>
      </c>
      <c r="DM167" t="b">
        <f>AND(DATA!R1161,"AAAAAG//+3Q=")</f>
        <v>1</v>
      </c>
      <c r="DN167" t="b">
        <f>AND(DATA!S1161,"AAAAAG//+3U=")</f>
        <v>1</v>
      </c>
      <c r="DO167" t="b">
        <f>AND(DATA!T1161,"AAAAAG//+3Y=")</f>
        <v>1</v>
      </c>
      <c r="DP167" t="b">
        <f>AND(DATA!U1161,"AAAAAG//+3c=")</f>
        <v>1</v>
      </c>
      <c r="DQ167" t="b">
        <f>AND(DATA!V1161,"AAAAAG//+3g=")</f>
        <v>1</v>
      </c>
      <c r="DR167" t="e">
        <f>AND(DATA!W1160,"AAAAAG//+3k=")</f>
        <v>#VALUE!</v>
      </c>
      <c r="DS167" t="e">
        <f>AND(DATA!X1160,"AAAAAG//+3o=")</f>
        <v>#VALUE!</v>
      </c>
      <c r="DT167" t="e">
        <f>AND(DATA!Y1160,"AAAAAG//+3s=")</f>
        <v>#VALUE!</v>
      </c>
      <c r="DU167">
        <f>IF(DATA!1161:1161,"AAAAAG//+3w=",0)</f>
        <v>0</v>
      </c>
      <c r="DV167" t="e">
        <f>AND(DATA!A1161,"AAAAAG//+30=")</f>
        <v>#VALUE!</v>
      </c>
      <c r="DW167" t="e">
        <f>AND(DATA!B1161,"AAAAAG//+34=")</f>
        <v>#VALUE!</v>
      </c>
      <c r="DX167" t="e">
        <f>AND(DATA!C1161,"AAAAAG//+38=")</f>
        <v>#VALUE!</v>
      </c>
      <c r="DY167" t="e">
        <f>AND(DATA!D1161,"AAAAAG//+4A=")</f>
        <v>#VALUE!</v>
      </c>
      <c r="DZ167" t="e">
        <f>AND(DATA!E1161,"AAAAAG//+4E=")</f>
        <v>#VALUE!</v>
      </c>
      <c r="EA167" t="e">
        <f>AND(DATA!F1161,"AAAAAG//+4I=")</f>
        <v>#VALUE!</v>
      </c>
      <c r="EB167" t="e">
        <f>AND(DATA!G1161,"AAAAAG//+4M=")</f>
        <v>#VALUE!</v>
      </c>
      <c r="EC167" t="e">
        <f>AND(DATA!H1161,"AAAAAG//+4Q=")</f>
        <v>#VALUE!</v>
      </c>
      <c r="ED167" t="e">
        <f>AND(DATA!I1161,"AAAAAG//+4U=")</f>
        <v>#VALUE!</v>
      </c>
      <c r="EE167" t="e">
        <f>AND(DATA!J1161,"AAAAAG//+4Y=")</f>
        <v>#VALUE!</v>
      </c>
      <c r="EF167" t="e">
        <f>AND(DATA!K1161,"AAAAAG//+4c=")</f>
        <v>#VALUE!</v>
      </c>
      <c r="EG167" t="b">
        <f>AND(DATA!L1162,"AAAAAG//+4g=")</f>
        <v>1</v>
      </c>
      <c r="EH167" t="b">
        <f>AND(DATA!M1162,"AAAAAG//+4k=")</f>
        <v>1</v>
      </c>
      <c r="EI167" t="b">
        <f>AND(DATA!N1162,"AAAAAG//+4o=")</f>
        <v>1</v>
      </c>
      <c r="EJ167" t="b">
        <f>AND(DATA!O1162,"AAAAAG//+4s=")</f>
        <v>1</v>
      </c>
      <c r="EK167" t="b">
        <f>AND(DATA!P1162,"AAAAAG//+4w=")</f>
        <v>1</v>
      </c>
      <c r="EL167" t="b">
        <f>AND(DATA!Q1162,"AAAAAG//+40=")</f>
        <v>1</v>
      </c>
      <c r="EM167" t="b">
        <f>AND(DATA!R1162,"AAAAAG//+44=")</f>
        <v>1</v>
      </c>
      <c r="EN167" t="b">
        <f>AND(DATA!S1162,"AAAAAG//+48=")</f>
        <v>1</v>
      </c>
      <c r="EO167" t="b">
        <f>AND(DATA!T1162,"AAAAAG//+5A=")</f>
        <v>1</v>
      </c>
      <c r="EP167" t="b">
        <f>AND(DATA!U1162,"AAAAAG//+5E=")</f>
        <v>1</v>
      </c>
      <c r="EQ167" t="b">
        <f>AND(DATA!V1162,"AAAAAG//+5I=")</f>
        <v>1</v>
      </c>
      <c r="ER167" t="e">
        <f>AND(DATA!W1161,"AAAAAG//+5M=")</f>
        <v>#VALUE!</v>
      </c>
      <c r="ES167" t="e">
        <f>AND(DATA!X1161,"AAAAAG//+5Q=")</f>
        <v>#VALUE!</v>
      </c>
      <c r="ET167" t="e">
        <f>AND(DATA!Y1161,"AAAAAG//+5U=")</f>
        <v>#VALUE!</v>
      </c>
      <c r="EU167">
        <f>IF(DATA!1162:1162,"AAAAAG//+5Y=",0)</f>
        <v>0</v>
      </c>
      <c r="EV167" t="e">
        <f>AND(DATA!A1162,"AAAAAG//+5c=")</f>
        <v>#VALUE!</v>
      </c>
      <c r="EW167" t="e">
        <f>AND(DATA!B1162,"AAAAAG//+5g=")</f>
        <v>#VALUE!</v>
      </c>
      <c r="EX167" t="e">
        <f>AND(DATA!C1162,"AAAAAG//+5k=")</f>
        <v>#VALUE!</v>
      </c>
      <c r="EY167" t="e">
        <f>AND(DATA!D1162,"AAAAAG//+5o=")</f>
        <v>#VALUE!</v>
      </c>
      <c r="EZ167" t="e">
        <f>AND(DATA!E1162,"AAAAAG//+5s=")</f>
        <v>#VALUE!</v>
      </c>
      <c r="FA167" t="e">
        <f>AND(DATA!F1162,"AAAAAG//+5w=")</f>
        <v>#VALUE!</v>
      </c>
      <c r="FB167" t="e">
        <f>AND(DATA!G1162,"AAAAAG//+50=")</f>
        <v>#VALUE!</v>
      </c>
      <c r="FC167" t="e">
        <f>AND(DATA!H1162,"AAAAAG//+54=")</f>
        <v>#VALUE!</v>
      </c>
      <c r="FD167" t="e">
        <f>AND(DATA!I1162,"AAAAAG//+58=")</f>
        <v>#VALUE!</v>
      </c>
      <c r="FE167" t="e">
        <f>AND(DATA!J1162,"AAAAAG//+6A=")</f>
        <v>#VALUE!</v>
      </c>
      <c r="FF167" t="e">
        <f>AND(DATA!K1162,"AAAAAG//+6E=")</f>
        <v>#VALUE!</v>
      </c>
      <c r="FG167" t="b">
        <f>AND(DATA!L1163,"AAAAAG//+6I=")</f>
        <v>1</v>
      </c>
      <c r="FH167" t="b">
        <f>AND(DATA!M1163,"AAAAAG//+6M=")</f>
        <v>1</v>
      </c>
      <c r="FI167" t="b">
        <f>AND(DATA!N1163,"AAAAAG//+6Q=")</f>
        <v>1</v>
      </c>
      <c r="FJ167" t="b">
        <f>AND(DATA!O1163,"AAAAAG//+6U=")</f>
        <v>1</v>
      </c>
      <c r="FK167" t="b">
        <f>AND(DATA!P1163,"AAAAAG//+6Y=")</f>
        <v>1</v>
      </c>
      <c r="FL167" t="b">
        <f>AND(DATA!Q1163,"AAAAAG//+6c=")</f>
        <v>1</v>
      </c>
      <c r="FM167" t="b">
        <f>AND(DATA!R1163,"AAAAAG//+6g=")</f>
        <v>1</v>
      </c>
      <c r="FN167" t="b">
        <f>AND(DATA!S1163,"AAAAAG//+6k=")</f>
        <v>1</v>
      </c>
      <c r="FO167" t="b">
        <f>AND(DATA!T1163,"AAAAAG//+6o=")</f>
        <v>1</v>
      </c>
      <c r="FP167" t="b">
        <f>AND(DATA!U1163,"AAAAAG//+6s=")</f>
        <v>1</v>
      </c>
      <c r="FQ167" t="b">
        <f>AND(DATA!V1163,"AAAAAG//+6w=")</f>
        <v>1</v>
      </c>
      <c r="FR167" t="e">
        <f>AND(DATA!W1162,"AAAAAG//+60=")</f>
        <v>#VALUE!</v>
      </c>
      <c r="FS167" t="e">
        <f>AND(DATA!X1162,"AAAAAG//+64=")</f>
        <v>#VALUE!</v>
      </c>
      <c r="FT167" t="e">
        <f>AND(DATA!Y1162,"AAAAAG//+68=")</f>
        <v>#VALUE!</v>
      </c>
      <c r="FU167">
        <f>IF(DATA!1163:1163,"AAAAAG//+7A=",0)</f>
        <v>0</v>
      </c>
      <c r="FV167" t="e">
        <f>AND(DATA!A1163,"AAAAAG//+7E=")</f>
        <v>#VALUE!</v>
      </c>
      <c r="FW167" t="e">
        <f>AND(DATA!B1163,"AAAAAG//+7I=")</f>
        <v>#VALUE!</v>
      </c>
      <c r="FX167" t="e">
        <f>AND(DATA!C1163,"AAAAAG//+7M=")</f>
        <v>#VALUE!</v>
      </c>
      <c r="FY167" t="e">
        <f>AND(DATA!D1163,"AAAAAG//+7Q=")</f>
        <v>#VALUE!</v>
      </c>
      <c r="FZ167" t="e">
        <f>AND(DATA!E1163,"AAAAAG//+7U=")</f>
        <v>#VALUE!</v>
      </c>
      <c r="GA167" t="e">
        <f>AND(DATA!F1163,"AAAAAG//+7Y=")</f>
        <v>#VALUE!</v>
      </c>
      <c r="GB167" t="e">
        <f>AND(DATA!G1163,"AAAAAG//+7c=")</f>
        <v>#VALUE!</v>
      </c>
      <c r="GC167" t="e">
        <f>AND(DATA!H1163,"AAAAAG//+7g=")</f>
        <v>#VALUE!</v>
      </c>
      <c r="GD167" t="e">
        <f>AND(DATA!I1163,"AAAAAG//+7k=")</f>
        <v>#VALUE!</v>
      </c>
      <c r="GE167" t="e">
        <f>AND(DATA!J1163,"AAAAAG//+7o=")</f>
        <v>#VALUE!</v>
      </c>
      <c r="GF167" t="e">
        <f>AND(DATA!K1163,"AAAAAG//+7s=")</f>
        <v>#VALUE!</v>
      </c>
      <c r="GG167" t="b">
        <f>AND(DATA!L1164,"AAAAAG//+7w=")</f>
        <v>1</v>
      </c>
      <c r="GH167" t="b">
        <f>AND(DATA!M1164,"AAAAAG//+70=")</f>
        <v>1</v>
      </c>
      <c r="GI167" t="b">
        <f>AND(DATA!N1164,"AAAAAG//+74=")</f>
        <v>1</v>
      </c>
      <c r="GJ167" t="b">
        <f>AND(DATA!O1164,"AAAAAG//+78=")</f>
        <v>1</v>
      </c>
      <c r="GK167" t="b">
        <f>AND(DATA!P1164,"AAAAAG//+8A=")</f>
        <v>1</v>
      </c>
      <c r="GL167" t="b">
        <f>AND(DATA!Q1164,"AAAAAG//+8E=")</f>
        <v>1</v>
      </c>
      <c r="GM167" t="b">
        <f>AND(DATA!R1164,"AAAAAG//+8I=")</f>
        <v>1</v>
      </c>
      <c r="GN167" t="b">
        <f>AND(DATA!S1164,"AAAAAG//+8M=")</f>
        <v>1</v>
      </c>
      <c r="GO167" t="b">
        <f>AND(DATA!T1164,"AAAAAG//+8Q=")</f>
        <v>1</v>
      </c>
      <c r="GP167" t="b">
        <f>AND(DATA!U1164,"AAAAAG//+8U=")</f>
        <v>1</v>
      </c>
      <c r="GQ167" t="b">
        <f>AND(DATA!V1164,"AAAAAG//+8Y=")</f>
        <v>1</v>
      </c>
      <c r="GR167" t="e">
        <f>AND(DATA!W1163,"AAAAAG//+8c=")</f>
        <v>#VALUE!</v>
      </c>
      <c r="GS167" t="e">
        <f>AND(DATA!X1163,"AAAAAG//+8g=")</f>
        <v>#VALUE!</v>
      </c>
      <c r="GT167" t="e">
        <f>AND(DATA!Y1163,"AAAAAG//+8k=")</f>
        <v>#VALUE!</v>
      </c>
      <c r="GU167">
        <f>IF(DATA!1164:1164,"AAAAAG//+8o=",0)</f>
        <v>0</v>
      </c>
      <c r="GV167" t="e">
        <f>AND(DATA!A1164,"AAAAAG//+8s=")</f>
        <v>#VALUE!</v>
      </c>
      <c r="GW167" t="e">
        <f>AND(DATA!B1164,"AAAAAG//+8w=")</f>
        <v>#VALUE!</v>
      </c>
      <c r="GX167" t="e">
        <f>AND(DATA!C1164,"AAAAAG//+80=")</f>
        <v>#VALUE!</v>
      </c>
      <c r="GY167" t="e">
        <f>AND(DATA!D1164,"AAAAAG//+84=")</f>
        <v>#VALUE!</v>
      </c>
      <c r="GZ167" t="e">
        <f>AND(DATA!E1164,"AAAAAG//+88=")</f>
        <v>#VALUE!</v>
      </c>
      <c r="HA167" t="e">
        <f>AND(DATA!F1164,"AAAAAG//+9A=")</f>
        <v>#VALUE!</v>
      </c>
      <c r="HB167" t="e">
        <f>AND(DATA!G1164,"AAAAAG//+9E=")</f>
        <v>#VALUE!</v>
      </c>
      <c r="HC167" t="e">
        <f>AND(DATA!H1164,"AAAAAG//+9I=")</f>
        <v>#VALUE!</v>
      </c>
      <c r="HD167" t="e">
        <f>AND(DATA!I1164,"AAAAAG//+9M=")</f>
        <v>#VALUE!</v>
      </c>
      <c r="HE167" t="e">
        <f>AND(DATA!J1164,"AAAAAG//+9Q=")</f>
        <v>#VALUE!</v>
      </c>
      <c r="HF167" t="e">
        <f>AND(DATA!K1164,"AAAAAG//+9U=")</f>
        <v>#VALUE!</v>
      </c>
      <c r="HG167" t="b">
        <f>AND(DATA!L1165,"AAAAAG//+9Y=")</f>
        <v>1</v>
      </c>
      <c r="HH167" t="b">
        <f>AND(DATA!M1165,"AAAAAG//+9c=")</f>
        <v>1</v>
      </c>
      <c r="HI167" t="b">
        <f>AND(DATA!N1165,"AAAAAG//+9g=")</f>
        <v>1</v>
      </c>
      <c r="HJ167" t="b">
        <f>AND(DATA!O1165,"AAAAAG//+9k=")</f>
        <v>1</v>
      </c>
      <c r="HK167" t="b">
        <f>AND(DATA!P1165,"AAAAAG//+9o=")</f>
        <v>1</v>
      </c>
      <c r="HL167" t="b">
        <f>AND(DATA!Q1165,"AAAAAG//+9s=")</f>
        <v>1</v>
      </c>
      <c r="HM167" t="b">
        <f>AND(DATA!R1165,"AAAAAG//+9w=")</f>
        <v>1</v>
      </c>
      <c r="HN167" t="b">
        <f>AND(DATA!S1165,"AAAAAG//+90=")</f>
        <v>1</v>
      </c>
      <c r="HO167" t="b">
        <f>AND(DATA!T1165,"AAAAAG//+94=")</f>
        <v>1</v>
      </c>
      <c r="HP167" t="b">
        <f>AND(DATA!U1165,"AAAAAG//+98=")</f>
        <v>1</v>
      </c>
      <c r="HQ167" t="b">
        <f>AND(DATA!V1165,"AAAAAG//++A=")</f>
        <v>1</v>
      </c>
      <c r="HR167" t="e">
        <f>AND(DATA!W1164,"AAAAAG//++E=")</f>
        <v>#VALUE!</v>
      </c>
      <c r="HS167" t="e">
        <f>AND(DATA!X1164,"AAAAAG//++I=")</f>
        <v>#VALUE!</v>
      </c>
      <c r="HT167" t="e">
        <f>AND(DATA!Y1164,"AAAAAG//++M=")</f>
        <v>#VALUE!</v>
      </c>
      <c r="HU167">
        <f>IF(DATA!1165:1165,"AAAAAG//++Q=",0)</f>
        <v>0</v>
      </c>
      <c r="HV167" t="e">
        <f>AND(DATA!A1165,"AAAAAG//++U=")</f>
        <v>#VALUE!</v>
      </c>
      <c r="HW167" t="e">
        <f>AND(DATA!B1165,"AAAAAG//++Y=")</f>
        <v>#VALUE!</v>
      </c>
      <c r="HX167" t="e">
        <f>AND(DATA!C1165,"AAAAAG//++c=")</f>
        <v>#VALUE!</v>
      </c>
      <c r="HY167" t="e">
        <f>AND(DATA!D1165,"AAAAAG//++g=")</f>
        <v>#VALUE!</v>
      </c>
      <c r="HZ167" t="e">
        <f>AND(DATA!E1165,"AAAAAG//++k=")</f>
        <v>#VALUE!</v>
      </c>
      <c r="IA167" t="e">
        <f>AND(DATA!F1165,"AAAAAG//++o=")</f>
        <v>#VALUE!</v>
      </c>
      <c r="IB167" t="e">
        <f>AND(DATA!G1165,"AAAAAG//++s=")</f>
        <v>#VALUE!</v>
      </c>
      <c r="IC167" t="e">
        <f>AND(DATA!H1165,"AAAAAG//++w=")</f>
        <v>#VALUE!</v>
      </c>
      <c r="ID167" t="e">
        <f>AND(DATA!I1165,"AAAAAG//++0=")</f>
        <v>#VALUE!</v>
      </c>
      <c r="IE167" t="e">
        <f>AND(DATA!J1165,"AAAAAG//++4=")</f>
        <v>#VALUE!</v>
      </c>
      <c r="IF167" t="e">
        <f>AND(DATA!K1165,"AAAAAG//++8=")</f>
        <v>#VALUE!</v>
      </c>
      <c r="IG167" t="b">
        <f>AND(DATA!L1166,"AAAAAG//+/A=")</f>
        <v>1</v>
      </c>
      <c r="IH167" t="b">
        <f>AND(DATA!M1166,"AAAAAG//+/E=")</f>
        <v>1</v>
      </c>
      <c r="II167" t="b">
        <f>AND(DATA!N1166,"AAAAAG//+/I=")</f>
        <v>1</v>
      </c>
      <c r="IJ167" t="b">
        <f>AND(DATA!O1166,"AAAAAG//+/M=")</f>
        <v>1</v>
      </c>
      <c r="IK167" t="b">
        <f>AND(DATA!P1166,"AAAAAG//+/Q=")</f>
        <v>1</v>
      </c>
      <c r="IL167" t="b">
        <f>AND(DATA!Q1166,"AAAAAG//+/U=")</f>
        <v>1</v>
      </c>
      <c r="IM167" t="b">
        <f>AND(DATA!R1166,"AAAAAG//+/Y=")</f>
        <v>1</v>
      </c>
      <c r="IN167" t="b">
        <f>AND(DATA!S1166,"AAAAAG//+/c=")</f>
        <v>1</v>
      </c>
      <c r="IO167" t="b">
        <f>AND(DATA!T1166,"AAAAAG//+/g=")</f>
        <v>1</v>
      </c>
      <c r="IP167" t="b">
        <f>AND(DATA!U1166,"AAAAAG//+/k=")</f>
        <v>1</v>
      </c>
      <c r="IQ167" t="b">
        <f>AND(DATA!V1166,"AAAAAG//+/o=")</f>
        <v>1</v>
      </c>
      <c r="IR167" t="e">
        <f>AND(DATA!W1165,"AAAAAG//+/s=")</f>
        <v>#VALUE!</v>
      </c>
      <c r="IS167" t="e">
        <f>AND(DATA!X1165,"AAAAAG//+/w=")</f>
        <v>#VALUE!</v>
      </c>
      <c r="IT167" t="e">
        <f>AND(DATA!Y1165,"AAAAAG//+/0=")</f>
        <v>#VALUE!</v>
      </c>
      <c r="IU167">
        <f>IF(DATA!1166:1166,"AAAAAG//+/4=",0)</f>
        <v>0</v>
      </c>
      <c r="IV167" t="e">
        <f>AND(DATA!A1166,"AAAAAG//+/8=")</f>
        <v>#VALUE!</v>
      </c>
    </row>
    <row r="168" spans="1:256" x14ac:dyDescent="0.25">
      <c r="A168" t="e">
        <f>AND(DATA!B1166,"AAAAAH2v/AA=")</f>
        <v>#VALUE!</v>
      </c>
      <c r="B168" t="e">
        <f>AND(DATA!C1166,"AAAAAH2v/AE=")</f>
        <v>#VALUE!</v>
      </c>
      <c r="C168" t="e">
        <f>AND(DATA!D1166,"AAAAAH2v/AI=")</f>
        <v>#VALUE!</v>
      </c>
      <c r="D168" t="e">
        <f>AND(DATA!E1166,"AAAAAH2v/AM=")</f>
        <v>#VALUE!</v>
      </c>
      <c r="E168" t="e">
        <f>AND(DATA!F1166,"AAAAAH2v/AQ=")</f>
        <v>#VALUE!</v>
      </c>
      <c r="F168" t="e">
        <f>AND(DATA!G1166,"AAAAAH2v/AU=")</f>
        <v>#VALUE!</v>
      </c>
      <c r="G168" t="e">
        <f>AND(DATA!H1166,"AAAAAH2v/AY=")</f>
        <v>#VALUE!</v>
      </c>
      <c r="H168" t="e">
        <f>AND(DATA!I1166,"AAAAAH2v/Ac=")</f>
        <v>#VALUE!</v>
      </c>
      <c r="I168" t="e">
        <f>AND(DATA!J1166,"AAAAAH2v/Ag=")</f>
        <v>#VALUE!</v>
      </c>
      <c r="J168" t="e">
        <f>AND(DATA!K1166,"AAAAAH2v/Ak=")</f>
        <v>#VALUE!</v>
      </c>
      <c r="K168" t="b">
        <f>AND(DATA!L1167,"AAAAAH2v/Ao=")</f>
        <v>1</v>
      </c>
      <c r="L168" t="b">
        <f>AND(DATA!M1167,"AAAAAH2v/As=")</f>
        <v>1</v>
      </c>
      <c r="M168" t="b">
        <f>AND(DATA!N1167,"AAAAAH2v/Aw=")</f>
        <v>1</v>
      </c>
      <c r="N168" t="b">
        <f>AND(DATA!O1167,"AAAAAH2v/A0=")</f>
        <v>1</v>
      </c>
      <c r="O168" t="b">
        <f>AND(DATA!P1167,"AAAAAH2v/A4=")</f>
        <v>1</v>
      </c>
      <c r="P168" t="b">
        <f>AND(DATA!Q1167,"AAAAAH2v/A8=")</f>
        <v>1</v>
      </c>
      <c r="Q168" t="b">
        <f>AND(DATA!R1167,"AAAAAH2v/BA=")</f>
        <v>1</v>
      </c>
      <c r="R168" t="b">
        <f>AND(DATA!S1167,"AAAAAH2v/BE=")</f>
        <v>1</v>
      </c>
      <c r="S168" t="b">
        <f>AND(DATA!T1167,"AAAAAH2v/BI=")</f>
        <v>1</v>
      </c>
      <c r="T168" t="b">
        <f>AND(DATA!U1167,"AAAAAH2v/BM=")</f>
        <v>1</v>
      </c>
      <c r="U168" t="b">
        <f>AND(DATA!V1167,"AAAAAH2v/BQ=")</f>
        <v>1</v>
      </c>
      <c r="V168" t="e">
        <f>AND(DATA!W1166,"AAAAAH2v/BU=")</f>
        <v>#VALUE!</v>
      </c>
      <c r="W168" t="e">
        <f>AND(DATA!X1166,"AAAAAH2v/BY=")</f>
        <v>#VALUE!</v>
      </c>
      <c r="X168" t="e">
        <f>AND(DATA!Y1166,"AAAAAH2v/Bc=")</f>
        <v>#VALUE!</v>
      </c>
      <c r="Y168">
        <f>IF(DATA!1167:1167,"AAAAAH2v/Bg=",0)</f>
        <v>0</v>
      </c>
      <c r="Z168" t="e">
        <f>AND(DATA!A1167,"AAAAAH2v/Bk=")</f>
        <v>#VALUE!</v>
      </c>
      <c r="AA168" t="e">
        <f>AND(DATA!B1167,"AAAAAH2v/Bo=")</f>
        <v>#VALUE!</v>
      </c>
      <c r="AB168" t="e">
        <f>AND(DATA!C1167,"AAAAAH2v/Bs=")</f>
        <v>#VALUE!</v>
      </c>
      <c r="AC168" t="e">
        <f>AND(DATA!D1167,"AAAAAH2v/Bw=")</f>
        <v>#VALUE!</v>
      </c>
      <c r="AD168" t="e">
        <f>AND(DATA!E1167,"AAAAAH2v/B0=")</f>
        <v>#VALUE!</v>
      </c>
      <c r="AE168" t="e">
        <f>AND(DATA!F1167,"AAAAAH2v/B4=")</f>
        <v>#VALUE!</v>
      </c>
      <c r="AF168" t="e">
        <f>AND(DATA!G1167,"AAAAAH2v/B8=")</f>
        <v>#VALUE!</v>
      </c>
      <c r="AG168" t="e">
        <f>AND(DATA!H1167,"AAAAAH2v/CA=")</f>
        <v>#VALUE!</v>
      </c>
      <c r="AH168" t="e">
        <f>AND(DATA!I1167,"AAAAAH2v/CE=")</f>
        <v>#VALUE!</v>
      </c>
      <c r="AI168" t="e">
        <f>AND(DATA!J1167,"AAAAAH2v/CI=")</f>
        <v>#VALUE!</v>
      </c>
      <c r="AJ168" t="e">
        <f>AND(DATA!K1167,"AAAAAH2v/CM=")</f>
        <v>#VALUE!</v>
      </c>
      <c r="AK168" t="b">
        <f>AND(DATA!L1168,"AAAAAH2v/CQ=")</f>
        <v>1</v>
      </c>
      <c r="AL168" t="b">
        <f>AND(DATA!M1168,"AAAAAH2v/CU=")</f>
        <v>1</v>
      </c>
      <c r="AM168" t="b">
        <f>AND(DATA!N1168,"AAAAAH2v/CY=")</f>
        <v>1</v>
      </c>
      <c r="AN168" t="b">
        <f>AND(DATA!O1168,"AAAAAH2v/Cc=")</f>
        <v>1</v>
      </c>
      <c r="AO168" t="b">
        <f>AND(DATA!P1168,"AAAAAH2v/Cg=")</f>
        <v>1</v>
      </c>
      <c r="AP168" t="b">
        <f>AND(DATA!Q1168,"AAAAAH2v/Ck=")</f>
        <v>1</v>
      </c>
      <c r="AQ168" t="b">
        <f>AND(DATA!R1168,"AAAAAH2v/Co=")</f>
        <v>1</v>
      </c>
      <c r="AR168" t="b">
        <f>AND(DATA!S1168,"AAAAAH2v/Cs=")</f>
        <v>1</v>
      </c>
      <c r="AS168" t="b">
        <f>AND(DATA!T1168,"AAAAAH2v/Cw=")</f>
        <v>1</v>
      </c>
      <c r="AT168" t="b">
        <f>AND(DATA!U1168,"AAAAAH2v/C0=")</f>
        <v>1</v>
      </c>
      <c r="AU168" t="b">
        <f>AND(DATA!V1168,"AAAAAH2v/C4=")</f>
        <v>1</v>
      </c>
      <c r="AV168" t="e">
        <f>AND(DATA!W1167,"AAAAAH2v/C8=")</f>
        <v>#VALUE!</v>
      </c>
      <c r="AW168" t="e">
        <f>AND(DATA!X1167,"AAAAAH2v/DA=")</f>
        <v>#VALUE!</v>
      </c>
      <c r="AX168" t="e">
        <f>AND(DATA!Y1167,"AAAAAH2v/DE=")</f>
        <v>#VALUE!</v>
      </c>
      <c r="AY168">
        <f>IF(DATA!1168:1168,"AAAAAH2v/DI=",0)</f>
        <v>0</v>
      </c>
      <c r="AZ168" t="e">
        <f>AND(DATA!A1168,"AAAAAH2v/DM=")</f>
        <v>#VALUE!</v>
      </c>
      <c r="BA168" t="e">
        <f>AND(DATA!B1168,"AAAAAH2v/DQ=")</f>
        <v>#VALUE!</v>
      </c>
      <c r="BB168" t="e">
        <f>AND(DATA!C1168,"AAAAAH2v/DU=")</f>
        <v>#VALUE!</v>
      </c>
      <c r="BC168" t="e">
        <f>AND(DATA!D1168,"AAAAAH2v/DY=")</f>
        <v>#VALUE!</v>
      </c>
      <c r="BD168" t="e">
        <f>AND(DATA!E1168,"AAAAAH2v/Dc=")</f>
        <v>#VALUE!</v>
      </c>
      <c r="BE168" t="e">
        <f>AND(DATA!F1168,"AAAAAH2v/Dg=")</f>
        <v>#VALUE!</v>
      </c>
      <c r="BF168" t="e">
        <f>AND(DATA!G1168,"AAAAAH2v/Dk=")</f>
        <v>#VALUE!</v>
      </c>
      <c r="BG168" t="e">
        <f>AND(DATA!H1168,"AAAAAH2v/Do=")</f>
        <v>#VALUE!</v>
      </c>
      <c r="BH168" t="e">
        <f>AND(DATA!I1168,"AAAAAH2v/Ds=")</f>
        <v>#VALUE!</v>
      </c>
      <c r="BI168" t="e">
        <f>AND(DATA!J1168,"AAAAAH2v/Dw=")</f>
        <v>#VALUE!</v>
      </c>
      <c r="BJ168" t="e">
        <f>AND(DATA!K1168,"AAAAAH2v/D0=")</f>
        <v>#VALUE!</v>
      </c>
      <c r="BK168" t="b">
        <f>AND(DATA!L1169,"AAAAAH2v/D4=")</f>
        <v>1</v>
      </c>
      <c r="BL168" t="b">
        <f>AND(DATA!M1169,"AAAAAH2v/D8=")</f>
        <v>1</v>
      </c>
      <c r="BM168" t="b">
        <f>AND(DATA!N1169,"AAAAAH2v/EA=")</f>
        <v>1</v>
      </c>
      <c r="BN168" t="b">
        <f>AND(DATA!O1169,"AAAAAH2v/EE=")</f>
        <v>1</v>
      </c>
      <c r="BO168" t="b">
        <f>AND(DATA!P1169,"AAAAAH2v/EI=")</f>
        <v>1</v>
      </c>
      <c r="BP168" t="b">
        <f>AND(DATA!Q1169,"AAAAAH2v/EM=")</f>
        <v>1</v>
      </c>
      <c r="BQ168" t="b">
        <f>AND(DATA!R1169,"AAAAAH2v/EQ=")</f>
        <v>1</v>
      </c>
      <c r="BR168" t="b">
        <f>AND(DATA!S1169,"AAAAAH2v/EU=")</f>
        <v>1</v>
      </c>
      <c r="BS168" t="b">
        <f>AND(DATA!T1169,"AAAAAH2v/EY=")</f>
        <v>1</v>
      </c>
      <c r="BT168" t="b">
        <f>AND(DATA!U1169,"AAAAAH2v/Ec=")</f>
        <v>1</v>
      </c>
      <c r="BU168" t="b">
        <f>AND(DATA!V1169,"AAAAAH2v/Eg=")</f>
        <v>1</v>
      </c>
      <c r="BV168" t="e">
        <f>AND(DATA!W1168,"AAAAAH2v/Ek=")</f>
        <v>#VALUE!</v>
      </c>
      <c r="BW168" t="e">
        <f>AND(DATA!X1168,"AAAAAH2v/Eo=")</f>
        <v>#VALUE!</v>
      </c>
      <c r="BX168" t="e">
        <f>AND(DATA!Y1168,"AAAAAH2v/Es=")</f>
        <v>#VALUE!</v>
      </c>
      <c r="BY168">
        <f>IF(DATA!1169:1169,"AAAAAH2v/Ew=",0)</f>
        <v>0</v>
      </c>
      <c r="BZ168" t="e">
        <f>AND(DATA!A1169,"AAAAAH2v/E0=")</f>
        <v>#VALUE!</v>
      </c>
      <c r="CA168" t="e">
        <f>AND(DATA!B1169,"AAAAAH2v/E4=")</f>
        <v>#VALUE!</v>
      </c>
      <c r="CB168" t="e">
        <f>AND(DATA!C1169,"AAAAAH2v/E8=")</f>
        <v>#VALUE!</v>
      </c>
      <c r="CC168" t="e">
        <f>AND(DATA!D1169,"AAAAAH2v/FA=")</f>
        <v>#VALUE!</v>
      </c>
      <c r="CD168" t="e">
        <f>AND(DATA!E1169,"AAAAAH2v/FE=")</f>
        <v>#VALUE!</v>
      </c>
      <c r="CE168" t="e">
        <f>AND(DATA!F1169,"AAAAAH2v/FI=")</f>
        <v>#VALUE!</v>
      </c>
      <c r="CF168" t="e">
        <f>AND(DATA!G1169,"AAAAAH2v/FM=")</f>
        <v>#VALUE!</v>
      </c>
      <c r="CG168" t="e">
        <f>AND(DATA!H1169,"AAAAAH2v/FQ=")</f>
        <v>#VALUE!</v>
      </c>
      <c r="CH168" t="e">
        <f>AND(DATA!I1169,"AAAAAH2v/FU=")</f>
        <v>#VALUE!</v>
      </c>
      <c r="CI168" t="e">
        <f>AND(DATA!J1169,"AAAAAH2v/FY=")</f>
        <v>#VALUE!</v>
      </c>
      <c r="CJ168" t="e">
        <f>AND(DATA!K1169,"AAAAAH2v/Fc=")</f>
        <v>#VALUE!</v>
      </c>
      <c r="CK168" t="b">
        <f>AND(DATA!L1170,"AAAAAH2v/Fg=")</f>
        <v>1</v>
      </c>
      <c r="CL168" t="b">
        <f>AND(DATA!M1170,"AAAAAH2v/Fk=")</f>
        <v>1</v>
      </c>
      <c r="CM168" t="b">
        <f>AND(DATA!N1170,"AAAAAH2v/Fo=")</f>
        <v>1</v>
      </c>
      <c r="CN168" t="b">
        <f>AND(DATA!O1170,"AAAAAH2v/Fs=")</f>
        <v>1</v>
      </c>
      <c r="CO168" t="b">
        <f>AND(DATA!P1170,"AAAAAH2v/Fw=")</f>
        <v>1</v>
      </c>
      <c r="CP168" t="b">
        <f>AND(DATA!Q1170,"AAAAAH2v/F0=")</f>
        <v>1</v>
      </c>
      <c r="CQ168" t="b">
        <f>AND(DATA!R1170,"AAAAAH2v/F4=")</f>
        <v>1</v>
      </c>
      <c r="CR168" t="b">
        <f>AND(DATA!S1170,"AAAAAH2v/F8=")</f>
        <v>1</v>
      </c>
      <c r="CS168" t="b">
        <f>AND(DATA!T1170,"AAAAAH2v/GA=")</f>
        <v>1</v>
      </c>
      <c r="CT168" t="b">
        <f>AND(DATA!U1170,"AAAAAH2v/GE=")</f>
        <v>1</v>
      </c>
      <c r="CU168" t="b">
        <f>AND(DATA!V1170,"AAAAAH2v/GI=")</f>
        <v>1</v>
      </c>
      <c r="CV168" t="e">
        <f>AND(DATA!W1169,"AAAAAH2v/GM=")</f>
        <v>#VALUE!</v>
      </c>
      <c r="CW168" t="e">
        <f>AND(DATA!X1169,"AAAAAH2v/GQ=")</f>
        <v>#VALUE!</v>
      </c>
      <c r="CX168" t="e">
        <f>AND(DATA!Y1169,"AAAAAH2v/GU=")</f>
        <v>#VALUE!</v>
      </c>
      <c r="CY168">
        <f>IF(DATA!1170:1170,"AAAAAH2v/GY=",0)</f>
        <v>0</v>
      </c>
      <c r="CZ168" t="e">
        <f>AND(DATA!A1170,"AAAAAH2v/Gc=")</f>
        <v>#VALUE!</v>
      </c>
      <c r="DA168" t="e">
        <f>AND(DATA!B1170,"AAAAAH2v/Gg=")</f>
        <v>#VALUE!</v>
      </c>
      <c r="DB168" t="e">
        <f>AND(DATA!C1170,"AAAAAH2v/Gk=")</f>
        <v>#VALUE!</v>
      </c>
      <c r="DC168" t="e">
        <f>AND(DATA!D1170,"AAAAAH2v/Go=")</f>
        <v>#VALUE!</v>
      </c>
      <c r="DD168" t="e">
        <f>AND(DATA!E1170,"AAAAAH2v/Gs=")</f>
        <v>#VALUE!</v>
      </c>
      <c r="DE168" t="e">
        <f>AND(DATA!F1170,"AAAAAH2v/Gw=")</f>
        <v>#VALUE!</v>
      </c>
      <c r="DF168" t="e">
        <f>AND(DATA!G1170,"AAAAAH2v/G0=")</f>
        <v>#VALUE!</v>
      </c>
      <c r="DG168" t="e">
        <f>AND(DATA!H1170,"AAAAAH2v/G4=")</f>
        <v>#VALUE!</v>
      </c>
      <c r="DH168" t="e">
        <f>AND(DATA!I1170,"AAAAAH2v/G8=")</f>
        <v>#VALUE!</v>
      </c>
      <c r="DI168" t="e">
        <f>AND(DATA!J1170,"AAAAAH2v/HA=")</f>
        <v>#VALUE!</v>
      </c>
      <c r="DJ168" t="e">
        <f>AND(DATA!K1170,"AAAAAH2v/HE=")</f>
        <v>#VALUE!</v>
      </c>
      <c r="DK168" t="b">
        <f>AND(DATA!L1171,"AAAAAH2v/HI=")</f>
        <v>1</v>
      </c>
      <c r="DL168" t="b">
        <f>AND(DATA!M1171,"AAAAAH2v/HM=")</f>
        <v>1</v>
      </c>
      <c r="DM168" t="b">
        <f>AND(DATA!N1171,"AAAAAH2v/HQ=")</f>
        <v>1</v>
      </c>
      <c r="DN168" t="b">
        <f>AND(DATA!O1171,"AAAAAH2v/HU=")</f>
        <v>1</v>
      </c>
      <c r="DO168" t="b">
        <f>AND(DATA!P1171,"AAAAAH2v/HY=")</f>
        <v>1</v>
      </c>
      <c r="DP168" t="b">
        <f>AND(DATA!Q1171,"AAAAAH2v/Hc=")</f>
        <v>1</v>
      </c>
      <c r="DQ168" t="b">
        <f>AND(DATA!R1171,"AAAAAH2v/Hg=")</f>
        <v>1</v>
      </c>
      <c r="DR168" t="b">
        <f>AND(DATA!S1171,"AAAAAH2v/Hk=")</f>
        <v>1</v>
      </c>
      <c r="DS168" t="b">
        <f>AND(DATA!T1171,"AAAAAH2v/Ho=")</f>
        <v>1</v>
      </c>
      <c r="DT168" t="b">
        <f>AND(DATA!U1171,"AAAAAH2v/Hs=")</f>
        <v>1</v>
      </c>
      <c r="DU168" t="b">
        <f>AND(DATA!V1171,"AAAAAH2v/Hw=")</f>
        <v>1</v>
      </c>
      <c r="DV168" t="e">
        <f>AND(DATA!W1170,"AAAAAH2v/H0=")</f>
        <v>#VALUE!</v>
      </c>
      <c r="DW168" t="e">
        <f>AND(DATA!X1170,"AAAAAH2v/H4=")</f>
        <v>#VALUE!</v>
      </c>
      <c r="DX168" t="e">
        <f>AND(DATA!Y1170,"AAAAAH2v/H8=")</f>
        <v>#VALUE!</v>
      </c>
      <c r="DY168">
        <f>IF(DATA!1171:1171,"AAAAAH2v/IA=",0)</f>
        <v>0</v>
      </c>
      <c r="DZ168" t="e">
        <f>AND(DATA!A1171,"AAAAAH2v/IE=")</f>
        <v>#VALUE!</v>
      </c>
      <c r="EA168" t="e">
        <f>AND(DATA!B1171,"AAAAAH2v/II=")</f>
        <v>#VALUE!</v>
      </c>
      <c r="EB168" t="e">
        <f>AND(DATA!C1171,"AAAAAH2v/IM=")</f>
        <v>#VALUE!</v>
      </c>
      <c r="EC168" t="e">
        <f>AND(DATA!D1171,"AAAAAH2v/IQ=")</f>
        <v>#VALUE!</v>
      </c>
      <c r="ED168" t="e">
        <f>AND(DATA!E1171,"AAAAAH2v/IU=")</f>
        <v>#VALUE!</v>
      </c>
      <c r="EE168" t="e">
        <f>AND(DATA!F1171,"AAAAAH2v/IY=")</f>
        <v>#VALUE!</v>
      </c>
      <c r="EF168" t="e">
        <f>AND(DATA!G1171,"AAAAAH2v/Ic=")</f>
        <v>#VALUE!</v>
      </c>
      <c r="EG168" t="e">
        <f>AND(DATA!H1171,"AAAAAH2v/Ig=")</f>
        <v>#VALUE!</v>
      </c>
      <c r="EH168" t="e">
        <f>AND(DATA!I1171,"AAAAAH2v/Ik=")</f>
        <v>#VALUE!</v>
      </c>
      <c r="EI168" t="e">
        <f>AND(DATA!J1171,"AAAAAH2v/Io=")</f>
        <v>#VALUE!</v>
      </c>
      <c r="EJ168" t="e">
        <f>AND(DATA!K1171,"AAAAAH2v/Is=")</f>
        <v>#VALUE!</v>
      </c>
      <c r="EK168" t="b">
        <f>AND(DATA!L1172,"AAAAAH2v/Iw=")</f>
        <v>1</v>
      </c>
      <c r="EL168" t="b">
        <f>AND(DATA!M1172,"AAAAAH2v/I0=")</f>
        <v>1</v>
      </c>
      <c r="EM168" t="b">
        <f>AND(DATA!N1172,"AAAAAH2v/I4=")</f>
        <v>1</v>
      </c>
      <c r="EN168" t="b">
        <f>AND(DATA!O1172,"AAAAAH2v/I8=")</f>
        <v>1</v>
      </c>
      <c r="EO168" t="b">
        <f>AND(DATA!P1172,"AAAAAH2v/JA=")</f>
        <v>1</v>
      </c>
      <c r="EP168" t="b">
        <f>AND(DATA!Q1172,"AAAAAH2v/JE=")</f>
        <v>1</v>
      </c>
      <c r="EQ168" t="b">
        <f>AND(DATA!R1172,"AAAAAH2v/JI=")</f>
        <v>1</v>
      </c>
      <c r="ER168" t="b">
        <f>AND(DATA!S1172,"AAAAAH2v/JM=")</f>
        <v>1</v>
      </c>
      <c r="ES168" t="b">
        <f>AND(DATA!T1172,"AAAAAH2v/JQ=")</f>
        <v>1</v>
      </c>
      <c r="ET168" t="b">
        <f>AND(DATA!U1172,"AAAAAH2v/JU=")</f>
        <v>1</v>
      </c>
      <c r="EU168" t="b">
        <f>AND(DATA!V1172,"AAAAAH2v/JY=")</f>
        <v>1</v>
      </c>
      <c r="EV168" t="e">
        <f>AND(DATA!W1171,"AAAAAH2v/Jc=")</f>
        <v>#VALUE!</v>
      </c>
      <c r="EW168" t="e">
        <f>AND(DATA!X1171,"AAAAAH2v/Jg=")</f>
        <v>#VALUE!</v>
      </c>
      <c r="EX168" t="e">
        <f>AND(DATA!Y1171,"AAAAAH2v/Jk=")</f>
        <v>#VALUE!</v>
      </c>
      <c r="EY168">
        <f>IF(DATA!1172:1172,"AAAAAH2v/Jo=",0)</f>
        <v>0</v>
      </c>
      <c r="EZ168" t="e">
        <f>AND(DATA!A1172,"AAAAAH2v/Js=")</f>
        <v>#VALUE!</v>
      </c>
      <c r="FA168" t="e">
        <f>AND(DATA!B1172,"AAAAAH2v/Jw=")</f>
        <v>#VALUE!</v>
      </c>
      <c r="FB168" t="e">
        <f>AND(DATA!C1172,"AAAAAH2v/J0=")</f>
        <v>#VALUE!</v>
      </c>
      <c r="FC168" t="e">
        <f>AND(DATA!D1172,"AAAAAH2v/J4=")</f>
        <v>#VALUE!</v>
      </c>
      <c r="FD168" t="e">
        <f>AND(DATA!E1172,"AAAAAH2v/J8=")</f>
        <v>#VALUE!</v>
      </c>
      <c r="FE168" t="e">
        <f>AND(DATA!F1172,"AAAAAH2v/KA=")</f>
        <v>#VALUE!</v>
      </c>
      <c r="FF168" t="e">
        <f>AND(DATA!G1172,"AAAAAH2v/KE=")</f>
        <v>#VALUE!</v>
      </c>
      <c r="FG168" t="e">
        <f>AND(DATA!H1172,"AAAAAH2v/KI=")</f>
        <v>#VALUE!</v>
      </c>
      <c r="FH168" t="e">
        <f>AND(DATA!I1172,"AAAAAH2v/KM=")</f>
        <v>#VALUE!</v>
      </c>
      <c r="FI168" t="e">
        <f>AND(DATA!J1172,"AAAAAH2v/KQ=")</f>
        <v>#VALUE!</v>
      </c>
      <c r="FJ168" t="e">
        <f>AND(DATA!K1172,"AAAAAH2v/KU=")</f>
        <v>#VALUE!</v>
      </c>
      <c r="FK168" t="b">
        <f>AND(DATA!L1173,"AAAAAH2v/KY=")</f>
        <v>1</v>
      </c>
      <c r="FL168" t="b">
        <f>AND(DATA!M1173,"AAAAAH2v/Kc=")</f>
        <v>1</v>
      </c>
      <c r="FM168" t="b">
        <f>AND(DATA!N1173,"AAAAAH2v/Kg=")</f>
        <v>1</v>
      </c>
      <c r="FN168" t="b">
        <f>AND(DATA!O1173,"AAAAAH2v/Kk=")</f>
        <v>1</v>
      </c>
      <c r="FO168" t="b">
        <f>AND(DATA!P1173,"AAAAAH2v/Ko=")</f>
        <v>1</v>
      </c>
      <c r="FP168" t="b">
        <f>AND(DATA!Q1173,"AAAAAH2v/Ks=")</f>
        <v>1</v>
      </c>
      <c r="FQ168" t="b">
        <f>AND(DATA!R1173,"AAAAAH2v/Kw=")</f>
        <v>1</v>
      </c>
      <c r="FR168" t="b">
        <f>AND(DATA!S1173,"AAAAAH2v/K0=")</f>
        <v>1</v>
      </c>
      <c r="FS168" t="b">
        <f>AND(DATA!T1173,"AAAAAH2v/K4=")</f>
        <v>1</v>
      </c>
      <c r="FT168" t="b">
        <f>AND(DATA!U1173,"AAAAAH2v/K8=")</f>
        <v>1</v>
      </c>
      <c r="FU168" t="b">
        <f>AND(DATA!V1173,"AAAAAH2v/LA=")</f>
        <v>1</v>
      </c>
      <c r="FV168" t="e">
        <f>AND(DATA!W1172,"AAAAAH2v/LE=")</f>
        <v>#VALUE!</v>
      </c>
      <c r="FW168" t="e">
        <f>AND(DATA!X1172,"AAAAAH2v/LI=")</f>
        <v>#VALUE!</v>
      </c>
      <c r="FX168" t="e">
        <f>AND(DATA!Y1172,"AAAAAH2v/LM=")</f>
        <v>#VALUE!</v>
      </c>
      <c r="FY168">
        <f>IF(DATA!1173:1173,"AAAAAH2v/LQ=",0)</f>
        <v>0</v>
      </c>
      <c r="FZ168" t="e">
        <f>AND(DATA!A1173,"AAAAAH2v/LU=")</f>
        <v>#VALUE!</v>
      </c>
      <c r="GA168" t="e">
        <f>AND(DATA!B1173,"AAAAAH2v/LY=")</f>
        <v>#VALUE!</v>
      </c>
      <c r="GB168" t="e">
        <f>AND(DATA!C1173,"AAAAAH2v/Lc=")</f>
        <v>#VALUE!</v>
      </c>
      <c r="GC168" t="e">
        <f>AND(DATA!D1173,"AAAAAH2v/Lg=")</f>
        <v>#VALUE!</v>
      </c>
      <c r="GD168" t="e">
        <f>AND(DATA!E1173,"AAAAAH2v/Lk=")</f>
        <v>#VALUE!</v>
      </c>
      <c r="GE168" t="e">
        <f>AND(DATA!F1173,"AAAAAH2v/Lo=")</f>
        <v>#VALUE!</v>
      </c>
      <c r="GF168" t="e">
        <f>AND(DATA!G1173,"AAAAAH2v/Ls=")</f>
        <v>#VALUE!</v>
      </c>
      <c r="GG168" t="e">
        <f>AND(DATA!H1173,"AAAAAH2v/Lw=")</f>
        <v>#VALUE!</v>
      </c>
      <c r="GH168" t="e">
        <f>AND(DATA!I1173,"AAAAAH2v/L0=")</f>
        <v>#VALUE!</v>
      </c>
      <c r="GI168" t="e">
        <f>AND(DATA!J1173,"AAAAAH2v/L4=")</f>
        <v>#VALUE!</v>
      </c>
      <c r="GJ168" t="e">
        <f>AND(DATA!K1173,"AAAAAH2v/L8=")</f>
        <v>#VALUE!</v>
      </c>
      <c r="GK168" t="b">
        <f>AND(DATA!L1174,"AAAAAH2v/MA=")</f>
        <v>1</v>
      </c>
      <c r="GL168" t="b">
        <f>AND(DATA!M1174,"AAAAAH2v/ME=")</f>
        <v>1</v>
      </c>
      <c r="GM168" t="b">
        <f>AND(DATA!N1174,"AAAAAH2v/MI=")</f>
        <v>1</v>
      </c>
      <c r="GN168" t="b">
        <f>AND(DATA!O1174,"AAAAAH2v/MM=")</f>
        <v>1</v>
      </c>
      <c r="GO168" t="b">
        <f>AND(DATA!P1174,"AAAAAH2v/MQ=")</f>
        <v>1</v>
      </c>
      <c r="GP168" t="b">
        <f>AND(DATA!Q1174,"AAAAAH2v/MU=")</f>
        <v>1</v>
      </c>
      <c r="GQ168" t="b">
        <f>AND(DATA!R1174,"AAAAAH2v/MY=")</f>
        <v>1</v>
      </c>
      <c r="GR168" t="b">
        <f>AND(DATA!S1174,"AAAAAH2v/Mc=")</f>
        <v>1</v>
      </c>
      <c r="GS168" t="b">
        <f>AND(DATA!T1174,"AAAAAH2v/Mg=")</f>
        <v>1</v>
      </c>
      <c r="GT168" t="b">
        <f>AND(DATA!U1174,"AAAAAH2v/Mk=")</f>
        <v>1</v>
      </c>
      <c r="GU168" t="b">
        <f>AND(DATA!V1174,"AAAAAH2v/Mo=")</f>
        <v>1</v>
      </c>
      <c r="GV168" t="e">
        <f>AND(DATA!W1173,"AAAAAH2v/Ms=")</f>
        <v>#VALUE!</v>
      </c>
      <c r="GW168" t="e">
        <f>AND(DATA!X1173,"AAAAAH2v/Mw=")</f>
        <v>#VALUE!</v>
      </c>
      <c r="GX168" t="e">
        <f>AND(DATA!Y1173,"AAAAAH2v/M0=")</f>
        <v>#VALUE!</v>
      </c>
      <c r="GY168">
        <f>IF(DATA!1174:1174,"AAAAAH2v/M4=",0)</f>
        <v>0</v>
      </c>
      <c r="GZ168" t="e">
        <f>AND(DATA!A1174,"AAAAAH2v/M8=")</f>
        <v>#VALUE!</v>
      </c>
      <c r="HA168" t="e">
        <f>AND(DATA!B1174,"AAAAAH2v/NA=")</f>
        <v>#VALUE!</v>
      </c>
      <c r="HB168" t="e">
        <f>AND(DATA!C1174,"AAAAAH2v/NE=")</f>
        <v>#VALUE!</v>
      </c>
      <c r="HC168" t="e">
        <f>AND(DATA!D1174,"AAAAAH2v/NI=")</f>
        <v>#VALUE!</v>
      </c>
      <c r="HD168" t="e">
        <f>AND(DATA!E1174,"AAAAAH2v/NM=")</f>
        <v>#VALUE!</v>
      </c>
      <c r="HE168" t="e">
        <f>AND(DATA!F1174,"AAAAAH2v/NQ=")</f>
        <v>#VALUE!</v>
      </c>
      <c r="HF168" t="e">
        <f>AND(DATA!G1174,"AAAAAH2v/NU=")</f>
        <v>#VALUE!</v>
      </c>
      <c r="HG168" t="e">
        <f>AND(DATA!H1174,"AAAAAH2v/NY=")</f>
        <v>#VALUE!</v>
      </c>
      <c r="HH168" t="e">
        <f>AND(DATA!I1174,"AAAAAH2v/Nc=")</f>
        <v>#VALUE!</v>
      </c>
      <c r="HI168" t="e">
        <f>AND(DATA!J1174,"AAAAAH2v/Ng=")</f>
        <v>#VALUE!</v>
      </c>
      <c r="HJ168" t="e">
        <f>AND(DATA!K1174,"AAAAAH2v/Nk=")</f>
        <v>#VALUE!</v>
      </c>
      <c r="HK168" t="b">
        <f>AND(DATA!L1175,"AAAAAH2v/No=")</f>
        <v>1</v>
      </c>
      <c r="HL168" t="b">
        <f>AND(DATA!M1175,"AAAAAH2v/Ns=")</f>
        <v>1</v>
      </c>
      <c r="HM168" t="b">
        <f>AND(DATA!N1175,"AAAAAH2v/Nw=")</f>
        <v>1</v>
      </c>
      <c r="HN168" t="b">
        <f>AND(DATA!O1175,"AAAAAH2v/N0=")</f>
        <v>1</v>
      </c>
      <c r="HO168" t="b">
        <f>AND(DATA!P1175,"AAAAAH2v/N4=")</f>
        <v>1</v>
      </c>
      <c r="HP168" t="b">
        <f>AND(DATA!Q1175,"AAAAAH2v/N8=")</f>
        <v>1</v>
      </c>
      <c r="HQ168" t="b">
        <f>AND(DATA!R1175,"AAAAAH2v/OA=")</f>
        <v>1</v>
      </c>
      <c r="HR168" t="b">
        <f>AND(DATA!S1175,"AAAAAH2v/OE=")</f>
        <v>1</v>
      </c>
      <c r="HS168" t="b">
        <f>AND(DATA!T1175,"AAAAAH2v/OI=")</f>
        <v>1</v>
      </c>
      <c r="HT168" t="b">
        <f>AND(DATA!U1175,"AAAAAH2v/OM=")</f>
        <v>1</v>
      </c>
      <c r="HU168" t="b">
        <f>AND(DATA!V1175,"AAAAAH2v/OQ=")</f>
        <v>1</v>
      </c>
      <c r="HV168" t="e">
        <f>AND(DATA!W1174,"AAAAAH2v/OU=")</f>
        <v>#VALUE!</v>
      </c>
      <c r="HW168" t="e">
        <f>AND(DATA!X1174,"AAAAAH2v/OY=")</f>
        <v>#VALUE!</v>
      </c>
      <c r="HX168" t="e">
        <f>AND(DATA!Y1174,"AAAAAH2v/Oc=")</f>
        <v>#VALUE!</v>
      </c>
      <c r="HY168">
        <f>IF(DATA!1175:1175,"AAAAAH2v/Og=",0)</f>
        <v>0</v>
      </c>
      <c r="HZ168" t="e">
        <f>AND(DATA!A1175,"AAAAAH2v/Ok=")</f>
        <v>#VALUE!</v>
      </c>
      <c r="IA168" t="e">
        <f>AND(DATA!B1175,"AAAAAH2v/Oo=")</f>
        <v>#VALUE!</v>
      </c>
      <c r="IB168" t="e">
        <f>AND(DATA!C1175,"AAAAAH2v/Os=")</f>
        <v>#VALUE!</v>
      </c>
      <c r="IC168" t="e">
        <f>AND(DATA!D1175,"AAAAAH2v/Ow=")</f>
        <v>#VALUE!</v>
      </c>
      <c r="ID168" t="e">
        <f>AND(DATA!E1175,"AAAAAH2v/O0=")</f>
        <v>#VALUE!</v>
      </c>
      <c r="IE168" t="e">
        <f>AND(DATA!F1175,"AAAAAH2v/O4=")</f>
        <v>#VALUE!</v>
      </c>
      <c r="IF168" t="e">
        <f>AND(DATA!G1175,"AAAAAH2v/O8=")</f>
        <v>#VALUE!</v>
      </c>
      <c r="IG168" t="e">
        <f>AND(DATA!H1175,"AAAAAH2v/PA=")</f>
        <v>#VALUE!</v>
      </c>
      <c r="IH168" t="e">
        <f>AND(DATA!I1175,"AAAAAH2v/PE=")</f>
        <v>#VALUE!</v>
      </c>
      <c r="II168" t="e">
        <f>AND(DATA!J1175,"AAAAAH2v/PI=")</f>
        <v>#VALUE!</v>
      </c>
      <c r="IJ168" t="e">
        <f>AND(DATA!K1175,"AAAAAH2v/PM=")</f>
        <v>#VALUE!</v>
      </c>
      <c r="IK168" t="b">
        <f>AND(DATA!L1176,"AAAAAH2v/PQ=")</f>
        <v>1</v>
      </c>
      <c r="IL168" t="b">
        <f>AND(DATA!M1176,"AAAAAH2v/PU=")</f>
        <v>1</v>
      </c>
      <c r="IM168" t="b">
        <f>AND(DATA!N1176,"AAAAAH2v/PY=")</f>
        <v>1</v>
      </c>
      <c r="IN168" t="b">
        <f>AND(DATA!O1176,"AAAAAH2v/Pc=")</f>
        <v>1</v>
      </c>
      <c r="IO168" t="b">
        <f>AND(DATA!P1176,"AAAAAH2v/Pg=")</f>
        <v>1</v>
      </c>
      <c r="IP168" t="b">
        <f>AND(DATA!Q1176,"AAAAAH2v/Pk=")</f>
        <v>1</v>
      </c>
      <c r="IQ168" t="b">
        <f>AND(DATA!R1176,"AAAAAH2v/Po=")</f>
        <v>1</v>
      </c>
      <c r="IR168" t="b">
        <f>AND(DATA!S1176,"AAAAAH2v/Ps=")</f>
        <v>1</v>
      </c>
      <c r="IS168" t="b">
        <f>AND(DATA!T1176,"AAAAAH2v/Pw=")</f>
        <v>1</v>
      </c>
      <c r="IT168" t="b">
        <f>AND(DATA!U1176,"AAAAAH2v/P0=")</f>
        <v>1</v>
      </c>
      <c r="IU168" t="b">
        <f>AND(DATA!V1176,"AAAAAH2v/P4=")</f>
        <v>1</v>
      </c>
      <c r="IV168" t="e">
        <f>AND(DATA!W1175,"AAAAAH2v/P8=")</f>
        <v>#VALUE!</v>
      </c>
    </row>
    <row r="169" spans="1:256" x14ac:dyDescent="0.25">
      <c r="A169" t="e">
        <f>AND(DATA!X1175,"AAAAAE39bgA=")</f>
        <v>#VALUE!</v>
      </c>
      <c r="B169" t="e">
        <f>AND(DATA!Y1175,"AAAAAE39bgE=")</f>
        <v>#VALUE!</v>
      </c>
      <c r="C169">
        <f>IF(DATA!1176:1176,"AAAAAE39bgI=",0)</f>
        <v>0</v>
      </c>
      <c r="D169" t="e">
        <f>AND(DATA!A1176,"AAAAAE39bgM=")</f>
        <v>#VALUE!</v>
      </c>
      <c r="E169" t="e">
        <f>AND(DATA!B1176,"AAAAAE39bgQ=")</f>
        <v>#VALUE!</v>
      </c>
      <c r="F169" t="e">
        <f>AND(DATA!C1176,"AAAAAE39bgU=")</f>
        <v>#VALUE!</v>
      </c>
      <c r="G169" t="e">
        <f>AND(DATA!D1176,"AAAAAE39bgY=")</f>
        <v>#VALUE!</v>
      </c>
      <c r="H169" t="e">
        <f>AND(DATA!E1176,"AAAAAE39bgc=")</f>
        <v>#VALUE!</v>
      </c>
      <c r="I169" t="e">
        <f>AND(DATA!F1176,"AAAAAE39bgg=")</f>
        <v>#VALUE!</v>
      </c>
      <c r="J169" t="e">
        <f>AND(DATA!G1176,"AAAAAE39bgk=")</f>
        <v>#VALUE!</v>
      </c>
      <c r="K169" t="e">
        <f>AND(DATA!H1176,"AAAAAE39bgo=")</f>
        <v>#VALUE!</v>
      </c>
      <c r="L169" t="e">
        <f>AND(DATA!I1176,"AAAAAE39bgs=")</f>
        <v>#VALUE!</v>
      </c>
      <c r="M169" t="e">
        <f>AND(DATA!J1176,"AAAAAE39bgw=")</f>
        <v>#VALUE!</v>
      </c>
      <c r="N169" t="e">
        <f>AND(DATA!K1176,"AAAAAE39bg0=")</f>
        <v>#VALUE!</v>
      </c>
      <c r="O169" t="b">
        <f>AND(DATA!L1177,"AAAAAE39bg4=")</f>
        <v>1</v>
      </c>
      <c r="P169" t="b">
        <f>AND(DATA!M1177,"AAAAAE39bg8=")</f>
        <v>1</v>
      </c>
      <c r="Q169" t="b">
        <f>AND(DATA!N1177,"AAAAAE39bhA=")</f>
        <v>1</v>
      </c>
      <c r="R169" t="b">
        <f>AND(DATA!O1177,"AAAAAE39bhE=")</f>
        <v>1</v>
      </c>
      <c r="S169" t="b">
        <f>AND(DATA!P1177,"AAAAAE39bhI=")</f>
        <v>1</v>
      </c>
      <c r="T169" t="b">
        <f>AND(DATA!Q1177,"AAAAAE39bhM=")</f>
        <v>1</v>
      </c>
      <c r="U169" t="b">
        <f>AND(DATA!R1177,"AAAAAE39bhQ=")</f>
        <v>1</v>
      </c>
      <c r="V169" t="b">
        <f>AND(DATA!S1177,"AAAAAE39bhU=")</f>
        <v>1</v>
      </c>
      <c r="W169" t="b">
        <f>AND(DATA!T1177,"AAAAAE39bhY=")</f>
        <v>1</v>
      </c>
      <c r="X169" t="b">
        <f>AND(DATA!U1177,"AAAAAE39bhc=")</f>
        <v>1</v>
      </c>
      <c r="Y169" t="b">
        <f>AND(DATA!V1177,"AAAAAE39bhg=")</f>
        <v>1</v>
      </c>
      <c r="Z169" t="e">
        <f>AND(DATA!W1176,"AAAAAE39bhk=")</f>
        <v>#VALUE!</v>
      </c>
      <c r="AA169" t="e">
        <f>AND(DATA!X1176,"AAAAAE39bho=")</f>
        <v>#VALUE!</v>
      </c>
      <c r="AB169" t="e">
        <f>AND(DATA!Y1176,"AAAAAE39bhs=")</f>
        <v>#VALUE!</v>
      </c>
      <c r="AC169">
        <f>IF(DATA!1177:1177,"AAAAAE39bhw=",0)</f>
        <v>0</v>
      </c>
      <c r="AD169" t="e">
        <f>AND(DATA!A1177,"AAAAAE39bh0=")</f>
        <v>#VALUE!</v>
      </c>
      <c r="AE169" t="e">
        <f>AND(DATA!B1177,"AAAAAE39bh4=")</f>
        <v>#VALUE!</v>
      </c>
      <c r="AF169" t="e">
        <f>AND(DATA!C1177,"AAAAAE39bh8=")</f>
        <v>#VALUE!</v>
      </c>
      <c r="AG169" t="e">
        <f>AND(DATA!D1177,"AAAAAE39biA=")</f>
        <v>#VALUE!</v>
      </c>
      <c r="AH169" t="e">
        <f>AND(DATA!E1177,"AAAAAE39biE=")</f>
        <v>#VALUE!</v>
      </c>
      <c r="AI169" t="e">
        <f>AND(DATA!F1177,"AAAAAE39biI=")</f>
        <v>#VALUE!</v>
      </c>
      <c r="AJ169" t="e">
        <f>AND(DATA!G1177,"AAAAAE39biM=")</f>
        <v>#VALUE!</v>
      </c>
      <c r="AK169" t="e">
        <f>AND(DATA!H1177,"AAAAAE39biQ=")</f>
        <v>#VALUE!</v>
      </c>
      <c r="AL169" t="e">
        <f>AND(DATA!I1177,"AAAAAE39biU=")</f>
        <v>#VALUE!</v>
      </c>
      <c r="AM169" t="e">
        <f>AND(DATA!J1177,"AAAAAE39biY=")</f>
        <v>#VALUE!</v>
      </c>
      <c r="AN169" t="e">
        <f>AND(DATA!K1177,"AAAAAE39bic=")</f>
        <v>#VALUE!</v>
      </c>
      <c r="AO169" t="b">
        <f>AND(DATA!L1178,"AAAAAE39big=")</f>
        <v>1</v>
      </c>
      <c r="AP169" t="b">
        <f>AND(DATA!M1178,"AAAAAE39bik=")</f>
        <v>1</v>
      </c>
      <c r="AQ169" t="b">
        <f>AND(DATA!N1178,"AAAAAE39bio=")</f>
        <v>1</v>
      </c>
      <c r="AR169" t="b">
        <f>AND(DATA!O1178,"AAAAAE39bis=")</f>
        <v>1</v>
      </c>
      <c r="AS169" t="b">
        <f>AND(DATA!P1178,"AAAAAE39biw=")</f>
        <v>1</v>
      </c>
      <c r="AT169" t="b">
        <f>AND(DATA!Q1178,"AAAAAE39bi0=")</f>
        <v>1</v>
      </c>
      <c r="AU169" t="b">
        <f>AND(DATA!R1178,"AAAAAE39bi4=")</f>
        <v>1</v>
      </c>
      <c r="AV169" t="b">
        <f>AND(DATA!S1178,"AAAAAE39bi8=")</f>
        <v>1</v>
      </c>
      <c r="AW169" t="b">
        <f>AND(DATA!T1178,"AAAAAE39bjA=")</f>
        <v>1</v>
      </c>
      <c r="AX169" t="b">
        <f>AND(DATA!U1178,"AAAAAE39bjE=")</f>
        <v>1</v>
      </c>
      <c r="AY169" t="b">
        <f>AND(DATA!V1178,"AAAAAE39bjI=")</f>
        <v>1</v>
      </c>
      <c r="AZ169" t="e">
        <f>AND(DATA!W1177,"AAAAAE39bjM=")</f>
        <v>#VALUE!</v>
      </c>
      <c r="BA169" t="e">
        <f>AND(DATA!X1177,"AAAAAE39bjQ=")</f>
        <v>#VALUE!</v>
      </c>
      <c r="BB169" t="e">
        <f>AND(DATA!Y1177,"AAAAAE39bjU=")</f>
        <v>#VALUE!</v>
      </c>
      <c r="BC169">
        <f>IF(DATA!1178:1178,"AAAAAE39bjY=",0)</f>
        <v>0</v>
      </c>
      <c r="BD169" t="e">
        <f>AND(DATA!A1178,"AAAAAE39bjc=")</f>
        <v>#VALUE!</v>
      </c>
      <c r="BE169" t="e">
        <f>AND(DATA!B1178,"AAAAAE39bjg=")</f>
        <v>#VALUE!</v>
      </c>
      <c r="BF169" t="e">
        <f>AND(DATA!C1178,"AAAAAE39bjk=")</f>
        <v>#VALUE!</v>
      </c>
      <c r="BG169" t="e">
        <f>AND(DATA!D1178,"AAAAAE39bjo=")</f>
        <v>#VALUE!</v>
      </c>
      <c r="BH169" t="e">
        <f>AND(DATA!E1178,"AAAAAE39bjs=")</f>
        <v>#VALUE!</v>
      </c>
      <c r="BI169" t="e">
        <f>AND(DATA!F1178,"AAAAAE39bjw=")</f>
        <v>#VALUE!</v>
      </c>
      <c r="BJ169" t="e">
        <f>AND(DATA!G1178,"AAAAAE39bj0=")</f>
        <v>#VALUE!</v>
      </c>
      <c r="BK169" t="e">
        <f>AND(DATA!H1178,"AAAAAE39bj4=")</f>
        <v>#VALUE!</v>
      </c>
      <c r="BL169" t="e">
        <f>AND(DATA!I1178,"AAAAAE39bj8=")</f>
        <v>#VALUE!</v>
      </c>
      <c r="BM169" t="e">
        <f>AND(DATA!J1178,"AAAAAE39bkA=")</f>
        <v>#VALUE!</v>
      </c>
      <c r="BN169" t="e">
        <f>AND(DATA!K1178,"AAAAAE39bkE=")</f>
        <v>#VALUE!</v>
      </c>
      <c r="BO169" t="b">
        <f>AND(DATA!L1179,"AAAAAE39bkI=")</f>
        <v>1</v>
      </c>
      <c r="BP169" t="b">
        <f>AND(DATA!M1179,"AAAAAE39bkM=")</f>
        <v>1</v>
      </c>
      <c r="BQ169" t="b">
        <f>AND(DATA!N1179,"AAAAAE39bkQ=")</f>
        <v>1</v>
      </c>
      <c r="BR169" t="b">
        <f>AND(DATA!O1179,"AAAAAE39bkU=")</f>
        <v>1</v>
      </c>
      <c r="BS169" t="b">
        <f>AND(DATA!P1179,"AAAAAE39bkY=")</f>
        <v>1</v>
      </c>
      <c r="BT169" t="b">
        <f>AND(DATA!Q1179,"AAAAAE39bkc=")</f>
        <v>1</v>
      </c>
      <c r="BU169" t="b">
        <f>AND(DATA!R1179,"AAAAAE39bkg=")</f>
        <v>1</v>
      </c>
      <c r="BV169" t="b">
        <f>AND(DATA!S1179,"AAAAAE39bkk=")</f>
        <v>1</v>
      </c>
      <c r="BW169" t="b">
        <f>AND(DATA!T1179,"AAAAAE39bko=")</f>
        <v>1</v>
      </c>
      <c r="BX169" t="b">
        <f>AND(DATA!U1179,"AAAAAE39bks=")</f>
        <v>1</v>
      </c>
      <c r="BY169" t="b">
        <f>AND(DATA!V1179,"AAAAAE39bkw=")</f>
        <v>1</v>
      </c>
      <c r="BZ169" t="e">
        <f>AND(DATA!W1178,"AAAAAE39bk0=")</f>
        <v>#VALUE!</v>
      </c>
      <c r="CA169" t="e">
        <f>AND(DATA!X1178,"AAAAAE39bk4=")</f>
        <v>#VALUE!</v>
      </c>
      <c r="CB169" t="e">
        <f>AND(DATA!Y1178,"AAAAAE39bk8=")</f>
        <v>#VALUE!</v>
      </c>
      <c r="CC169">
        <f>IF(DATA!1179:1179,"AAAAAE39blA=",0)</f>
        <v>0</v>
      </c>
      <c r="CD169" t="e">
        <f>AND(DATA!A1179,"AAAAAE39blE=")</f>
        <v>#VALUE!</v>
      </c>
      <c r="CE169" t="e">
        <f>AND(DATA!B1179,"AAAAAE39blI=")</f>
        <v>#VALUE!</v>
      </c>
      <c r="CF169" t="e">
        <f>AND(DATA!C1179,"AAAAAE39blM=")</f>
        <v>#VALUE!</v>
      </c>
      <c r="CG169" t="e">
        <f>AND(DATA!D1179,"AAAAAE39blQ=")</f>
        <v>#VALUE!</v>
      </c>
      <c r="CH169" t="e">
        <f>AND(DATA!E1179,"AAAAAE39blU=")</f>
        <v>#VALUE!</v>
      </c>
      <c r="CI169" t="e">
        <f>AND(DATA!F1179,"AAAAAE39blY=")</f>
        <v>#VALUE!</v>
      </c>
      <c r="CJ169" t="e">
        <f>AND(DATA!G1179,"AAAAAE39blc=")</f>
        <v>#VALUE!</v>
      </c>
      <c r="CK169" t="e">
        <f>AND(DATA!H1179,"AAAAAE39blg=")</f>
        <v>#VALUE!</v>
      </c>
      <c r="CL169" t="e">
        <f>AND(DATA!I1179,"AAAAAE39blk=")</f>
        <v>#VALUE!</v>
      </c>
      <c r="CM169" t="e">
        <f>AND(DATA!J1179,"AAAAAE39blo=")</f>
        <v>#VALUE!</v>
      </c>
      <c r="CN169" t="e">
        <f>AND(DATA!K1179,"AAAAAE39bls=")</f>
        <v>#VALUE!</v>
      </c>
      <c r="CO169" t="b">
        <f>AND(DATA!L1180,"AAAAAE39blw=")</f>
        <v>1</v>
      </c>
      <c r="CP169" t="b">
        <f>AND(DATA!M1180,"AAAAAE39bl0=")</f>
        <v>1</v>
      </c>
      <c r="CQ169" t="b">
        <f>AND(DATA!N1180,"AAAAAE39bl4=")</f>
        <v>1</v>
      </c>
      <c r="CR169" t="b">
        <f>AND(DATA!O1180,"AAAAAE39bl8=")</f>
        <v>1</v>
      </c>
      <c r="CS169" t="b">
        <f>AND(DATA!P1180,"AAAAAE39bmA=")</f>
        <v>1</v>
      </c>
      <c r="CT169" t="b">
        <f>AND(DATA!Q1180,"AAAAAE39bmE=")</f>
        <v>1</v>
      </c>
      <c r="CU169" t="b">
        <f>AND(DATA!R1180,"AAAAAE39bmI=")</f>
        <v>1</v>
      </c>
      <c r="CV169" t="b">
        <f>AND(DATA!S1180,"AAAAAE39bmM=")</f>
        <v>1</v>
      </c>
      <c r="CW169" t="b">
        <f>AND(DATA!T1180,"AAAAAE39bmQ=")</f>
        <v>1</v>
      </c>
      <c r="CX169" t="b">
        <f>AND(DATA!U1180,"AAAAAE39bmU=")</f>
        <v>1</v>
      </c>
      <c r="CY169" t="b">
        <f>AND(DATA!V1180,"AAAAAE39bmY=")</f>
        <v>1</v>
      </c>
      <c r="CZ169" t="e">
        <f>AND(DATA!W1179,"AAAAAE39bmc=")</f>
        <v>#VALUE!</v>
      </c>
      <c r="DA169" t="e">
        <f>AND(DATA!X1179,"AAAAAE39bmg=")</f>
        <v>#VALUE!</v>
      </c>
      <c r="DB169" t="e">
        <f>AND(DATA!Y1179,"AAAAAE39bmk=")</f>
        <v>#VALUE!</v>
      </c>
      <c r="DC169">
        <f>IF(DATA!1180:1180,"AAAAAE39bmo=",0)</f>
        <v>0</v>
      </c>
      <c r="DD169" t="e">
        <f>AND(DATA!A1180,"AAAAAE39bms=")</f>
        <v>#VALUE!</v>
      </c>
      <c r="DE169" t="e">
        <f>AND(DATA!B1180,"AAAAAE39bmw=")</f>
        <v>#VALUE!</v>
      </c>
      <c r="DF169" t="e">
        <f>AND(DATA!C1180,"AAAAAE39bm0=")</f>
        <v>#VALUE!</v>
      </c>
      <c r="DG169" t="e">
        <f>AND(DATA!D1180,"AAAAAE39bm4=")</f>
        <v>#VALUE!</v>
      </c>
      <c r="DH169" t="e">
        <f>AND(DATA!E1180,"AAAAAE39bm8=")</f>
        <v>#VALUE!</v>
      </c>
      <c r="DI169" t="e">
        <f>AND(DATA!F1180,"AAAAAE39bnA=")</f>
        <v>#VALUE!</v>
      </c>
      <c r="DJ169" t="e">
        <f>AND(DATA!G1180,"AAAAAE39bnE=")</f>
        <v>#VALUE!</v>
      </c>
      <c r="DK169" t="e">
        <f>AND(DATA!H1180,"AAAAAE39bnI=")</f>
        <v>#VALUE!</v>
      </c>
      <c r="DL169" t="e">
        <f>AND(DATA!I1180,"AAAAAE39bnM=")</f>
        <v>#VALUE!</v>
      </c>
      <c r="DM169" t="e">
        <f>AND(DATA!J1180,"AAAAAE39bnQ=")</f>
        <v>#VALUE!</v>
      </c>
      <c r="DN169" t="e">
        <f>AND(DATA!K1180,"AAAAAE39bnU=")</f>
        <v>#VALUE!</v>
      </c>
      <c r="DO169" t="b">
        <f>AND(DATA!L1181,"AAAAAE39bnY=")</f>
        <v>1</v>
      </c>
      <c r="DP169" t="b">
        <f>AND(DATA!M1181,"AAAAAE39bnc=")</f>
        <v>1</v>
      </c>
      <c r="DQ169" t="b">
        <f>AND(DATA!N1181,"AAAAAE39bng=")</f>
        <v>1</v>
      </c>
      <c r="DR169" t="b">
        <f>AND(DATA!O1181,"AAAAAE39bnk=")</f>
        <v>1</v>
      </c>
      <c r="DS169" t="b">
        <f>AND(DATA!P1181,"AAAAAE39bno=")</f>
        <v>1</v>
      </c>
      <c r="DT169" t="b">
        <f>AND(DATA!Q1181,"AAAAAE39bns=")</f>
        <v>1</v>
      </c>
      <c r="DU169" t="b">
        <f>AND(DATA!R1181,"AAAAAE39bnw=")</f>
        <v>1</v>
      </c>
      <c r="DV169" t="b">
        <f>AND(DATA!S1181,"AAAAAE39bn0=")</f>
        <v>1</v>
      </c>
      <c r="DW169" t="b">
        <f>AND(DATA!T1181,"AAAAAE39bn4=")</f>
        <v>1</v>
      </c>
      <c r="DX169" t="b">
        <f>AND(DATA!U1181,"AAAAAE39bn8=")</f>
        <v>1</v>
      </c>
      <c r="DY169" t="b">
        <f>AND(DATA!V1181,"AAAAAE39boA=")</f>
        <v>1</v>
      </c>
      <c r="DZ169" t="e">
        <f>AND(DATA!W1180,"AAAAAE39boE=")</f>
        <v>#VALUE!</v>
      </c>
      <c r="EA169" t="e">
        <f>AND(DATA!X1180,"AAAAAE39boI=")</f>
        <v>#VALUE!</v>
      </c>
      <c r="EB169" t="e">
        <f>AND(DATA!Y1180,"AAAAAE39boM=")</f>
        <v>#VALUE!</v>
      </c>
      <c r="EC169">
        <f>IF(DATA!1181:1181,"AAAAAE39boQ=",0)</f>
        <v>0</v>
      </c>
      <c r="ED169" t="e">
        <f>AND(DATA!A1181,"AAAAAE39boU=")</f>
        <v>#VALUE!</v>
      </c>
      <c r="EE169" t="e">
        <f>AND(DATA!B1181,"AAAAAE39boY=")</f>
        <v>#VALUE!</v>
      </c>
      <c r="EF169" t="e">
        <f>AND(DATA!C1181,"AAAAAE39boc=")</f>
        <v>#VALUE!</v>
      </c>
      <c r="EG169" t="e">
        <f>AND(DATA!D1181,"AAAAAE39bog=")</f>
        <v>#VALUE!</v>
      </c>
      <c r="EH169" t="e">
        <f>AND(DATA!E1181,"AAAAAE39bok=")</f>
        <v>#VALUE!</v>
      </c>
      <c r="EI169" t="e">
        <f>AND(DATA!F1181,"AAAAAE39boo=")</f>
        <v>#VALUE!</v>
      </c>
      <c r="EJ169" t="e">
        <f>AND(DATA!G1181,"AAAAAE39bos=")</f>
        <v>#VALUE!</v>
      </c>
      <c r="EK169" t="e">
        <f>AND(DATA!H1181,"AAAAAE39bow=")</f>
        <v>#VALUE!</v>
      </c>
      <c r="EL169" t="e">
        <f>AND(DATA!I1181,"AAAAAE39bo0=")</f>
        <v>#VALUE!</v>
      </c>
      <c r="EM169" t="e">
        <f>AND(DATA!J1181,"AAAAAE39bo4=")</f>
        <v>#VALUE!</v>
      </c>
      <c r="EN169" t="e">
        <f>AND(DATA!K1181,"AAAAAE39bo8=")</f>
        <v>#VALUE!</v>
      </c>
      <c r="EO169" t="b">
        <f>AND(DATA!L1182,"AAAAAE39bpA=")</f>
        <v>1</v>
      </c>
      <c r="EP169" t="b">
        <f>AND(DATA!M1182,"AAAAAE39bpE=")</f>
        <v>1</v>
      </c>
      <c r="EQ169" t="b">
        <f>AND(DATA!N1182,"AAAAAE39bpI=")</f>
        <v>1</v>
      </c>
      <c r="ER169" t="b">
        <f>AND(DATA!O1182,"AAAAAE39bpM=")</f>
        <v>1</v>
      </c>
      <c r="ES169" t="b">
        <f>AND(DATA!P1182,"AAAAAE39bpQ=")</f>
        <v>1</v>
      </c>
      <c r="ET169" t="b">
        <f>AND(DATA!Q1182,"AAAAAE39bpU=")</f>
        <v>1</v>
      </c>
      <c r="EU169" t="b">
        <f>AND(DATA!R1182,"AAAAAE39bpY=")</f>
        <v>1</v>
      </c>
      <c r="EV169" t="b">
        <f>AND(DATA!S1182,"AAAAAE39bpc=")</f>
        <v>1</v>
      </c>
      <c r="EW169" t="b">
        <f>AND(DATA!T1182,"AAAAAE39bpg=")</f>
        <v>1</v>
      </c>
      <c r="EX169" t="b">
        <f>AND(DATA!U1182,"AAAAAE39bpk=")</f>
        <v>1</v>
      </c>
      <c r="EY169" t="b">
        <f>AND(DATA!V1182,"AAAAAE39bpo=")</f>
        <v>1</v>
      </c>
      <c r="EZ169" t="e">
        <f>AND(DATA!W1181,"AAAAAE39bps=")</f>
        <v>#VALUE!</v>
      </c>
      <c r="FA169" t="e">
        <f>AND(DATA!X1181,"AAAAAE39bpw=")</f>
        <v>#VALUE!</v>
      </c>
      <c r="FB169" t="e">
        <f>AND(DATA!Y1181,"AAAAAE39bp0=")</f>
        <v>#VALUE!</v>
      </c>
      <c r="FC169">
        <f>IF(DATA!1182:1182,"AAAAAE39bp4=",0)</f>
        <v>0</v>
      </c>
      <c r="FD169" t="e">
        <f>AND(DATA!A1182,"AAAAAE39bp8=")</f>
        <v>#VALUE!</v>
      </c>
      <c r="FE169" t="e">
        <f>AND(DATA!B1182,"AAAAAE39bqA=")</f>
        <v>#VALUE!</v>
      </c>
      <c r="FF169" t="e">
        <f>AND(DATA!C1182,"AAAAAE39bqE=")</f>
        <v>#VALUE!</v>
      </c>
      <c r="FG169" t="e">
        <f>AND(DATA!D1182,"AAAAAE39bqI=")</f>
        <v>#VALUE!</v>
      </c>
      <c r="FH169" t="e">
        <f>AND(DATA!E1182,"AAAAAE39bqM=")</f>
        <v>#VALUE!</v>
      </c>
      <c r="FI169" t="e">
        <f>AND(DATA!F1182,"AAAAAE39bqQ=")</f>
        <v>#VALUE!</v>
      </c>
      <c r="FJ169" t="e">
        <f>AND(DATA!G1182,"AAAAAE39bqU=")</f>
        <v>#VALUE!</v>
      </c>
      <c r="FK169" t="e">
        <f>AND(DATA!H1182,"AAAAAE39bqY=")</f>
        <v>#VALUE!</v>
      </c>
      <c r="FL169" t="e">
        <f>AND(DATA!I1182,"AAAAAE39bqc=")</f>
        <v>#VALUE!</v>
      </c>
      <c r="FM169" t="e">
        <f>AND(DATA!J1182,"AAAAAE39bqg=")</f>
        <v>#VALUE!</v>
      </c>
      <c r="FN169" t="e">
        <f>AND(DATA!K1182,"AAAAAE39bqk=")</f>
        <v>#VALUE!</v>
      </c>
      <c r="FO169" t="b">
        <f>AND(DATA!L1183,"AAAAAE39bqo=")</f>
        <v>1</v>
      </c>
      <c r="FP169" t="b">
        <f>AND(DATA!M1183,"AAAAAE39bqs=")</f>
        <v>1</v>
      </c>
      <c r="FQ169" t="b">
        <f>AND(DATA!N1183,"AAAAAE39bqw=")</f>
        <v>1</v>
      </c>
      <c r="FR169" t="b">
        <f>AND(DATA!O1183,"AAAAAE39bq0=")</f>
        <v>1</v>
      </c>
      <c r="FS169" t="b">
        <f>AND(DATA!P1183,"AAAAAE39bq4=")</f>
        <v>1</v>
      </c>
      <c r="FT169" t="b">
        <f>AND(DATA!Q1183,"AAAAAE39bq8=")</f>
        <v>1</v>
      </c>
      <c r="FU169" t="b">
        <f>AND(DATA!R1183,"AAAAAE39brA=")</f>
        <v>1</v>
      </c>
      <c r="FV169" t="b">
        <f>AND(DATA!S1183,"AAAAAE39brE=")</f>
        <v>1</v>
      </c>
      <c r="FW169" t="b">
        <f>AND(DATA!T1183,"AAAAAE39brI=")</f>
        <v>1</v>
      </c>
      <c r="FX169" t="b">
        <f>AND(DATA!U1183,"AAAAAE39brM=")</f>
        <v>1</v>
      </c>
      <c r="FY169" t="b">
        <f>AND(DATA!V1183,"AAAAAE39brQ=")</f>
        <v>1</v>
      </c>
      <c r="FZ169" t="e">
        <f>AND(DATA!W1182,"AAAAAE39brU=")</f>
        <v>#VALUE!</v>
      </c>
      <c r="GA169" t="e">
        <f>AND(DATA!X1182,"AAAAAE39brY=")</f>
        <v>#VALUE!</v>
      </c>
      <c r="GB169" t="e">
        <f>AND(DATA!Y1182,"AAAAAE39brc=")</f>
        <v>#VALUE!</v>
      </c>
      <c r="GC169">
        <f>IF(DATA!1183:1183,"AAAAAE39brg=",0)</f>
        <v>0</v>
      </c>
      <c r="GD169" t="e">
        <f>AND(DATA!A1183,"AAAAAE39brk=")</f>
        <v>#VALUE!</v>
      </c>
      <c r="GE169" t="e">
        <f>AND(DATA!B1183,"AAAAAE39bro=")</f>
        <v>#VALUE!</v>
      </c>
      <c r="GF169" t="e">
        <f>AND(DATA!C1183,"AAAAAE39brs=")</f>
        <v>#VALUE!</v>
      </c>
      <c r="GG169" t="e">
        <f>AND(DATA!D1183,"AAAAAE39brw=")</f>
        <v>#VALUE!</v>
      </c>
      <c r="GH169" t="e">
        <f>AND(DATA!E1183,"AAAAAE39br0=")</f>
        <v>#VALUE!</v>
      </c>
      <c r="GI169" t="e">
        <f>AND(DATA!F1183,"AAAAAE39br4=")</f>
        <v>#VALUE!</v>
      </c>
      <c r="GJ169" t="e">
        <f>AND(DATA!G1183,"AAAAAE39br8=")</f>
        <v>#VALUE!</v>
      </c>
      <c r="GK169" t="e">
        <f>AND(DATA!H1183,"AAAAAE39bsA=")</f>
        <v>#VALUE!</v>
      </c>
      <c r="GL169" t="e">
        <f>AND(DATA!I1183,"AAAAAE39bsE=")</f>
        <v>#VALUE!</v>
      </c>
      <c r="GM169" t="e">
        <f>AND(DATA!J1183,"AAAAAE39bsI=")</f>
        <v>#VALUE!</v>
      </c>
      <c r="GN169" t="e">
        <f>AND(DATA!K1183,"AAAAAE39bsM=")</f>
        <v>#VALUE!</v>
      </c>
      <c r="GO169" t="b">
        <f>AND(DATA!L1184,"AAAAAE39bsQ=")</f>
        <v>1</v>
      </c>
      <c r="GP169" t="b">
        <f>AND(DATA!M1184,"AAAAAE39bsU=")</f>
        <v>1</v>
      </c>
      <c r="GQ169" t="b">
        <f>AND(DATA!N1184,"AAAAAE39bsY=")</f>
        <v>1</v>
      </c>
      <c r="GR169" t="b">
        <f>AND(DATA!O1184,"AAAAAE39bsc=")</f>
        <v>1</v>
      </c>
      <c r="GS169" t="b">
        <f>AND(DATA!P1184,"AAAAAE39bsg=")</f>
        <v>1</v>
      </c>
      <c r="GT169" t="b">
        <f>AND(DATA!Q1184,"AAAAAE39bsk=")</f>
        <v>1</v>
      </c>
      <c r="GU169" t="b">
        <f>AND(DATA!R1184,"AAAAAE39bso=")</f>
        <v>1</v>
      </c>
      <c r="GV169" t="b">
        <f>AND(DATA!S1184,"AAAAAE39bss=")</f>
        <v>1</v>
      </c>
      <c r="GW169" t="b">
        <f>AND(DATA!T1184,"AAAAAE39bsw=")</f>
        <v>1</v>
      </c>
      <c r="GX169" t="b">
        <f>AND(DATA!U1184,"AAAAAE39bs0=")</f>
        <v>1</v>
      </c>
      <c r="GY169" t="b">
        <f>AND(DATA!V1184,"AAAAAE39bs4=")</f>
        <v>1</v>
      </c>
      <c r="GZ169" t="e">
        <f>AND(DATA!W1183,"AAAAAE39bs8=")</f>
        <v>#VALUE!</v>
      </c>
      <c r="HA169" t="e">
        <f>AND(DATA!X1183,"AAAAAE39btA=")</f>
        <v>#VALUE!</v>
      </c>
      <c r="HB169" t="e">
        <f>AND(DATA!Y1183,"AAAAAE39btE=")</f>
        <v>#VALUE!</v>
      </c>
      <c r="HC169">
        <f>IF(DATA!1184:1184,"AAAAAE39btI=",0)</f>
        <v>0</v>
      </c>
      <c r="HD169" t="e">
        <f>AND(DATA!A1184,"AAAAAE39btM=")</f>
        <v>#VALUE!</v>
      </c>
      <c r="HE169" t="e">
        <f>AND(DATA!B1184,"AAAAAE39btQ=")</f>
        <v>#VALUE!</v>
      </c>
      <c r="HF169" t="e">
        <f>AND(DATA!C1184,"AAAAAE39btU=")</f>
        <v>#VALUE!</v>
      </c>
      <c r="HG169" t="e">
        <f>AND(DATA!D1184,"AAAAAE39btY=")</f>
        <v>#VALUE!</v>
      </c>
      <c r="HH169" t="e">
        <f>AND(DATA!E1184,"AAAAAE39btc=")</f>
        <v>#VALUE!</v>
      </c>
      <c r="HI169" t="e">
        <f>AND(DATA!F1184,"AAAAAE39btg=")</f>
        <v>#VALUE!</v>
      </c>
      <c r="HJ169" t="e">
        <f>AND(DATA!G1184,"AAAAAE39btk=")</f>
        <v>#VALUE!</v>
      </c>
      <c r="HK169" t="e">
        <f>AND(DATA!H1184,"AAAAAE39bto=")</f>
        <v>#VALUE!</v>
      </c>
      <c r="HL169" t="e">
        <f>AND(DATA!I1184,"AAAAAE39bts=")</f>
        <v>#VALUE!</v>
      </c>
      <c r="HM169" t="e">
        <f>AND(DATA!J1184,"AAAAAE39btw=")</f>
        <v>#VALUE!</v>
      </c>
      <c r="HN169" t="e">
        <f>AND(DATA!K1184,"AAAAAE39bt0=")</f>
        <v>#VALUE!</v>
      </c>
      <c r="HO169" t="b">
        <f>AND(DATA!L1185,"AAAAAE39bt4=")</f>
        <v>1</v>
      </c>
      <c r="HP169" t="b">
        <f>AND(DATA!M1185,"AAAAAE39bt8=")</f>
        <v>1</v>
      </c>
      <c r="HQ169" t="b">
        <f>AND(DATA!N1185,"AAAAAE39buA=")</f>
        <v>1</v>
      </c>
      <c r="HR169" t="b">
        <f>AND(DATA!O1185,"AAAAAE39buE=")</f>
        <v>1</v>
      </c>
      <c r="HS169" t="b">
        <f>AND(DATA!P1185,"AAAAAE39buI=")</f>
        <v>1</v>
      </c>
      <c r="HT169" t="b">
        <f>AND(DATA!Q1185,"AAAAAE39buM=")</f>
        <v>1</v>
      </c>
      <c r="HU169" t="b">
        <f>AND(DATA!R1185,"AAAAAE39buQ=")</f>
        <v>1</v>
      </c>
      <c r="HV169" t="b">
        <f>AND(DATA!S1185,"AAAAAE39buU=")</f>
        <v>1</v>
      </c>
      <c r="HW169" t="b">
        <f>AND(DATA!T1185,"AAAAAE39buY=")</f>
        <v>1</v>
      </c>
      <c r="HX169" t="b">
        <f>AND(DATA!U1185,"AAAAAE39buc=")</f>
        <v>1</v>
      </c>
      <c r="HY169" t="b">
        <f>AND(DATA!V1185,"AAAAAE39bug=")</f>
        <v>1</v>
      </c>
      <c r="HZ169" t="e">
        <f>AND(DATA!W1184,"AAAAAE39buk=")</f>
        <v>#VALUE!</v>
      </c>
      <c r="IA169" t="e">
        <f>AND(DATA!X1184,"AAAAAE39buo=")</f>
        <v>#VALUE!</v>
      </c>
      <c r="IB169" t="e">
        <f>AND(DATA!Y1184,"AAAAAE39bus=")</f>
        <v>#VALUE!</v>
      </c>
      <c r="IC169">
        <f>IF(DATA!1185:1185,"AAAAAE39buw=",0)</f>
        <v>0</v>
      </c>
      <c r="ID169" t="e">
        <f>AND(DATA!A1185,"AAAAAE39bu0=")</f>
        <v>#VALUE!</v>
      </c>
      <c r="IE169" t="e">
        <f>AND(DATA!B1185,"AAAAAE39bu4=")</f>
        <v>#VALUE!</v>
      </c>
      <c r="IF169" t="e">
        <f>AND(DATA!C1185,"AAAAAE39bu8=")</f>
        <v>#VALUE!</v>
      </c>
      <c r="IG169" t="e">
        <f>AND(DATA!D1185,"AAAAAE39bvA=")</f>
        <v>#VALUE!</v>
      </c>
      <c r="IH169" t="e">
        <f>AND(DATA!E1185,"AAAAAE39bvE=")</f>
        <v>#VALUE!</v>
      </c>
      <c r="II169" t="e">
        <f>AND(DATA!F1185,"AAAAAE39bvI=")</f>
        <v>#VALUE!</v>
      </c>
      <c r="IJ169" t="e">
        <f>AND(DATA!G1185,"AAAAAE39bvM=")</f>
        <v>#VALUE!</v>
      </c>
      <c r="IK169" t="e">
        <f>AND(DATA!H1185,"AAAAAE39bvQ=")</f>
        <v>#VALUE!</v>
      </c>
      <c r="IL169" t="e">
        <f>AND(DATA!I1185,"AAAAAE39bvU=")</f>
        <v>#VALUE!</v>
      </c>
      <c r="IM169" t="e">
        <f>AND(DATA!J1185,"AAAAAE39bvY=")</f>
        <v>#VALUE!</v>
      </c>
      <c r="IN169" t="e">
        <f>AND(DATA!K1185,"AAAAAE39bvc=")</f>
        <v>#VALUE!</v>
      </c>
      <c r="IO169" t="b">
        <f>AND(DATA!L1186,"AAAAAE39bvg=")</f>
        <v>1</v>
      </c>
      <c r="IP169" t="b">
        <f>AND(DATA!M1186,"AAAAAE39bvk=")</f>
        <v>1</v>
      </c>
      <c r="IQ169" t="b">
        <f>AND(DATA!N1186,"AAAAAE39bvo=")</f>
        <v>1</v>
      </c>
      <c r="IR169" t="b">
        <f>AND(DATA!O1186,"AAAAAE39bvs=")</f>
        <v>1</v>
      </c>
      <c r="IS169" t="b">
        <f>AND(DATA!P1186,"AAAAAE39bvw=")</f>
        <v>1</v>
      </c>
      <c r="IT169" t="b">
        <f>AND(DATA!Q1186,"AAAAAE39bv0=")</f>
        <v>1</v>
      </c>
      <c r="IU169" t="b">
        <f>AND(DATA!R1186,"AAAAAE39bv4=")</f>
        <v>1</v>
      </c>
      <c r="IV169" t="b">
        <f>AND(DATA!S1186,"AAAAAE39bv8=")</f>
        <v>1</v>
      </c>
    </row>
    <row r="170" spans="1:256" x14ac:dyDescent="0.25">
      <c r="A170" t="b">
        <f>AND(DATA!T1186,"AAAAAH+/+wA=")</f>
        <v>1</v>
      </c>
      <c r="B170" t="b">
        <f>AND(DATA!U1186,"AAAAAH+/+wE=")</f>
        <v>1</v>
      </c>
      <c r="C170" t="b">
        <f>AND(DATA!V1186,"AAAAAH+/+wI=")</f>
        <v>1</v>
      </c>
      <c r="D170" t="e">
        <f>AND(DATA!W1185,"AAAAAH+/+wM=")</f>
        <v>#VALUE!</v>
      </c>
      <c r="E170" t="e">
        <f>AND(DATA!X1185,"AAAAAH+/+wQ=")</f>
        <v>#VALUE!</v>
      </c>
      <c r="F170" t="e">
        <f>AND(DATA!Y1185,"AAAAAH+/+wU=")</f>
        <v>#VALUE!</v>
      </c>
      <c r="G170">
        <f>IF(DATA!1186:1186,"AAAAAH+/+wY=",0)</f>
        <v>0</v>
      </c>
      <c r="H170" t="e">
        <f>AND(DATA!A1186,"AAAAAH+/+wc=")</f>
        <v>#VALUE!</v>
      </c>
      <c r="I170" t="e">
        <f>AND(DATA!B1186,"AAAAAH+/+wg=")</f>
        <v>#VALUE!</v>
      </c>
      <c r="J170" t="e">
        <f>AND(DATA!C1186,"AAAAAH+/+wk=")</f>
        <v>#VALUE!</v>
      </c>
      <c r="K170" t="e">
        <f>AND(DATA!D1186,"AAAAAH+/+wo=")</f>
        <v>#VALUE!</v>
      </c>
      <c r="L170" t="e">
        <f>AND(DATA!E1186,"AAAAAH+/+ws=")</f>
        <v>#VALUE!</v>
      </c>
      <c r="M170" t="e">
        <f>AND(DATA!F1186,"AAAAAH+/+ww=")</f>
        <v>#VALUE!</v>
      </c>
      <c r="N170" t="e">
        <f>AND(DATA!G1186,"AAAAAH+/+w0=")</f>
        <v>#VALUE!</v>
      </c>
      <c r="O170" t="e">
        <f>AND(DATA!H1186,"AAAAAH+/+w4=")</f>
        <v>#VALUE!</v>
      </c>
      <c r="P170" t="e">
        <f>AND(DATA!I1186,"AAAAAH+/+w8=")</f>
        <v>#VALUE!</v>
      </c>
      <c r="Q170" t="e">
        <f>AND(DATA!J1186,"AAAAAH+/+xA=")</f>
        <v>#VALUE!</v>
      </c>
      <c r="R170" t="e">
        <f>AND(DATA!K1186,"AAAAAH+/+xE=")</f>
        <v>#VALUE!</v>
      </c>
      <c r="S170" t="b">
        <f>AND(DATA!L1187,"AAAAAH+/+xI=")</f>
        <v>1</v>
      </c>
      <c r="T170" t="b">
        <f>AND(DATA!M1187,"AAAAAH+/+xM=")</f>
        <v>1</v>
      </c>
      <c r="U170" t="b">
        <f>AND(DATA!N1187,"AAAAAH+/+xQ=")</f>
        <v>1</v>
      </c>
      <c r="V170" t="b">
        <f>AND(DATA!O1187,"AAAAAH+/+xU=")</f>
        <v>1</v>
      </c>
      <c r="W170" t="b">
        <f>AND(DATA!P1187,"AAAAAH+/+xY=")</f>
        <v>1</v>
      </c>
      <c r="X170" t="b">
        <f>AND(DATA!Q1187,"AAAAAH+/+xc=")</f>
        <v>1</v>
      </c>
      <c r="Y170" t="b">
        <f>AND(DATA!R1187,"AAAAAH+/+xg=")</f>
        <v>1</v>
      </c>
      <c r="Z170" t="b">
        <f>AND(DATA!S1187,"AAAAAH+/+xk=")</f>
        <v>1</v>
      </c>
      <c r="AA170" t="b">
        <f>AND(DATA!T1187,"AAAAAH+/+xo=")</f>
        <v>1</v>
      </c>
      <c r="AB170" t="b">
        <f>AND(DATA!U1187,"AAAAAH+/+xs=")</f>
        <v>1</v>
      </c>
      <c r="AC170" t="b">
        <f>AND(DATA!V1187,"AAAAAH+/+xw=")</f>
        <v>1</v>
      </c>
      <c r="AD170" t="e">
        <f>AND(DATA!W1186,"AAAAAH+/+x0=")</f>
        <v>#VALUE!</v>
      </c>
      <c r="AE170" t="e">
        <f>AND(DATA!X1186,"AAAAAH+/+x4=")</f>
        <v>#VALUE!</v>
      </c>
      <c r="AF170" t="e">
        <f>AND(DATA!Y1186,"AAAAAH+/+x8=")</f>
        <v>#VALUE!</v>
      </c>
      <c r="AG170">
        <f>IF(DATA!1187:1187,"AAAAAH+/+yA=",0)</f>
        <v>0</v>
      </c>
      <c r="AH170" t="e">
        <f>AND(DATA!A1187,"AAAAAH+/+yE=")</f>
        <v>#VALUE!</v>
      </c>
      <c r="AI170" t="e">
        <f>AND(DATA!B1187,"AAAAAH+/+yI=")</f>
        <v>#VALUE!</v>
      </c>
      <c r="AJ170" t="e">
        <f>AND(DATA!C1187,"AAAAAH+/+yM=")</f>
        <v>#VALUE!</v>
      </c>
      <c r="AK170" t="e">
        <f>AND(DATA!D1187,"AAAAAH+/+yQ=")</f>
        <v>#VALUE!</v>
      </c>
      <c r="AL170" t="e">
        <f>AND(DATA!E1187,"AAAAAH+/+yU=")</f>
        <v>#VALUE!</v>
      </c>
      <c r="AM170" t="e">
        <f>AND(DATA!F1187,"AAAAAH+/+yY=")</f>
        <v>#VALUE!</v>
      </c>
      <c r="AN170" t="e">
        <f>AND(DATA!G1187,"AAAAAH+/+yc=")</f>
        <v>#VALUE!</v>
      </c>
      <c r="AO170" t="e">
        <f>AND(DATA!H1187,"AAAAAH+/+yg=")</f>
        <v>#VALUE!</v>
      </c>
      <c r="AP170" t="e">
        <f>AND(DATA!I1187,"AAAAAH+/+yk=")</f>
        <v>#VALUE!</v>
      </c>
      <c r="AQ170" t="e">
        <f>AND(DATA!J1187,"AAAAAH+/+yo=")</f>
        <v>#VALUE!</v>
      </c>
      <c r="AR170" t="e">
        <f>AND(DATA!K1187,"AAAAAH+/+ys=")</f>
        <v>#VALUE!</v>
      </c>
      <c r="AS170" t="b">
        <f>AND(DATA!L1188,"AAAAAH+/+yw=")</f>
        <v>1</v>
      </c>
      <c r="AT170" t="b">
        <f>AND(DATA!M1188,"AAAAAH+/+y0=")</f>
        <v>1</v>
      </c>
      <c r="AU170" t="b">
        <f>AND(DATA!N1188,"AAAAAH+/+y4=")</f>
        <v>1</v>
      </c>
      <c r="AV170" t="b">
        <f>AND(DATA!O1188,"AAAAAH+/+y8=")</f>
        <v>1</v>
      </c>
      <c r="AW170" t="b">
        <f>AND(DATA!P1188,"AAAAAH+/+zA=")</f>
        <v>1</v>
      </c>
      <c r="AX170" t="b">
        <f>AND(DATA!Q1188,"AAAAAH+/+zE=")</f>
        <v>1</v>
      </c>
      <c r="AY170" t="b">
        <f>AND(DATA!R1188,"AAAAAH+/+zI=")</f>
        <v>1</v>
      </c>
      <c r="AZ170" t="b">
        <f>AND(DATA!S1188,"AAAAAH+/+zM=")</f>
        <v>1</v>
      </c>
      <c r="BA170" t="b">
        <f>AND(DATA!T1188,"AAAAAH+/+zQ=")</f>
        <v>1</v>
      </c>
      <c r="BB170" t="b">
        <f>AND(DATA!U1188,"AAAAAH+/+zU=")</f>
        <v>1</v>
      </c>
      <c r="BC170" t="b">
        <f>AND(DATA!V1188,"AAAAAH+/+zY=")</f>
        <v>1</v>
      </c>
      <c r="BD170" t="e">
        <f>AND(DATA!W1187,"AAAAAH+/+zc=")</f>
        <v>#VALUE!</v>
      </c>
      <c r="BE170" t="e">
        <f>AND(DATA!X1187,"AAAAAH+/+zg=")</f>
        <v>#VALUE!</v>
      </c>
      <c r="BF170" t="e">
        <f>AND(DATA!Y1187,"AAAAAH+/+zk=")</f>
        <v>#VALUE!</v>
      </c>
      <c r="BG170">
        <f>IF(DATA!1188:1188,"AAAAAH+/+zo=",0)</f>
        <v>0</v>
      </c>
      <c r="BH170" t="e">
        <f>AND(DATA!A1188,"AAAAAH+/+zs=")</f>
        <v>#VALUE!</v>
      </c>
      <c r="BI170" t="e">
        <f>AND(DATA!B1188,"AAAAAH+/+zw=")</f>
        <v>#VALUE!</v>
      </c>
      <c r="BJ170" t="e">
        <f>AND(DATA!C1188,"AAAAAH+/+z0=")</f>
        <v>#VALUE!</v>
      </c>
      <c r="BK170" t="e">
        <f>AND(DATA!D1188,"AAAAAH+/+z4=")</f>
        <v>#VALUE!</v>
      </c>
      <c r="BL170" t="e">
        <f>AND(DATA!E1188,"AAAAAH+/+z8=")</f>
        <v>#VALUE!</v>
      </c>
      <c r="BM170" t="e">
        <f>AND(DATA!F1188,"AAAAAH+/+0A=")</f>
        <v>#VALUE!</v>
      </c>
      <c r="BN170" t="e">
        <f>AND(DATA!G1188,"AAAAAH+/+0E=")</f>
        <v>#VALUE!</v>
      </c>
      <c r="BO170" t="e">
        <f>AND(DATA!H1188,"AAAAAH+/+0I=")</f>
        <v>#VALUE!</v>
      </c>
      <c r="BP170" t="e">
        <f>AND(DATA!I1188,"AAAAAH+/+0M=")</f>
        <v>#VALUE!</v>
      </c>
      <c r="BQ170" t="e">
        <f>AND(DATA!J1188,"AAAAAH+/+0Q=")</f>
        <v>#VALUE!</v>
      </c>
      <c r="BR170" t="e">
        <f>AND(DATA!K1188,"AAAAAH+/+0U=")</f>
        <v>#VALUE!</v>
      </c>
      <c r="BS170" t="b">
        <f>AND(DATA!L1189,"AAAAAH+/+0Y=")</f>
        <v>1</v>
      </c>
      <c r="BT170" t="b">
        <f>AND(DATA!M1189,"AAAAAH+/+0c=")</f>
        <v>1</v>
      </c>
      <c r="BU170" t="b">
        <f>AND(DATA!N1189,"AAAAAH+/+0g=")</f>
        <v>1</v>
      </c>
      <c r="BV170" t="b">
        <f>AND(DATA!O1189,"AAAAAH+/+0k=")</f>
        <v>1</v>
      </c>
      <c r="BW170" t="b">
        <f>AND(DATA!P1189,"AAAAAH+/+0o=")</f>
        <v>1</v>
      </c>
      <c r="BX170" t="b">
        <f>AND(DATA!Q1189,"AAAAAH+/+0s=")</f>
        <v>1</v>
      </c>
      <c r="BY170" t="b">
        <f>AND(DATA!R1189,"AAAAAH+/+0w=")</f>
        <v>1</v>
      </c>
      <c r="BZ170" t="b">
        <f>AND(DATA!S1189,"AAAAAH+/+00=")</f>
        <v>1</v>
      </c>
      <c r="CA170" t="b">
        <f>AND(DATA!T1189,"AAAAAH+/+04=")</f>
        <v>1</v>
      </c>
      <c r="CB170" t="b">
        <f>AND(DATA!U1189,"AAAAAH+/+08=")</f>
        <v>1</v>
      </c>
      <c r="CC170" t="b">
        <f>AND(DATA!V1189,"AAAAAH+/+1A=")</f>
        <v>1</v>
      </c>
      <c r="CD170" t="e">
        <f>AND(DATA!W1188,"AAAAAH+/+1E=")</f>
        <v>#VALUE!</v>
      </c>
      <c r="CE170" t="e">
        <f>AND(DATA!X1188,"AAAAAH+/+1I=")</f>
        <v>#VALUE!</v>
      </c>
      <c r="CF170" t="e">
        <f>AND(DATA!Y1188,"AAAAAH+/+1M=")</f>
        <v>#VALUE!</v>
      </c>
      <c r="CG170">
        <f>IF(DATA!1189:1189,"AAAAAH+/+1Q=",0)</f>
        <v>0</v>
      </c>
      <c r="CH170" t="e">
        <f>AND(DATA!A1189,"AAAAAH+/+1U=")</f>
        <v>#VALUE!</v>
      </c>
      <c r="CI170" t="e">
        <f>AND(DATA!B1189,"AAAAAH+/+1Y=")</f>
        <v>#VALUE!</v>
      </c>
      <c r="CJ170" t="e">
        <f>AND(DATA!C1189,"AAAAAH+/+1c=")</f>
        <v>#VALUE!</v>
      </c>
      <c r="CK170" t="e">
        <f>AND(DATA!D1189,"AAAAAH+/+1g=")</f>
        <v>#VALUE!</v>
      </c>
      <c r="CL170" t="e">
        <f>AND(DATA!E1189,"AAAAAH+/+1k=")</f>
        <v>#VALUE!</v>
      </c>
      <c r="CM170" t="e">
        <f>AND(DATA!F1189,"AAAAAH+/+1o=")</f>
        <v>#VALUE!</v>
      </c>
      <c r="CN170" t="e">
        <f>AND(DATA!G1189,"AAAAAH+/+1s=")</f>
        <v>#VALUE!</v>
      </c>
      <c r="CO170" t="e">
        <f>AND(DATA!H1189,"AAAAAH+/+1w=")</f>
        <v>#VALUE!</v>
      </c>
      <c r="CP170" t="e">
        <f>AND(DATA!I1189,"AAAAAH+/+10=")</f>
        <v>#VALUE!</v>
      </c>
      <c r="CQ170" t="e">
        <f>AND(DATA!J1189,"AAAAAH+/+14=")</f>
        <v>#VALUE!</v>
      </c>
      <c r="CR170" t="e">
        <f>AND(DATA!K1189,"AAAAAH+/+18=")</f>
        <v>#VALUE!</v>
      </c>
      <c r="CS170" t="b">
        <f>AND(DATA!L1190,"AAAAAH+/+2A=")</f>
        <v>1</v>
      </c>
      <c r="CT170" t="b">
        <f>AND(DATA!M1190,"AAAAAH+/+2E=")</f>
        <v>1</v>
      </c>
      <c r="CU170" t="b">
        <f>AND(DATA!N1190,"AAAAAH+/+2I=")</f>
        <v>1</v>
      </c>
      <c r="CV170" t="b">
        <f>AND(DATA!O1190,"AAAAAH+/+2M=")</f>
        <v>1</v>
      </c>
      <c r="CW170" t="b">
        <f>AND(DATA!P1190,"AAAAAH+/+2Q=")</f>
        <v>1</v>
      </c>
      <c r="CX170" t="b">
        <f>AND(DATA!Q1190,"AAAAAH+/+2U=")</f>
        <v>1</v>
      </c>
      <c r="CY170" t="b">
        <f>AND(DATA!R1190,"AAAAAH+/+2Y=")</f>
        <v>1</v>
      </c>
      <c r="CZ170" t="b">
        <f>AND(DATA!S1190,"AAAAAH+/+2c=")</f>
        <v>1</v>
      </c>
      <c r="DA170" t="b">
        <f>AND(DATA!T1190,"AAAAAH+/+2g=")</f>
        <v>1</v>
      </c>
      <c r="DB170" t="b">
        <f>AND(DATA!U1190,"AAAAAH+/+2k=")</f>
        <v>1</v>
      </c>
      <c r="DC170" t="b">
        <f>AND(DATA!V1190,"AAAAAH+/+2o=")</f>
        <v>1</v>
      </c>
      <c r="DD170" t="e">
        <f>AND(DATA!W1189,"AAAAAH+/+2s=")</f>
        <v>#VALUE!</v>
      </c>
      <c r="DE170" t="e">
        <f>AND(DATA!X1189,"AAAAAH+/+2w=")</f>
        <v>#VALUE!</v>
      </c>
      <c r="DF170" t="e">
        <f>AND(DATA!Y1189,"AAAAAH+/+20=")</f>
        <v>#VALUE!</v>
      </c>
      <c r="DG170">
        <f>IF(DATA!1190:1190,"AAAAAH+/+24=",0)</f>
        <v>0</v>
      </c>
      <c r="DH170" t="e">
        <f>AND(DATA!A1190,"AAAAAH+/+28=")</f>
        <v>#VALUE!</v>
      </c>
      <c r="DI170" t="e">
        <f>AND(DATA!B1190,"AAAAAH+/+3A=")</f>
        <v>#VALUE!</v>
      </c>
      <c r="DJ170" t="e">
        <f>AND(DATA!C1190,"AAAAAH+/+3E=")</f>
        <v>#VALUE!</v>
      </c>
      <c r="DK170" t="e">
        <f>AND(DATA!D1190,"AAAAAH+/+3I=")</f>
        <v>#VALUE!</v>
      </c>
      <c r="DL170" t="e">
        <f>AND(DATA!E1190,"AAAAAH+/+3M=")</f>
        <v>#VALUE!</v>
      </c>
      <c r="DM170" t="e">
        <f>AND(DATA!F1190,"AAAAAH+/+3Q=")</f>
        <v>#VALUE!</v>
      </c>
      <c r="DN170" t="e">
        <f>AND(DATA!G1190,"AAAAAH+/+3U=")</f>
        <v>#VALUE!</v>
      </c>
      <c r="DO170" t="e">
        <f>AND(DATA!H1190,"AAAAAH+/+3Y=")</f>
        <v>#VALUE!</v>
      </c>
      <c r="DP170" t="e">
        <f>AND(DATA!I1190,"AAAAAH+/+3c=")</f>
        <v>#VALUE!</v>
      </c>
      <c r="DQ170" t="e">
        <f>AND(DATA!J1190,"AAAAAH+/+3g=")</f>
        <v>#VALUE!</v>
      </c>
      <c r="DR170" t="e">
        <f>AND(DATA!K1190,"AAAAAH+/+3k=")</f>
        <v>#VALUE!</v>
      </c>
      <c r="DS170" t="b">
        <f>AND(DATA!L1191,"AAAAAH+/+3o=")</f>
        <v>1</v>
      </c>
      <c r="DT170" t="b">
        <f>AND(DATA!M1191,"AAAAAH+/+3s=")</f>
        <v>1</v>
      </c>
      <c r="DU170" t="b">
        <f>AND(DATA!N1191,"AAAAAH+/+3w=")</f>
        <v>1</v>
      </c>
      <c r="DV170" t="b">
        <f>AND(DATA!O1191,"AAAAAH+/+30=")</f>
        <v>1</v>
      </c>
      <c r="DW170" t="b">
        <f>AND(DATA!P1191,"AAAAAH+/+34=")</f>
        <v>1</v>
      </c>
      <c r="DX170" t="b">
        <f>AND(DATA!Q1191,"AAAAAH+/+38=")</f>
        <v>1</v>
      </c>
      <c r="DY170" t="b">
        <f>AND(DATA!R1191,"AAAAAH+/+4A=")</f>
        <v>1</v>
      </c>
      <c r="DZ170" t="b">
        <f>AND(DATA!S1191,"AAAAAH+/+4E=")</f>
        <v>1</v>
      </c>
      <c r="EA170" t="b">
        <f>AND(DATA!T1191,"AAAAAH+/+4I=")</f>
        <v>1</v>
      </c>
      <c r="EB170" t="b">
        <f>AND(DATA!U1191,"AAAAAH+/+4M=")</f>
        <v>1</v>
      </c>
      <c r="EC170" t="b">
        <f>AND(DATA!V1191,"AAAAAH+/+4Q=")</f>
        <v>1</v>
      </c>
      <c r="ED170" t="e">
        <f>AND(DATA!W1190,"AAAAAH+/+4U=")</f>
        <v>#VALUE!</v>
      </c>
      <c r="EE170" t="e">
        <f>AND(DATA!X1190,"AAAAAH+/+4Y=")</f>
        <v>#VALUE!</v>
      </c>
      <c r="EF170" t="e">
        <f>AND(DATA!Y1190,"AAAAAH+/+4c=")</f>
        <v>#VALUE!</v>
      </c>
      <c r="EG170">
        <f>IF(DATA!1191:1191,"AAAAAH+/+4g=",0)</f>
        <v>0</v>
      </c>
      <c r="EH170" t="e">
        <f>AND(DATA!A1191,"AAAAAH+/+4k=")</f>
        <v>#VALUE!</v>
      </c>
      <c r="EI170" t="e">
        <f>AND(DATA!B1191,"AAAAAH+/+4o=")</f>
        <v>#VALUE!</v>
      </c>
      <c r="EJ170" t="e">
        <f>AND(DATA!C1191,"AAAAAH+/+4s=")</f>
        <v>#VALUE!</v>
      </c>
      <c r="EK170" t="e">
        <f>AND(DATA!D1191,"AAAAAH+/+4w=")</f>
        <v>#VALUE!</v>
      </c>
      <c r="EL170" t="e">
        <f>AND(DATA!E1191,"AAAAAH+/+40=")</f>
        <v>#VALUE!</v>
      </c>
      <c r="EM170" t="e">
        <f>AND(DATA!F1191,"AAAAAH+/+44=")</f>
        <v>#VALUE!</v>
      </c>
      <c r="EN170" t="e">
        <f>AND(DATA!G1191,"AAAAAH+/+48=")</f>
        <v>#VALUE!</v>
      </c>
      <c r="EO170" t="e">
        <f>AND(DATA!H1191,"AAAAAH+/+5A=")</f>
        <v>#VALUE!</v>
      </c>
      <c r="EP170" t="e">
        <f>AND(DATA!I1191,"AAAAAH+/+5E=")</f>
        <v>#VALUE!</v>
      </c>
      <c r="EQ170" t="e">
        <f>AND(DATA!J1191,"AAAAAH+/+5I=")</f>
        <v>#VALUE!</v>
      </c>
      <c r="ER170" t="e">
        <f>AND(DATA!K1191,"AAAAAH+/+5M=")</f>
        <v>#VALUE!</v>
      </c>
      <c r="ES170" t="b">
        <f>AND(DATA!L1192,"AAAAAH+/+5Q=")</f>
        <v>1</v>
      </c>
      <c r="ET170" t="b">
        <f>AND(DATA!M1192,"AAAAAH+/+5U=")</f>
        <v>1</v>
      </c>
      <c r="EU170" t="b">
        <f>AND(DATA!N1192,"AAAAAH+/+5Y=")</f>
        <v>1</v>
      </c>
      <c r="EV170" t="b">
        <f>AND(DATA!O1192,"AAAAAH+/+5c=")</f>
        <v>1</v>
      </c>
      <c r="EW170" t="b">
        <f>AND(DATA!P1192,"AAAAAH+/+5g=")</f>
        <v>1</v>
      </c>
      <c r="EX170" t="b">
        <f>AND(DATA!Q1192,"AAAAAH+/+5k=")</f>
        <v>1</v>
      </c>
      <c r="EY170" t="b">
        <f>AND(DATA!R1192,"AAAAAH+/+5o=")</f>
        <v>1</v>
      </c>
      <c r="EZ170" t="b">
        <f>AND(DATA!S1192,"AAAAAH+/+5s=")</f>
        <v>1</v>
      </c>
      <c r="FA170" t="b">
        <f>AND(DATA!T1192,"AAAAAH+/+5w=")</f>
        <v>1</v>
      </c>
      <c r="FB170" t="b">
        <f>AND(DATA!U1192,"AAAAAH+/+50=")</f>
        <v>1</v>
      </c>
      <c r="FC170" t="b">
        <f>AND(DATA!V1192,"AAAAAH+/+54=")</f>
        <v>1</v>
      </c>
      <c r="FD170" t="e">
        <f>AND(DATA!W1191,"AAAAAH+/+58=")</f>
        <v>#VALUE!</v>
      </c>
      <c r="FE170" t="e">
        <f>AND(DATA!X1191,"AAAAAH+/+6A=")</f>
        <v>#VALUE!</v>
      </c>
      <c r="FF170" t="e">
        <f>AND(DATA!Y1191,"AAAAAH+/+6E=")</f>
        <v>#VALUE!</v>
      </c>
      <c r="FG170">
        <f>IF(DATA!1192:1192,"AAAAAH+/+6I=",0)</f>
        <v>0</v>
      </c>
      <c r="FH170" t="e">
        <f>AND(DATA!A1192,"AAAAAH+/+6M=")</f>
        <v>#VALUE!</v>
      </c>
      <c r="FI170" t="e">
        <f>AND(DATA!B1192,"AAAAAH+/+6Q=")</f>
        <v>#VALUE!</v>
      </c>
      <c r="FJ170" t="e">
        <f>AND(DATA!C1192,"AAAAAH+/+6U=")</f>
        <v>#VALUE!</v>
      </c>
      <c r="FK170" t="e">
        <f>AND(DATA!D1192,"AAAAAH+/+6Y=")</f>
        <v>#VALUE!</v>
      </c>
      <c r="FL170" t="e">
        <f>AND(DATA!E1192,"AAAAAH+/+6c=")</f>
        <v>#VALUE!</v>
      </c>
      <c r="FM170" t="e">
        <f>AND(DATA!F1192,"AAAAAH+/+6g=")</f>
        <v>#VALUE!</v>
      </c>
      <c r="FN170" t="e">
        <f>AND(DATA!G1192,"AAAAAH+/+6k=")</f>
        <v>#VALUE!</v>
      </c>
      <c r="FO170" t="e">
        <f>AND(DATA!H1192,"AAAAAH+/+6o=")</f>
        <v>#VALUE!</v>
      </c>
      <c r="FP170" t="e">
        <f>AND(DATA!I1192,"AAAAAH+/+6s=")</f>
        <v>#VALUE!</v>
      </c>
      <c r="FQ170" t="e">
        <f>AND(DATA!J1192,"AAAAAH+/+6w=")</f>
        <v>#VALUE!</v>
      </c>
      <c r="FR170" t="e">
        <f>AND(DATA!K1192,"AAAAAH+/+60=")</f>
        <v>#VALUE!</v>
      </c>
      <c r="FS170" t="b">
        <f>AND(DATA!L1193,"AAAAAH+/+64=")</f>
        <v>1</v>
      </c>
      <c r="FT170" t="b">
        <f>AND(DATA!M1193,"AAAAAH+/+68=")</f>
        <v>1</v>
      </c>
      <c r="FU170" t="b">
        <f>AND(DATA!N1193,"AAAAAH+/+7A=")</f>
        <v>1</v>
      </c>
      <c r="FV170" t="b">
        <f>AND(DATA!O1193,"AAAAAH+/+7E=")</f>
        <v>1</v>
      </c>
      <c r="FW170" t="b">
        <f>AND(DATA!P1193,"AAAAAH+/+7I=")</f>
        <v>1</v>
      </c>
      <c r="FX170" t="b">
        <f>AND(DATA!Q1193,"AAAAAH+/+7M=")</f>
        <v>1</v>
      </c>
      <c r="FY170" t="b">
        <f>AND(DATA!R1193,"AAAAAH+/+7Q=")</f>
        <v>1</v>
      </c>
      <c r="FZ170" t="b">
        <f>AND(DATA!S1193,"AAAAAH+/+7U=")</f>
        <v>1</v>
      </c>
      <c r="GA170" t="b">
        <f>AND(DATA!T1193,"AAAAAH+/+7Y=")</f>
        <v>1</v>
      </c>
      <c r="GB170" t="b">
        <f>AND(DATA!U1193,"AAAAAH+/+7c=")</f>
        <v>1</v>
      </c>
      <c r="GC170" t="b">
        <f>AND(DATA!V1193,"AAAAAH+/+7g=")</f>
        <v>1</v>
      </c>
      <c r="GD170" t="e">
        <f>AND(DATA!W1192,"AAAAAH+/+7k=")</f>
        <v>#VALUE!</v>
      </c>
      <c r="GE170" t="e">
        <f>AND(DATA!X1192,"AAAAAH+/+7o=")</f>
        <v>#VALUE!</v>
      </c>
      <c r="GF170" t="e">
        <f>AND(DATA!Y1192,"AAAAAH+/+7s=")</f>
        <v>#VALUE!</v>
      </c>
      <c r="GG170">
        <f>IF(DATA!1193:1193,"AAAAAH+/+7w=",0)</f>
        <v>0</v>
      </c>
      <c r="GH170" t="e">
        <f>AND(DATA!A1193,"AAAAAH+/+70=")</f>
        <v>#VALUE!</v>
      </c>
      <c r="GI170" t="e">
        <f>AND(DATA!B1193,"AAAAAH+/+74=")</f>
        <v>#VALUE!</v>
      </c>
      <c r="GJ170" t="e">
        <f>AND(DATA!C1193,"AAAAAH+/+78=")</f>
        <v>#VALUE!</v>
      </c>
      <c r="GK170" t="e">
        <f>AND(DATA!D1193,"AAAAAH+/+8A=")</f>
        <v>#VALUE!</v>
      </c>
      <c r="GL170" t="e">
        <f>AND(DATA!E1193,"AAAAAH+/+8E=")</f>
        <v>#VALUE!</v>
      </c>
      <c r="GM170" t="e">
        <f>AND(DATA!F1193,"AAAAAH+/+8I=")</f>
        <v>#VALUE!</v>
      </c>
      <c r="GN170" t="e">
        <f>AND(DATA!G1193,"AAAAAH+/+8M=")</f>
        <v>#VALUE!</v>
      </c>
      <c r="GO170" t="e">
        <f>AND(DATA!H1193,"AAAAAH+/+8Q=")</f>
        <v>#VALUE!</v>
      </c>
      <c r="GP170" t="e">
        <f>AND(DATA!I1193,"AAAAAH+/+8U=")</f>
        <v>#VALUE!</v>
      </c>
      <c r="GQ170" t="e">
        <f>AND(DATA!J1193,"AAAAAH+/+8Y=")</f>
        <v>#VALUE!</v>
      </c>
      <c r="GR170" t="e">
        <f>AND(DATA!K1193,"AAAAAH+/+8c=")</f>
        <v>#VALUE!</v>
      </c>
      <c r="GS170" t="b">
        <f>AND(DATA!L1194,"AAAAAH+/+8g=")</f>
        <v>1</v>
      </c>
      <c r="GT170" t="b">
        <f>AND(DATA!M1194,"AAAAAH+/+8k=")</f>
        <v>1</v>
      </c>
      <c r="GU170" t="b">
        <f>AND(DATA!N1194,"AAAAAH+/+8o=")</f>
        <v>1</v>
      </c>
      <c r="GV170" t="b">
        <f>AND(DATA!O1194,"AAAAAH+/+8s=")</f>
        <v>1</v>
      </c>
      <c r="GW170" t="b">
        <f>AND(DATA!P1194,"AAAAAH+/+8w=")</f>
        <v>1</v>
      </c>
      <c r="GX170" t="b">
        <f>AND(DATA!Q1194,"AAAAAH+/+80=")</f>
        <v>1</v>
      </c>
      <c r="GY170" t="b">
        <f>AND(DATA!R1194,"AAAAAH+/+84=")</f>
        <v>1</v>
      </c>
      <c r="GZ170" t="b">
        <f>AND(DATA!S1194,"AAAAAH+/+88=")</f>
        <v>1</v>
      </c>
      <c r="HA170" t="b">
        <f>AND(DATA!T1194,"AAAAAH+/+9A=")</f>
        <v>1</v>
      </c>
      <c r="HB170" t="b">
        <f>AND(DATA!U1194,"AAAAAH+/+9E=")</f>
        <v>1</v>
      </c>
      <c r="HC170" t="b">
        <f>AND(DATA!V1194,"AAAAAH+/+9I=")</f>
        <v>1</v>
      </c>
      <c r="HD170" t="e">
        <f>AND(DATA!W1193,"AAAAAH+/+9M=")</f>
        <v>#VALUE!</v>
      </c>
      <c r="HE170" t="e">
        <f>AND(DATA!X1193,"AAAAAH+/+9Q=")</f>
        <v>#VALUE!</v>
      </c>
      <c r="HF170" t="e">
        <f>AND(DATA!Y1193,"AAAAAH+/+9U=")</f>
        <v>#VALUE!</v>
      </c>
      <c r="HG170">
        <f>IF(DATA!1194:1194,"AAAAAH+/+9Y=",0)</f>
        <v>0</v>
      </c>
      <c r="HH170" t="e">
        <f>AND(DATA!A1194,"AAAAAH+/+9c=")</f>
        <v>#VALUE!</v>
      </c>
      <c r="HI170" t="e">
        <f>AND(DATA!B1194,"AAAAAH+/+9g=")</f>
        <v>#VALUE!</v>
      </c>
      <c r="HJ170" t="e">
        <f>AND(DATA!C1194,"AAAAAH+/+9k=")</f>
        <v>#VALUE!</v>
      </c>
      <c r="HK170" t="e">
        <f>AND(DATA!D1194,"AAAAAH+/+9o=")</f>
        <v>#VALUE!</v>
      </c>
      <c r="HL170" t="e">
        <f>AND(DATA!E1194,"AAAAAH+/+9s=")</f>
        <v>#VALUE!</v>
      </c>
      <c r="HM170" t="e">
        <f>AND(DATA!F1194,"AAAAAH+/+9w=")</f>
        <v>#VALUE!</v>
      </c>
      <c r="HN170" t="e">
        <f>AND(DATA!G1194,"AAAAAH+/+90=")</f>
        <v>#VALUE!</v>
      </c>
      <c r="HO170" t="e">
        <f>AND(DATA!H1194,"AAAAAH+/+94=")</f>
        <v>#VALUE!</v>
      </c>
      <c r="HP170" t="e">
        <f>AND(DATA!I1194,"AAAAAH+/+98=")</f>
        <v>#VALUE!</v>
      </c>
      <c r="HQ170" t="e">
        <f>AND(DATA!J1194,"AAAAAH+/++A=")</f>
        <v>#VALUE!</v>
      </c>
      <c r="HR170" t="e">
        <f>AND(DATA!K1194,"AAAAAH+/++E=")</f>
        <v>#VALUE!</v>
      </c>
      <c r="HS170" t="b">
        <f>AND(DATA!L1195,"AAAAAH+/++I=")</f>
        <v>1</v>
      </c>
      <c r="HT170" t="b">
        <f>AND(DATA!M1195,"AAAAAH+/++M=")</f>
        <v>1</v>
      </c>
      <c r="HU170" t="b">
        <f>AND(DATA!N1195,"AAAAAH+/++Q=")</f>
        <v>1</v>
      </c>
      <c r="HV170" t="b">
        <f>AND(DATA!O1195,"AAAAAH+/++U=")</f>
        <v>1</v>
      </c>
      <c r="HW170" t="b">
        <f>AND(DATA!P1195,"AAAAAH+/++Y=")</f>
        <v>1</v>
      </c>
      <c r="HX170" t="b">
        <f>AND(DATA!Q1195,"AAAAAH+/++c=")</f>
        <v>1</v>
      </c>
      <c r="HY170" t="b">
        <f>AND(DATA!R1195,"AAAAAH+/++g=")</f>
        <v>1</v>
      </c>
      <c r="HZ170" t="b">
        <f>AND(DATA!S1195,"AAAAAH+/++k=")</f>
        <v>1</v>
      </c>
      <c r="IA170" t="b">
        <f>AND(DATA!T1195,"AAAAAH+/++o=")</f>
        <v>1</v>
      </c>
      <c r="IB170" t="b">
        <f>AND(DATA!U1195,"AAAAAH+/++s=")</f>
        <v>1</v>
      </c>
      <c r="IC170" t="b">
        <f>AND(DATA!V1195,"AAAAAH+/++w=")</f>
        <v>1</v>
      </c>
      <c r="ID170" t="e">
        <f>AND(DATA!W1194,"AAAAAH+/++0=")</f>
        <v>#VALUE!</v>
      </c>
      <c r="IE170" t="e">
        <f>AND(DATA!X1194,"AAAAAH+/++4=")</f>
        <v>#VALUE!</v>
      </c>
      <c r="IF170" t="e">
        <f>AND(DATA!Y1194,"AAAAAH+/++8=")</f>
        <v>#VALUE!</v>
      </c>
      <c r="IG170">
        <f>IF(DATA!1195:1195,"AAAAAH+/+/A=",0)</f>
        <v>0</v>
      </c>
      <c r="IH170" t="e">
        <f>AND(DATA!A1195,"AAAAAH+/+/E=")</f>
        <v>#VALUE!</v>
      </c>
      <c r="II170" t="e">
        <f>AND(DATA!B1195,"AAAAAH+/+/I=")</f>
        <v>#VALUE!</v>
      </c>
      <c r="IJ170" t="e">
        <f>AND(DATA!C1195,"AAAAAH+/+/M=")</f>
        <v>#VALUE!</v>
      </c>
      <c r="IK170" t="e">
        <f>AND(DATA!D1195,"AAAAAH+/+/Q=")</f>
        <v>#VALUE!</v>
      </c>
      <c r="IL170" t="e">
        <f>AND(DATA!E1195,"AAAAAH+/+/U=")</f>
        <v>#VALUE!</v>
      </c>
      <c r="IM170" t="e">
        <f>AND(DATA!F1195,"AAAAAH+/+/Y=")</f>
        <v>#VALUE!</v>
      </c>
      <c r="IN170" t="e">
        <f>AND(DATA!G1195,"AAAAAH+/+/c=")</f>
        <v>#VALUE!</v>
      </c>
      <c r="IO170" t="e">
        <f>AND(DATA!H1195,"AAAAAH+/+/g=")</f>
        <v>#VALUE!</v>
      </c>
      <c r="IP170" t="e">
        <f>AND(DATA!I1195,"AAAAAH+/+/k=")</f>
        <v>#VALUE!</v>
      </c>
      <c r="IQ170" t="e">
        <f>AND(DATA!J1195,"AAAAAH+/+/o=")</f>
        <v>#VALUE!</v>
      </c>
      <c r="IR170" t="e">
        <f>AND(DATA!K1195,"AAAAAH+/+/s=")</f>
        <v>#VALUE!</v>
      </c>
      <c r="IS170" t="b">
        <f>AND(DATA!L1196,"AAAAAH+/+/w=")</f>
        <v>1</v>
      </c>
      <c r="IT170" t="b">
        <f>AND(DATA!M1196,"AAAAAH+/+/0=")</f>
        <v>1</v>
      </c>
      <c r="IU170" t="b">
        <f>AND(DATA!N1196,"AAAAAH+/+/4=")</f>
        <v>1</v>
      </c>
      <c r="IV170" t="b">
        <f>AND(DATA!O1196,"AAAAAH+/+/8=")</f>
        <v>1</v>
      </c>
    </row>
    <row r="171" spans="1:256" x14ac:dyDescent="0.25">
      <c r="A171" t="b">
        <f>AND(DATA!P1196,"AAAAAHc/tQA=")</f>
        <v>1</v>
      </c>
      <c r="B171" t="b">
        <f>AND(DATA!Q1196,"AAAAAHc/tQE=")</f>
        <v>1</v>
      </c>
      <c r="C171" t="b">
        <f>AND(DATA!R1196,"AAAAAHc/tQI=")</f>
        <v>1</v>
      </c>
      <c r="D171" t="b">
        <f>AND(DATA!S1196,"AAAAAHc/tQM=")</f>
        <v>1</v>
      </c>
      <c r="E171" t="b">
        <f>AND(DATA!T1196,"AAAAAHc/tQQ=")</f>
        <v>1</v>
      </c>
      <c r="F171" t="b">
        <f>AND(DATA!U1196,"AAAAAHc/tQU=")</f>
        <v>1</v>
      </c>
      <c r="G171" t="b">
        <f>AND(DATA!V1196,"AAAAAHc/tQY=")</f>
        <v>1</v>
      </c>
      <c r="H171" t="e">
        <f>AND(DATA!W1195,"AAAAAHc/tQc=")</f>
        <v>#VALUE!</v>
      </c>
      <c r="I171" t="e">
        <f>AND(DATA!X1195,"AAAAAHc/tQg=")</f>
        <v>#VALUE!</v>
      </c>
      <c r="J171" t="e">
        <f>AND(DATA!Y1195,"AAAAAHc/tQk=")</f>
        <v>#VALUE!</v>
      </c>
      <c r="K171">
        <f>IF(DATA!1196:1196,"AAAAAHc/tQo=",0)</f>
        <v>0</v>
      </c>
      <c r="L171" t="e">
        <f>AND(DATA!A1196,"AAAAAHc/tQs=")</f>
        <v>#VALUE!</v>
      </c>
      <c r="M171" t="e">
        <f>AND(DATA!B1196,"AAAAAHc/tQw=")</f>
        <v>#VALUE!</v>
      </c>
      <c r="N171" t="e">
        <f>AND(DATA!C1196,"AAAAAHc/tQ0=")</f>
        <v>#VALUE!</v>
      </c>
      <c r="O171" t="e">
        <f>AND(DATA!D1196,"AAAAAHc/tQ4=")</f>
        <v>#VALUE!</v>
      </c>
      <c r="P171" t="e">
        <f>AND(DATA!E1196,"AAAAAHc/tQ8=")</f>
        <v>#VALUE!</v>
      </c>
      <c r="Q171" t="e">
        <f>AND(DATA!F1196,"AAAAAHc/tRA=")</f>
        <v>#VALUE!</v>
      </c>
      <c r="R171" t="e">
        <f>AND(DATA!G1196,"AAAAAHc/tRE=")</f>
        <v>#VALUE!</v>
      </c>
      <c r="S171" t="e">
        <f>AND(DATA!H1196,"AAAAAHc/tRI=")</f>
        <v>#VALUE!</v>
      </c>
      <c r="T171" t="e">
        <f>AND(DATA!I1196,"AAAAAHc/tRM=")</f>
        <v>#VALUE!</v>
      </c>
      <c r="U171" t="e">
        <f>AND(DATA!J1196,"AAAAAHc/tRQ=")</f>
        <v>#VALUE!</v>
      </c>
      <c r="V171" t="e">
        <f>AND(DATA!K1196,"AAAAAHc/tRU=")</f>
        <v>#VALUE!</v>
      </c>
      <c r="W171" t="b">
        <f>AND(DATA!L1197,"AAAAAHc/tRY=")</f>
        <v>1</v>
      </c>
      <c r="X171" t="b">
        <f>AND(DATA!M1197,"AAAAAHc/tRc=")</f>
        <v>1</v>
      </c>
      <c r="Y171" t="b">
        <f>AND(DATA!N1197,"AAAAAHc/tRg=")</f>
        <v>1</v>
      </c>
      <c r="Z171" t="b">
        <f>AND(DATA!O1197,"AAAAAHc/tRk=")</f>
        <v>1</v>
      </c>
      <c r="AA171" t="b">
        <f>AND(DATA!P1197,"AAAAAHc/tRo=")</f>
        <v>1</v>
      </c>
      <c r="AB171" t="b">
        <f>AND(DATA!Q1197,"AAAAAHc/tRs=")</f>
        <v>1</v>
      </c>
      <c r="AC171" t="b">
        <f>AND(DATA!R1197,"AAAAAHc/tRw=")</f>
        <v>1</v>
      </c>
      <c r="AD171" t="b">
        <f>AND(DATA!S1197,"AAAAAHc/tR0=")</f>
        <v>1</v>
      </c>
      <c r="AE171" t="b">
        <f>AND(DATA!T1197,"AAAAAHc/tR4=")</f>
        <v>1</v>
      </c>
      <c r="AF171" t="b">
        <f>AND(DATA!U1197,"AAAAAHc/tR8=")</f>
        <v>1</v>
      </c>
      <c r="AG171" t="b">
        <f>AND(DATA!V1197,"AAAAAHc/tSA=")</f>
        <v>1</v>
      </c>
      <c r="AH171" t="e">
        <f>AND(DATA!W1196,"AAAAAHc/tSE=")</f>
        <v>#VALUE!</v>
      </c>
      <c r="AI171" t="e">
        <f>AND(DATA!X1196,"AAAAAHc/tSI=")</f>
        <v>#VALUE!</v>
      </c>
      <c r="AJ171" t="e">
        <f>AND(DATA!Y1196,"AAAAAHc/tSM=")</f>
        <v>#VALUE!</v>
      </c>
      <c r="AK171">
        <f>IF(DATA!1197:1197,"AAAAAHc/tSQ=",0)</f>
        <v>0</v>
      </c>
      <c r="AL171" t="e">
        <f>AND(DATA!A1197,"AAAAAHc/tSU=")</f>
        <v>#VALUE!</v>
      </c>
      <c r="AM171" t="e">
        <f>AND(DATA!B1197,"AAAAAHc/tSY=")</f>
        <v>#VALUE!</v>
      </c>
      <c r="AN171" t="e">
        <f>AND(DATA!C1197,"AAAAAHc/tSc=")</f>
        <v>#VALUE!</v>
      </c>
      <c r="AO171" t="e">
        <f>AND(DATA!D1197,"AAAAAHc/tSg=")</f>
        <v>#VALUE!</v>
      </c>
      <c r="AP171" t="e">
        <f>AND(DATA!E1197,"AAAAAHc/tSk=")</f>
        <v>#VALUE!</v>
      </c>
      <c r="AQ171" t="e">
        <f>AND(DATA!F1197,"AAAAAHc/tSo=")</f>
        <v>#VALUE!</v>
      </c>
      <c r="AR171" t="e">
        <f>AND(DATA!G1197,"AAAAAHc/tSs=")</f>
        <v>#VALUE!</v>
      </c>
      <c r="AS171" t="e">
        <f>AND(DATA!H1197,"AAAAAHc/tSw=")</f>
        <v>#VALUE!</v>
      </c>
      <c r="AT171" t="e">
        <f>AND(DATA!I1197,"AAAAAHc/tS0=")</f>
        <v>#VALUE!</v>
      </c>
      <c r="AU171" t="e">
        <f>AND(DATA!J1197,"AAAAAHc/tS4=")</f>
        <v>#VALUE!</v>
      </c>
      <c r="AV171" t="e">
        <f>AND(DATA!K1197,"AAAAAHc/tS8=")</f>
        <v>#VALUE!</v>
      </c>
      <c r="AW171" t="b">
        <f>AND(DATA!L1198,"AAAAAHc/tTA=")</f>
        <v>1</v>
      </c>
      <c r="AX171" t="b">
        <f>AND(DATA!M1198,"AAAAAHc/tTE=")</f>
        <v>1</v>
      </c>
      <c r="AY171" t="b">
        <f>AND(DATA!N1198,"AAAAAHc/tTI=")</f>
        <v>1</v>
      </c>
      <c r="AZ171" t="b">
        <f>AND(DATA!O1198,"AAAAAHc/tTM=")</f>
        <v>1</v>
      </c>
      <c r="BA171" t="b">
        <f>AND(DATA!P1198,"AAAAAHc/tTQ=")</f>
        <v>1</v>
      </c>
      <c r="BB171" t="b">
        <f>AND(DATA!Q1198,"AAAAAHc/tTU=")</f>
        <v>1</v>
      </c>
      <c r="BC171" t="b">
        <f>AND(DATA!R1198,"AAAAAHc/tTY=")</f>
        <v>1</v>
      </c>
      <c r="BD171" t="b">
        <f>AND(DATA!S1198,"AAAAAHc/tTc=")</f>
        <v>1</v>
      </c>
      <c r="BE171" t="b">
        <f>AND(DATA!T1198,"AAAAAHc/tTg=")</f>
        <v>1</v>
      </c>
      <c r="BF171" t="b">
        <f>AND(DATA!U1198,"AAAAAHc/tTk=")</f>
        <v>1</v>
      </c>
      <c r="BG171" t="b">
        <f>AND(DATA!V1198,"AAAAAHc/tTo=")</f>
        <v>1</v>
      </c>
      <c r="BH171" t="e">
        <f>AND(DATA!W1197,"AAAAAHc/tTs=")</f>
        <v>#VALUE!</v>
      </c>
      <c r="BI171" t="e">
        <f>AND(DATA!X1197,"AAAAAHc/tTw=")</f>
        <v>#VALUE!</v>
      </c>
      <c r="BJ171" t="e">
        <f>AND(DATA!Y1197,"AAAAAHc/tT0=")</f>
        <v>#VALUE!</v>
      </c>
      <c r="BK171">
        <f>IF(DATA!1198:1198,"AAAAAHc/tT4=",0)</f>
        <v>0</v>
      </c>
      <c r="BL171" t="e">
        <f>AND(DATA!A1198,"AAAAAHc/tT8=")</f>
        <v>#VALUE!</v>
      </c>
      <c r="BM171" t="e">
        <f>AND(DATA!B1198,"AAAAAHc/tUA=")</f>
        <v>#VALUE!</v>
      </c>
      <c r="BN171" t="e">
        <f>AND(DATA!C1198,"AAAAAHc/tUE=")</f>
        <v>#VALUE!</v>
      </c>
      <c r="BO171" t="e">
        <f>AND(DATA!D1198,"AAAAAHc/tUI=")</f>
        <v>#VALUE!</v>
      </c>
      <c r="BP171" t="e">
        <f>AND(DATA!E1198,"AAAAAHc/tUM=")</f>
        <v>#VALUE!</v>
      </c>
      <c r="BQ171" t="e">
        <f>AND(DATA!F1198,"AAAAAHc/tUQ=")</f>
        <v>#VALUE!</v>
      </c>
      <c r="BR171" t="e">
        <f>AND(DATA!G1198,"AAAAAHc/tUU=")</f>
        <v>#VALUE!</v>
      </c>
      <c r="BS171" t="e">
        <f>AND(DATA!H1198,"AAAAAHc/tUY=")</f>
        <v>#VALUE!</v>
      </c>
      <c r="BT171" t="e">
        <f>AND(DATA!I1198,"AAAAAHc/tUc=")</f>
        <v>#VALUE!</v>
      </c>
      <c r="BU171" t="e">
        <f>AND(DATA!J1198,"AAAAAHc/tUg=")</f>
        <v>#VALUE!</v>
      </c>
      <c r="BV171" t="e">
        <f>AND(DATA!K1198,"AAAAAHc/tUk=")</f>
        <v>#VALUE!</v>
      </c>
      <c r="BW171" t="b">
        <f>AND(DATA!L1199,"AAAAAHc/tUo=")</f>
        <v>1</v>
      </c>
      <c r="BX171" t="b">
        <f>AND(DATA!M1199,"AAAAAHc/tUs=")</f>
        <v>1</v>
      </c>
      <c r="BY171" t="b">
        <f>AND(DATA!N1199,"AAAAAHc/tUw=")</f>
        <v>1</v>
      </c>
      <c r="BZ171" t="b">
        <f>AND(DATA!O1199,"AAAAAHc/tU0=")</f>
        <v>1</v>
      </c>
      <c r="CA171" t="b">
        <f>AND(DATA!P1199,"AAAAAHc/tU4=")</f>
        <v>1</v>
      </c>
      <c r="CB171" t="b">
        <f>AND(DATA!Q1199,"AAAAAHc/tU8=")</f>
        <v>1</v>
      </c>
      <c r="CC171" t="b">
        <f>AND(DATA!R1199,"AAAAAHc/tVA=")</f>
        <v>1</v>
      </c>
      <c r="CD171" t="b">
        <f>AND(DATA!S1199,"AAAAAHc/tVE=")</f>
        <v>1</v>
      </c>
      <c r="CE171" t="b">
        <f>AND(DATA!T1199,"AAAAAHc/tVI=")</f>
        <v>1</v>
      </c>
      <c r="CF171" t="b">
        <f>AND(DATA!U1199,"AAAAAHc/tVM=")</f>
        <v>1</v>
      </c>
      <c r="CG171" t="b">
        <f>AND(DATA!V1199,"AAAAAHc/tVQ=")</f>
        <v>1</v>
      </c>
      <c r="CH171" t="e">
        <f>AND(DATA!W1198,"AAAAAHc/tVU=")</f>
        <v>#VALUE!</v>
      </c>
      <c r="CI171" t="e">
        <f>AND(DATA!X1198,"AAAAAHc/tVY=")</f>
        <v>#VALUE!</v>
      </c>
      <c r="CJ171" t="e">
        <f>AND(DATA!Y1198,"AAAAAHc/tVc=")</f>
        <v>#VALUE!</v>
      </c>
      <c r="CK171">
        <f>IF(DATA!1199:1199,"AAAAAHc/tVg=",0)</f>
        <v>0</v>
      </c>
      <c r="CL171" t="e">
        <f>AND(DATA!A1199,"AAAAAHc/tVk=")</f>
        <v>#VALUE!</v>
      </c>
      <c r="CM171" t="e">
        <f>AND(DATA!B1199,"AAAAAHc/tVo=")</f>
        <v>#VALUE!</v>
      </c>
      <c r="CN171" t="e">
        <f>AND(DATA!C1199,"AAAAAHc/tVs=")</f>
        <v>#VALUE!</v>
      </c>
      <c r="CO171" t="e">
        <f>AND(DATA!D1199,"AAAAAHc/tVw=")</f>
        <v>#VALUE!</v>
      </c>
      <c r="CP171" t="e">
        <f>AND(DATA!E1199,"AAAAAHc/tV0=")</f>
        <v>#VALUE!</v>
      </c>
      <c r="CQ171" t="e">
        <f>AND(DATA!F1199,"AAAAAHc/tV4=")</f>
        <v>#VALUE!</v>
      </c>
      <c r="CR171" t="e">
        <f>AND(DATA!G1199,"AAAAAHc/tV8=")</f>
        <v>#VALUE!</v>
      </c>
      <c r="CS171" t="e">
        <f>AND(DATA!H1199,"AAAAAHc/tWA=")</f>
        <v>#VALUE!</v>
      </c>
      <c r="CT171" t="e">
        <f>AND(DATA!I1199,"AAAAAHc/tWE=")</f>
        <v>#VALUE!</v>
      </c>
      <c r="CU171" t="e">
        <f>AND(DATA!J1199,"AAAAAHc/tWI=")</f>
        <v>#VALUE!</v>
      </c>
      <c r="CV171" t="e">
        <f>AND(DATA!K1199,"AAAAAHc/tWM=")</f>
        <v>#VALUE!</v>
      </c>
      <c r="CW171" t="b">
        <f>AND(DATA!L1200,"AAAAAHc/tWQ=")</f>
        <v>1</v>
      </c>
      <c r="CX171" t="b">
        <f>AND(DATA!M1200,"AAAAAHc/tWU=")</f>
        <v>1</v>
      </c>
      <c r="CY171" t="b">
        <f>AND(DATA!N1200,"AAAAAHc/tWY=")</f>
        <v>1</v>
      </c>
      <c r="CZ171" t="b">
        <f>AND(DATA!O1200,"AAAAAHc/tWc=")</f>
        <v>1</v>
      </c>
      <c r="DA171" t="b">
        <f>AND(DATA!P1200,"AAAAAHc/tWg=")</f>
        <v>1</v>
      </c>
      <c r="DB171" t="b">
        <f>AND(DATA!Q1200,"AAAAAHc/tWk=")</f>
        <v>1</v>
      </c>
      <c r="DC171" t="b">
        <f>AND(DATA!R1200,"AAAAAHc/tWo=")</f>
        <v>1</v>
      </c>
      <c r="DD171" t="b">
        <f>AND(DATA!S1200,"AAAAAHc/tWs=")</f>
        <v>1</v>
      </c>
      <c r="DE171" t="b">
        <f>AND(DATA!T1200,"AAAAAHc/tWw=")</f>
        <v>1</v>
      </c>
      <c r="DF171" t="b">
        <f>AND(DATA!U1200,"AAAAAHc/tW0=")</f>
        <v>1</v>
      </c>
      <c r="DG171" t="b">
        <f>AND(DATA!V1200,"AAAAAHc/tW4=")</f>
        <v>1</v>
      </c>
      <c r="DH171" t="e">
        <f>AND(DATA!W1199,"AAAAAHc/tW8=")</f>
        <v>#VALUE!</v>
      </c>
      <c r="DI171" t="e">
        <f>AND(DATA!X1199,"AAAAAHc/tXA=")</f>
        <v>#VALUE!</v>
      </c>
      <c r="DJ171" t="e">
        <f>AND(DATA!Y1199,"AAAAAHc/tXE=")</f>
        <v>#VALUE!</v>
      </c>
      <c r="DK171">
        <f>IF(DATA!1200:1200,"AAAAAHc/tXI=",0)</f>
        <v>0</v>
      </c>
      <c r="DL171" t="e">
        <f>AND(DATA!A1200,"AAAAAHc/tXM=")</f>
        <v>#VALUE!</v>
      </c>
      <c r="DM171" t="e">
        <f>AND(DATA!B1200,"AAAAAHc/tXQ=")</f>
        <v>#VALUE!</v>
      </c>
      <c r="DN171" t="e">
        <f>AND(DATA!C1200,"AAAAAHc/tXU=")</f>
        <v>#VALUE!</v>
      </c>
      <c r="DO171" t="e">
        <f>AND(DATA!D1200,"AAAAAHc/tXY=")</f>
        <v>#VALUE!</v>
      </c>
      <c r="DP171" t="e">
        <f>AND(DATA!E1200,"AAAAAHc/tXc=")</f>
        <v>#VALUE!</v>
      </c>
      <c r="DQ171" t="e">
        <f>AND(DATA!F1200,"AAAAAHc/tXg=")</f>
        <v>#VALUE!</v>
      </c>
      <c r="DR171" t="e">
        <f>AND(DATA!G1200,"AAAAAHc/tXk=")</f>
        <v>#VALUE!</v>
      </c>
      <c r="DS171" t="e">
        <f>AND(DATA!H1200,"AAAAAHc/tXo=")</f>
        <v>#VALUE!</v>
      </c>
      <c r="DT171" t="e">
        <f>AND(DATA!I1200,"AAAAAHc/tXs=")</f>
        <v>#VALUE!</v>
      </c>
      <c r="DU171" t="e">
        <f>AND(DATA!J1200,"AAAAAHc/tXw=")</f>
        <v>#VALUE!</v>
      </c>
      <c r="DV171" t="e">
        <f>AND(DATA!K1200,"AAAAAHc/tX0=")</f>
        <v>#VALUE!</v>
      </c>
      <c r="DW171" t="b">
        <f>AND(DATA!L1201,"AAAAAHc/tX4=")</f>
        <v>1</v>
      </c>
      <c r="DX171" t="b">
        <f>AND(DATA!M1201,"AAAAAHc/tX8=")</f>
        <v>1</v>
      </c>
      <c r="DY171" t="b">
        <f>AND(DATA!N1201,"AAAAAHc/tYA=")</f>
        <v>1</v>
      </c>
      <c r="DZ171" t="b">
        <f>AND(DATA!O1201,"AAAAAHc/tYE=")</f>
        <v>1</v>
      </c>
      <c r="EA171" t="b">
        <f>AND(DATA!P1201,"AAAAAHc/tYI=")</f>
        <v>1</v>
      </c>
      <c r="EB171" t="b">
        <f>AND(DATA!Q1201,"AAAAAHc/tYM=")</f>
        <v>1</v>
      </c>
      <c r="EC171" t="b">
        <f>AND(DATA!R1201,"AAAAAHc/tYQ=")</f>
        <v>1</v>
      </c>
      <c r="ED171" t="b">
        <f>AND(DATA!S1201,"AAAAAHc/tYU=")</f>
        <v>1</v>
      </c>
      <c r="EE171" t="b">
        <f>AND(DATA!T1201,"AAAAAHc/tYY=")</f>
        <v>1</v>
      </c>
      <c r="EF171" t="b">
        <f>AND(DATA!U1201,"AAAAAHc/tYc=")</f>
        <v>1</v>
      </c>
      <c r="EG171" t="b">
        <f>AND(DATA!V1201,"AAAAAHc/tYg=")</f>
        <v>1</v>
      </c>
      <c r="EH171" t="e">
        <f>AND(DATA!W1200,"AAAAAHc/tYk=")</f>
        <v>#VALUE!</v>
      </c>
      <c r="EI171" t="e">
        <f>AND(DATA!X1200,"AAAAAHc/tYo=")</f>
        <v>#VALUE!</v>
      </c>
      <c r="EJ171" t="e">
        <f>AND(DATA!Y1200,"AAAAAHc/tYs=")</f>
        <v>#VALUE!</v>
      </c>
      <c r="EK171">
        <f>IF(DATA!1201:1201,"AAAAAHc/tYw=",0)</f>
        <v>0</v>
      </c>
      <c r="EL171" t="e">
        <f>AND(DATA!A1201,"AAAAAHc/tY0=")</f>
        <v>#VALUE!</v>
      </c>
      <c r="EM171" t="e">
        <f>AND(DATA!B1201,"AAAAAHc/tY4=")</f>
        <v>#VALUE!</v>
      </c>
      <c r="EN171" t="e">
        <f>AND(DATA!C1201,"AAAAAHc/tY8=")</f>
        <v>#VALUE!</v>
      </c>
      <c r="EO171" t="e">
        <f>AND(DATA!D1201,"AAAAAHc/tZA=")</f>
        <v>#VALUE!</v>
      </c>
      <c r="EP171" t="e">
        <f>AND(DATA!E1201,"AAAAAHc/tZE=")</f>
        <v>#VALUE!</v>
      </c>
      <c r="EQ171" t="e">
        <f>AND(DATA!F1201,"AAAAAHc/tZI=")</f>
        <v>#VALUE!</v>
      </c>
      <c r="ER171" t="e">
        <f>AND(DATA!G1201,"AAAAAHc/tZM=")</f>
        <v>#VALUE!</v>
      </c>
      <c r="ES171" t="e">
        <f>AND(DATA!H1201,"AAAAAHc/tZQ=")</f>
        <v>#VALUE!</v>
      </c>
      <c r="ET171" t="e">
        <f>AND(DATA!I1201,"AAAAAHc/tZU=")</f>
        <v>#VALUE!</v>
      </c>
      <c r="EU171" t="e">
        <f>AND(DATA!J1201,"AAAAAHc/tZY=")</f>
        <v>#VALUE!</v>
      </c>
      <c r="EV171" t="e">
        <f>AND(DATA!K1201,"AAAAAHc/tZc=")</f>
        <v>#VALUE!</v>
      </c>
      <c r="EW171" t="b">
        <f>AND(DATA!L1202,"AAAAAHc/tZg=")</f>
        <v>1</v>
      </c>
      <c r="EX171" t="b">
        <f>AND(DATA!M1202,"AAAAAHc/tZk=")</f>
        <v>1</v>
      </c>
      <c r="EY171" t="b">
        <f>AND(DATA!N1202,"AAAAAHc/tZo=")</f>
        <v>1</v>
      </c>
      <c r="EZ171" t="b">
        <f>AND(DATA!O1202,"AAAAAHc/tZs=")</f>
        <v>1</v>
      </c>
      <c r="FA171" t="b">
        <f>AND(DATA!P1202,"AAAAAHc/tZw=")</f>
        <v>1</v>
      </c>
      <c r="FB171" t="b">
        <f>AND(DATA!Q1202,"AAAAAHc/tZ0=")</f>
        <v>1</v>
      </c>
      <c r="FC171" t="b">
        <f>AND(DATA!R1202,"AAAAAHc/tZ4=")</f>
        <v>1</v>
      </c>
      <c r="FD171" t="b">
        <f>AND(DATA!S1202,"AAAAAHc/tZ8=")</f>
        <v>1</v>
      </c>
      <c r="FE171" t="b">
        <f>AND(DATA!T1202,"AAAAAHc/taA=")</f>
        <v>1</v>
      </c>
      <c r="FF171" t="b">
        <f>AND(DATA!U1202,"AAAAAHc/taE=")</f>
        <v>1</v>
      </c>
      <c r="FG171" t="b">
        <f>AND(DATA!V1202,"AAAAAHc/taI=")</f>
        <v>1</v>
      </c>
      <c r="FH171" t="e">
        <f>AND(DATA!W1201,"AAAAAHc/taM=")</f>
        <v>#VALUE!</v>
      </c>
      <c r="FI171" t="e">
        <f>AND(DATA!X1201,"AAAAAHc/taQ=")</f>
        <v>#VALUE!</v>
      </c>
      <c r="FJ171" t="e">
        <f>AND(DATA!Y1201,"AAAAAHc/taU=")</f>
        <v>#VALUE!</v>
      </c>
      <c r="FK171">
        <f>IF(DATA!1202:1202,"AAAAAHc/taY=",0)</f>
        <v>0</v>
      </c>
      <c r="FL171" t="e">
        <f>AND(DATA!A1202,"AAAAAHc/tac=")</f>
        <v>#VALUE!</v>
      </c>
      <c r="FM171" t="e">
        <f>AND(DATA!B1202,"AAAAAHc/tag=")</f>
        <v>#VALUE!</v>
      </c>
      <c r="FN171" t="e">
        <f>AND(DATA!C1202,"AAAAAHc/tak=")</f>
        <v>#VALUE!</v>
      </c>
      <c r="FO171" t="e">
        <f>AND(DATA!D1202,"AAAAAHc/tao=")</f>
        <v>#VALUE!</v>
      </c>
      <c r="FP171" t="e">
        <f>AND(DATA!E1202,"AAAAAHc/tas=")</f>
        <v>#VALUE!</v>
      </c>
      <c r="FQ171" t="e">
        <f>AND(DATA!F1202,"AAAAAHc/taw=")</f>
        <v>#VALUE!</v>
      </c>
      <c r="FR171" t="e">
        <f>AND(DATA!G1202,"AAAAAHc/ta0=")</f>
        <v>#VALUE!</v>
      </c>
      <c r="FS171" t="e">
        <f>AND(DATA!H1202,"AAAAAHc/ta4=")</f>
        <v>#VALUE!</v>
      </c>
      <c r="FT171" t="e">
        <f>AND(DATA!I1202,"AAAAAHc/ta8=")</f>
        <v>#VALUE!</v>
      </c>
      <c r="FU171" t="e">
        <f>AND(DATA!J1202,"AAAAAHc/tbA=")</f>
        <v>#VALUE!</v>
      </c>
      <c r="FV171" t="e">
        <f>AND(DATA!K1202,"AAAAAHc/tbE=")</f>
        <v>#VALUE!</v>
      </c>
      <c r="FW171" t="b">
        <f>AND(DATA!L1203,"AAAAAHc/tbI=")</f>
        <v>1</v>
      </c>
      <c r="FX171" t="b">
        <f>AND(DATA!M1203,"AAAAAHc/tbM=")</f>
        <v>1</v>
      </c>
      <c r="FY171" t="b">
        <f>AND(DATA!N1203,"AAAAAHc/tbQ=")</f>
        <v>1</v>
      </c>
      <c r="FZ171" t="b">
        <f>AND(DATA!O1203,"AAAAAHc/tbU=")</f>
        <v>1</v>
      </c>
      <c r="GA171" t="b">
        <f>AND(DATA!P1203,"AAAAAHc/tbY=")</f>
        <v>1</v>
      </c>
      <c r="GB171" t="b">
        <f>AND(DATA!Q1203,"AAAAAHc/tbc=")</f>
        <v>1</v>
      </c>
      <c r="GC171" t="b">
        <f>AND(DATA!R1203,"AAAAAHc/tbg=")</f>
        <v>1</v>
      </c>
      <c r="GD171" t="b">
        <f>AND(DATA!S1203,"AAAAAHc/tbk=")</f>
        <v>1</v>
      </c>
      <c r="GE171" t="b">
        <f>AND(DATA!T1203,"AAAAAHc/tbo=")</f>
        <v>1</v>
      </c>
      <c r="GF171" t="b">
        <f>AND(DATA!U1203,"AAAAAHc/tbs=")</f>
        <v>1</v>
      </c>
      <c r="GG171" t="e">
        <f>AND(DATA!V1203,"AAAAAHc/tbw=")</f>
        <v>#VALUE!</v>
      </c>
      <c r="GH171" t="e">
        <f>AND(DATA!W1202,"AAAAAHc/tb0=")</f>
        <v>#VALUE!</v>
      </c>
      <c r="GI171" t="e">
        <f>AND(DATA!X1202,"AAAAAHc/tb4=")</f>
        <v>#VALUE!</v>
      </c>
      <c r="GJ171" t="e">
        <f>AND(DATA!Y1202,"AAAAAHc/tb8=")</f>
        <v>#VALUE!</v>
      </c>
      <c r="GK171">
        <f>IF(DATA!1203:1203,"AAAAAHc/tcA=",0)</f>
        <v>0</v>
      </c>
      <c r="GL171" t="e">
        <f>AND(DATA!A1203,"AAAAAHc/tcE=")</f>
        <v>#VALUE!</v>
      </c>
      <c r="GM171" t="e">
        <f>AND(DATA!B1203,"AAAAAHc/tcI=")</f>
        <v>#VALUE!</v>
      </c>
      <c r="GN171" t="e">
        <f>AND(DATA!C1203,"AAAAAHc/tcM=")</f>
        <v>#VALUE!</v>
      </c>
      <c r="GO171" t="e">
        <f>AND(DATA!D1203,"AAAAAHc/tcQ=")</f>
        <v>#VALUE!</v>
      </c>
      <c r="GP171" t="e">
        <f>AND(DATA!E1203,"AAAAAHc/tcU=")</f>
        <v>#VALUE!</v>
      </c>
      <c r="GQ171" t="e">
        <f>AND(DATA!F1203,"AAAAAHc/tcY=")</f>
        <v>#VALUE!</v>
      </c>
      <c r="GR171" t="e">
        <f>AND(DATA!G1203,"AAAAAHc/tcc=")</f>
        <v>#VALUE!</v>
      </c>
      <c r="GS171" t="e">
        <f>AND(DATA!H1203,"AAAAAHc/tcg=")</f>
        <v>#VALUE!</v>
      </c>
      <c r="GT171" t="e">
        <f>AND(DATA!I1203,"AAAAAHc/tck=")</f>
        <v>#VALUE!</v>
      </c>
      <c r="GU171" t="e">
        <f>AND(DATA!J1203,"AAAAAHc/tco=")</f>
        <v>#VALUE!</v>
      </c>
      <c r="GV171" t="e">
        <f>AND(DATA!K1203,"AAAAAHc/tcs=")</f>
        <v>#VALUE!</v>
      </c>
      <c r="GW171" t="b">
        <f>AND(DATA!L1204,"AAAAAHc/tcw=")</f>
        <v>1</v>
      </c>
      <c r="GX171" t="b">
        <f>AND(DATA!M1204,"AAAAAHc/tc0=")</f>
        <v>1</v>
      </c>
      <c r="GY171" t="b">
        <f>AND(DATA!N1204,"AAAAAHc/tc4=")</f>
        <v>1</v>
      </c>
      <c r="GZ171" t="b">
        <f>AND(DATA!O1204,"AAAAAHc/tc8=")</f>
        <v>1</v>
      </c>
      <c r="HA171" t="b">
        <f>AND(DATA!P1204,"AAAAAHc/tdA=")</f>
        <v>1</v>
      </c>
      <c r="HB171" t="b">
        <f>AND(DATA!Q1204,"AAAAAHc/tdE=")</f>
        <v>1</v>
      </c>
      <c r="HC171" t="b">
        <f>AND(DATA!R1204,"AAAAAHc/tdI=")</f>
        <v>1</v>
      </c>
      <c r="HD171" t="b">
        <f>AND(DATA!S1204,"AAAAAHc/tdM=")</f>
        <v>1</v>
      </c>
      <c r="HE171" t="b">
        <f>AND(DATA!T1204,"AAAAAHc/tdQ=")</f>
        <v>1</v>
      </c>
      <c r="HF171" t="b">
        <f>AND(DATA!U1204,"AAAAAHc/tdU=")</f>
        <v>1</v>
      </c>
      <c r="HG171" t="e">
        <f>AND(DATA!V1204,"AAAAAHc/tdY=")</f>
        <v>#VALUE!</v>
      </c>
      <c r="HH171" t="e">
        <f>AND(DATA!W1203,"AAAAAHc/tdc=")</f>
        <v>#VALUE!</v>
      </c>
      <c r="HI171" t="e">
        <f>AND(DATA!X1203,"AAAAAHc/tdg=")</f>
        <v>#VALUE!</v>
      </c>
      <c r="HJ171" t="e">
        <f>AND(DATA!Y1203,"AAAAAHc/tdk=")</f>
        <v>#VALUE!</v>
      </c>
      <c r="HK171">
        <f>IF(DATA!1204:1204,"AAAAAHc/tdo=",0)</f>
        <v>0</v>
      </c>
      <c r="HL171" t="e">
        <f>AND(DATA!A1204,"AAAAAHc/tds=")</f>
        <v>#VALUE!</v>
      </c>
      <c r="HM171" t="e">
        <f>AND(DATA!B1204,"AAAAAHc/tdw=")</f>
        <v>#VALUE!</v>
      </c>
      <c r="HN171" t="e">
        <f>AND(DATA!C1204,"AAAAAHc/td0=")</f>
        <v>#VALUE!</v>
      </c>
      <c r="HO171" t="e">
        <f>AND(DATA!D1204,"AAAAAHc/td4=")</f>
        <v>#VALUE!</v>
      </c>
      <c r="HP171" t="e">
        <f>AND(DATA!E1204,"AAAAAHc/td8=")</f>
        <v>#VALUE!</v>
      </c>
      <c r="HQ171" t="e">
        <f>AND(DATA!F1204,"AAAAAHc/teA=")</f>
        <v>#VALUE!</v>
      </c>
      <c r="HR171" t="e">
        <f>AND(DATA!G1204,"AAAAAHc/teE=")</f>
        <v>#VALUE!</v>
      </c>
      <c r="HS171" t="e">
        <f>AND(DATA!H1204,"AAAAAHc/teI=")</f>
        <v>#VALUE!</v>
      </c>
      <c r="HT171" t="e">
        <f>AND(DATA!I1204,"AAAAAHc/teM=")</f>
        <v>#VALUE!</v>
      </c>
      <c r="HU171" t="e">
        <f>AND(DATA!J1204,"AAAAAHc/teQ=")</f>
        <v>#VALUE!</v>
      </c>
      <c r="HV171" t="e">
        <f>AND(DATA!K1204,"AAAAAHc/teU=")</f>
        <v>#VALUE!</v>
      </c>
      <c r="HW171" t="b">
        <f>AND(DATA!L1205,"AAAAAHc/teY=")</f>
        <v>1</v>
      </c>
      <c r="HX171" t="b">
        <f>AND(DATA!M1205,"AAAAAHc/tec=")</f>
        <v>1</v>
      </c>
      <c r="HY171" t="b">
        <f>AND(DATA!N1205,"AAAAAHc/teg=")</f>
        <v>1</v>
      </c>
      <c r="HZ171" t="b">
        <f>AND(DATA!O1205,"AAAAAHc/tek=")</f>
        <v>1</v>
      </c>
      <c r="IA171" t="b">
        <f>AND(DATA!P1205,"AAAAAHc/teo=")</f>
        <v>1</v>
      </c>
      <c r="IB171" t="b">
        <f>AND(DATA!Q1205,"AAAAAHc/tes=")</f>
        <v>1</v>
      </c>
      <c r="IC171" t="b">
        <f>AND(DATA!R1205,"AAAAAHc/tew=")</f>
        <v>1</v>
      </c>
      <c r="ID171" t="b">
        <f>AND(DATA!S1205,"AAAAAHc/te0=")</f>
        <v>1</v>
      </c>
      <c r="IE171" t="b">
        <f>AND(DATA!T1205,"AAAAAHc/te4=")</f>
        <v>1</v>
      </c>
      <c r="IF171" t="b">
        <f>AND(DATA!U1205,"AAAAAHc/te8=")</f>
        <v>1</v>
      </c>
      <c r="IG171" t="e">
        <f>AND(DATA!V1205,"AAAAAHc/tfA=")</f>
        <v>#VALUE!</v>
      </c>
      <c r="IH171" t="e">
        <f>AND(DATA!W1204,"AAAAAHc/tfE=")</f>
        <v>#VALUE!</v>
      </c>
      <c r="II171" t="e">
        <f>AND(DATA!X1204,"AAAAAHc/tfI=")</f>
        <v>#VALUE!</v>
      </c>
      <c r="IJ171" t="e">
        <f>AND(DATA!Y1204,"AAAAAHc/tfM=")</f>
        <v>#VALUE!</v>
      </c>
      <c r="IK171">
        <f>IF(DATA!1205:1205,"AAAAAHc/tfQ=",0)</f>
        <v>0</v>
      </c>
      <c r="IL171" t="e">
        <f>AND(DATA!A1205,"AAAAAHc/tfU=")</f>
        <v>#VALUE!</v>
      </c>
      <c r="IM171" t="e">
        <f>AND(DATA!B1205,"AAAAAHc/tfY=")</f>
        <v>#VALUE!</v>
      </c>
      <c r="IN171" t="e">
        <f>AND(DATA!C1205,"AAAAAHc/tfc=")</f>
        <v>#VALUE!</v>
      </c>
      <c r="IO171" t="e">
        <f>AND(DATA!D1205,"AAAAAHc/tfg=")</f>
        <v>#VALUE!</v>
      </c>
      <c r="IP171" t="e">
        <f>AND(DATA!E1205,"AAAAAHc/tfk=")</f>
        <v>#VALUE!</v>
      </c>
      <c r="IQ171" t="e">
        <f>AND(DATA!F1205,"AAAAAHc/tfo=")</f>
        <v>#VALUE!</v>
      </c>
      <c r="IR171" t="e">
        <f>AND(DATA!G1205,"AAAAAHc/tfs=")</f>
        <v>#VALUE!</v>
      </c>
      <c r="IS171" t="e">
        <f>AND(DATA!H1205,"AAAAAHc/tfw=")</f>
        <v>#VALUE!</v>
      </c>
      <c r="IT171" t="e">
        <f>AND(DATA!I1205,"AAAAAHc/tf0=")</f>
        <v>#VALUE!</v>
      </c>
      <c r="IU171" t="e">
        <f>AND(DATA!J1205,"AAAAAHc/tf4=")</f>
        <v>#VALUE!</v>
      </c>
      <c r="IV171" t="e">
        <f>AND(DATA!K1205,"AAAAAHc/tf8=")</f>
        <v>#VALUE!</v>
      </c>
    </row>
    <row r="172" spans="1:256" x14ac:dyDescent="0.25">
      <c r="A172" t="b">
        <f>AND(DATA!L1206,"AAAAAHf/dwA=")</f>
        <v>1</v>
      </c>
      <c r="B172" t="b">
        <f>AND(DATA!M1206,"AAAAAHf/dwE=")</f>
        <v>1</v>
      </c>
      <c r="C172" t="b">
        <f>AND(DATA!N1206,"AAAAAHf/dwI=")</f>
        <v>1</v>
      </c>
      <c r="D172" t="b">
        <f>AND(DATA!O1206,"AAAAAHf/dwM=")</f>
        <v>1</v>
      </c>
      <c r="E172" t="b">
        <f>AND(DATA!P1206,"AAAAAHf/dwQ=")</f>
        <v>1</v>
      </c>
      <c r="F172" t="b">
        <f>AND(DATA!Q1206,"AAAAAHf/dwU=")</f>
        <v>1</v>
      </c>
      <c r="G172" t="b">
        <f>AND(DATA!R1206,"AAAAAHf/dwY=")</f>
        <v>1</v>
      </c>
      <c r="H172" t="b">
        <f>AND(DATA!S1206,"AAAAAHf/dwc=")</f>
        <v>1</v>
      </c>
      <c r="I172" t="b">
        <f>AND(DATA!T1206,"AAAAAHf/dwg=")</f>
        <v>1</v>
      </c>
      <c r="J172" t="b">
        <f>AND(DATA!U1206,"AAAAAHf/dwk=")</f>
        <v>1</v>
      </c>
      <c r="K172" t="e">
        <f>AND(DATA!V1206,"AAAAAHf/dwo=")</f>
        <v>#VALUE!</v>
      </c>
      <c r="L172" t="e">
        <f>AND(DATA!W1205,"AAAAAHf/dws=")</f>
        <v>#VALUE!</v>
      </c>
      <c r="M172" t="e">
        <f>AND(DATA!X1205,"AAAAAHf/dww=")</f>
        <v>#VALUE!</v>
      </c>
      <c r="N172" t="e">
        <f>AND(DATA!Y1205,"AAAAAHf/dw0=")</f>
        <v>#VALUE!</v>
      </c>
      <c r="O172" t="str">
        <f>IF(DATA!1206:1206,"AAAAAHf/dw4=",0)</f>
        <v>AAAAAHf/dw4=</v>
      </c>
      <c r="P172" t="e">
        <f>AND(DATA!A1206,"AAAAAHf/dw8=")</f>
        <v>#VALUE!</v>
      </c>
      <c r="Q172" t="e">
        <f>AND(DATA!B1206,"AAAAAHf/dxA=")</f>
        <v>#VALUE!</v>
      </c>
      <c r="R172" t="e">
        <f>AND(DATA!C1206,"AAAAAHf/dxE=")</f>
        <v>#VALUE!</v>
      </c>
      <c r="S172" t="e">
        <f>AND(DATA!D1206,"AAAAAHf/dxI=")</f>
        <v>#VALUE!</v>
      </c>
      <c r="T172" t="e">
        <f>AND(DATA!E1206,"AAAAAHf/dxM=")</f>
        <v>#VALUE!</v>
      </c>
      <c r="U172" t="e">
        <f>AND(DATA!F1206,"AAAAAHf/dxQ=")</f>
        <v>#VALUE!</v>
      </c>
      <c r="V172" t="e">
        <f>AND(DATA!G1206,"AAAAAHf/dxU=")</f>
        <v>#VALUE!</v>
      </c>
      <c r="W172" t="e">
        <f>AND(DATA!H1206,"AAAAAHf/dxY=")</f>
        <v>#VALUE!</v>
      </c>
      <c r="X172" t="e">
        <f>AND(DATA!I1206,"AAAAAHf/dxc=")</f>
        <v>#VALUE!</v>
      </c>
      <c r="Y172" t="e">
        <f>AND(DATA!J1206,"AAAAAHf/dxg=")</f>
        <v>#VALUE!</v>
      </c>
      <c r="Z172" t="e">
        <f>AND(DATA!K1206,"AAAAAHf/dxk=")</f>
        <v>#VALUE!</v>
      </c>
      <c r="AA172" t="b">
        <f>AND(DATA!L1207,"AAAAAHf/dxo=")</f>
        <v>1</v>
      </c>
      <c r="AB172" t="b">
        <f>AND(DATA!M1207,"AAAAAHf/dxs=")</f>
        <v>1</v>
      </c>
      <c r="AC172" t="b">
        <f>AND(DATA!N1207,"AAAAAHf/dxw=")</f>
        <v>1</v>
      </c>
      <c r="AD172" t="b">
        <f>AND(DATA!O1207,"AAAAAHf/dx0=")</f>
        <v>1</v>
      </c>
      <c r="AE172" t="b">
        <f>AND(DATA!P1207,"AAAAAHf/dx4=")</f>
        <v>1</v>
      </c>
      <c r="AF172" t="b">
        <f>AND(DATA!Q1207,"AAAAAHf/dx8=")</f>
        <v>1</v>
      </c>
      <c r="AG172" t="b">
        <f>AND(DATA!R1207,"AAAAAHf/dyA=")</f>
        <v>1</v>
      </c>
      <c r="AH172" t="b">
        <f>AND(DATA!S1207,"AAAAAHf/dyE=")</f>
        <v>1</v>
      </c>
      <c r="AI172" t="b">
        <f>AND(DATA!T1207,"AAAAAHf/dyI=")</f>
        <v>1</v>
      </c>
      <c r="AJ172" t="b">
        <f>AND(DATA!U1207,"AAAAAHf/dyM=")</f>
        <v>1</v>
      </c>
      <c r="AK172" t="e">
        <f>AND(DATA!V1207,"AAAAAHf/dyQ=")</f>
        <v>#VALUE!</v>
      </c>
      <c r="AL172" t="e">
        <f>AND(DATA!W1206,"AAAAAHf/dyU=")</f>
        <v>#VALUE!</v>
      </c>
      <c r="AM172" t="e">
        <f>AND(DATA!X1206,"AAAAAHf/dyY=")</f>
        <v>#VALUE!</v>
      </c>
      <c r="AN172" t="e">
        <f>AND(DATA!Y1206,"AAAAAHf/dyc=")</f>
        <v>#VALUE!</v>
      </c>
      <c r="AO172">
        <f>IF(DATA!1207:1207,"AAAAAHf/dyg=",0)</f>
        <v>0</v>
      </c>
      <c r="AP172" t="e">
        <f>AND(DATA!A1207,"AAAAAHf/dyk=")</f>
        <v>#VALUE!</v>
      </c>
      <c r="AQ172" t="e">
        <f>AND(DATA!B1207,"AAAAAHf/dyo=")</f>
        <v>#VALUE!</v>
      </c>
      <c r="AR172" t="e">
        <f>AND(DATA!C1207,"AAAAAHf/dys=")</f>
        <v>#VALUE!</v>
      </c>
      <c r="AS172" t="e">
        <f>AND(DATA!D1207,"AAAAAHf/dyw=")</f>
        <v>#VALUE!</v>
      </c>
      <c r="AT172" t="e">
        <f>AND(DATA!E1207,"AAAAAHf/dy0=")</f>
        <v>#VALUE!</v>
      </c>
      <c r="AU172" t="e">
        <f>AND(DATA!F1207,"AAAAAHf/dy4=")</f>
        <v>#VALUE!</v>
      </c>
      <c r="AV172" t="e">
        <f>AND(DATA!G1207,"AAAAAHf/dy8=")</f>
        <v>#VALUE!</v>
      </c>
      <c r="AW172" t="e">
        <f>AND(DATA!H1207,"AAAAAHf/dzA=")</f>
        <v>#VALUE!</v>
      </c>
      <c r="AX172" t="e">
        <f>AND(DATA!I1207,"AAAAAHf/dzE=")</f>
        <v>#VALUE!</v>
      </c>
      <c r="AY172" t="e">
        <f>AND(DATA!J1207,"AAAAAHf/dzI=")</f>
        <v>#VALUE!</v>
      </c>
      <c r="AZ172" t="e">
        <f>AND(DATA!K1207,"AAAAAHf/dzM=")</f>
        <v>#VALUE!</v>
      </c>
      <c r="BA172" t="b">
        <f>AND(DATA!L1208,"AAAAAHf/dzQ=")</f>
        <v>1</v>
      </c>
      <c r="BB172" t="b">
        <f>AND(DATA!M1208,"AAAAAHf/dzU=")</f>
        <v>1</v>
      </c>
      <c r="BC172" t="b">
        <f>AND(DATA!N1208,"AAAAAHf/dzY=")</f>
        <v>1</v>
      </c>
      <c r="BD172" t="b">
        <f>AND(DATA!O1208,"AAAAAHf/dzc=")</f>
        <v>1</v>
      </c>
      <c r="BE172" t="b">
        <f>AND(DATA!P1208,"AAAAAHf/dzg=")</f>
        <v>1</v>
      </c>
      <c r="BF172" t="b">
        <f>AND(DATA!Q1208,"AAAAAHf/dzk=")</f>
        <v>1</v>
      </c>
      <c r="BG172" t="b">
        <f>AND(DATA!R1208,"AAAAAHf/dzo=")</f>
        <v>1</v>
      </c>
      <c r="BH172" t="b">
        <f>AND(DATA!S1208,"AAAAAHf/dzs=")</f>
        <v>1</v>
      </c>
      <c r="BI172" t="b">
        <f>AND(DATA!T1208,"AAAAAHf/dzw=")</f>
        <v>1</v>
      </c>
      <c r="BJ172" t="b">
        <f>AND(DATA!U1208,"AAAAAHf/dz0=")</f>
        <v>1</v>
      </c>
      <c r="BK172" t="e">
        <f>AND(DATA!V1208,"AAAAAHf/dz4=")</f>
        <v>#VALUE!</v>
      </c>
      <c r="BL172" t="e">
        <f>AND(DATA!W1207,"AAAAAHf/dz8=")</f>
        <v>#VALUE!</v>
      </c>
      <c r="BM172" t="e">
        <f>AND(DATA!X1207,"AAAAAHf/d0A=")</f>
        <v>#VALUE!</v>
      </c>
      <c r="BN172" t="e">
        <f>AND(DATA!Y1207,"AAAAAHf/d0E=")</f>
        <v>#VALUE!</v>
      </c>
      <c r="BO172">
        <f>IF(DATA!1208:1208,"AAAAAHf/d0I=",0)</f>
        <v>0</v>
      </c>
      <c r="BP172" t="e">
        <f>AND(DATA!A1208,"AAAAAHf/d0M=")</f>
        <v>#VALUE!</v>
      </c>
      <c r="BQ172" t="e">
        <f>AND(DATA!B1208,"AAAAAHf/d0Q=")</f>
        <v>#VALUE!</v>
      </c>
      <c r="BR172" t="e">
        <f>AND(DATA!C1208,"AAAAAHf/d0U=")</f>
        <v>#VALUE!</v>
      </c>
      <c r="BS172" t="e">
        <f>AND(DATA!D1208,"AAAAAHf/d0Y=")</f>
        <v>#VALUE!</v>
      </c>
      <c r="BT172" t="e">
        <f>AND(DATA!E1208,"AAAAAHf/d0c=")</f>
        <v>#VALUE!</v>
      </c>
      <c r="BU172" t="e">
        <f>AND(DATA!F1208,"AAAAAHf/d0g=")</f>
        <v>#VALUE!</v>
      </c>
      <c r="BV172" t="e">
        <f>AND(DATA!G1208,"AAAAAHf/d0k=")</f>
        <v>#VALUE!</v>
      </c>
      <c r="BW172" t="e">
        <f>AND(DATA!H1208,"AAAAAHf/d0o=")</f>
        <v>#VALUE!</v>
      </c>
      <c r="BX172" t="e">
        <f>AND(DATA!I1208,"AAAAAHf/d0s=")</f>
        <v>#VALUE!</v>
      </c>
      <c r="BY172" t="e">
        <f>AND(DATA!J1208,"AAAAAHf/d0w=")</f>
        <v>#VALUE!</v>
      </c>
      <c r="BZ172" t="e">
        <f>AND(DATA!K1208,"AAAAAHf/d00=")</f>
        <v>#VALUE!</v>
      </c>
      <c r="CA172" t="b">
        <f>AND(DATA!L1209,"AAAAAHf/d04=")</f>
        <v>1</v>
      </c>
      <c r="CB172" t="b">
        <f>AND(DATA!M1209,"AAAAAHf/d08=")</f>
        <v>1</v>
      </c>
      <c r="CC172" t="b">
        <f>AND(DATA!N1209,"AAAAAHf/d1A=")</f>
        <v>1</v>
      </c>
      <c r="CD172" t="b">
        <f>AND(DATA!O1209,"AAAAAHf/d1E=")</f>
        <v>1</v>
      </c>
      <c r="CE172" t="b">
        <f>AND(DATA!P1209,"AAAAAHf/d1I=")</f>
        <v>1</v>
      </c>
      <c r="CF172" t="b">
        <f>AND(DATA!Q1209,"AAAAAHf/d1M=")</f>
        <v>1</v>
      </c>
      <c r="CG172" t="b">
        <f>AND(DATA!R1209,"AAAAAHf/d1Q=")</f>
        <v>1</v>
      </c>
      <c r="CH172" t="b">
        <f>AND(DATA!S1209,"AAAAAHf/d1U=")</f>
        <v>1</v>
      </c>
      <c r="CI172" t="b">
        <f>AND(DATA!T1209,"AAAAAHf/d1Y=")</f>
        <v>1</v>
      </c>
      <c r="CJ172" t="b">
        <f>AND(DATA!U1209,"AAAAAHf/d1c=")</f>
        <v>1</v>
      </c>
      <c r="CK172" t="e">
        <f>AND(DATA!V1209,"AAAAAHf/d1g=")</f>
        <v>#VALUE!</v>
      </c>
      <c r="CL172" t="e">
        <f>AND(DATA!W1208,"AAAAAHf/d1k=")</f>
        <v>#VALUE!</v>
      </c>
      <c r="CM172" t="e">
        <f>AND(DATA!X1208,"AAAAAHf/d1o=")</f>
        <v>#VALUE!</v>
      </c>
      <c r="CN172" t="e">
        <f>AND(DATA!Y1208,"AAAAAHf/d1s=")</f>
        <v>#VALUE!</v>
      </c>
      <c r="CO172">
        <f>IF(DATA!1209:1209,"AAAAAHf/d1w=",0)</f>
        <v>0</v>
      </c>
      <c r="CP172" t="e">
        <f>AND(DATA!A1209,"AAAAAHf/d10=")</f>
        <v>#VALUE!</v>
      </c>
      <c r="CQ172" t="e">
        <f>AND(DATA!B1209,"AAAAAHf/d14=")</f>
        <v>#VALUE!</v>
      </c>
      <c r="CR172" t="e">
        <f>AND(DATA!C1209,"AAAAAHf/d18=")</f>
        <v>#VALUE!</v>
      </c>
      <c r="CS172" t="e">
        <f>AND(DATA!D1209,"AAAAAHf/d2A=")</f>
        <v>#VALUE!</v>
      </c>
      <c r="CT172" t="e">
        <f>AND(DATA!E1209,"AAAAAHf/d2E=")</f>
        <v>#VALUE!</v>
      </c>
      <c r="CU172" t="e">
        <f>AND(DATA!F1209,"AAAAAHf/d2I=")</f>
        <v>#VALUE!</v>
      </c>
      <c r="CV172" t="e">
        <f>AND(DATA!G1209,"AAAAAHf/d2M=")</f>
        <v>#VALUE!</v>
      </c>
      <c r="CW172" t="e">
        <f>AND(DATA!H1209,"AAAAAHf/d2Q=")</f>
        <v>#VALUE!</v>
      </c>
      <c r="CX172" t="e">
        <f>AND(DATA!I1209,"AAAAAHf/d2U=")</f>
        <v>#VALUE!</v>
      </c>
      <c r="CY172" t="e">
        <f>AND(DATA!J1209,"AAAAAHf/d2Y=")</f>
        <v>#VALUE!</v>
      </c>
      <c r="CZ172" t="e">
        <f>AND(DATA!K1209,"AAAAAHf/d2c=")</f>
        <v>#VALUE!</v>
      </c>
      <c r="DA172" t="b">
        <f>AND(DATA!L1210,"AAAAAHf/d2g=")</f>
        <v>1</v>
      </c>
      <c r="DB172" t="b">
        <f>AND(DATA!M1210,"AAAAAHf/d2k=")</f>
        <v>1</v>
      </c>
      <c r="DC172" t="b">
        <f>AND(DATA!N1210,"AAAAAHf/d2o=")</f>
        <v>1</v>
      </c>
      <c r="DD172" t="b">
        <f>AND(DATA!O1210,"AAAAAHf/d2s=")</f>
        <v>1</v>
      </c>
      <c r="DE172" t="b">
        <f>AND(DATA!P1210,"AAAAAHf/d2w=")</f>
        <v>1</v>
      </c>
      <c r="DF172" t="b">
        <f>AND(DATA!Q1210,"AAAAAHf/d20=")</f>
        <v>1</v>
      </c>
      <c r="DG172" t="b">
        <f>AND(DATA!R1210,"AAAAAHf/d24=")</f>
        <v>1</v>
      </c>
      <c r="DH172" t="b">
        <f>AND(DATA!S1210,"AAAAAHf/d28=")</f>
        <v>1</v>
      </c>
      <c r="DI172" t="b">
        <f>AND(DATA!T1210,"AAAAAHf/d3A=")</f>
        <v>1</v>
      </c>
      <c r="DJ172" t="b">
        <f>AND(DATA!U1210,"AAAAAHf/d3E=")</f>
        <v>1</v>
      </c>
      <c r="DK172" t="e">
        <f>AND(DATA!V1210,"AAAAAHf/d3I=")</f>
        <v>#VALUE!</v>
      </c>
      <c r="DL172" t="e">
        <f>AND(DATA!W1209,"AAAAAHf/d3M=")</f>
        <v>#VALUE!</v>
      </c>
      <c r="DM172" t="e">
        <f>AND(DATA!X1209,"AAAAAHf/d3Q=")</f>
        <v>#VALUE!</v>
      </c>
      <c r="DN172" t="e">
        <f>AND(DATA!Y1209,"AAAAAHf/d3U=")</f>
        <v>#VALUE!</v>
      </c>
      <c r="DO172">
        <f>IF(DATA!1210:1210,"AAAAAHf/d3Y=",0)</f>
        <v>0</v>
      </c>
      <c r="DP172" t="e">
        <f>AND(DATA!A1210,"AAAAAHf/d3c=")</f>
        <v>#VALUE!</v>
      </c>
      <c r="DQ172" t="e">
        <f>AND(DATA!B1210,"AAAAAHf/d3g=")</f>
        <v>#VALUE!</v>
      </c>
      <c r="DR172" t="e">
        <f>AND(DATA!C1210,"AAAAAHf/d3k=")</f>
        <v>#VALUE!</v>
      </c>
      <c r="DS172" t="e">
        <f>AND(DATA!D1210,"AAAAAHf/d3o=")</f>
        <v>#VALUE!</v>
      </c>
      <c r="DT172" t="e">
        <f>AND(DATA!E1210,"AAAAAHf/d3s=")</f>
        <v>#VALUE!</v>
      </c>
      <c r="DU172" t="e">
        <f>AND(DATA!F1210,"AAAAAHf/d3w=")</f>
        <v>#VALUE!</v>
      </c>
      <c r="DV172" t="e">
        <f>AND(DATA!G1210,"AAAAAHf/d30=")</f>
        <v>#VALUE!</v>
      </c>
      <c r="DW172" t="e">
        <f>AND(DATA!H1210,"AAAAAHf/d34=")</f>
        <v>#VALUE!</v>
      </c>
      <c r="DX172" t="e">
        <f>AND(DATA!I1210,"AAAAAHf/d38=")</f>
        <v>#VALUE!</v>
      </c>
      <c r="DY172" t="e">
        <f>AND(DATA!J1210,"AAAAAHf/d4A=")</f>
        <v>#VALUE!</v>
      </c>
      <c r="DZ172" t="e">
        <f>AND(DATA!K1210,"AAAAAHf/d4E=")</f>
        <v>#VALUE!</v>
      </c>
      <c r="EA172" t="b">
        <f>AND(DATA!L1211,"AAAAAHf/d4I=")</f>
        <v>1</v>
      </c>
      <c r="EB172" t="b">
        <f>AND(DATA!M1211,"AAAAAHf/d4M=")</f>
        <v>1</v>
      </c>
      <c r="EC172" t="b">
        <f>AND(DATA!N1211,"AAAAAHf/d4Q=")</f>
        <v>1</v>
      </c>
      <c r="ED172" t="b">
        <f>AND(DATA!O1211,"AAAAAHf/d4U=")</f>
        <v>1</v>
      </c>
      <c r="EE172" t="b">
        <f>AND(DATA!P1211,"AAAAAHf/d4Y=")</f>
        <v>1</v>
      </c>
      <c r="EF172" t="b">
        <f>AND(DATA!Q1211,"AAAAAHf/d4c=")</f>
        <v>1</v>
      </c>
      <c r="EG172" t="b">
        <f>AND(DATA!R1211,"AAAAAHf/d4g=")</f>
        <v>1</v>
      </c>
      <c r="EH172" t="b">
        <f>AND(DATA!S1211,"AAAAAHf/d4k=")</f>
        <v>1</v>
      </c>
      <c r="EI172" t="b">
        <f>AND(DATA!T1211,"AAAAAHf/d4o=")</f>
        <v>1</v>
      </c>
      <c r="EJ172" t="b">
        <f>AND(DATA!U1211,"AAAAAHf/d4s=")</f>
        <v>1</v>
      </c>
      <c r="EK172" t="e">
        <f>AND(DATA!V1211,"AAAAAHf/d4w=")</f>
        <v>#VALUE!</v>
      </c>
      <c r="EL172" t="e">
        <f>AND(DATA!W1210,"AAAAAHf/d40=")</f>
        <v>#VALUE!</v>
      </c>
      <c r="EM172" t="e">
        <f>AND(DATA!X1210,"AAAAAHf/d44=")</f>
        <v>#VALUE!</v>
      </c>
      <c r="EN172" t="e">
        <f>AND(DATA!Y1210,"AAAAAHf/d48=")</f>
        <v>#VALUE!</v>
      </c>
      <c r="EO172">
        <f>IF(DATA!1211:1211,"AAAAAHf/d5A=",0)</f>
        <v>0</v>
      </c>
      <c r="EP172" t="e">
        <f>AND(DATA!A1211,"AAAAAHf/d5E=")</f>
        <v>#VALUE!</v>
      </c>
      <c r="EQ172" t="e">
        <f>AND(DATA!B1211,"AAAAAHf/d5I=")</f>
        <v>#VALUE!</v>
      </c>
      <c r="ER172" t="e">
        <f>AND(DATA!C1211,"AAAAAHf/d5M=")</f>
        <v>#VALUE!</v>
      </c>
      <c r="ES172" t="e">
        <f>AND(DATA!D1211,"AAAAAHf/d5Q=")</f>
        <v>#VALUE!</v>
      </c>
      <c r="ET172" t="e">
        <f>AND(DATA!E1211,"AAAAAHf/d5U=")</f>
        <v>#VALUE!</v>
      </c>
      <c r="EU172" t="e">
        <f>AND(DATA!F1211,"AAAAAHf/d5Y=")</f>
        <v>#VALUE!</v>
      </c>
      <c r="EV172" t="e">
        <f>AND(DATA!G1211,"AAAAAHf/d5c=")</f>
        <v>#VALUE!</v>
      </c>
      <c r="EW172" t="e">
        <f>AND(DATA!H1211,"AAAAAHf/d5g=")</f>
        <v>#VALUE!</v>
      </c>
      <c r="EX172" t="e">
        <f>AND(DATA!I1211,"AAAAAHf/d5k=")</f>
        <v>#VALUE!</v>
      </c>
      <c r="EY172" t="e">
        <f>AND(DATA!J1211,"AAAAAHf/d5o=")</f>
        <v>#VALUE!</v>
      </c>
      <c r="EZ172" t="e">
        <f>AND(DATA!K1211,"AAAAAHf/d5s=")</f>
        <v>#VALUE!</v>
      </c>
      <c r="FA172" t="b">
        <f>AND(DATA!L1212,"AAAAAHf/d5w=")</f>
        <v>1</v>
      </c>
      <c r="FB172" t="b">
        <f>AND(DATA!M1212,"AAAAAHf/d50=")</f>
        <v>1</v>
      </c>
      <c r="FC172" t="b">
        <f>AND(DATA!N1212,"AAAAAHf/d54=")</f>
        <v>1</v>
      </c>
      <c r="FD172" t="b">
        <f>AND(DATA!O1212,"AAAAAHf/d58=")</f>
        <v>1</v>
      </c>
      <c r="FE172" t="b">
        <f>AND(DATA!P1212,"AAAAAHf/d6A=")</f>
        <v>1</v>
      </c>
      <c r="FF172" t="b">
        <f>AND(DATA!Q1212,"AAAAAHf/d6E=")</f>
        <v>1</v>
      </c>
      <c r="FG172" t="b">
        <f>AND(DATA!R1212,"AAAAAHf/d6I=")</f>
        <v>1</v>
      </c>
      <c r="FH172" t="b">
        <f>AND(DATA!S1212,"AAAAAHf/d6M=")</f>
        <v>1</v>
      </c>
      <c r="FI172" t="b">
        <f>AND(DATA!T1212,"AAAAAHf/d6Q=")</f>
        <v>1</v>
      </c>
      <c r="FJ172" t="b">
        <f>AND(DATA!U1212,"AAAAAHf/d6U=")</f>
        <v>1</v>
      </c>
      <c r="FK172" t="e">
        <f>AND(DATA!V1212,"AAAAAHf/d6Y=")</f>
        <v>#VALUE!</v>
      </c>
      <c r="FL172" t="e">
        <f>AND(DATA!W1211,"AAAAAHf/d6c=")</f>
        <v>#VALUE!</v>
      </c>
      <c r="FM172" t="e">
        <f>AND(DATA!X1211,"AAAAAHf/d6g=")</f>
        <v>#VALUE!</v>
      </c>
      <c r="FN172" t="e">
        <f>AND(DATA!Y1211,"AAAAAHf/d6k=")</f>
        <v>#VALUE!</v>
      </c>
      <c r="FO172">
        <f>IF(DATA!1212:1212,"AAAAAHf/d6o=",0)</f>
        <v>0</v>
      </c>
      <c r="FP172" t="e">
        <f>AND(DATA!A1212,"AAAAAHf/d6s=")</f>
        <v>#VALUE!</v>
      </c>
      <c r="FQ172" t="e">
        <f>AND(DATA!B1212,"AAAAAHf/d6w=")</f>
        <v>#VALUE!</v>
      </c>
      <c r="FR172" t="e">
        <f>AND(DATA!C1212,"AAAAAHf/d60=")</f>
        <v>#VALUE!</v>
      </c>
      <c r="FS172" t="e">
        <f>AND(DATA!D1212,"AAAAAHf/d64=")</f>
        <v>#VALUE!</v>
      </c>
      <c r="FT172" t="e">
        <f>AND(DATA!E1212,"AAAAAHf/d68=")</f>
        <v>#VALUE!</v>
      </c>
      <c r="FU172" t="e">
        <f>AND(DATA!F1212,"AAAAAHf/d7A=")</f>
        <v>#VALUE!</v>
      </c>
      <c r="FV172" t="e">
        <f>AND(DATA!G1212,"AAAAAHf/d7E=")</f>
        <v>#VALUE!</v>
      </c>
      <c r="FW172" t="e">
        <f>AND(DATA!H1212,"AAAAAHf/d7I=")</f>
        <v>#VALUE!</v>
      </c>
      <c r="FX172" t="e">
        <f>AND(DATA!I1212,"AAAAAHf/d7M=")</f>
        <v>#VALUE!</v>
      </c>
      <c r="FY172" t="e">
        <f>AND(DATA!J1212,"AAAAAHf/d7Q=")</f>
        <v>#VALUE!</v>
      </c>
      <c r="FZ172" t="e">
        <f>AND(DATA!K1212,"AAAAAHf/d7U=")</f>
        <v>#VALUE!</v>
      </c>
      <c r="GA172" t="b">
        <f>AND(DATA!L1213,"AAAAAHf/d7Y=")</f>
        <v>1</v>
      </c>
      <c r="GB172" t="b">
        <f>AND(DATA!M1213,"AAAAAHf/d7c=")</f>
        <v>1</v>
      </c>
      <c r="GC172" t="b">
        <f>AND(DATA!N1213,"AAAAAHf/d7g=")</f>
        <v>1</v>
      </c>
      <c r="GD172" t="b">
        <f>AND(DATA!O1213,"AAAAAHf/d7k=")</f>
        <v>1</v>
      </c>
      <c r="GE172" t="b">
        <f>AND(DATA!P1213,"AAAAAHf/d7o=")</f>
        <v>1</v>
      </c>
      <c r="GF172" t="b">
        <f>AND(DATA!Q1213,"AAAAAHf/d7s=")</f>
        <v>1</v>
      </c>
      <c r="GG172" t="b">
        <f>AND(DATA!R1213,"AAAAAHf/d7w=")</f>
        <v>1</v>
      </c>
      <c r="GH172" t="b">
        <f>AND(DATA!S1213,"AAAAAHf/d70=")</f>
        <v>1</v>
      </c>
      <c r="GI172" t="b">
        <f>AND(DATA!T1213,"AAAAAHf/d74=")</f>
        <v>1</v>
      </c>
      <c r="GJ172" t="b">
        <f>AND(DATA!U1213,"AAAAAHf/d78=")</f>
        <v>1</v>
      </c>
      <c r="GK172" t="e">
        <f>AND(DATA!V1213,"AAAAAHf/d8A=")</f>
        <v>#VALUE!</v>
      </c>
      <c r="GL172" t="e">
        <f>AND(DATA!W1212,"AAAAAHf/d8E=")</f>
        <v>#VALUE!</v>
      </c>
      <c r="GM172" t="e">
        <f>AND(DATA!X1212,"AAAAAHf/d8I=")</f>
        <v>#VALUE!</v>
      </c>
      <c r="GN172" t="e">
        <f>AND(DATA!Y1212,"AAAAAHf/d8M=")</f>
        <v>#VALUE!</v>
      </c>
      <c r="GO172">
        <f>IF(DATA!1213:1213,"AAAAAHf/d8Q=",0)</f>
        <v>0</v>
      </c>
      <c r="GP172" t="e">
        <f>AND(DATA!A1213,"AAAAAHf/d8U=")</f>
        <v>#VALUE!</v>
      </c>
      <c r="GQ172" t="e">
        <f>AND(DATA!B1213,"AAAAAHf/d8Y=")</f>
        <v>#VALUE!</v>
      </c>
      <c r="GR172" t="e">
        <f>AND(DATA!C1213,"AAAAAHf/d8c=")</f>
        <v>#VALUE!</v>
      </c>
      <c r="GS172" t="e">
        <f>AND(DATA!D1213,"AAAAAHf/d8g=")</f>
        <v>#VALUE!</v>
      </c>
      <c r="GT172" t="e">
        <f>AND(DATA!E1213,"AAAAAHf/d8k=")</f>
        <v>#VALUE!</v>
      </c>
      <c r="GU172" t="e">
        <f>AND(DATA!F1213,"AAAAAHf/d8o=")</f>
        <v>#VALUE!</v>
      </c>
      <c r="GV172" t="e">
        <f>AND(DATA!G1213,"AAAAAHf/d8s=")</f>
        <v>#VALUE!</v>
      </c>
      <c r="GW172" t="e">
        <f>AND(DATA!H1213,"AAAAAHf/d8w=")</f>
        <v>#VALUE!</v>
      </c>
      <c r="GX172" t="e">
        <f>AND(DATA!I1213,"AAAAAHf/d80=")</f>
        <v>#VALUE!</v>
      </c>
      <c r="GY172" t="e">
        <f>AND(DATA!J1213,"AAAAAHf/d84=")</f>
        <v>#VALUE!</v>
      </c>
      <c r="GZ172" t="e">
        <f>AND(DATA!K1213,"AAAAAHf/d88=")</f>
        <v>#VALUE!</v>
      </c>
      <c r="HA172" t="b">
        <f>AND(DATA!L1214,"AAAAAHf/d9A=")</f>
        <v>1</v>
      </c>
      <c r="HB172" t="b">
        <f>AND(DATA!M1214,"AAAAAHf/d9E=")</f>
        <v>1</v>
      </c>
      <c r="HC172" t="b">
        <f>AND(DATA!N1214,"AAAAAHf/d9I=")</f>
        <v>1</v>
      </c>
      <c r="HD172" t="b">
        <f>AND(DATA!O1214,"AAAAAHf/d9M=")</f>
        <v>1</v>
      </c>
      <c r="HE172" t="b">
        <f>AND(DATA!P1214,"AAAAAHf/d9Q=")</f>
        <v>1</v>
      </c>
      <c r="HF172" t="b">
        <f>AND(DATA!Q1214,"AAAAAHf/d9U=")</f>
        <v>1</v>
      </c>
      <c r="HG172" t="b">
        <f>AND(DATA!R1214,"AAAAAHf/d9Y=")</f>
        <v>1</v>
      </c>
      <c r="HH172" t="b">
        <f>AND(DATA!S1214,"AAAAAHf/d9c=")</f>
        <v>1</v>
      </c>
      <c r="HI172" t="b">
        <f>AND(DATA!T1214,"AAAAAHf/d9g=")</f>
        <v>1</v>
      </c>
      <c r="HJ172" t="b">
        <f>AND(DATA!U1214,"AAAAAHf/d9k=")</f>
        <v>1</v>
      </c>
      <c r="HK172" t="e">
        <f>AND(DATA!V1214,"AAAAAHf/d9o=")</f>
        <v>#VALUE!</v>
      </c>
      <c r="HL172" t="e">
        <f>AND(DATA!W1213,"AAAAAHf/d9s=")</f>
        <v>#VALUE!</v>
      </c>
      <c r="HM172" t="e">
        <f>AND(DATA!X1213,"AAAAAHf/d9w=")</f>
        <v>#VALUE!</v>
      </c>
      <c r="HN172" t="e">
        <f>AND(DATA!Y1213,"AAAAAHf/d90=")</f>
        <v>#VALUE!</v>
      </c>
      <c r="HO172">
        <f>IF(DATA!1214:1214,"AAAAAHf/d94=",0)</f>
        <v>0</v>
      </c>
      <c r="HP172" t="e">
        <f>AND(DATA!A1214,"AAAAAHf/d98=")</f>
        <v>#VALUE!</v>
      </c>
      <c r="HQ172" t="e">
        <f>AND(DATA!B1214,"AAAAAHf/d+A=")</f>
        <v>#VALUE!</v>
      </c>
      <c r="HR172" t="e">
        <f>AND(DATA!C1214,"AAAAAHf/d+E=")</f>
        <v>#VALUE!</v>
      </c>
      <c r="HS172" t="e">
        <f>AND(DATA!D1214,"AAAAAHf/d+I=")</f>
        <v>#VALUE!</v>
      </c>
      <c r="HT172" t="e">
        <f>AND(DATA!E1214,"AAAAAHf/d+M=")</f>
        <v>#VALUE!</v>
      </c>
      <c r="HU172" t="e">
        <f>AND(DATA!F1214,"AAAAAHf/d+Q=")</f>
        <v>#VALUE!</v>
      </c>
      <c r="HV172" t="e">
        <f>AND(DATA!G1214,"AAAAAHf/d+U=")</f>
        <v>#VALUE!</v>
      </c>
      <c r="HW172" t="e">
        <f>AND(DATA!H1214,"AAAAAHf/d+Y=")</f>
        <v>#VALUE!</v>
      </c>
      <c r="HX172" t="e">
        <f>AND(DATA!I1214,"AAAAAHf/d+c=")</f>
        <v>#VALUE!</v>
      </c>
      <c r="HY172" t="e">
        <f>AND(DATA!J1214,"AAAAAHf/d+g=")</f>
        <v>#VALUE!</v>
      </c>
      <c r="HZ172" t="e">
        <f>AND(DATA!K1214,"AAAAAHf/d+k=")</f>
        <v>#VALUE!</v>
      </c>
      <c r="IA172" t="b">
        <f>AND(DATA!L1215,"AAAAAHf/d+o=")</f>
        <v>1</v>
      </c>
      <c r="IB172" t="b">
        <f>AND(DATA!M1215,"AAAAAHf/d+s=")</f>
        <v>1</v>
      </c>
      <c r="IC172" t="b">
        <f>AND(DATA!N1215,"AAAAAHf/d+w=")</f>
        <v>1</v>
      </c>
      <c r="ID172" t="b">
        <f>AND(DATA!O1215,"AAAAAHf/d+0=")</f>
        <v>1</v>
      </c>
      <c r="IE172" t="b">
        <f>AND(DATA!P1215,"AAAAAHf/d+4=")</f>
        <v>1</v>
      </c>
      <c r="IF172" t="b">
        <f>AND(DATA!Q1215,"AAAAAHf/d+8=")</f>
        <v>1</v>
      </c>
      <c r="IG172" t="b">
        <f>AND(DATA!R1215,"AAAAAHf/d/A=")</f>
        <v>1</v>
      </c>
      <c r="IH172" t="b">
        <f>AND(DATA!S1215,"AAAAAHf/d/E=")</f>
        <v>1</v>
      </c>
      <c r="II172" t="b">
        <f>AND(DATA!T1215,"AAAAAHf/d/I=")</f>
        <v>1</v>
      </c>
      <c r="IJ172" t="b">
        <f>AND(DATA!U1215,"AAAAAHf/d/M=")</f>
        <v>1</v>
      </c>
      <c r="IK172" t="e">
        <f>AND(DATA!V1215,"AAAAAHf/d/Q=")</f>
        <v>#VALUE!</v>
      </c>
      <c r="IL172" t="e">
        <f>AND(DATA!W1214,"AAAAAHf/d/U=")</f>
        <v>#VALUE!</v>
      </c>
      <c r="IM172" t="e">
        <f>AND(DATA!X1214,"AAAAAHf/d/Y=")</f>
        <v>#VALUE!</v>
      </c>
      <c r="IN172" t="e">
        <f>AND(DATA!Y1214,"AAAAAHf/d/c=")</f>
        <v>#VALUE!</v>
      </c>
      <c r="IO172">
        <f>IF(DATA!1215:1215,"AAAAAHf/d/g=",0)</f>
        <v>0</v>
      </c>
      <c r="IP172" t="e">
        <f>AND(DATA!A1215,"AAAAAHf/d/k=")</f>
        <v>#VALUE!</v>
      </c>
      <c r="IQ172" t="e">
        <f>AND(DATA!B1215,"AAAAAHf/d/o=")</f>
        <v>#VALUE!</v>
      </c>
      <c r="IR172" t="e">
        <f>AND(DATA!C1215,"AAAAAHf/d/s=")</f>
        <v>#VALUE!</v>
      </c>
      <c r="IS172" t="e">
        <f>AND(DATA!D1215,"AAAAAHf/d/w=")</f>
        <v>#VALUE!</v>
      </c>
      <c r="IT172" t="e">
        <f>AND(DATA!E1215,"AAAAAHf/d/0=")</f>
        <v>#VALUE!</v>
      </c>
      <c r="IU172" t="e">
        <f>AND(DATA!F1215,"AAAAAHf/d/4=")</f>
        <v>#VALUE!</v>
      </c>
      <c r="IV172" t="e">
        <f>AND(DATA!G1215,"AAAAAHf/d/8=")</f>
        <v>#VALUE!</v>
      </c>
    </row>
    <row r="173" spans="1:256" x14ac:dyDescent="0.25">
      <c r="A173" t="e">
        <f>AND(DATA!H1215,"AAAAAHK9mwA=")</f>
        <v>#VALUE!</v>
      </c>
      <c r="B173" t="e">
        <f>AND(DATA!I1215,"AAAAAHK9mwE=")</f>
        <v>#VALUE!</v>
      </c>
      <c r="C173" t="e">
        <f>AND(DATA!J1215,"AAAAAHK9mwI=")</f>
        <v>#VALUE!</v>
      </c>
      <c r="D173" t="e">
        <f>AND(DATA!K1215,"AAAAAHK9mwM=")</f>
        <v>#VALUE!</v>
      </c>
      <c r="E173" t="b">
        <f>AND(DATA!L1216,"AAAAAHK9mwQ=")</f>
        <v>1</v>
      </c>
      <c r="F173" t="b">
        <f>AND(DATA!M1216,"AAAAAHK9mwU=")</f>
        <v>1</v>
      </c>
      <c r="G173" t="b">
        <f>AND(DATA!N1216,"AAAAAHK9mwY=")</f>
        <v>1</v>
      </c>
      <c r="H173" t="b">
        <f>AND(DATA!O1216,"AAAAAHK9mwc=")</f>
        <v>1</v>
      </c>
      <c r="I173" t="b">
        <f>AND(DATA!P1216,"AAAAAHK9mwg=")</f>
        <v>1</v>
      </c>
      <c r="J173" t="b">
        <f>AND(DATA!Q1216,"AAAAAHK9mwk=")</f>
        <v>1</v>
      </c>
      <c r="K173" t="b">
        <f>AND(DATA!R1216,"AAAAAHK9mwo=")</f>
        <v>1</v>
      </c>
      <c r="L173" t="b">
        <f>AND(DATA!S1216,"AAAAAHK9mws=")</f>
        <v>1</v>
      </c>
      <c r="M173" t="b">
        <f>AND(DATA!T1216,"AAAAAHK9mww=")</f>
        <v>1</v>
      </c>
      <c r="N173" t="b">
        <f>AND(DATA!U1216,"AAAAAHK9mw0=")</f>
        <v>1</v>
      </c>
      <c r="O173" t="e">
        <f>AND(DATA!V1216,"AAAAAHK9mw4=")</f>
        <v>#VALUE!</v>
      </c>
      <c r="P173" t="e">
        <f>AND(DATA!W1215,"AAAAAHK9mw8=")</f>
        <v>#VALUE!</v>
      </c>
      <c r="Q173" t="e">
        <f>AND(DATA!X1215,"AAAAAHK9mxA=")</f>
        <v>#VALUE!</v>
      </c>
      <c r="R173" t="e">
        <f>AND(DATA!Y1215,"AAAAAHK9mxE=")</f>
        <v>#VALUE!</v>
      </c>
      <c r="S173" t="str">
        <f>IF(DATA!1216:1216,"AAAAAHK9mxI=",0)</f>
        <v>AAAAAHK9mxI=</v>
      </c>
      <c r="T173" t="e">
        <f>AND(DATA!A1216,"AAAAAHK9mxM=")</f>
        <v>#VALUE!</v>
      </c>
      <c r="U173" t="e">
        <f>AND(DATA!B1216,"AAAAAHK9mxQ=")</f>
        <v>#VALUE!</v>
      </c>
      <c r="V173" t="e">
        <f>AND(DATA!C1216,"AAAAAHK9mxU=")</f>
        <v>#VALUE!</v>
      </c>
      <c r="W173" t="e">
        <f>AND(DATA!D1216,"AAAAAHK9mxY=")</f>
        <v>#VALUE!</v>
      </c>
      <c r="X173" t="e">
        <f>AND(DATA!E1216,"AAAAAHK9mxc=")</f>
        <v>#VALUE!</v>
      </c>
      <c r="Y173" t="e">
        <f>AND(DATA!F1216,"AAAAAHK9mxg=")</f>
        <v>#VALUE!</v>
      </c>
      <c r="Z173" t="e">
        <f>AND(DATA!G1216,"AAAAAHK9mxk=")</f>
        <v>#VALUE!</v>
      </c>
      <c r="AA173" t="e">
        <f>AND(DATA!H1216,"AAAAAHK9mxo=")</f>
        <v>#VALUE!</v>
      </c>
      <c r="AB173" t="e">
        <f>AND(DATA!I1216,"AAAAAHK9mxs=")</f>
        <v>#VALUE!</v>
      </c>
      <c r="AC173" t="e">
        <f>AND(DATA!J1216,"AAAAAHK9mxw=")</f>
        <v>#VALUE!</v>
      </c>
      <c r="AD173" t="e">
        <f>AND(DATA!K1216,"AAAAAHK9mx0=")</f>
        <v>#VALUE!</v>
      </c>
      <c r="AE173" t="b">
        <f>AND(DATA!L1217,"AAAAAHK9mx4=")</f>
        <v>1</v>
      </c>
      <c r="AF173" t="b">
        <f>AND(DATA!M1217,"AAAAAHK9mx8=")</f>
        <v>1</v>
      </c>
      <c r="AG173" t="b">
        <f>AND(DATA!N1217,"AAAAAHK9myA=")</f>
        <v>1</v>
      </c>
      <c r="AH173" t="b">
        <f>AND(DATA!O1217,"AAAAAHK9myE=")</f>
        <v>1</v>
      </c>
      <c r="AI173" t="b">
        <f>AND(DATA!P1217,"AAAAAHK9myI=")</f>
        <v>1</v>
      </c>
      <c r="AJ173" t="b">
        <f>AND(DATA!Q1217,"AAAAAHK9myM=")</f>
        <v>1</v>
      </c>
      <c r="AK173" t="b">
        <f>AND(DATA!R1217,"AAAAAHK9myQ=")</f>
        <v>1</v>
      </c>
      <c r="AL173" t="b">
        <f>AND(DATA!S1217,"AAAAAHK9myU=")</f>
        <v>1</v>
      </c>
      <c r="AM173" t="b">
        <f>AND(DATA!T1217,"AAAAAHK9myY=")</f>
        <v>1</v>
      </c>
      <c r="AN173" t="b">
        <f>AND(DATA!U1217,"AAAAAHK9myc=")</f>
        <v>1</v>
      </c>
      <c r="AO173" t="e">
        <f>AND(DATA!V1217,"AAAAAHK9myg=")</f>
        <v>#VALUE!</v>
      </c>
      <c r="AP173" t="e">
        <f>AND(DATA!W1216,"AAAAAHK9myk=")</f>
        <v>#VALUE!</v>
      </c>
      <c r="AQ173" t="e">
        <f>AND(DATA!X1216,"AAAAAHK9myo=")</f>
        <v>#VALUE!</v>
      </c>
      <c r="AR173" t="e">
        <f>AND(DATA!Y1216,"AAAAAHK9mys=")</f>
        <v>#VALUE!</v>
      </c>
      <c r="AS173">
        <f>IF(DATA!1217:1217,"AAAAAHK9myw=",0)</f>
        <v>0</v>
      </c>
      <c r="AT173" t="e">
        <f>AND(DATA!A1217,"AAAAAHK9my0=")</f>
        <v>#VALUE!</v>
      </c>
      <c r="AU173" t="e">
        <f>AND(DATA!B1217,"AAAAAHK9my4=")</f>
        <v>#VALUE!</v>
      </c>
      <c r="AV173" t="e">
        <f>AND(DATA!C1217,"AAAAAHK9my8=")</f>
        <v>#VALUE!</v>
      </c>
      <c r="AW173" t="e">
        <f>AND(DATA!D1217,"AAAAAHK9mzA=")</f>
        <v>#VALUE!</v>
      </c>
      <c r="AX173" t="e">
        <f>AND(DATA!E1217,"AAAAAHK9mzE=")</f>
        <v>#VALUE!</v>
      </c>
      <c r="AY173" t="e">
        <f>AND(DATA!F1217,"AAAAAHK9mzI=")</f>
        <v>#VALUE!</v>
      </c>
      <c r="AZ173" t="e">
        <f>AND(DATA!G1217,"AAAAAHK9mzM=")</f>
        <v>#VALUE!</v>
      </c>
      <c r="BA173" t="e">
        <f>AND(DATA!H1217,"AAAAAHK9mzQ=")</f>
        <v>#VALUE!</v>
      </c>
      <c r="BB173" t="e">
        <f>AND(DATA!I1217,"AAAAAHK9mzU=")</f>
        <v>#VALUE!</v>
      </c>
      <c r="BC173" t="e">
        <f>AND(DATA!J1217,"AAAAAHK9mzY=")</f>
        <v>#VALUE!</v>
      </c>
      <c r="BD173" t="e">
        <f>AND(DATA!K1217,"AAAAAHK9mzc=")</f>
        <v>#VALUE!</v>
      </c>
      <c r="BE173" t="b">
        <f>AND(DATA!L1218,"AAAAAHK9mzg=")</f>
        <v>1</v>
      </c>
      <c r="BF173" t="b">
        <f>AND(DATA!M1218,"AAAAAHK9mzk=")</f>
        <v>1</v>
      </c>
      <c r="BG173" t="b">
        <f>AND(DATA!N1218,"AAAAAHK9mzo=")</f>
        <v>1</v>
      </c>
      <c r="BH173" t="b">
        <f>AND(DATA!O1218,"AAAAAHK9mzs=")</f>
        <v>1</v>
      </c>
      <c r="BI173" t="b">
        <f>AND(DATA!P1218,"AAAAAHK9mzw=")</f>
        <v>1</v>
      </c>
      <c r="BJ173" t="b">
        <f>AND(DATA!Q1218,"AAAAAHK9mz0=")</f>
        <v>1</v>
      </c>
      <c r="BK173" t="b">
        <f>AND(DATA!R1218,"AAAAAHK9mz4=")</f>
        <v>1</v>
      </c>
      <c r="BL173" t="b">
        <f>AND(DATA!S1218,"AAAAAHK9mz8=")</f>
        <v>1</v>
      </c>
      <c r="BM173" t="b">
        <f>AND(DATA!T1218,"AAAAAHK9m0A=")</f>
        <v>1</v>
      </c>
      <c r="BN173" t="b">
        <f>AND(DATA!U1218,"AAAAAHK9m0E=")</f>
        <v>1</v>
      </c>
      <c r="BO173" t="e">
        <f>AND(DATA!V1218,"AAAAAHK9m0I=")</f>
        <v>#VALUE!</v>
      </c>
      <c r="BP173" t="e">
        <f>AND(DATA!W1217,"AAAAAHK9m0M=")</f>
        <v>#VALUE!</v>
      </c>
      <c r="BQ173" t="e">
        <f>AND(DATA!X1217,"AAAAAHK9m0Q=")</f>
        <v>#VALUE!</v>
      </c>
      <c r="BR173" t="e">
        <f>AND(DATA!Y1217,"AAAAAHK9m0U=")</f>
        <v>#VALUE!</v>
      </c>
      <c r="BS173">
        <f>IF(DATA!1218:1218,"AAAAAHK9m0Y=",0)</f>
        <v>0</v>
      </c>
      <c r="BT173" t="e">
        <f>AND(DATA!A1218,"AAAAAHK9m0c=")</f>
        <v>#VALUE!</v>
      </c>
      <c r="BU173" t="e">
        <f>AND(DATA!B1218,"AAAAAHK9m0g=")</f>
        <v>#VALUE!</v>
      </c>
      <c r="BV173" t="e">
        <f>AND(DATA!C1218,"AAAAAHK9m0k=")</f>
        <v>#VALUE!</v>
      </c>
      <c r="BW173" t="e">
        <f>AND(DATA!D1218,"AAAAAHK9m0o=")</f>
        <v>#VALUE!</v>
      </c>
      <c r="BX173" t="e">
        <f>AND(DATA!E1218,"AAAAAHK9m0s=")</f>
        <v>#VALUE!</v>
      </c>
      <c r="BY173" t="e">
        <f>AND(DATA!F1218,"AAAAAHK9m0w=")</f>
        <v>#VALUE!</v>
      </c>
      <c r="BZ173" t="e">
        <f>AND(DATA!G1218,"AAAAAHK9m00=")</f>
        <v>#VALUE!</v>
      </c>
      <c r="CA173" t="e">
        <f>AND(DATA!H1218,"AAAAAHK9m04=")</f>
        <v>#VALUE!</v>
      </c>
      <c r="CB173" t="e">
        <f>AND(DATA!I1218,"AAAAAHK9m08=")</f>
        <v>#VALUE!</v>
      </c>
      <c r="CC173" t="e">
        <f>AND(DATA!J1218,"AAAAAHK9m1A=")</f>
        <v>#VALUE!</v>
      </c>
      <c r="CD173" t="e">
        <f>AND(DATA!K1218,"AAAAAHK9m1E=")</f>
        <v>#VALUE!</v>
      </c>
      <c r="CE173" t="b">
        <f>AND(DATA!L1219,"AAAAAHK9m1I=")</f>
        <v>1</v>
      </c>
      <c r="CF173" t="b">
        <f>AND(DATA!M1219,"AAAAAHK9m1M=")</f>
        <v>1</v>
      </c>
      <c r="CG173" t="b">
        <f>AND(DATA!N1219,"AAAAAHK9m1Q=")</f>
        <v>1</v>
      </c>
      <c r="CH173" t="b">
        <f>AND(DATA!O1219,"AAAAAHK9m1U=")</f>
        <v>1</v>
      </c>
      <c r="CI173" t="b">
        <f>AND(DATA!P1219,"AAAAAHK9m1Y=")</f>
        <v>1</v>
      </c>
      <c r="CJ173" t="b">
        <f>AND(DATA!Q1219,"AAAAAHK9m1c=")</f>
        <v>1</v>
      </c>
      <c r="CK173" t="b">
        <f>AND(DATA!R1219,"AAAAAHK9m1g=")</f>
        <v>1</v>
      </c>
      <c r="CL173" t="b">
        <f>AND(DATA!S1219,"AAAAAHK9m1k=")</f>
        <v>1</v>
      </c>
      <c r="CM173" t="b">
        <f>AND(DATA!T1219,"AAAAAHK9m1o=")</f>
        <v>1</v>
      </c>
      <c r="CN173" t="b">
        <f>AND(DATA!U1219,"AAAAAHK9m1s=")</f>
        <v>1</v>
      </c>
      <c r="CO173" t="e">
        <f>AND(DATA!V1219,"AAAAAHK9m1w=")</f>
        <v>#VALUE!</v>
      </c>
      <c r="CP173" t="e">
        <f>AND(DATA!W1218,"AAAAAHK9m10=")</f>
        <v>#VALUE!</v>
      </c>
      <c r="CQ173" t="e">
        <f>AND(DATA!X1218,"AAAAAHK9m14=")</f>
        <v>#VALUE!</v>
      </c>
      <c r="CR173" t="e">
        <f>AND(DATA!Y1218,"AAAAAHK9m18=")</f>
        <v>#VALUE!</v>
      </c>
      <c r="CS173">
        <f>IF(DATA!1219:1219,"AAAAAHK9m2A=",0)</f>
        <v>0</v>
      </c>
      <c r="CT173" t="e">
        <f>AND(DATA!A1219,"AAAAAHK9m2E=")</f>
        <v>#VALUE!</v>
      </c>
      <c r="CU173" t="e">
        <f>AND(DATA!B1219,"AAAAAHK9m2I=")</f>
        <v>#VALUE!</v>
      </c>
      <c r="CV173" t="e">
        <f>AND(DATA!C1219,"AAAAAHK9m2M=")</f>
        <v>#VALUE!</v>
      </c>
      <c r="CW173" t="e">
        <f>AND(DATA!D1219,"AAAAAHK9m2Q=")</f>
        <v>#VALUE!</v>
      </c>
      <c r="CX173" t="e">
        <f>AND(DATA!E1219,"AAAAAHK9m2U=")</f>
        <v>#VALUE!</v>
      </c>
      <c r="CY173" t="e">
        <f>AND(DATA!F1219,"AAAAAHK9m2Y=")</f>
        <v>#VALUE!</v>
      </c>
      <c r="CZ173" t="e">
        <f>AND(DATA!G1219,"AAAAAHK9m2c=")</f>
        <v>#VALUE!</v>
      </c>
      <c r="DA173" t="e">
        <f>AND(DATA!H1219,"AAAAAHK9m2g=")</f>
        <v>#VALUE!</v>
      </c>
      <c r="DB173" t="e">
        <f>AND(DATA!I1219,"AAAAAHK9m2k=")</f>
        <v>#VALUE!</v>
      </c>
      <c r="DC173" t="e">
        <f>AND(DATA!J1219,"AAAAAHK9m2o=")</f>
        <v>#VALUE!</v>
      </c>
      <c r="DD173" t="e">
        <f>AND(DATA!K1219,"AAAAAHK9m2s=")</f>
        <v>#VALUE!</v>
      </c>
      <c r="DE173" t="b">
        <f>AND(DATA!L1220,"AAAAAHK9m2w=")</f>
        <v>1</v>
      </c>
      <c r="DF173" t="b">
        <f>AND(DATA!M1220,"AAAAAHK9m20=")</f>
        <v>1</v>
      </c>
      <c r="DG173" t="b">
        <f>AND(DATA!N1220,"AAAAAHK9m24=")</f>
        <v>1</v>
      </c>
      <c r="DH173" t="b">
        <f>AND(DATA!O1220,"AAAAAHK9m28=")</f>
        <v>1</v>
      </c>
      <c r="DI173" t="b">
        <f>AND(DATA!P1220,"AAAAAHK9m3A=")</f>
        <v>1</v>
      </c>
      <c r="DJ173" t="b">
        <f>AND(DATA!Q1220,"AAAAAHK9m3E=")</f>
        <v>1</v>
      </c>
      <c r="DK173" t="b">
        <f>AND(DATA!R1220,"AAAAAHK9m3I=")</f>
        <v>1</v>
      </c>
      <c r="DL173" t="b">
        <f>AND(DATA!S1220,"AAAAAHK9m3M=")</f>
        <v>1</v>
      </c>
      <c r="DM173" t="b">
        <f>AND(DATA!T1220,"AAAAAHK9m3Q=")</f>
        <v>1</v>
      </c>
      <c r="DN173" t="b">
        <f>AND(DATA!U1220,"AAAAAHK9m3U=")</f>
        <v>1</v>
      </c>
      <c r="DO173" t="e">
        <f>AND(DATA!V1220,"AAAAAHK9m3Y=")</f>
        <v>#VALUE!</v>
      </c>
      <c r="DP173" t="e">
        <f>AND(DATA!W1219,"AAAAAHK9m3c=")</f>
        <v>#VALUE!</v>
      </c>
      <c r="DQ173" t="e">
        <f>AND(DATA!X1219,"AAAAAHK9m3g=")</f>
        <v>#VALUE!</v>
      </c>
      <c r="DR173" t="e">
        <f>AND(DATA!Y1219,"AAAAAHK9m3k=")</f>
        <v>#VALUE!</v>
      </c>
      <c r="DS173">
        <f>IF(DATA!1220:1220,"AAAAAHK9m3o=",0)</f>
        <v>0</v>
      </c>
      <c r="DT173" t="e">
        <f>AND(DATA!A1220,"AAAAAHK9m3s=")</f>
        <v>#VALUE!</v>
      </c>
      <c r="DU173" t="e">
        <f>AND(DATA!B1220,"AAAAAHK9m3w=")</f>
        <v>#VALUE!</v>
      </c>
      <c r="DV173" t="e">
        <f>AND(DATA!C1220,"AAAAAHK9m30=")</f>
        <v>#VALUE!</v>
      </c>
      <c r="DW173" t="e">
        <f>AND(DATA!D1220,"AAAAAHK9m34=")</f>
        <v>#VALUE!</v>
      </c>
      <c r="DX173" t="e">
        <f>AND(DATA!E1220,"AAAAAHK9m38=")</f>
        <v>#VALUE!</v>
      </c>
      <c r="DY173" t="e">
        <f>AND(DATA!F1220,"AAAAAHK9m4A=")</f>
        <v>#VALUE!</v>
      </c>
      <c r="DZ173" t="e">
        <f>AND(DATA!G1220,"AAAAAHK9m4E=")</f>
        <v>#VALUE!</v>
      </c>
      <c r="EA173" t="e">
        <f>AND(DATA!H1220,"AAAAAHK9m4I=")</f>
        <v>#VALUE!</v>
      </c>
      <c r="EB173" t="e">
        <f>AND(DATA!I1220,"AAAAAHK9m4M=")</f>
        <v>#VALUE!</v>
      </c>
      <c r="EC173" t="e">
        <f>AND(DATA!J1220,"AAAAAHK9m4Q=")</f>
        <v>#VALUE!</v>
      </c>
      <c r="ED173" t="e">
        <f>AND(DATA!K1220,"AAAAAHK9m4U=")</f>
        <v>#VALUE!</v>
      </c>
      <c r="EE173" t="b">
        <f>AND(DATA!L1221,"AAAAAHK9m4Y=")</f>
        <v>1</v>
      </c>
      <c r="EF173" t="b">
        <f>AND(DATA!M1221,"AAAAAHK9m4c=")</f>
        <v>1</v>
      </c>
      <c r="EG173" t="b">
        <f>AND(DATA!N1221,"AAAAAHK9m4g=")</f>
        <v>1</v>
      </c>
      <c r="EH173" t="b">
        <f>AND(DATA!O1221,"AAAAAHK9m4k=")</f>
        <v>1</v>
      </c>
      <c r="EI173" t="b">
        <f>AND(DATA!P1221,"AAAAAHK9m4o=")</f>
        <v>1</v>
      </c>
      <c r="EJ173" t="b">
        <f>AND(DATA!Q1221,"AAAAAHK9m4s=")</f>
        <v>1</v>
      </c>
      <c r="EK173" t="b">
        <f>AND(DATA!R1221,"AAAAAHK9m4w=")</f>
        <v>1</v>
      </c>
      <c r="EL173" t="b">
        <f>AND(DATA!S1221,"AAAAAHK9m40=")</f>
        <v>1</v>
      </c>
      <c r="EM173" t="b">
        <f>AND(DATA!T1221,"AAAAAHK9m44=")</f>
        <v>1</v>
      </c>
      <c r="EN173" t="b">
        <f>AND(DATA!U1221,"AAAAAHK9m48=")</f>
        <v>1</v>
      </c>
      <c r="EO173" t="e">
        <f>AND(DATA!V1221,"AAAAAHK9m5A=")</f>
        <v>#VALUE!</v>
      </c>
      <c r="EP173" t="e">
        <f>AND(DATA!W1220,"AAAAAHK9m5E=")</f>
        <v>#VALUE!</v>
      </c>
      <c r="EQ173" t="e">
        <f>AND(DATA!X1220,"AAAAAHK9m5I=")</f>
        <v>#VALUE!</v>
      </c>
      <c r="ER173" t="e">
        <f>AND(DATA!Y1220,"AAAAAHK9m5M=")</f>
        <v>#VALUE!</v>
      </c>
      <c r="ES173">
        <f>IF(DATA!1221:1221,"AAAAAHK9m5Q=",0)</f>
        <v>0</v>
      </c>
      <c r="ET173" t="e">
        <f>AND(DATA!A1221,"AAAAAHK9m5U=")</f>
        <v>#VALUE!</v>
      </c>
      <c r="EU173" t="e">
        <f>AND(DATA!B1221,"AAAAAHK9m5Y=")</f>
        <v>#VALUE!</v>
      </c>
      <c r="EV173" t="e">
        <f>AND(DATA!C1221,"AAAAAHK9m5c=")</f>
        <v>#VALUE!</v>
      </c>
      <c r="EW173" t="e">
        <f>AND(DATA!D1221,"AAAAAHK9m5g=")</f>
        <v>#VALUE!</v>
      </c>
      <c r="EX173" t="e">
        <f>AND(DATA!E1221,"AAAAAHK9m5k=")</f>
        <v>#VALUE!</v>
      </c>
      <c r="EY173" t="e">
        <f>AND(DATA!F1221,"AAAAAHK9m5o=")</f>
        <v>#VALUE!</v>
      </c>
      <c r="EZ173" t="e">
        <f>AND(DATA!G1221,"AAAAAHK9m5s=")</f>
        <v>#VALUE!</v>
      </c>
      <c r="FA173" t="e">
        <f>AND(DATA!H1221,"AAAAAHK9m5w=")</f>
        <v>#VALUE!</v>
      </c>
      <c r="FB173" t="e">
        <f>AND(DATA!I1221,"AAAAAHK9m50=")</f>
        <v>#VALUE!</v>
      </c>
      <c r="FC173" t="e">
        <f>AND(DATA!J1221,"AAAAAHK9m54=")</f>
        <v>#VALUE!</v>
      </c>
      <c r="FD173" t="e">
        <f>AND(DATA!K1221,"AAAAAHK9m58=")</f>
        <v>#VALUE!</v>
      </c>
      <c r="FE173" t="b">
        <f>AND(DATA!L1222,"AAAAAHK9m6A=")</f>
        <v>1</v>
      </c>
      <c r="FF173" t="b">
        <f>AND(DATA!M1222,"AAAAAHK9m6E=")</f>
        <v>1</v>
      </c>
      <c r="FG173" t="b">
        <f>AND(DATA!N1222,"AAAAAHK9m6I=")</f>
        <v>1</v>
      </c>
      <c r="FH173" t="b">
        <f>AND(DATA!O1222,"AAAAAHK9m6M=")</f>
        <v>1</v>
      </c>
      <c r="FI173" t="b">
        <f>AND(DATA!P1222,"AAAAAHK9m6Q=")</f>
        <v>1</v>
      </c>
      <c r="FJ173" t="b">
        <f>AND(DATA!Q1222,"AAAAAHK9m6U=")</f>
        <v>1</v>
      </c>
      <c r="FK173" t="b">
        <f>AND(DATA!R1222,"AAAAAHK9m6Y=")</f>
        <v>1</v>
      </c>
      <c r="FL173" t="b">
        <f>AND(DATA!S1222,"AAAAAHK9m6c=")</f>
        <v>1</v>
      </c>
      <c r="FM173" t="b">
        <f>AND(DATA!T1222,"AAAAAHK9m6g=")</f>
        <v>1</v>
      </c>
      <c r="FN173" t="b">
        <f>AND(DATA!U1222,"AAAAAHK9m6k=")</f>
        <v>1</v>
      </c>
      <c r="FO173" t="e">
        <f>AND(DATA!V1222,"AAAAAHK9m6o=")</f>
        <v>#VALUE!</v>
      </c>
      <c r="FP173" t="e">
        <f>AND(DATA!W1221,"AAAAAHK9m6s=")</f>
        <v>#VALUE!</v>
      </c>
      <c r="FQ173" t="e">
        <f>AND(DATA!X1221,"AAAAAHK9m6w=")</f>
        <v>#VALUE!</v>
      </c>
      <c r="FR173" t="e">
        <f>AND(DATA!Y1221,"AAAAAHK9m60=")</f>
        <v>#VALUE!</v>
      </c>
      <c r="FS173">
        <f>IF(DATA!1222:1222,"AAAAAHK9m64=",0)</f>
        <v>0</v>
      </c>
      <c r="FT173" t="e">
        <f>AND(DATA!A1222,"AAAAAHK9m68=")</f>
        <v>#VALUE!</v>
      </c>
      <c r="FU173" t="e">
        <f>AND(DATA!B1222,"AAAAAHK9m7A=")</f>
        <v>#VALUE!</v>
      </c>
      <c r="FV173" t="e">
        <f>AND(DATA!C1222,"AAAAAHK9m7E=")</f>
        <v>#VALUE!</v>
      </c>
      <c r="FW173" t="e">
        <f>AND(DATA!D1222,"AAAAAHK9m7I=")</f>
        <v>#VALUE!</v>
      </c>
      <c r="FX173" t="e">
        <f>AND(DATA!E1222,"AAAAAHK9m7M=")</f>
        <v>#VALUE!</v>
      </c>
      <c r="FY173" t="e">
        <f>AND(DATA!F1222,"AAAAAHK9m7Q=")</f>
        <v>#VALUE!</v>
      </c>
      <c r="FZ173" t="e">
        <f>AND(DATA!G1222,"AAAAAHK9m7U=")</f>
        <v>#VALUE!</v>
      </c>
      <c r="GA173" t="e">
        <f>AND(DATA!H1222,"AAAAAHK9m7Y=")</f>
        <v>#VALUE!</v>
      </c>
      <c r="GB173" t="e">
        <f>AND(DATA!I1222,"AAAAAHK9m7c=")</f>
        <v>#VALUE!</v>
      </c>
      <c r="GC173" t="e">
        <f>AND(DATA!J1222,"AAAAAHK9m7g=")</f>
        <v>#VALUE!</v>
      </c>
      <c r="GD173" t="e">
        <f>AND(DATA!K1222,"AAAAAHK9m7k=")</f>
        <v>#VALUE!</v>
      </c>
      <c r="GE173" t="b">
        <f>AND(DATA!L1223,"AAAAAHK9m7o=")</f>
        <v>1</v>
      </c>
      <c r="GF173" t="b">
        <f>AND(DATA!M1223,"AAAAAHK9m7s=")</f>
        <v>1</v>
      </c>
      <c r="GG173" t="b">
        <f>AND(DATA!N1223,"AAAAAHK9m7w=")</f>
        <v>1</v>
      </c>
      <c r="GH173" t="b">
        <f>AND(DATA!O1223,"AAAAAHK9m70=")</f>
        <v>1</v>
      </c>
      <c r="GI173" t="b">
        <f>AND(DATA!P1223,"AAAAAHK9m74=")</f>
        <v>1</v>
      </c>
      <c r="GJ173" t="b">
        <f>AND(DATA!Q1223,"AAAAAHK9m78=")</f>
        <v>1</v>
      </c>
      <c r="GK173" t="b">
        <f>AND(DATA!R1223,"AAAAAHK9m8A=")</f>
        <v>1</v>
      </c>
      <c r="GL173" t="b">
        <f>AND(DATA!S1223,"AAAAAHK9m8E=")</f>
        <v>1</v>
      </c>
      <c r="GM173" t="b">
        <f>AND(DATA!T1223,"AAAAAHK9m8I=")</f>
        <v>1</v>
      </c>
      <c r="GN173" t="b">
        <f>AND(DATA!U1223,"AAAAAHK9m8M=")</f>
        <v>1</v>
      </c>
      <c r="GO173" t="e">
        <f>AND(DATA!V1223,"AAAAAHK9m8Q=")</f>
        <v>#VALUE!</v>
      </c>
      <c r="GP173" t="e">
        <f>AND(DATA!W1222,"AAAAAHK9m8U=")</f>
        <v>#VALUE!</v>
      </c>
      <c r="GQ173" t="e">
        <f>AND(DATA!X1222,"AAAAAHK9m8Y=")</f>
        <v>#VALUE!</v>
      </c>
      <c r="GR173" t="e">
        <f>AND(DATA!Y1222,"AAAAAHK9m8c=")</f>
        <v>#VALUE!</v>
      </c>
      <c r="GS173">
        <f>IF(DATA!1223:1223,"AAAAAHK9m8g=",0)</f>
        <v>0</v>
      </c>
      <c r="GT173" t="e">
        <f>AND(DATA!A1223,"AAAAAHK9m8k=")</f>
        <v>#VALUE!</v>
      </c>
      <c r="GU173" t="e">
        <f>AND(DATA!B1223,"AAAAAHK9m8o=")</f>
        <v>#VALUE!</v>
      </c>
      <c r="GV173" t="e">
        <f>AND(DATA!C1223,"AAAAAHK9m8s=")</f>
        <v>#VALUE!</v>
      </c>
      <c r="GW173" t="e">
        <f>AND(DATA!D1223,"AAAAAHK9m8w=")</f>
        <v>#VALUE!</v>
      </c>
      <c r="GX173" t="e">
        <f>AND(DATA!E1223,"AAAAAHK9m80=")</f>
        <v>#VALUE!</v>
      </c>
      <c r="GY173" t="e">
        <f>AND(DATA!F1223,"AAAAAHK9m84=")</f>
        <v>#VALUE!</v>
      </c>
      <c r="GZ173" t="e">
        <f>AND(DATA!G1223,"AAAAAHK9m88=")</f>
        <v>#VALUE!</v>
      </c>
      <c r="HA173" t="e">
        <f>AND(DATA!H1223,"AAAAAHK9m9A=")</f>
        <v>#VALUE!</v>
      </c>
      <c r="HB173" t="e">
        <f>AND(DATA!I1223,"AAAAAHK9m9E=")</f>
        <v>#VALUE!</v>
      </c>
      <c r="HC173" t="e">
        <f>AND(DATA!J1223,"AAAAAHK9m9I=")</f>
        <v>#VALUE!</v>
      </c>
      <c r="HD173" t="e">
        <f>AND(DATA!K1223,"AAAAAHK9m9M=")</f>
        <v>#VALUE!</v>
      </c>
      <c r="HE173" t="b">
        <f>AND(DATA!L1224,"AAAAAHK9m9Q=")</f>
        <v>1</v>
      </c>
      <c r="HF173" t="b">
        <f>AND(DATA!M1224,"AAAAAHK9m9U=")</f>
        <v>1</v>
      </c>
      <c r="HG173" t="b">
        <f>AND(DATA!N1224,"AAAAAHK9m9Y=")</f>
        <v>1</v>
      </c>
      <c r="HH173" t="b">
        <f>AND(DATA!O1224,"AAAAAHK9m9c=")</f>
        <v>1</v>
      </c>
      <c r="HI173" t="b">
        <f>AND(DATA!P1224,"AAAAAHK9m9g=")</f>
        <v>1</v>
      </c>
      <c r="HJ173" t="b">
        <f>AND(DATA!Q1224,"AAAAAHK9m9k=")</f>
        <v>1</v>
      </c>
      <c r="HK173" t="b">
        <f>AND(DATA!R1224,"AAAAAHK9m9o=")</f>
        <v>1</v>
      </c>
      <c r="HL173" t="b">
        <f>AND(DATA!S1224,"AAAAAHK9m9s=")</f>
        <v>1</v>
      </c>
      <c r="HM173" t="b">
        <f>AND(DATA!T1224,"AAAAAHK9m9w=")</f>
        <v>1</v>
      </c>
      <c r="HN173" t="b">
        <f>AND(DATA!U1224,"AAAAAHK9m90=")</f>
        <v>1</v>
      </c>
      <c r="HO173" t="e">
        <f>AND(DATA!V1224,"AAAAAHK9m94=")</f>
        <v>#VALUE!</v>
      </c>
      <c r="HP173" t="e">
        <f>AND(DATA!W1223,"AAAAAHK9m98=")</f>
        <v>#VALUE!</v>
      </c>
      <c r="HQ173" t="e">
        <f>AND(DATA!X1223,"AAAAAHK9m+A=")</f>
        <v>#VALUE!</v>
      </c>
      <c r="HR173" t="e">
        <f>AND(DATA!Y1223,"AAAAAHK9m+E=")</f>
        <v>#VALUE!</v>
      </c>
      <c r="HS173">
        <f>IF(DATA!1224:1224,"AAAAAHK9m+I=",0)</f>
        <v>0</v>
      </c>
      <c r="HT173" t="e">
        <f>AND(DATA!A1224,"AAAAAHK9m+M=")</f>
        <v>#VALUE!</v>
      </c>
      <c r="HU173" t="e">
        <f>AND(DATA!B1224,"AAAAAHK9m+Q=")</f>
        <v>#VALUE!</v>
      </c>
      <c r="HV173" t="e">
        <f>AND(DATA!C1224,"AAAAAHK9m+U=")</f>
        <v>#VALUE!</v>
      </c>
      <c r="HW173" t="e">
        <f>AND(DATA!D1224,"AAAAAHK9m+Y=")</f>
        <v>#VALUE!</v>
      </c>
      <c r="HX173" t="e">
        <f>AND(DATA!E1224,"AAAAAHK9m+c=")</f>
        <v>#VALUE!</v>
      </c>
      <c r="HY173" t="e">
        <f>AND(DATA!F1224,"AAAAAHK9m+g=")</f>
        <v>#VALUE!</v>
      </c>
      <c r="HZ173" t="e">
        <f>AND(DATA!G1224,"AAAAAHK9m+k=")</f>
        <v>#VALUE!</v>
      </c>
      <c r="IA173" t="e">
        <f>AND(DATA!H1224,"AAAAAHK9m+o=")</f>
        <v>#VALUE!</v>
      </c>
      <c r="IB173" t="e">
        <f>AND(DATA!I1224,"AAAAAHK9m+s=")</f>
        <v>#VALUE!</v>
      </c>
      <c r="IC173" t="e">
        <f>AND(DATA!J1224,"AAAAAHK9m+w=")</f>
        <v>#VALUE!</v>
      </c>
      <c r="ID173" t="e">
        <f>AND(DATA!K1224,"AAAAAHK9m+0=")</f>
        <v>#VALUE!</v>
      </c>
      <c r="IE173" t="b">
        <f>AND(DATA!L1225,"AAAAAHK9m+4=")</f>
        <v>1</v>
      </c>
      <c r="IF173" t="b">
        <f>AND(DATA!M1225,"AAAAAHK9m+8=")</f>
        <v>1</v>
      </c>
      <c r="IG173" t="b">
        <f>AND(DATA!N1225,"AAAAAHK9m/A=")</f>
        <v>1</v>
      </c>
      <c r="IH173" t="b">
        <f>AND(DATA!O1225,"AAAAAHK9m/E=")</f>
        <v>1</v>
      </c>
      <c r="II173" t="b">
        <f>AND(DATA!P1225,"AAAAAHK9m/I=")</f>
        <v>1</v>
      </c>
      <c r="IJ173" t="b">
        <f>AND(DATA!Q1225,"AAAAAHK9m/M=")</f>
        <v>1</v>
      </c>
      <c r="IK173" t="b">
        <f>AND(DATA!R1225,"AAAAAHK9m/Q=")</f>
        <v>1</v>
      </c>
      <c r="IL173" t="b">
        <f>AND(DATA!S1225,"AAAAAHK9m/U=")</f>
        <v>1</v>
      </c>
      <c r="IM173" t="b">
        <f>AND(DATA!T1225,"AAAAAHK9m/Y=")</f>
        <v>1</v>
      </c>
      <c r="IN173" t="b">
        <f>AND(DATA!U1225,"AAAAAHK9m/c=")</f>
        <v>1</v>
      </c>
      <c r="IO173" t="e">
        <f>AND(DATA!V1225,"AAAAAHK9m/g=")</f>
        <v>#VALUE!</v>
      </c>
      <c r="IP173" t="e">
        <f>AND(DATA!W1224,"AAAAAHK9m/k=")</f>
        <v>#VALUE!</v>
      </c>
      <c r="IQ173" t="e">
        <f>AND(DATA!X1224,"AAAAAHK9m/o=")</f>
        <v>#VALUE!</v>
      </c>
      <c r="IR173" t="e">
        <f>AND(DATA!Y1224,"AAAAAHK9m/s=")</f>
        <v>#VALUE!</v>
      </c>
      <c r="IS173">
        <f>IF(DATA!1225:1225,"AAAAAHK9m/w=",0)</f>
        <v>0</v>
      </c>
      <c r="IT173" t="e">
        <f>AND(DATA!A1225,"AAAAAHK9m/0=")</f>
        <v>#VALUE!</v>
      </c>
      <c r="IU173" t="e">
        <f>AND(DATA!B1225,"AAAAAHK9m/4=")</f>
        <v>#VALUE!</v>
      </c>
      <c r="IV173" t="e">
        <f>AND(DATA!C1225,"AAAAAHK9m/8=")</f>
        <v>#VALUE!</v>
      </c>
    </row>
    <row r="174" spans="1:256" x14ac:dyDescent="0.25">
      <c r="A174" t="e">
        <f>AND(DATA!D1225,"AAAAAG73vwA=")</f>
        <v>#VALUE!</v>
      </c>
      <c r="B174" t="e">
        <f>AND(DATA!E1225,"AAAAAG73vwE=")</f>
        <v>#VALUE!</v>
      </c>
      <c r="C174" t="e">
        <f>AND(DATA!F1225,"AAAAAG73vwI=")</f>
        <v>#VALUE!</v>
      </c>
      <c r="D174" t="e">
        <f>AND(DATA!G1225,"AAAAAG73vwM=")</f>
        <v>#VALUE!</v>
      </c>
      <c r="E174" t="e">
        <f>AND(DATA!H1225,"AAAAAG73vwQ=")</f>
        <v>#VALUE!</v>
      </c>
      <c r="F174" t="e">
        <f>AND(DATA!I1225,"AAAAAG73vwU=")</f>
        <v>#VALUE!</v>
      </c>
      <c r="G174" t="e">
        <f>AND(DATA!J1225,"AAAAAG73vwY=")</f>
        <v>#VALUE!</v>
      </c>
      <c r="H174" t="e">
        <f>AND(DATA!K1225,"AAAAAG73vwc=")</f>
        <v>#VALUE!</v>
      </c>
      <c r="I174" t="b">
        <f>AND(DATA!L1226,"AAAAAG73vwg=")</f>
        <v>1</v>
      </c>
      <c r="J174" t="b">
        <f>AND(DATA!M1226,"AAAAAG73vwk=")</f>
        <v>1</v>
      </c>
      <c r="K174" t="b">
        <f>AND(DATA!N1226,"AAAAAG73vwo=")</f>
        <v>1</v>
      </c>
      <c r="L174" t="b">
        <f>AND(DATA!O1226,"AAAAAG73vws=")</f>
        <v>1</v>
      </c>
      <c r="M174" t="b">
        <f>AND(DATA!P1226,"AAAAAG73vww=")</f>
        <v>1</v>
      </c>
      <c r="N174" t="b">
        <f>AND(DATA!Q1226,"AAAAAG73vw0=")</f>
        <v>1</v>
      </c>
      <c r="O174" t="b">
        <f>AND(DATA!R1226,"AAAAAG73vw4=")</f>
        <v>1</v>
      </c>
      <c r="P174" t="b">
        <f>AND(DATA!S1226,"AAAAAG73vw8=")</f>
        <v>1</v>
      </c>
      <c r="Q174" t="b">
        <f>AND(DATA!T1226,"AAAAAG73vxA=")</f>
        <v>1</v>
      </c>
      <c r="R174" t="b">
        <f>AND(DATA!U1226,"AAAAAG73vxE=")</f>
        <v>1</v>
      </c>
      <c r="S174" t="e">
        <f>AND(DATA!V1226,"AAAAAG73vxI=")</f>
        <v>#VALUE!</v>
      </c>
      <c r="T174" t="e">
        <f>AND(DATA!W1225,"AAAAAG73vxM=")</f>
        <v>#VALUE!</v>
      </c>
      <c r="U174" t="e">
        <f>AND(DATA!X1225,"AAAAAG73vxQ=")</f>
        <v>#VALUE!</v>
      </c>
      <c r="V174" t="e">
        <f>AND(DATA!Y1225,"AAAAAG73vxU=")</f>
        <v>#VALUE!</v>
      </c>
      <c r="W174">
        <f>IF(DATA!1226:1226,"AAAAAG73vxY=",0)</f>
        <v>0</v>
      </c>
      <c r="X174" t="e">
        <f>AND(DATA!A1226,"AAAAAG73vxc=")</f>
        <v>#VALUE!</v>
      </c>
      <c r="Y174" t="e">
        <f>AND(DATA!B1226,"AAAAAG73vxg=")</f>
        <v>#VALUE!</v>
      </c>
      <c r="Z174" t="e">
        <f>AND(DATA!C1226,"AAAAAG73vxk=")</f>
        <v>#VALUE!</v>
      </c>
      <c r="AA174" t="e">
        <f>AND(DATA!D1226,"AAAAAG73vxo=")</f>
        <v>#VALUE!</v>
      </c>
      <c r="AB174" t="e">
        <f>AND(DATA!E1226,"AAAAAG73vxs=")</f>
        <v>#VALUE!</v>
      </c>
      <c r="AC174" t="e">
        <f>AND(DATA!F1226,"AAAAAG73vxw=")</f>
        <v>#VALUE!</v>
      </c>
      <c r="AD174" t="e">
        <f>AND(DATA!G1226,"AAAAAG73vx0=")</f>
        <v>#VALUE!</v>
      </c>
      <c r="AE174" t="e">
        <f>AND(DATA!H1226,"AAAAAG73vx4=")</f>
        <v>#VALUE!</v>
      </c>
      <c r="AF174" t="e">
        <f>AND(DATA!I1226,"AAAAAG73vx8=")</f>
        <v>#VALUE!</v>
      </c>
      <c r="AG174" t="e">
        <f>AND(DATA!J1226,"AAAAAG73vyA=")</f>
        <v>#VALUE!</v>
      </c>
      <c r="AH174" t="e">
        <f>AND(DATA!K1226,"AAAAAG73vyE=")</f>
        <v>#VALUE!</v>
      </c>
      <c r="AI174" t="b">
        <f>AND(DATA!L1227,"AAAAAG73vyI=")</f>
        <v>1</v>
      </c>
      <c r="AJ174" t="b">
        <f>AND(DATA!M1227,"AAAAAG73vyM=")</f>
        <v>1</v>
      </c>
      <c r="AK174" t="b">
        <f>AND(DATA!N1227,"AAAAAG73vyQ=")</f>
        <v>1</v>
      </c>
      <c r="AL174" t="b">
        <f>AND(DATA!O1227,"AAAAAG73vyU=")</f>
        <v>1</v>
      </c>
      <c r="AM174" t="b">
        <f>AND(DATA!P1227,"AAAAAG73vyY=")</f>
        <v>1</v>
      </c>
      <c r="AN174" t="b">
        <f>AND(DATA!Q1227,"AAAAAG73vyc=")</f>
        <v>1</v>
      </c>
      <c r="AO174" t="b">
        <f>AND(DATA!R1227,"AAAAAG73vyg=")</f>
        <v>1</v>
      </c>
      <c r="AP174" t="b">
        <f>AND(DATA!S1227,"AAAAAG73vyk=")</f>
        <v>1</v>
      </c>
      <c r="AQ174" t="b">
        <f>AND(DATA!T1227,"AAAAAG73vyo=")</f>
        <v>1</v>
      </c>
      <c r="AR174" t="b">
        <f>AND(DATA!U1227,"AAAAAG73vys=")</f>
        <v>1</v>
      </c>
      <c r="AS174" t="e">
        <f>AND(DATA!V1227,"AAAAAG73vyw=")</f>
        <v>#VALUE!</v>
      </c>
      <c r="AT174" t="e">
        <f>AND(DATA!W1226,"AAAAAG73vy0=")</f>
        <v>#VALUE!</v>
      </c>
      <c r="AU174" t="e">
        <f>AND(DATA!X1226,"AAAAAG73vy4=")</f>
        <v>#VALUE!</v>
      </c>
      <c r="AV174" t="e">
        <f>AND(DATA!Y1226,"AAAAAG73vy8=")</f>
        <v>#VALUE!</v>
      </c>
      <c r="AW174">
        <f>IF(DATA!1227:1227,"AAAAAG73vzA=",0)</f>
        <v>0</v>
      </c>
      <c r="AX174" t="e">
        <f>AND(DATA!A1227,"AAAAAG73vzE=")</f>
        <v>#VALUE!</v>
      </c>
      <c r="AY174" t="e">
        <f>AND(DATA!B1227,"AAAAAG73vzI=")</f>
        <v>#VALUE!</v>
      </c>
      <c r="AZ174" t="e">
        <f>AND(DATA!C1227,"AAAAAG73vzM=")</f>
        <v>#VALUE!</v>
      </c>
      <c r="BA174" t="e">
        <f>AND(DATA!D1227,"AAAAAG73vzQ=")</f>
        <v>#VALUE!</v>
      </c>
      <c r="BB174" t="e">
        <f>AND(DATA!E1227,"AAAAAG73vzU=")</f>
        <v>#VALUE!</v>
      </c>
      <c r="BC174" t="e">
        <f>AND(DATA!F1227,"AAAAAG73vzY=")</f>
        <v>#VALUE!</v>
      </c>
      <c r="BD174" t="e">
        <f>AND(DATA!G1227,"AAAAAG73vzc=")</f>
        <v>#VALUE!</v>
      </c>
      <c r="BE174" t="e">
        <f>AND(DATA!H1227,"AAAAAG73vzg=")</f>
        <v>#VALUE!</v>
      </c>
      <c r="BF174" t="e">
        <f>AND(DATA!I1227,"AAAAAG73vzk=")</f>
        <v>#VALUE!</v>
      </c>
      <c r="BG174" t="e">
        <f>AND(DATA!J1227,"AAAAAG73vzo=")</f>
        <v>#VALUE!</v>
      </c>
      <c r="BH174" t="e">
        <f>AND(DATA!K1227,"AAAAAG73vzs=")</f>
        <v>#VALUE!</v>
      </c>
      <c r="BI174" t="b">
        <f>AND(DATA!L1228,"AAAAAG73vzw=")</f>
        <v>1</v>
      </c>
      <c r="BJ174" t="b">
        <f>AND(DATA!M1228,"AAAAAG73vz0=")</f>
        <v>1</v>
      </c>
      <c r="BK174" t="b">
        <f>AND(DATA!N1228,"AAAAAG73vz4=")</f>
        <v>1</v>
      </c>
      <c r="BL174" t="b">
        <f>AND(DATA!O1228,"AAAAAG73vz8=")</f>
        <v>1</v>
      </c>
      <c r="BM174" t="b">
        <f>AND(DATA!P1228,"AAAAAG73v0A=")</f>
        <v>1</v>
      </c>
      <c r="BN174" t="b">
        <f>AND(DATA!Q1228,"AAAAAG73v0E=")</f>
        <v>1</v>
      </c>
      <c r="BO174" t="b">
        <f>AND(DATA!R1228,"AAAAAG73v0I=")</f>
        <v>1</v>
      </c>
      <c r="BP174" t="b">
        <f>AND(DATA!S1228,"AAAAAG73v0M=")</f>
        <v>1</v>
      </c>
      <c r="BQ174" t="b">
        <f>AND(DATA!T1228,"AAAAAG73v0Q=")</f>
        <v>1</v>
      </c>
      <c r="BR174" t="b">
        <f>AND(DATA!U1228,"AAAAAG73v0U=")</f>
        <v>1</v>
      </c>
      <c r="BS174" t="e">
        <f>AND(DATA!V1228,"AAAAAG73v0Y=")</f>
        <v>#VALUE!</v>
      </c>
      <c r="BT174" t="e">
        <f>AND(DATA!W1227,"AAAAAG73v0c=")</f>
        <v>#VALUE!</v>
      </c>
      <c r="BU174" t="e">
        <f>AND(DATA!X1227,"AAAAAG73v0g=")</f>
        <v>#VALUE!</v>
      </c>
      <c r="BV174" t="e">
        <f>AND(DATA!Y1227,"AAAAAG73v0k=")</f>
        <v>#VALUE!</v>
      </c>
      <c r="BW174">
        <f>IF(DATA!1228:1228,"AAAAAG73v0o=",0)</f>
        <v>0</v>
      </c>
      <c r="BX174" t="e">
        <f>AND(DATA!A1228,"AAAAAG73v0s=")</f>
        <v>#VALUE!</v>
      </c>
      <c r="BY174" t="e">
        <f>AND(DATA!B1228,"AAAAAG73v0w=")</f>
        <v>#VALUE!</v>
      </c>
      <c r="BZ174" t="e">
        <f>AND(DATA!C1228,"AAAAAG73v00=")</f>
        <v>#VALUE!</v>
      </c>
      <c r="CA174" t="e">
        <f>AND(DATA!D1228,"AAAAAG73v04=")</f>
        <v>#VALUE!</v>
      </c>
      <c r="CB174" t="e">
        <f>AND(DATA!E1228,"AAAAAG73v08=")</f>
        <v>#VALUE!</v>
      </c>
      <c r="CC174" t="e">
        <f>AND(DATA!F1228,"AAAAAG73v1A=")</f>
        <v>#VALUE!</v>
      </c>
      <c r="CD174" t="e">
        <f>AND(DATA!G1228,"AAAAAG73v1E=")</f>
        <v>#VALUE!</v>
      </c>
      <c r="CE174" t="e">
        <f>AND(DATA!H1228,"AAAAAG73v1I=")</f>
        <v>#VALUE!</v>
      </c>
      <c r="CF174" t="e">
        <f>AND(DATA!I1228,"AAAAAG73v1M=")</f>
        <v>#VALUE!</v>
      </c>
      <c r="CG174" t="e">
        <f>AND(DATA!J1228,"AAAAAG73v1Q=")</f>
        <v>#VALUE!</v>
      </c>
      <c r="CH174" t="e">
        <f>AND(DATA!K1228,"AAAAAG73v1U=")</f>
        <v>#VALUE!</v>
      </c>
      <c r="CI174" t="b">
        <f>AND(DATA!L1229,"AAAAAG73v1Y=")</f>
        <v>1</v>
      </c>
      <c r="CJ174" t="b">
        <f>AND(DATA!M1229,"AAAAAG73v1c=")</f>
        <v>1</v>
      </c>
      <c r="CK174" t="b">
        <f>AND(DATA!N1229,"AAAAAG73v1g=")</f>
        <v>1</v>
      </c>
      <c r="CL174" t="b">
        <f>AND(DATA!O1229,"AAAAAG73v1k=")</f>
        <v>1</v>
      </c>
      <c r="CM174" t="b">
        <f>AND(DATA!P1229,"AAAAAG73v1o=")</f>
        <v>1</v>
      </c>
      <c r="CN174" t="b">
        <f>AND(DATA!Q1229,"AAAAAG73v1s=")</f>
        <v>1</v>
      </c>
      <c r="CO174" t="b">
        <f>AND(DATA!R1229,"AAAAAG73v1w=")</f>
        <v>1</v>
      </c>
      <c r="CP174" t="b">
        <f>AND(DATA!S1229,"AAAAAG73v10=")</f>
        <v>1</v>
      </c>
      <c r="CQ174" t="b">
        <f>AND(DATA!T1229,"AAAAAG73v14=")</f>
        <v>1</v>
      </c>
      <c r="CR174" t="b">
        <f>AND(DATA!U1229,"AAAAAG73v18=")</f>
        <v>1</v>
      </c>
      <c r="CS174" t="e">
        <f>AND(DATA!V1229,"AAAAAG73v2A=")</f>
        <v>#VALUE!</v>
      </c>
      <c r="CT174" t="e">
        <f>AND(DATA!W1228,"AAAAAG73v2E=")</f>
        <v>#VALUE!</v>
      </c>
      <c r="CU174" t="e">
        <f>AND(DATA!X1228,"AAAAAG73v2I=")</f>
        <v>#VALUE!</v>
      </c>
      <c r="CV174" t="e">
        <f>AND(DATA!Y1228,"AAAAAG73v2M=")</f>
        <v>#VALUE!</v>
      </c>
      <c r="CW174">
        <f>IF(DATA!1229:1229,"AAAAAG73v2Q=",0)</f>
        <v>0</v>
      </c>
      <c r="CX174" t="e">
        <f>AND(DATA!A1229,"AAAAAG73v2U=")</f>
        <v>#VALUE!</v>
      </c>
      <c r="CY174" t="e">
        <f>AND(DATA!B1229,"AAAAAG73v2Y=")</f>
        <v>#VALUE!</v>
      </c>
      <c r="CZ174" t="e">
        <f>AND(DATA!C1229,"AAAAAG73v2c=")</f>
        <v>#VALUE!</v>
      </c>
      <c r="DA174" t="e">
        <f>AND(DATA!D1229,"AAAAAG73v2g=")</f>
        <v>#VALUE!</v>
      </c>
      <c r="DB174" t="e">
        <f>AND(DATA!E1229,"AAAAAG73v2k=")</f>
        <v>#VALUE!</v>
      </c>
      <c r="DC174" t="e">
        <f>AND(DATA!F1229,"AAAAAG73v2o=")</f>
        <v>#VALUE!</v>
      </c>
      <c r="DD174" t="e">
        <f>AND(DATA!G1229,"AAAAAG73v2s=")</f>
        <v>#VALUE!</v>
      </c>
      <c r="DE174" t="e">
        <f>AND(DATA!H1229,"AAAAAG73v2w=")</f>
        <v>#VALUE!</v>
      </c>
      <c r="DF174" t="e">
        <f>AND(DATA!I1229,"AAAAAG73v20=")</f>
        <v>#VALUE!</v>
      </c>
      <c r="DG174" t="e">
        <f>AND(DATA!J1229,"AAAAAG73v24=")</f>
        <v>#VALUE!</v>
      </c>
      <c r="DH174" t="e">
        <f>AND(DATA!K1229,"AAAAAG73v28=")</f>
        <v>#VALUE!</v>
      </c>
      <c r="DI174" t="b">
        <f>AND(DATA!L1230,"AAAAAG73v3A=")</f>
        <v>1</v>
      </c>
      <c r="DJ174" t="b">
        <f>AND(DATA!M1230,"AAAAAG73v3E=")</f>
        <v>1</v>
      </c>
      <c r="DK174" t="b">
        <f>AND(DATA!N1230,"AAAAAG73v3I=")</f>
        <v>1</v>
      </c>
      <c r="DL174" t="b">
        <f>AND(DATA!O1230,"AAAAAG73v3M=")</f>
        <v>1</v>
      </c>
      <c r="DM174" t="b">
        <f>AND(DATA!P1230,"AAAAAG73v3Q=")</f>
        <v>1</v>
      </c>
      <c r="DN174" t="b">
        <f>AND(DATA!Q1230,"AAAAAG73v3U=")</f>
        <v>1</v>
      </c>
      <c r="DO174" t="b">
        <f>AND(DATA!R1230,"AAAAAG73v3Y=")</f>
        <v>1</v>
      </c>
      <c r="DP174" t="b">
        <f>AND(DATA!S1230,"AAAAAG73v3c=")</f>
        <v>1</v>
      </c>
      <c r="DQ174" t="b">
        <f>AND(DATA!T1230,"AAAAAG73v3g=")</f>
        <v>1</v>
      </c>
      <c r="DR174" t="b">
        <f>AND(DATA!U1230,"AAAAAG73v3k=")</f>
        <v>1</v>
      </c>
      <c r="DS174" t="e">
        <f>AND(DATA!V1230,"AAAAAG73v3o=")</f>
        <v>#VALUE!</v>
      </c>
      <c r="DT174" t="e">
        <f>AND(DATA!W1229,"AAAAAG73v3s=")</f>
        <v>#VALUE!</v>
      </c>
      <c r="DU174" t="e">
        <f>AND(DATA!X1229,"AAAAAG73v3w=")</f>
        <v>#VALUE!</v>
      </c>
      <c r="DV174" t="e">
        <f>AND(DATA!Y1229,"AAAAAG73v30=")</f>
        <v>#VALUE!</v>
      </c>
      <c r="DW174">
        <f>IF(DATA!1230:1230,"AAAAAG73v34=",0)</f>
        <v>0</v>
      </c>
      <c r="DX174" t="e">
        <f>AND(DATA!A1230,"AAAAAG73v38=")</f>
        <v>#VALUE!</v>
      </c>
      <c r="DY174" t="e">
        <f>AND(DATA!B1230,"AAAAAG73v4A=")</f>
        <v>#VALUE!</v>
      </c>
      <c r="DZ174" t="e">
        <f>AND(DATA!C1230,"AAAAAG73v4E=")</f>
        <v>#VALUE!</v>
      </c>
      <c r="EA174" t="e">
        <f>AND(DATA!D1230,"AAAAAG73v4I=")</f>
        <v>#VALUE!</v>
      </c>
      <c r="EB174" t="e">
        <f>AND(DATA!E1230,"AAAAAG73v4M=")</f>
        <v>#VALUE!</v>
      </c>
      <c r="EC174" t="e">
        <f>AND(DATA!F1230,"AAAAAG73v4Q=")</f>
        <v>#VALUE!</v>
      </c>
      <c r="ED174" t="e">
        <f>AND(DATA!G1230,"AAAAAG73v4U=")</f>
        <v>#VALUE!</v>
      </c>
      <c r="EE174" t="e">
        <f>AND(DATA!H1230,"AAAAAG73v4Y=")</f>
        <v>#VALUE!</v>
      </c>
      <c r="EF174" t="e">
        <f>AND(DATA!I1230,"AAAAAG73v4c=")</f>
        <v>#VALUE!</v>
      </c>
      <c r="EG174" t="e">
        <f>AND(DATA!J1230,"AAAAAG73v4g=")</f>
        <v>#VALUE!</v>
      </c>
      <c r="EH174" t="e">
        <f>AND(DATA!K1230,"AAAAAG73v4k=")</f>
        <v>#VALUE!</v>
      </c>
      <c r="EI174" t="b">
        <f>AND(DATA!L1231,"AAAAAG73v4o=")</f>
        <v>1</v>
      </c>
      <c r="EJ174" t="b">
        <f>AND(DATA!M1231,"AAAAAG73v4s=")</f>
        <v>1</v>
      </c>
      <c r="EK174" t="b">
        <f>AND(DATA!N1231,"AAAAAG73v4w=")</f>
        <v>1</v>
      </c>
      <c r="EL174" t="b">
        <f>AND(DATA!O1231,"AAAAAG73v40=")</f>
        <v>1</v>
      </c>
      <c r="EM174" t="b">
        <f>AND(DATA!P1231,"AAAAAG73v44=")</f>
        <v>1</v>
      </c>
      <c r="EN174" t="b">
        <f>AND(DATA!Q1231,"AAAAAG73v48=")</f>
        <v>1</v>
      </c>
      <c r="EO174" t="b">
        <f>AND(DATA!R1231,"AAAAAG73v5A=")</f>
        <v>1</v>
      </c>
      <c r="EP174" t="b">
        <f>AND(DATA!S1231,"AAAAAG73v5E=")</f>
        <v>1</v>
      </c>
      <c r="EQ174" t="b">
        <f>AND(DATA!T1231,"AAAAAG73v5I=")</f>
        <v>1</v>
      </c>
      <c r="ER174" t="b">
        <f>AND(DATA!U1231,"AAAAAG73v5M=")</f>
        <v>1</v>
      </c>
      <c r="ES174" t="e">
        <f>AND(DATA!V1231,"AAAAAG73v5Q=")</f>
        <v>#VALUE!</v>
      </c>
      <c r="ET174" t="e">
        <f>AND(DATA!W1230,"AAAAAG73v5U=")</f>
        <v>#VALUE!</v>
      </c>
      <c r="EU174" t="e">
        <f>AND(DATA!X1230,"AAAAAG73v5Y=")</f>
        <v>#VALUE!</v>
      </c>
      <c r="EV174" t="e">
        <f>AND(DATA!Y1230,"AAAAAG73v5c=")</f>
        <v>#VALUE!</v>
      </c>
      <c r="EW174">
        <f>IF(DATA!1231:1231,"AAAAAG73v5g=",0)</f>
        <v>0</v>
      </c>
      <c r="EX174" t="e">
        <f>AND(DATA!A1231,"AAAAAG73v5k=")</f>
        <v>#VALUE!</v>
      </c>
      <c r="EY174" t="e">
        <f>AND(DATA!B1231,"AAAAAG73v5o=")</f>
        <v>#VALUE!</v>
      </c>
      <c r="EZ174" t="e">
        <f>AND(DATA!C1231,"AAAAAG73v5s=")</f>
        <v>#VALUE!</v>
      </c>
      <c r="FA174" t="e">
        <f>AND(DATA!D1231,"AAAAAG73v5w=")</f>
        <v>#VALUE!</v>
      </c>
      <c r="FB174" t="e">
        <f>AND(DATA!E1231,"AAAAAG73v50=")</f>
        <v>#VALUE!</v>
      </c>
      <c r="FC174" t="e">
        <f>AND(DATA!F1231,"AAAAAG73v54=")</f>
        <v>#VALUE!</v>
      </c>
      <c r="FD174" t="e">
        <f>AND(DATA!G1231,"AAAAAG73v58=")</f>
        <v>#VALUE!</v>
      </c>
      <c r="FE174" t="e">
        <f>AND(DATA!H1231,"AAAAAG73v6A=")</f>
        <v>#VALUE!</v>
      </c>
      <c r="FF174" t="e">
        <f>AND(DATA!I1231,"AAAAAG73v6E=")</f>
        <v>#VALUE!</v>
      </c>
      <c r="FG174" t="e">
        <f>AND(DATA!J1231,"AAAAAG73v6I=")</f>
        <v>#VALUE!</v>
      </c>
      <c r="FH174" t="e">
        <f>AND(DATA!K1231,"AAAAAG73v6M=")</f>
        <v>#VALUE!</v>
      </c>
      <c r="FI174" t="b">
        <f>AND(DATA!L1232,"AAAAAG73v6Q=")</f>
        <v>1</v>
      </c>
      <c r="FJ174" t="b">
        <f>AND(DATA!M1232,"AAAAAG73v6U=")</f>
        <v>1</v>
      </c>
      <c r="FK174" t="b">
        <f>AND(DATA!N1232,"AAAAAG73v6Y=")</f>
        <v>1</v>
      </c>
      <c r="FL174" t="b">
        <f>AND(DATA!O1232,"AAAAAG73v6c=")</f>
        <v>1</v>
      </c>
      <c r="FM174" t="b">
        <f>AND(DATA!P1232,"AAAAAG73v6g=")</f>
        <v>1</v>
      </c>
      <c r="FN174" t="b">
        <f>AND(DATA!Q1232,"AAAAAG73v6k=")</f>
        <v>1</v>
      </c>
      <c r="FO174" t="b">
        <f>AND(DATA!R1232,"AAAAAG73v6o=")</f>
        <v>1</v>
      </c>
      <c r="FP174" t="b">
        <f>AND(DATA!S1232,"AAAAAG73v6s=")</f>
        <v>1</v>
      </c>
      <c r="FQ174" t="b">
        <f>AND(DATA!T1232,"AAAAAG73v6w=")</f>
        <v>1</v>
      </c>
      <c r="FR174" t="b">
        <f>AND(DATA!U1232,"AAAAAG73v60=")</f>
        <v>1</v>
      </c>
      <c r="FS174" t="e">
        <f>AND(DATA!V1232,"AAAAAG73v64=")</f>
        <v>#VALUE!</v>
      </c>
      <c r="FT174" t="e">
        <f>AND(DATA!W1231,"AAAAAG73v68=")</f>
        <v>#VALUE!</v>
      </c>
      <c r="FU174" t="e">
        <f>AND(DATA!X1231,"AAAAAG73v7A=")</f>
        <v>#VALUE!</v>
      </c>
      <c r="FV174" t="e">
        <f>AND(DATA!Y1231,"AAAAAG73v7E=")</f>
        <v>#VALUE!</v>
      </c>
      <c r="FW174">
        <f>IF(DATA!1232:1232,"AAAAAG73v7I=",0)</f>
        <v>0</v>
      </c>
      <c r="FX174" t="e">
        <f>AND(DATA!A1232,"AAAAAG73v7M=")</f>
        <v>#VALUE!</v>
      </c>
      <c r="FY174" t="e">
        <f>AND(DATA!B1232,"AAAAAG73v7Q=")</f>
        <v>#VALUE!</v>
      </c>
      <c r="FZ174" t="e">
        <f>AND(DATA!C1232,"AAAAAG73v7U=")</f>
        <v>#VALUE!</v>
      </c>
      <c r="GA174" t="e">
        <f>AND(DATA!D1232,"AAAAAG73v7Y=")</f>
        <v>#VALUE!</v>
      </c>
      <c r="GB174" t="e">
        <f>AND(DATA!E1232,"AAAAAG73v7c=")</f>
        <v>#VALUE!</v>
      </c>
      <c r="GC174" t="e">
        <f>AND(DATA!F1232,"AAAAAG73v7g=")</f>
        <v>#VALUE!</v>
      </c>
      <c r="GD174" t="e">
        <f>AND(DATA!G1232,"AAAAAG73v7k=")</f>
        <v>#VALUE!</v>
      </c>
      <c r="GE174" t="e">
        <f>AND(DATA!H1232,"AAAAAG73v7o=")</f>
        <v>#VALUE!</v>
      </c>
      <c r="GF174" t="e">
        <f>AND(DATA!I1232,"AAAAAG73v7s=")</f>
        <v>#VALUE!</v>
      </c>
      <c r="GG174" t="e">
        <f>AND(DATA!J1232,"AAAAAG73v7w=")</f>
        <v>#VALUE!</v>
      </c>
      <c r="GH174" t="e">
        <f>AND(DATA!K1232,"AAAAAG73v70=")</f>
        <v>#VALUE!</v>
      </c>
      <c r="GI174" t="b">
        <f>AND(DATA!L1233,"AAAAAG73v74=")</f>
        <v>1</v>
      </c>
      <c r="GJ174" t="b">
        <f>AND(DATA!M1233,"AAAAAG73v78=")</f>
        <v>1</v>
      </c>
      <c r="GK174" t="b">
        <f>AND(DATA!N1233,"AAAAAG73v8A=")</f>
        <v>1</v>
      </c>
      <c r="GL174" t="b">
        <f>AND(DATA!O1233,"AAAAAG73v8E=")</f>
        <v>1</v>
      </c>
      <c r="GM174" t="b">
        <f>AND(DATA!P1233,"AAAAAG73v8I=")</f>
        <v>1</v>
      </c>
      <c r="GN174" t="b">
        <f>AND(DATA!Q1233,"AAAAAG73v8M=")</f>
        <v>1</v>
      </c>
      <c r="GO174" t="b">
        <f>AND(DATA!R1233,"AAAAAG73v8Q=")</f>
        <v>1</v>
      </c>
      <c r="GP174" t="b">
        <f>AND(DATA!S1233,"AAAAAG73v8U=")</f>
        <v>1</v>
      </c>
      <c r="GQ174" t="b">
        <f>AND(DATA!T1233,"AAAAAG73v8Y=")</f>
        <v>1</v>
      </c>
      <c r="GR174" t="b">
        <f>AND(DATA!U1233,"AAAAAG73v8c=")</f>
        <v>1</v>
      </c>
      <c r="GS174" t="e">
        <f>AND(DATA!V1233,"AAAAAG73v8g=")</f>
        <v>#VALUE!</v>
      </c>
      <c r="GT174" t="e">
        <f>AND(DATA!W1232,"AAAAAG73v8k=")</f>
        <v>#VALUE!</v>
      </c>
      <c r="GU174" t="e">
        <f>AND(DATA!X1232,"AAAAAG73v8o=")</f>
        <v>#VALUE!</v>
      </c>
      <c r="GV174" t="e">
        <f>AND(DATA!Y1232,"AAAAAG73v8s=")</f>
        <v>#VALUE!</v>
      </c>
      <c r="GW174">
        <f>IF(DATA!1233:1233,"AAAAAG73v8w=",0)</f>
        <v>0</v>
      </c>
      <c r="GX174" t="e">
        <f>AND(DATA!A1233,"AAAAAG73v80=")</f>
        <v>#VALUE!</v>
      </c>
      <c r="GY174" t="e">
        <f>AND(DATA!B1233,"AAAAAG73v84=")</f>
        <v>#VALUE!</v>
      </c>
      <c r="GZ174" t="e">
        <f>AND(DATA!C1233,"AAAAAG73v88=")</f>
        <v>#VALUE!</v>
      </c>
      <c r="HA174" t="e">
        <f>AND(DATA!D1233,"AAAAAG73v9A=")</f>
        <v>#VALUE!</v>
      </c>
      <c r="HB174" t="e">
        <f>AND(DATA!E1233,"AAAAAG73v9E=")</f>
        <v>#VALUE!</v>
      </c>
      <c r="HC174" t="e">
        <f>AND(DATA!F1233,"AAAAAG73v9I=")</f>
        <v>#VALUE!</v>
      </c>
      <c r="HD174" t="e">
        <f>AND(DATA!G1233,"AAAAAG73v9M=")</f>
        <v>#VALUE!</v>
      </c>
      <c r="HE174" t="e">
        <f>AND(DATA!H1233,"AAAAAG73v9Q=")</f>
        <v>#VALUE!</v>
      </c>
      <c r="HF174" t="e">
        <f>AND(DATA!I1233,"AAAAAG73v9U=")</f>
        <v>#VALUE!</v>
      </c>
      <c r="HG174" t="e">
        <f>AND(DATA!J1233,"AAAAAG73v9Y=")</f>
        <v>#VALUE!</v>
      </c>
      <c r="HH174" t="e">
        <f>AND(DATA!K1233,"AAAAAG73v9c=")</f>
        <v>#VALUE!</v>
      </c>
      <c r="HI174" t="b">
        <f>AND(DATA!L1234,"AAAAAG73v9g=")</f>
        <v>1</v>
      </c>
      <c r="HJ174" t="b">
        <f>AND(DATA!M1234,"AAAAAG73v9k=")</f>
        <v>1</v>
      </c>
      <c r="HK174" t="b">
        <f>AND(DATA!N1234,"AAAAAG73v9o=")</f>
        <v>1</v>
      </c>
      <c r="HL174" t="b">
        <f>AND(DATA!O1234,"AAAAAG73v9s=")</f>
        <v>1</v>
      </c>
      <c r="HM174" t="b">
        <f>AND(DATA!P1234,"AAAAAG73v9w=")</f>
        <v>1</v>
      </c>
      <c r="HN174" t="b">
        <f>AND(DATA!Q1234,"AAAAAG73v90=")</f>
        <v>1</v>
      </c>
      <c r="HO174" t="b">
        <f>AND(DATA!R1234,"AAAAAG73v94=")</f>
        <v>1</v>
      </c>
      <c r="HP174" t="b">
        <f>AND(DATA!S1234,"AAAAAG73v98=")</f>
        <v>1</v>
      </c>
      <c r="HQ174" t="b">
        <f>AND(DATA!T1234,"AAAAAG73v+A=")</f>
        <v>1</v>
      </c>
      <c r="HR174" t="b">
        <f>AND(DATA!U1234,"AAAAAG73v+E=")</f>
        <v>1</v>
      </c>
      <c r="HS174" t="e">
        <f>AND(DATA!V1234,"AAAAAG73v+I=")</f>
        <v>#VALUE!</v>
      </c>
      <c r="HT174" t="e">
        <f>AND(DATA!W1233,"AAAAAG73v+M=")</f>
        <v>#VALUE!</v>
      </c>
      <c r="HU174" t="e">
        <f>AND(DATA!X1233,"AAAAAG73v+Q=")</f>
        <v>#VALUE!</v>
      </c>
      <c r="HV174" t="e">
        <f>AND(DATA!Y1233,"AAAAAG73v+U=")</f>
        <v>#VALUE!</v>
      </c>
      <c r="HW174">
        <f>IF(DATA!1234:1234,"AAAAAG73v+Y=",0)</f>
        <v>0</v>
      </c>
      <c r="HX174" t="e">
        <f>AND(DATA!A1234,"AAAAAG73v+c=")</f>
        <v>#VALUE!</v>
      </c>
      <c r="HY174" t="e">
        <f>AND(DATA!B1234,"AAAAAG73v+g=")</f>
        <v>#VALUE!</v>
      </c>
      <c r="HZ174" t="e">
        <f>AND(DATA!C1234,"AAAAAG73v+k=")</f>
        <v>#VALUE!</v>
      </c>
      <c r="IA174" t="e">
        <f>AND(DATA!D1234,"AAAAAG73v+o=")</f>
        <v>#VALUE!</v>
      </c>
      <c r="IB174" t="e">
        <f>AND(DATA!E1234,"AAAAAG73v+s=")</f>
        <v>#VALUE!</v>
      </c>
      <c r="IC174" t="e">
        <f>AND(DATA!F1234,"AAAAAG73v+w=")</f>
        <v>#VALUE!</v>
      </c>
      <c r="ID174" t="e">
        <f>AND(DATA!G1234,"AAAAAG73v+0=")</f>
        <v>#VALUE!</v>
      </c>
      <c r="IE174" t="e">
        <f>AND(DATA!H1234,"AAAAAG73v+4=")</f>
        <v>#VALUE!</v>
      </c>
      <c r="IF174" t="e">
        <f>AND(DATA!I1234,"AAAAAG73v+8=")</f>
        <v>#VALUE!</v>
      </c>
      <c r="IG174" t="e">
        <f>AND(DATA!J1234,"AAAAAG73v/A=")</f>
        <v>#VALUE!</v>
      </c>
      <c r="IH174" t="e">
        <f>AND(DATA!K1234,"AAAAAG73v/E=")</f>
        <v>#VALUE!</v>
      </c>
      <c r="II174" t="b">
        <f>AND(DATA!L1235,"AAAAAG73v/I=")</f>
        <v>1</v>
      </c>
      <c r="IJ174" t="b">
        <f>AND(DATA!M1235,"AAAAAG73v/M=")</f>
        <v>1</v>
      </c>
      <c r="IK174" t="b">
        <f>AND(DATA!N1235,"AAAAAG73v/Q=")</f>
        <v>1</v>
      </c>
      <c r="IL174" t="b">
        <f>AND(DATA!O1235,"AAAAAG73v/U=")</f>
        <v>1</v>
      </c>
      <c r="IM174" t="b">
        <f>AND(DATA!P1235,"AAAAAG73v/Y=")</f>
        <v>1</v>
      </c>
      <c r="IN174" t="b">
        <f>AND(DATA!Q1235,"AAAAAG73v/c=")</f>
        <v>1</v>
      </c>
      <c r="IO174" t="b">
        <f>AND(DATA!R1235,"AAAAAG73v/g=")</f>
        <v>1</v>
      </c>
      <c r="IP174" t="b">
        <f>AND(DATA!S1235,"AAAAAG73v/k=")</f>
        <v>1</v>
      </c>
      <c r="IQ174" t="b">
        <f>AND(DATA!T1235,"AAAAAG73v/o=")</f>
        <v>1</v>
      </c>
      <c r="IR174" t="b">
        <f>AND(DATA!U1235,"AAAAAG73v/s=")</f>
        <v>1</v>
      </c>
      <c r="IS174" t="e">
        <f>AND(DATA!V1235,"AAAAAG73v/w=")</f>
        <v>#VALUE!</v>
      </c>
      <c r="IT174" t="e">
        <f>AND(DATA!W1234,"AAAAAG73v/0=")</f>
        <v>#VALUE!</v>
      </c>
      <c r="IU174" t="e">
        <f>AND(DATA!X1234,"AAAAAG73v/4=")</f>
        <v>#VALUE!</v>
      </c>
      <c r="IV174" t="e">
        <f>AND(DATA!Y1234,"AAAAAG73v/8=")</f>
        <v>#VALUE!</v>
      </c>
    </row>
    <row r="175" spans="1:256" x14ac:dyDescent="0.25">
      <c r="A175">
        <f>IF(DATA!1235:1235,"AAAAAB/0uQA=",0)</f>
        <v>0</v>
      </c>
      <c r="B175" t="e">
        <f>AND(DATA!A1235,"AAAAAB/0uQE=")</f>
        <v>#VALUE!</v>
      </c>
      <c r="C175" t="e">
        <f>AND(DATA!B1235,"AAAAAB/0uQI=")</f>
        <v>#VALUE!</v>
      </c>
      <c r="D175" t="e">
        <f>AND(DATA!C1235,"AAAAAB/0uQM=")</f>
        <v>#VALUE!</v>
      </c>
      <c r="E175" t="e">
        <f>AND(DATA!D1235,"AAAAAB/0uQQ=")</f>
        <v>#VALUE!</v>
      </c>
      <c r="F175" t="e">
        <f>AND(DATA!E1235,"AAAAAB/0uQU=")</f>
        <v>#VALUE!</v>
      </c>
      <c r="G175" t="e">
        <f>AND(DATA!F1235,"AAAAAB/0uQY=")</f>
        <v>#VALUE!</v>
      </c>
      <c r="H175" t="e">
        <f>AND(DATA!G1235,"AAAAAB/0uQc=")</f>
        <v>#VALUE!</v>
      </c>
      <c r="I175" t="e">
        <f>AND(DATA!H1235,"AAAAAB/0uQg=")</f>
        <v>#VALUE!</v>
      </c>
      <c r="J175" t="e">
        <f>AND(DATA!I1235,"AAAAAB/0uQk=")</f>
        <v>#VALUE!</v>
      </c>
      <c r="K175" t="e">
        <f>AND(DATA!J1235,"AAAAAB/0uQo=")</f>
        <v>#VALUE!</v>
      </c>
      <c r="L175" t="e">
        <f>AND(DATA!K1235,"AAAAAB/0uQs=")</f>
        <v>#VALUE!</v>
      </c>
      <c r="M175" t="b">
        <f>AND(DATA!L1236,"AAAAAB/0uQw=")</f>
        <v>1</v>
      </c>
      <c r="N175" t="b">
        <f>AND(DATA!M1236,"AAAAAB/0uQ0=")</f>
        <v>1</v>
      </c>
      <c r="O175" t="b">
        <f>AND(DATA!N1236,"AAAAAB/0uQ4=")</f>
        <v>1</v>
      </c>
      <c r="P175" t="b">
        <f>AND(DATA!O1236,"AAAAAB/0uQ8=")</f>
        <v>1</v>
      </c>
      <c r="Q175" t="b">
        <f>AND(DATA!P1236,"AAAAAB/0uRA=")</f>
        <v>1</v>
      </c>
      <c r="R175" t="b">
        <f>AND(DATA!Q1236,"AAAAAB/0uRE=")</f>
        <v>1</v>
      </c>
      <c r="S175" t="b">
        <f>AND(DATA!R1236,"AAAAAB/0uRI=")</f>
        <v>1</v>
      </c>
      <c r="T175" t="b">
        <f>AND(DATA!S1236,"AAAAAB/0uRM=")</f>
        <v>1</v>
      </c>
      <c r="U175" t="b">
        <f>AND(DATA!T1236,"AAAAAB/0uRQ=")</f>
        <v>1</v>
      </c>
      <c r="V175" t="b">
        <f>AND(DATA!U1236,"AAAAAB/0uRU=")</f>
        <v>1</v>
      </c>
      <c r="W175" t="e">
        <f>AND(DATA!V1236,"AAAAAB/0uRY=")</f>
        <v>#VALUE!</v>
      </c>
      <c r="X175" t="e">
        <f>AND(DATA!W1235,"AAAAAB/0uRc=")</f>
        <v>#VALUE!</v>
      </c>
      <c r="Y175" t="e">
        <f>AND(DATA!X1235,"AAAAAB/0uRg=")</f>
        <v>#VALUE!</v>
      </c>
      <c r="Z175" t="e">
        <f>AND(DATA!Y1235,"AAAAAB/0uRk=")</f>
        <v>#VALUE!</v>
      </c>
      <c r="AA175">
        <f>IF(DATA!1236:1236,"AAAAAB/0uRo=",0)</f>
        <v>0</v>
      </c>
      <c r="AB175" t="e">
        <f>AND(DATA!A1236,"AAAAAB/0uRs=")</f>
        <v>#VALUE!</v>
      </c>
      <c r="AC175" t="e">
        <f>AND(DATA!B1236,"AAAAAB/0uRw=")</f>
        <v>#VALUE!</v>
      </c>
      <c r="AD175" t="e">
        <f>AND(DATA!C1236,"AAAAAB/0uR0=")</f>
        <v>#VALUE!</v>
      </c>
      <c r="AE175" t="e">
        <f>AND(DATA!D1236,"AAAAAB/0uR4=")</f>
        <v>#VALUE!</v>
      </c>
      <c r="AF175" t="e">
        <f>AND(DATA!E1236,"AAAAAB/0uR8=")</f>
        <v>#VALUE!</v>
      </c>
      <c r="AG175" t="e">
        <f>AND(DATA!F1236,"AAAAAB/0uSA=")</f>
        <v>#VALUE!</v>
      </c>
      <c r="AH175" t="e">
        <f>AND(DATA!G1236,"AAAAAB/0uSE=")</f>
        <v>#VALUE!</v>
      </c>
      <c r="AI175" t="e">
        <f>AND(DATA!H1236,"AAAAAB/0uSI=")</f>
        <v>#VALUE!</v>
      </c>
      <c r="AJ175" t="e">
        <f>AND(DATA!I1236,"AAAAAB/0uSM=")</f>
        <v>#VALUE!</v>
      </c>
      <c r="AK175" t="e">
        <f>AND(DATA!J1236,"AAAAAB/0uSQ=")</f>
        <v>#VALUE!</v>
      </c>
      <c r="AL175" t="e">
        <f>AND(DATA!K1236,"AAAAAB/0uSU=")</f>
        <v>#VALUE!</v>
      </c>
      <c r="AM175" t="b">
        <f>AND(DATA!L1237,"AAAAAB/0uSY=")</f>
        <v>1</v>
      </c>
      <c r="AN175" t="b">
        <f>AND(DATA!M1237,"AAAAAB/0uSc=")</f>
        <v>1</v>
      </c>
      <c r="AO175" t="b">
        <f>AND(DATA!N1237,"AAAAAB/0uSg=")</f>
        <v>1</v>
      </c>
      <c r="AP175" t="b">
        <f>AND(DATA!O1237,"AAAAAB/0uSk=")</f>
        <v>1</v>
      </c>
      <c r="AQ175" t="b">
        <f>AND(DATA!P1237,"AAAAAB/0uSo=")</f>
        <v>1</v>
      </c>
      <c r="AR175" t="b">
        <f>AND(DATA!Q1237,"AAAAAB/0uSs=")</f>
        <v>1</v>
      </c>
      <c r="AS175" t="b">
        <f>AND(DATA!R1237,"AAAAAB/0uSw=")</f>
        <v>1</v>
      </c>
      <c r="AT175" t="b">
        <f>AND(DATA!S1237,"AAAAAB/0uS0=")</f>
        <v>1</v>
      </c>
      <c r="AU175" t="b">
        <f>AND(DATA!T1237,"AAAAAB/0uS4=")</f>
        <v>1</v>
      </c>
      <c r="AV175" t="b">
        <f>AND(DATA!U1237,"AAAAAB/0uS8=")</f>
        <v>1</v>
      </c>
      <c r="AW175" t="e">
        <f>AND(DATA!V1237,"AAAAAB/0uTA=")</f>
        <v>#VALUE!</v>
      </c>
      <c r="AX175" t="e">
        <f>AND(DATA!W1236,"AAAAAB/0uTE=")</f>
        <v>#VALUE!</v>
      </c>
      <c r="AY175" t="e">
        <f>AND(DATA!X1236,"AAAAAB/0uTI=")</f>
        <v>#VALUE!</v>
      </c>
      <c r="AZ175" t="e">
        <f>AND(DATA!Y1236,"AAAAAB/0uTM=")</f>
        <v>#VALUE!</v>
      </c>
      <c r="BA175">
        <f>IF(DATA!1237:1237,"AAAAAB/0uTQ=",0)</f>
        <v>0</v>
      </c>
      <c r="BB175" t="e">
        <f>AND(DATA!A1237,"AAAAAB/0uTU=")</f>
        <v>#VALUE!</v>
      </c>
      <c r="BC175" t="e">
        <f>AND(DATA!B1237,"AAAAAB/0uTY=")</f>
        <v>#VALUE!</v>
      </c>
      <c r="BD175" t="e">
        <f>AND(DATA!C1237,"AAAAAB/0uTc=")</f>
        <v>#VALUE!</v>
      </c>
      <c r="BE175" t="e">
        <f>AND(DATA!D1237,"AAAAAB/0uTg=")</f>
        <v>#VALUE!</v>
      </c>
      <c r="BF175" t="e">
        <f>AND(DATA!E1237,"AAAAAB/0uTk=")</f>
        <v>#VALUE!</v>
      </c>
      <c r="BG175" t="e">
        <f>AND(DATA!F1237,"AAAAAB/0uTo=")</f>
        <v>#VALUE!</v>
      </c>
      <c r="BH175" t="e">
        <f>AND(DATA!G1237,"AAAAAB/0uTs=")</f>
        <v>#VALUE!</v>
      </c>
      <c r="BI175" t="e">
        <f>AND(DATA!H1237,"AAAAAB/0uTw=")</f>
        <v>#VALUE!</v>
      </c>
      <c r="BJ175" t="e">
        <f>AND(DATA!I1237,"AAAAAB/0uT0=")</f>
        <v>#VALUE!</v>
      </c>
      <c r="BK175" t="e">
        <f>AND(DATA!J1237,"AAAAAB/0uT4=")</f>
        <v>#VALUE!</v>
      </c>
      <c r="BL175" t="e">
        <f>AND(DATA!K1237,"AAAAAB/0uT8=")</f>
        <v>#VALUE!</v>
      </c>
      <c r="BM175" t="b">
        <f>AND(DATA!L1238,"AAAAAB/0uUA=")</f>
        <v>1</v>
      </c>
      <c r="BN175" t="b">
        <f>AND(DATA!M1238,"AAAAAB/0uUE=")</f>
        <v>1</v>
      </c>
      <c r="BO175" t="b">
        <f>AND(DATA!N1238,"AAAAAB/0uUI=")</f>
        <v>1</v>
      </c>
      <c r="BP175" t="b">
        <f>AND(DATA!O1238,"AAAAAB/0uUM=")</f>
        <v>1</v>
      </c>
      <c r="BQ175" t="b">
        <f>AND(DATA!P1238,"AAAAAB/0uUQ=")</f>
        <v>1</v>
      </c>
      <c r="BR175" t="b">
        <f>AND(DATA!Q1238,"AAAAAB/0uUU=")</f>
        <v>1</v>
      </c>
      <c r="BS175" t="b">
        <f>AND(DATA!R1238,"AAAAAB/0uUY=")</f>
        <v>1</v>
      </c>
      <c r="BT175" t="b">
        <f>AND(DATA!S1238,"AAAAAB/0uUc=")</f>
        <v>1</v>
      </c>
      <c r="BU175" t="b">
        <f>AND(DATA!T1238,"AAAAAB/0uUg=")</f>
        <v>1</v>
      </c>
      <c r="BV175" t="b">
        <f>AND(DATA!U1238,"AAAAAB/0uUk=")</f>
        <v>1</v>
      </c>
      <c r="BW175" t="e">
        <f>AND(DATA!V1238,"AAAAAB/0uUo=")</f>
        <v>#VALUE!</v>
      </c>
      <c r="BX175" t="e">
        <f>AND(DATA!W1237,"AAAAAB/0uUs=")</f>
        <v>#VALUE!</v>
      </c>
      <c r="BY175" t="e">
        <f>AND(DATA!X1237,"AAAAAB/0uUw=")</f>
        <v>#VALUE!</v>
      </c>
      <c r="BZ175" t="e">
        <f>AND(DATA!Y1237,"AAAAAB/0uU0=")</f>
        <v>#VALUE!</v>
      </c>
      <c r="CA175">
        <f>IF(DATA!1238:1238,"AAAAAB/0uU4=",0)</f>
        <v>0</v>
      </c>
      <c r="CB175" t="e">
        <f>AND(DATA!A1238,"AAAAAB/0uU8=")</f>
        <v>#VALUE!</v>
      </c>
      <c r="CC175" t="e">
        <f>AND(DATA!B1238,"AAAAAB/0uVA=")</f>
        <v>#VALUE!</v>
      </c>
      <c r="CD175" t="e">
        <f>AND(DATA!C1238,"AAAAAB/0uVE=")</f>
        <v>#VALUE!</v>
      </c>
      <c r="CE175" t="e">
        <f>AND(DATA!D1238,"AAAAAB/0uVI=")</f>
        <v>#VALUE!</v>
      </c>
      <c r="CF175" t="e">
        <f>AND(DATA!E1238,"AAAAAB/0uVM=")</f>
        <v>#VALUE!</v>
      </c>
      <c r="CG175" t="e">
        <f>AND(DATA!F1238,"AAAAAB/0uVQ=")</f>
        <v>#VALUE!</v>
      </c>
      <c r="CH175" t="e">
        <f>AND(DATA!G1238,"AAAAAB/0uVU=")</f>
        <v>#VALUE!</v>
      </c>
      <c r="CI175" t="e">
        <f>AND(DATA!H1238,"AAAAAB/0uVY=")</f>
        <v>#VALUE!</v>
      </c>
      <c r="CJ175" t="e">
        <f>AND(DATA!I1238,"AAAAAB/0uVc=")</f>
        <v>#VALUE!</v>
      </c>
      <c r="CK175" t="e">
        <f>AND(DATA!J1238,"AAAAAB/0uVg=")</f>
        <v>#VALUE!</v>
      </c>
      <c r="CL175" t="e">
        <f>AND(DATA!K1238,"AAAAAB/0uVk=")</f>
        <v>#VALUE!</v>
      </c>
      <c r="CM175" t="b">
        <f>AND(DATA!L1239,"AAAAAB/0uVo=")</f>
        <v>1</v>
      </c>
      <c r="CN175" t="b">
        <f>AND(DATA!M1239,"AAAAAB/0uVs=")</f>
        <v>1</v>
      </c>
      <c r="CO175" t="b">
        <f>AND(DATA!N1239,"AAAAAB/0uVw=")</f>
        <v>1</v>
      </c>
      <c r="CP175" t="b">
        <f>AND(DATA!O1239,"AAAAAB/0uV0=")</f>
        <v>1</v>
      </c>
      <c r="CQ175" t="b">
        <f>AND(DATA!P1239,"AAAAAB/0uV4=")</f>
        <v>1</v>
      </c>
      <c r="CR175" t="b">
        <f>AND(DATA!Q1239,"AAAAAB/0uV8=")</f>
        <v>1</v>
      </c>
      <c r="CS175" t="b">
        <f>AND(DATA!R1239,"AAAAAB/0uWA=")</f>
        <v>1</v>
      </c>
      <c r="CT175" t="b">
        <f>AND(DATA!S1239,"AAAAAB/0uWE=")</f>
        <v>1</v>
      </c>
      <c r="CU175" t="b">
        <f>AND(DATA!T1239,"AAAAAB/0uWI=")</f>
        <v>1</v>
      </c>
      <c r="CV175" t="b">
        <f>AND(DATA!U1239,"AAAAAB/0uWM=")</f>
        <v>1</v>
      </c>
      <c r="CW175" t="e">
        <f>AND(DATA!V1239,"AAAAAB/0uWQ=")</f>
        <v>#VALUE!</v>
      </c>
      <c r="CX175" t="e">
        <f>AND(DATA!W1238,"AAAAAB/0uWU=")</f>
        <v>#VALUE!</v>
      </c>
      <c r="CY175" t="e">
        <f>AND(DATA!X1238,"AAAAAB/0uWY=")</f>
        <v>#VALUE!</v>
      </c>
      <c r="CZ175" t="e">
        <f>AND(DATA!Y1238,"AAAAAB/0uWc=")</f>
        <v>#VALUE!</v>
      </c>
      <c r="DA175">
        <f>IF(DATA!1239:1239,"AAAAAB/0uWg=",0)</f>
        <v>0</v>
      </c>
      <c r="DB175" t="e">
        <f>AND(DATA!A1239,"AAAAAB/0uWk=")</f>
        <v>#VALUE!</v>
      </c>
      <c r="DC175" t="e">
        <f>AND(DATA!B1239,"AAAAAB/0uWo=")</f>
        <v>#VALUE!</v>
      </c>
      <c r="DD175" t="e">
        <f>AND(DATA!C1239,"AAAAAB/0uWs=")</f>
        <v>#VALUE!</v>
      </c>
      <c r="DE175" t="e">
        <f>AND(DATA!D1239,"AAAAAB/0uWw=")</f>
        <v>#VALUE!</v>
      </c>
      <c r="DF175" t="e">
        <f>AND(DATA!E1239,"AAAAAB/0uW0=")</f>
        <v>#VALUE!</v>
      </c>
      <c r="DG175" t="e">
        <f>AND(DATA!F1239,"AAAAAB/0uW4=")</f>
        <v>#VALUE!</v>
      </c>
      <c r="DH175" t="e">
        <f>AND(DATA!G1239,"AAAAAB/0uW8=")</f>
        <v>#VALUE!</v>
      </c>
      <c r="DI175" t="e">
        <f>AND(DATA!H1239,"AAAAAB/0uXA=")</f>
        <v>#VALUE!</v>
      </c>
      <c r="DJ175" t="e">
        <f>AND(DATA!I1239,"AAAAAB/0uXE=")</f>
        <v>#VALUE!</v>
      </c>
      <c r="DK175" t="e">
        <f>AND(DATA!J1239,"AAAAAB/0uXI=")</f>
        <v>#VALUE!</v>
      </c>
      <c r="DL175" t="e">
        <f>AND(DATA!K1239,"AAAAAB/0uXM=")</f>
        <v>#VALUE!</v>
      </c>
      <c r="DM175" t="b">
        <f>AND(DATA!L1240,"AAAAAB/0uXQ=")</f>
        <v>1</v>
      </c>
      <c r="DN175" t="b">
        <f>AND(DATA!M1240,"AAAAAB/0uXU=")</f>
        <v>1</v>
      </c>
      <c r="DO175" t="b">
        <f>AND(DATA!N1240,"AAAAAB/0uXY=")</f>
        <v>1</v>
      </c>
      <c r="DP175" t="b">
        <f>AND(DATA!O1240,"AAAAAB/0uXc=")</f>
        <v>1</v>
      </c>
      <c r="DQ175" t="b">
        <f>AND(DATA!P1240,"AAAAAB/0uXg=")</f>
        <v>1</v>
      </c>
      <c r="DR175" t="b">
        <f>AND(DATA!Q1240,"AAAAAB/0uXk=")</f>
        <v>1</v>
      </c>
      <c r="DS175" t="b">
        <f>AND(DATA!R1240,"AAAAAB/0uXo=")</f>
        <v>1</v>
      </c>
      <c r="DT175" t="b">
        <f>AND(DATA!S1240,"AAAAAB/0uXs=")</f>
        <v>1</v>
      </c>
      <c r="DU175" t="b">
        <f>AND(DATA!T1240,"AAAAAB/0uXw=")</f>
        <v>1</v>
      </c>
      <c r="DV175" t="b">
        <f>AND(DATA!U1240,"AAAAAB/0uX0=")</f>
        <v>1</v>
      </c>
      <c r="DW175" t="e">
        <f>AND(DATA!V1240,"AAAAAB/0uX4=")</f>
        <v>#VALUE!</v>
      </c>
      <c r="DX175" t="e">
        <f>AND(DATA!W1239,"AAAAAB/0uX8=")</f>
        <v>#VALUE!</v>
      </c>
      <c r="DY175" t="e">
        <f>AND(DATA!X1239,"AAAAAB/0uYA=")</f>
        <v>#VALUE!</v>
      </c>
      <c r="DZ175" t="e">
        <f>AND(DATA!Y1239,"AAAAAB/0uYE=")</f>
        <v>#VALUE!</v>
      </c>
      <c r="EA175">
        <f>IF(DATA!1240:1240,"AAAAAB/0uYI=",0)</f>
        <v>0</v>
      </c>
      <c r="EB175" t="e">
        <f>AND(DATA!A1240,"AAAAAB/0uYM=")</f>
        <v>#VALUE!</v>
      </c>
      <c r="EC175" t="e">
        <f>AND(DATA!B1240,"AAAAAB/0uYQ=")</f>
        <v>#VALUE!</v>
      </c>
      <c r="ED175" t="e">
        <f>AND(DATA!C1240,"AAAAAB/0uYU=")</f>
        <v>#VALUE!</v>
      </c>
      <c r="EE175" t="e">
        <f>AND(DATA!D1240,"AAAAAB/0uYY=")</f>
        <v>#VALUE!</v>
      </c>
      <c r="EF175" t="e">
        <f>AND(DATA!E1240,"AAAAAB/0uYc=")</f>
        <v>#VALUE!</v>
      </c>
      <c r="EG175" t="e">
        <f>AND(DATA!F1240,"AAAAAB/0uYg=")</f>
        <v>#VALUE!</v>
      </c>
      <c r="EH175" t="e">
        <f>AND(DATA!G1240,"AAAAAB/0uYk=")</f>
        <v>#VALUE!</v>
      </c>
      <c r="EI175" t="e">
        <f>AND(DATA!H1240,"AAAAAB/0uYo=")</f>
        <v>#VALUE!</v>
      </c>
      <c r="EJ175" t="e">
        <f>AND(DATA!I1240,"AAAAAB/0uYs=")</f>
        <v>#VALUE!</v>
      </c>
      <c r="EK175" t="e">
        <f>AND(DATA!J1240,"AAAAAB/0uYw=")</f>
        <v>#VALUE!</v>
      </c>
      <c r="EL175" t="e">
        <f>AND(DATA!K1240,"AAAAAB/0uY0=")</f>
        <v>#VALUE!</v>
      </c>
      <c r="EM175" t="b">
        <f>AND(DATA!L1241,"AAAAAB/0uY4=")</f>
        <v>1</v>
      </c>
      <c r="EN175" t="b">
        <f>AND(DATA!M1241,"AAAAAB/0uY8=")</f>
        <v>1</v>
      </c>
      <c r="EO175" t="b">
        <f>AND(DATA!N1241,"AAAAAB/0uZA=")</f>
        <v>1</v>
      </c>
      <c r="EP175" t="b">
        <f>AND(DATA!O1241,"AAAAAB/0uZE=")</f>
        <v>1</v>
      </c>
      <c r="EQ175" t="b">
        <f>AND(DATA!P1241,"AAAAAB/0uZI=")</f>
        <v>1</v>
      </c>
      <c r="ER175" t="b">
        <f>AND(DATA!Q1241,"AAAAAB/0uZM=")</f>
        <v>1</v>
      </c>
      <c r="ES175" t="b">
        <f>AND(DATA!R1241,"AAAAAB/0uZQ=")</f>
        <v>1</v>
      </c>
      <c r="ET175" t="b">
        <f>AND(DATA!S1241,"AAAAAB/0uZU=")</f>
        <v>1</v>
      </c>
      <c r="EU175" t="b">
        <f>AND(DATA!T1241,"AAAAAB/0uZY=")</f>
        <v>1</v>
      </c>
      <c r="EV175" t="b">
        <f>AND(DATA!U1241,"AAAAAB/0uZc=")</f>
        <v>1</v>
      </c>
      <c r="EW175" t="e">
        <f>AND(DATA!V1241,"AAAAAB/0uZg=")</f>
        <v>#VALUE!</v>
      </c>
      <c r="EX175" t="e">
        <f>AND(DATA!W1240,"AAAAAB/0uZk=")</f>
        <v>#VALUE!</v>
      </c>
      <c r="EY175" t="e">
        <f>AND(DATA!X1240,"AAAAAB/0uZo=")</f>
        <v>#VALUE!</v>
      </c>
      <c r="EZ175" t="e">
        <f>AND(DATA!Y1240,"AAAAAB/0uZs=")</f>
        <v>#VALUE!</v>
      </c>
      <c r="FA175">
        <f>IF(DATA!1241:1241,"AAAAAB/0uZw=",0)</f>
        <v>0</v>
      </c>
      <c r="FB175" t="e">
        <f>AND(DATA!A1241,"AAAAAB/0uZ0=")</f>
        <v>#VALUE!</v>
      </c>
      <c r="FC175" t="e">
        <f>AND(DATA!B1241,"AAAAAB/0uZ4=")</f>
        <v>#VALUE!</v>
      </c>
      <c r="FD175" t="e">
        <f>AND(DATA!C1241,"AAAAAB/0uZ8=")</f>
        <v>#VALUE!</v>
      </c>
      <c r="FE175" t="e">
        <f>AND(DATA!D1241,"AAAAAB/0uaA=")</f>
        <v>#VALUE!</v>
      </c>
      <c r="FF175" t="e">
        <f>AND(DATA!E1241,"AAAAAB/0uaE=")</f>
        <v>#VALUE!</v>
      </c>
      <c r="FG175" t="e">
        <f>AND(DATA!F1241,"AAAAAB/0uaI=")</f>
        <v>#VALUE!</v>
      </c>
      <c r="FH175" t="e">
        <f>AND(DATA!G1241,"AAAAAB/0uaM=")</f>
        <v>#VALUE!</v>
      </c>
      <c r="FI175" t="e">
        <f>AND(DATA!H1241,"AAAAAB/0uaQ=")</f>
        <v>#VALUE!</v>
      </c>
      <c r="FJ175" t="e">
        <f>AND(DATA!I1241,"AAAAAB/0uaU=")</f>
        <v>#VALUE!</v>
      </c>
      <c r="FK175" t="e">
        <f>AND(DATA!J1241,"AAAAAB/0uaY=")</f>
        <v>#VALUE!</v>
      </c>
      <c r="FL175" t="e">
        <f>AND(DATA!K1241,"AAAAAB/0uac=")</f>
        <v>#VALUE!</v>
      </c>
      <c r="FM175" t="b">
        <f>AND(DATA!L1242,"AAAAAB/0uag=")</f>
        <v>1</v>
      </c>
      <c r="FN175" t="b">
        <f>AND(DATA!M1242,"AAAAAB/0uak=")</f>
        <v>1</v>
      </c>
      <c r="FO175" t="b">
        <f>AND(DATA!N1242,"AAAAAB/0uao=")</f>
        <v>1</v>
      </c>
      <c r="FP175" t="b">
        <f>AND(DATA!O1242,"AAAAAB/0uas=")</f>
        <v>1</v>
      </c>
      <c r="FQ175" t="b">
        <f>AND(DATA!P1242,"AAAAAB/0uaw=")</f>
        <v>1</v>
      </c>
      <c r="FR175" t="b">
        <f>AND(DATA!Q1242,"AAAAAB/0ua0=")</f>
        <v>1</v>
      </c>
      <c r="FS175" t="b">
        <f>AND(DATA!R1242,"AAAAAB/0ua4=")</f>
        <v>1</v>
      </c>
      <c r="FT175" t="b">
        <f>AND(DATA!S1242,"AAAAAB/0ua8=")</f>
        <v>1</v>
      </c>
      <c r="FU175" t="b">
        <f>AND(DATA!T1242,"AAAAAB/0ubA=")</f>
        <v>1</v>
      </c>
      <c r="FV175" t="b">
        <f>AND(DATA!U1242,"AAAAAB/0ubE=")</f>
        <v>1</v>
      </c>
      <c r="FW175" t="e">
        <f>AND(DATA!V1242,"AAAAAB/0ubI=")</f>
        <v>#VALUE!</v>
      </c>
      <c r="FX175" t="e">
        <f>AND(DATA!W1241,"AAAAAB/0ubM=")</f>
        <v>#VALUE!</v>
      </c>
      <c r="FY175" t="e">
        <f>AND(DATA!X1241,"AAAAAB/0ubQ=")</f>
        <v>#VALUE!</v>
      </c>
      <c r="FZ175" t="e">
        <f>AND(DATA!Y1241,"AAAAAB/0ubU=")</f>
        <v>#VALUE!</v>
      </c>
      <c r="GA175">
        <f>IF(DATA!1242:1242,"AAAAAB/0ubY=",0)</f>
        <v>0</v>
      </c>
      <c r="GB175" t="e">
        <f>AND(DATA!A1242,"AAAAAB/0ubc=")</f>
        <v>#VALUE!</v>
      </c>
      <c r="GC175" t="e">
        <f>AND(DATA!B1242,"AAAAAB/0ubg=")</f>
        <v>#VALUE!</v>
      </c>
      <c r="GD175" t="e">
        <f>AND(DATA!C1242,"AAAAAB/0ubk=")</f>
        <v>#VALUE!</v>
      </c>
      <c r="GE175" t="e">
        <f>AND(DATA!D1242,"AAAAAB/0ubo=")</f>
        <v>#VALUE!</v>
      </c>
      <c r="GF175" t="e">
        <f>AND(DATA!E1242,"AAAAAB/0ubs=")</f>
        <v>#VALUE!</v>
      </c>
      <c r="GG175" t="e">
        <f>AND(DATA!F1242,"AAAAAB/0ubw=")</f>
        <v>#VALUE!</v>
      </c>
      <c r="GH175" t="e">
        <f>AND(DATA!G1242,"AAAAAB/0ub0=")</f>
        <v>#VALUE!</v>
      </c>
      <c r="GI175" t="e">
        <f>AND(DATA!H1242,"AAAAAB/0ub4=")</f>
        <v>#VALUE!</v>
      </c>
      <c r="GJ175" t="e">
        <f>AND(DATA!I1242,"AAAAAB/0ub8=")</f>
        <v>#VALUE!</v>
      </c>
      <c r="GK175" t="e">
        <f>AND(DATA!J1242,"AAAAAB/0ucA=")</f>
        <v>#VALUE!</v>
      </c>
      <c r="GL175" t="e">
        <f>AND(DATA!K1242,"AAAAAB/0ucE=")</f>
        <v>#VALUE!</v>
      </c>
      <c r="GM175" t="b">
        <f>AND(DATA!L1243,"AAAAAB/0ucI=")</f>
        <v>1</v>
      </c>
      <c r="GN175" t="b">
        <f>AND(DATA!M1243,"AAAAAB/0ucM=")</f>
        <v>1</v>
      </c>
      <c r="GO175" t="b">
        <f>AND(DATA!N1243,"AAAAAB/0ucQ=")</f>
        <v>1</v>
      </c>
      <c r="GP175" t="b">
        <f>AND(DATA!O1243,"AAAAAB/0ucU=")</f>
        <v>1</v>
      </c>
      <c r="GQ175" t="b">
        <f>AND(DATA!P1243,"AAAAAB/0ucY=")</f>
        <v>1</v>
      </c>
      <c r="GR175" t="b">
        <f>AND(DATA!Q1243,"AAAAAB/0ucc=")</f>
        <v>1</v>
      </c>
      <c r="GS175" t="b">
        <f>AND(DATA!R1243,"AAAAAB/0ucg=")</f>
        <v>1</v>
      </c>
      <c r="GT175" t="b">
        <f>AND(DATA!S1243,"AAAAAB/0uck=")</f>
        <v>1</v>
      </c>
      <c r="GU175" t="b">
        <f>AND(DATA!T1243,"AAAAAB/0uco=")</f>
        <v>1</v>
      </c>
      <c r="GV175" t="b">
        <f>AND(DATA!U1243,"AAAAAB/0ucs=")</f>
        <v>1</v>
      </c>
      <c r="GW175" t="e">
        <f>AND(DATA!V1243,"AAAAAB/0ucw=")</f>
        <v>#VALUE!</v>
      </c>
      <c r="GX175" t="e">
        <f>AND(DATA!W1242,"AAAAAB/0uc0=")</f>
        <v>#VALUE!</v>
      </c>
      <c r="GY175" t="e">
        <f>AND(DATA!X1242,"AAAAAB/0uc4=")</f>
        <v>#VALUE!</v>
      </c>
      <c r="GZ175" t="e">
        <f>AND(DATA!Y1242,"AAAAAB/0uc8=")</f>
        <v>#VALUE!</v>
      </c>
      <c r="HA175">
        <f>IF(DATA!1243:1243,"AAAAAB/0udA=",0)</f>
        <v>0</v>
      </c>
      <c r="HB175" t="e">
        <f>AND(DATA!A1243,"AAAAAB/0udE=")</f>
        <v>#VALUE!</v>
      </c>
      <c r="HC175" t="e">
        <f>AND(DATA!B1243,"AAAAAB/0udI=")</f>
        <v>#VALUE!</v>
      </c>
      <c r="HD175" t="e">
        <f>AND(DATA!C1243,"AAAAAB/0udM=")</f>
        <v>#VALUE!</v>
      </c>
      <c r="HE175" t="e">
        <f>AND(DATA!D1243,"AAAAAB/0udQ=")</f>
        <v>#VALUE!</v>
      </c>
      <c r="HF175" t="e">
        <f>AND(DATA!E1243,"AAAAAB/0udU=")</f>
        <v>#VALUE!</v>
      </c>
      <c r="HG175" t="e">
        <f>AND(DATA!F1243,"AAAAAB/0udY=")</f>
        <v>#VALUE!</v>
      </c>
      <c r="HH175" t="e">
        <f>AND(DATA!G1243,"AAAAAB/0udc=")</f>
        <v>#VALUE!</v>
      </c>
      <c r="HI175" t="e">
        <f>AND(DATA!H1243,"AAAAAB/0udg=")</f>
        <v>#VALUE!</v>
      </c>
      <c r="HJ175" t="e">
        <f>AND(DATA!I1243,"AAAAAB/0udk=")</f>
        <v>#VALUE!</v>
      </c>
      <c r="HK175" t="e">
        <f>AND(DATA!J1243,"AAAAAB/0udo=")</f>
        <v>#VALUE!</v>
      </c>
      <c r="HL175" t="e">
        <f>AND(DATA!K1243,"AAAAAB/0uds=")</f>
        <v>#VALUE!</v>
      </c>
      <c r="HM175" t="b">
        <f>AND(DATA!L1244,"AAAAAB/0udw=")</f>
        <v>1</v>
      </c>
      <c r="HN175" t="b">
        <f>AND(DATA!M1244,"AAAAAB/0ud0=")</f>
        <v>1</v>
      </c>
      <c r="HO175" t="b">
        <f>AND(DATA!N1244,"AAAAAB/0ud4=")</f>
        <v>1</v>
      </c>
      <c r="HP175" t="b">
        <f>AND(DATA!O1244,"AAAAAB/0ud8=")</f>
        <v>1</v>
      </c>
      <c r="HQ175" t="b">
        <f>AND(DATA!P1244,"AAAAAB/0ueA=")</f>
        <v>1</v>
      </c>
      <c r="HR175" t="b">
        <f>AND(DATA!Q1244,"AAAAAB/0ueE=")</f>
        <v>1</v>
      </c>
      <c r="HS175" t="b">
        <f>AND(DATA!R1244,"AAAAAB/0ueI=")</f>
        <v>1</v>
      </c>
      <c r="HT175" t="b">
        <f>AND(DATA!S1244,"AAAAAB/0ueM=")</f>
        <v>1</v>
      </c>
      <c r="HU175" t="b">
        <f>AND(DATA!T1244,"AAAAAB/0ueQ=")</f>
        <v>1</v>
      </c>
      <c r="HV175" t="b">
        <f>AND(DATA!U1244,"AAAAAB/0ueU=")</f>
        <v>1</v>
      </c>
      <c r="HW175" t="e">
        <f>AND(DATA!V1244,"AAAAAB/0ueY=")</f>
        <v>#VALUE!</v>
      </c>
      <c r="HX175" t="e">
        <f>AND(DATA!W1243,"AAAAAB/0uec=")</f>
        <v>#VALUE!</v>
      </c>
      <c r="HY175" t="e">
        <f>AND(DATA!X1243,"AAAAAB/0ueg=")</f>
        <v>#VALUE!</v>
      </c>
      <c r="HZ175" t="e">
        <f>AND(DATA!Y1243,"AAAAAB/0uek=")</f>
        <v>#VALUE!</v>
      </c>
      <c r="IA175">
        <f>IF(DATA!1244:1244,"AAAAAB/0ueo=",0)</f>
        <v>0</v>
      </c>
      <c r="IB175" t="e">
        <f>AND(DATA!A1244,"AAAAAB/0ues=")</f>
        <v>#VALUE!</v>
      </c>
      <c r="IC175" t="e">
        <f>AND(DATA!B1244,"AAAAAB/0uew=")</f>
        <v>#VALUE!</v>
      </c>
      <c r="ID175" t="e">
        <f>AND(DATA!C1244,"AAAAAB/0ue0=")</f>
        <v>#VALUE!</v>
      </c>
      <c r="IE175" t="e">
        <f>AND(DATA!D1244,"AAAAAB/0ue4=")</f>
        <v>#VALUE!</v>
      </c>
      <c r="IF175" t="e">
        <f>AND(DATA!E1244,"AAAAAB/0ue8=")</f>
        <v>#VALUE!</v>
      </c>
      <c r="IG175" t="e">
        <f>AND(DATA!F1244,"AAAAAB/0ufA=")</f>
        <v>#VALUE!</v>
      </c>
      <c r="IH175" t="e">
        <f>AND(DATA!G1244,"AAAAAB/0ufE=")</f>
        <v>#VALUE!</v>
      </c>
      <c r="II175" t="e">
        <f>AND(DATA!H1244,"AAAAAB/0ufI=")</f>
        <v>#VALUE!</v>
      </c>
      <c r="IJ175" t="e">
        <f>AND(DATA!I1244,"AAAAAB/0ufM=")</f>
        <v>#VALUE!</v>
      </c>
      <c r="IK175" t="e">
        <f>AND(DATA!J1244,"AAAAAB/0ufQ=")</f>
        <v>#VALUE!</v>
      </c>
      <c r="IL175" t="e">
        <f>AND(DATA!K1244,"AAAAAB/0ufU=")</f>
        <v>#VALUE!</v>
      </c>
      <c r="IM175" t="b">
        <f>AND(DATA!L1245,"AAAAAB/0ufY=")</f>
        <v>1</v>
      </c>
      <c r="IN175" t="b">
        <f>AND(DATA!M1245,"AAAAAB/0ufc=")</f>
        <v>1</v>
      </c>
      <c r="IO175" t="b">
        <f>AND(DATA!N1245,"AAAAAB/0ufg=")</f>
        <v>1</v>
      </c>
      <c r="IP175" t="b">
        <f>AND(DATA!O1245,"AAAAAB/0ufk=")</f>
        <v>1</v>
      </c>
      <c r="IQ175" t="b">
        <f>AND(DATA!P1245,"AAAAAB/0ufo=")</f>
        <v>1</v>
      </c>
      <c r="IR175" t="b">
        <f>AND(DATA!Q1245,"AAAAAB/0ufs=")</f>
        <v>1</v>
      </c>
      <c r="IS175" t="b">
        <f>AND(DATA!R1245,"AAAAAB/0ufw=")</f>
        <v>1</v>
      </c>
      <c r="IT175" t="b">
        <f>AND(DATA!S1245,"AAAAAB/0uf0=")</f>
        <v>1</v>
      </c>
      <c r="IU175" t="b">
        <f>AND(DATA!T1245,"AAAAAB/0uf4=")</f>
        <v>1</v>
      </c>
      <c r="IV175" t="b">
        <f>AND(DATA!U1245,"AAAAAB/0uf8=")</f>
        <v>1</v>
      </c>
    </row>
    <row r="176" spans="1:256" x14ac:dyDescent="0.25">
      <c r="A176" t="e">
        <f>AND(DATA!V1245,"AAAAAHd//wA=")</f>
        <v>#VALUE!</v>
      </c>
      <c r="B176" t="e">
        <f>AND(DATA!W1244,"AAAAAHd//wE=")</f>
        <v>#VALUE!</v>
      </c>
      <c r="C176" t="e">
        <f>AND(DATA!X1244,"AAAAAHd//wI=")</f>
        <v>#VALUE!</v>
      </c>
      <c r="D176" t="e">
        <f>AND(DATA!Y1244,"AAAAAHd//wM=")</f>
        <v>#VALUE!</v>
      </c>
      <c r="E176">
        <f>IF(DATA!1245:1245,"AAAAAHd//wQ=",0)</f>
        <v>0</v>
      </c>
      <c r="F176" t="e">
        <f>AND(DATA!A1245,"AAAAAHd//wU=")</f>
        <v>#VALUE!</v>
      </c>
      <c r="G176" t="e">
        <f>AND(DATA!B1245,"AAAAAHd//wY=")</f>
        <v>#VALUE!</v>
      </c>
      <c r="H176" t="e">
        <f>AND(DATA!C1245,"AAAAAHd//wc=")</f>
        <v>#VALUE!</v>
      </c>
      <c r="I176" t="e">
        <f>AND(DATA!D1245,"AAAAAHd//wg=")</f>
        <v>#VALUE!</v>
      </c>
      <c r="J176" t="e">
        <f>AND(DATA!E1245,"AAAAAHd//wk=")</f>
        <v>#VALUE!</v>
      </c>
      <c r="K176" t="e">
        <f>AND(DATA!F1245,"AAAAAHd//wo=")</f>
        <v>#VALUE!</v>
      </c>
      <c r="L176" t="e">
        <f>AND(DATA!G1245,"AAAAAHd//ws=")</f>
        <v>#VALUE!</v>
      </c>
      <c r="M176" t="e">
        <f>AND(DATA!H1245,"AAAAAHd//ww=")</f>
        <v>#VALUE!</v>
      </c>
      <c r="N176" t="e">
        <f>AND(DATA!I1245,"AAAAAHd//w0=")</f>
        <v>#VALUE!</v>
      </c>
      <c r="O176" t="e">
        <f>AND(DATA!J1245,"AAAAAHd//w4=")</f>
        <v>#VALUE!</v>
      </c>
      <c r="P176" t="e">
        <f>AND(DATA!K1245,"AAAAAHd//w8=")</f>
        <v>#VALUE!</v>
      </c>
      <c r="Q176" t="b">
        <f>AND(DATA!L1246,"AAAAAHd//xA=")</f>
        <v>1</v>
      </c>
      <c r="R176" t="b">
        <f>AND(DATA!M1246,"AAAAAHd//xE=")</f>
        <v>1</v>
      </c>
      <c r="S176" t="b">
        <f>AND(DATA!N1246,"AAAAAHd//xI=")</f>
        <v>1</v>
      </c>
      <c r="T176" t="b">
        <f>AND(DATA!O1246,"AAAAAHd//xM=")</f>
        <v>1</v>
      </c>
      <c r="U176" t="b">
        <f>AND(DATA!P1246,"AAAAAHd//xQ=")</f>
        <v>1</v>
      </c>
      <c r="V176" t="b">
        <f>AND(DATA!Q1246,"AAAAAHd//xU=")</f>
        <v>1</v>
      </c>
      <c r="W176" t="b">
        <f>AND(DATA!R1246,"AAAAAHd//xY=")</f>
        <v>1</v>
      </c>
      <c r="X176" t="b">
        <f>AND(DATA!S1246,"AAAAAHd//xc=")</f>
        <v>1</v>
      </c>
      <c r="Y176" t="b">
        <f>AND(DATA!T1246,"AAAAAHd//xg=")</f>
        <v>1</v>
      </c>
      <c r="Z176" t="b">
        <f>AND(DATA!U1246,"AAAAAHd//xk=")</f>
        <v>1</v>
      </c>
      <c r="AA176" t="e">
        <f>AND(DATA!V1246,"AAAAAHd//xo=")</f>
        <v>#VALUE!</v>
      </c>
      <c r="AB176" t="e">
        <f>AND(DATA!W1245,"AAAAAHd//xs=")</f>
        <v>#VALUE!</v>
      </c>
      <c r="AC176" t="e">
        <f>AND(DATA!X1245,"AAAAAHd//xw=")</f>
        <v>#VALUE!</v>
      </c>
      <c r="AD176" t="e">
        <f>AND(DATA!Y1245,"AAAAAHd//x0=")</f>
        <v>#VALUE!</v>
      </c>
      <c r="AE176">
        <f>IF(DATA!1246:1246,"AAAAAHd//x4=",0)</f>
        <v>0</v>
      </c>
      <c r="AF176" t="e">
        <f>AND(DATA!A1246,"AAAAAHd//x8=")</f>
        <v>#VALUE!</v>
      </c>
      <c r="AG176" t="e">
        <f>AND(DATA!B1246,"AAAAAHd//yA=")</f>
        <v>#VALUE!</v>
      </c>
      <c r="AH176" t="e">
        <f>AND(DATA!C1246,"AAAAAHd//yE=")</f>
        <v>#VALUE!</v>
      </c>
      <c r="AI176" t="e">
        <f>AND(DATA!D1246,"AAAAAHd//yI=")</f>
        <v>#VALUE!</v>
      </c>
      <c r="AJ176" t="e">
        <f>AND(DATA!E1246,"AAAAAHd//yM=")</f>
        <v>#VALUE!</v>
      </c>
      <c r="AK176" t="e">
        <f>AND(DATA!F1246,"AAAAAHd//yQ=")</f>
        <v>#VALUE!</v>
      </c>
      <c r="AL176" t="e">
        <f>AND(DATA!G1246,"AAAAAHd//yU=")</f>
        <v>#VALUE!</v>
      </c>
      <c r="AM176" t="e">
        <f>AND(DATA!H1246,"AAAAAHd//yY=")</f>
        <v>#VALUE!</v>
      </c>
      <c r="AN176" t="e">
        <f>AND(DATA!I1246,"AAAAAHd//yc=")</f>
        <v>#VALUE!</v>
      </c>
      <c r="AO176" t="e">
        <f>AND(DATA!J1246,"AAAAAHd//yg=")</f>
        <v>#VALUE!</v>
      </c>
      <c r="AP176" t="e">
        <f>AND(DATA!K1246,"AAAAAHd//yk=")</f>
        <v>#VALUE!</v>
      </c>
      <c r="AQ176" t="b">
        <f>AND(DATA!L1247,"AAAAAHd//yo=")</f>
        <v>1</v>
      </c>
      <c r="AR176" t="b">
        <f>AND(DATA!M1247,"AAAAAHd//ys=")</f>
        <v>1</v>
      </c>
      <c r="AS176" t="b">
        <f>AND(DATA!N1247,"AAAAAHd//yw=")</f>
        <v>1</v>
      </c>
      <c r="AT176" t="b">
        <f>AND(DATA!O1247,"AAAAAHd//y0=")</f>
        <v>1</v>
      </c>
      <c r="AU176" t="b">
        <f>AND(DATA!P1247,"AAAAAHd//y4=")</f>
        <v>1</v>
      </c>
      <c r="AV176" t="b">
        <f>AND(DATA!Q1247,"AAAAAHd//y8=")</f>
        <v>1</v>
      </c>
      <c r="AW176" t="b">
        <f>AND(DATA!R1247,"AAAAAHd//zA=")</f>
        <v>1</v>
      </c>
      <c r="AX176" t="b">
        <f>AND(DATA!S1247,"AAAAAHd//zE=")</f>
        <v>1</v>
      </c>
      <c r="AY176" t="b">
        <f>AND(DATA!T1247,"AAAAAHd//zI=")</f>
        <v>1</v>
      </c>
      <c r="AZ176" t="b">
        <f>AND(DATA!U1247,"AAAAAHd//zM=")</f>
        <v>1</v>
      </c>
      <c r="BA176" t="e">
        <f>AND(DATA!V1247,"AAAAAHd//zQ=")</f>
        <v>#VALUE!</v>
      </c>
      <c r="BB176" t="e">
        <f>AND(DATA!W1246,"AAAAAHd//zU=")</f>
        <v>#VALUE!</v>
      </c>
      <c r="BC176" t="e">
        <f>AND(DATA!X1246,"AAAAAHd//zY=")</f>
        <v>#VALUE!</v>
      </c>
      <c r="BD176" t="e">
        <f>AND(DATA!Y1246,"AAAAAHd//zc=")</f>
        <v>#VALUE!</v>
      </c>
      <c r="BE176">
        <f>IF(DATA!1247:1247,"AAAAAHd//zg=",0)</f>
        <v>0</v>
      </c>
      <c r="BF176" t="e">
        <f>AND(DATA!A1247,"AAAAAHd//zk=")</f>
        <v>#VALUE!</v>
      </c>
      <c r="BG176" t="e">
        <f>AND(DATA!B1247,"AAAAAHd//zo=")</f>
        <v>#VALUE!</v>
      </c>
      <c r="BH176" t="e">
        <f>AND(DATA!C1247,"AAAAAHd//zs=")</f>
        <v>#VALUE!</v>
      </c>
      <c r="BI176" t="e">
        <f>AND(DATA!D1247,"AAAAAHd//zw=")</f>
        <v>#VALUE!</v>
      </c>
      <c r="BJ176" t="e">
        <f>AND(DATA!E1247,"AAAAAHd//z0=")</f>
        <v>#VALUE!</v>
      </c>
      <c r="BK176" t="e">
        <f>AND(DATA!F1247,"AAAAAHd//z4=")</f>
        <v>#VALUE!</v>
      </c>
      <c r="BL176" t="e">
        <f>AND(DATA!G1247,"AAAAAHd//z8=")</f>
        <v>#VALUE!</v>
      </c>
      <c r="BM176" t="e">
        <f>AND(DATA!H1247,"AAAAAHd//0A=")</f>
        <v>#VALUE!</v>
      </c>
      <c r="BN176" t="e">
        <f>AND(DATA!I1247,"AAAAAHd//0E=")</f>
        <v>#VALUE!</v>
      </c>
      <c r="BO176" t="e">
        <f>AND(DATA!J1247,"AAAAAHd//0I=")</f>
        <v>#VALUE!</v>
      </c>
      <c r="BP176" t="e">
        <f>AND(DATA!K1247,"AAAAAHd//0M=")</f>
        <v>#VALUE!</v>
      </c>
      <c r="BQ176" t="b">
        <f>AND(DATA!L1248,"AAAAAHd//0Q=")</f>
        <v>1</v>
      </c>
      <c r="BR176" t="b">
        <f>AND(DATA!M1248,"AAAAAHd//0U=")</f>
        <v>1</v>
      </c>
      <c r="BS176" t="b">
        <f>AND(DATA!N1248,"AAAAAHd//0Y=")</f>
        <v>1</v>
      </c>
      <c r="BT176" t="b">
        <f>AND(DATA!O1248,"AAAAAHd//0c=")</f>
        <v>1</v>
      </c>
      <c r="BU176" t="b">
        <f>AND(DATA!P1248,"AAAAAHd//0g=")</f>
        <v>1</v>
      </c>
      <c r="BV176" t="b">
        <f>AND(DATA!Q1248,"AAAAAHd//0k=")</f>
        <v>1</v>
      </c>
      <c r="BW176" t="b">
        <f>AND(DATA!R1248,"AAAAAHd//0o=")</f>
        <v>1</v>
      </c>
      <c r="BX176" t="b">
        <f>AND(DATA!S1248,"AAAAAHd//0s=")</f>
        <v>1</v>
      </c>
      <c r="BY176" t="b">
        <f>AND(DATA!T1248,"AAAAAHd//0w=")</f>
        <v>1</v>
      </c>
      <c r="BZ176" t="b">
        <f>AND(DATA!U1248,"AAAAAHd//00=")</f>
        <v>1</v>
      </c>
      <c r="CA176" t="e">
        <f>AND(DATA!V1248,"AAAAAHd//04=")</f>
        <v>#VALUE!</v>
      </c>
      <c r="CB176" t="e">
        <f>AND(DATA!W1247,"AAAAAHd//08=")</f>
        <v>#VALUE!</v>
      </c>
      <c r="CC176" t="e">
        <f>AND(DATA!X1247,"AAAAAHd//1A=")</f>
        <v>#VALUE!</v>
      </c>
      <c r="CD176" t="e">
        <f>AND(DATA!Y1247,"AAAAAHd//1E=")</f>
        <v>#VALUE!</v>
      </c>
      <c r="CE176">
        <f>IF(DATA!1248:1248,"AAAAAHd//1I=",0)</f>
        <v>0</v>
      </c>
      <c r="CF176" t="e">
        <f>AND(DATA!A1248,"AAAAAHd//1M=")</f>
        <v>#VALUE!</v>
      </c>
      <c r="CG176" t="e">
        <f>AND(DATA!B1248,"AAAAAHd//1Q=")</f>
        <v>#VALUE!</v>
      </c>
      <c r="CH176" t="e">
        <f>AND(DATA!C1248,"AAAAAHd//1U=")</f>
        <v>#VALUE!</v>
      </c>
      <c r="CI176" t="e">
        <f>AND(DATA!D1248,"AAAAAHd//1Y=")</f>
        <v>#VALUE!</v>
      </c>
      <c r="CJ176" t="e">
        <f>AND(DATA!E1248,"AAAAAHd//1c=")</f>
        <v>#VALUE!</v>
      </c>
      <c r="CK176" t="e">
        <f>AND(DATA!F1248,"AAAAAHd//1g=")</f>
        <v>#VALUE!</v>
      </c>
      <c r="CL176" t="e">
        <f>AND(DATA!G1248,"AAAAAHd//1k=")</f>
        <v>#VALUE!</v>
      </c>
      <c r="CM176" t="e">
        <f>AND(DATA!H1248,"AAAAAHd//1o=")</f>
        <v>#VALUE!</v>
      </c>
      <c r="CN176" t="e">
        <f>AND(DATA!I1248,"AAAAAHd//1s=")</f>
        <v>#VALUE!</v>
      </c>
      <c r="CO176" t="e">
        <f>AND(DATA!J1248,"AAAAAHd//1w=")</f>
        <v>#VALUE!</v>
      </c>
      <c r="CP176" t="e">
        <f>AND(DATA!K1248,"AAAAAHd//10=")</f>
        <v>#VALUE!</v>
      </c>
      <c r="CQ176" t="b">
        <f>AND(DATA!L1249,"AAAAAHd//14=")</f>
        <v>1</v>
      </c>
      <c r="CR176" t="b">
        <f>AND(DATA!M1249,"AAAAAHd//18=")</f>
        <v>1</v>
      </c>
      <c r="CS176" t="b">
        <f>AND(DATA!N1249,"AAAAAHd//2A=")</f>
        <v>1</v>
      </c>
      <c r="CT176" t="b">
        <f>AND(DATA!O1249,"AAAAAHd//2E=")</f>
        <v>1</v>
      </c>
      <c r="CU176" t="b">
        <f>AND(DATA!P1249,"AAAAAHd//2I=")</f>
        <v>1</v>
      </c>
      <c r="CV176" t="b">
        <f>AND(DATA!Q1249,"AAAAAHd//2M=")</f>
        <v>1</v>
      </c>
      <c r="CW176" t="b">
        <f>AND(DATA!R1249,"AAAAAHd//2Q=")</f>
        <v>1</v>
      </c>
      <c r="CX176" t="b">
        <f>AND(DATA!S1249,"AAAAAHd//2U=")</f>
        <v>1</v>
      </c>
      <c r="CY176" t="b">
        <f>AND(DATA!T1249,"AAAAAHd//2Y=")</f>
        <v>1</v>
      </c>
      <c r="CZ176" t="b">
        <f>AND(DATA!U1249,"AAAAAHd//2c=")</f>
        <v>1</v>
      </c>
      <c r="DA176" t="e">
        <f>AND(DATA!V1249,"AAAAAHd//2g=")</f>
        <v>#VALUE!</v>
      </c>
      <c r="DB176" t="e">
        <f>AND(DATA!W1248,"AAAAAHd//2k=")</f>
        <v>#VALUE!</v>
      </c>
      <c r="DC176" t="e">
        <f>AND(DATA!X1248,"AAAAAHd//2o=")</f>
        <v>#VALUE!</v>
      </c>
      <c r="DD176" t="e">
        <f>AND(DATA!Y1248,"AAAAAHd//2s=")</f>
        <v>#VALUE!</v>
      </c>
      <c r="DE176">
        <f>IF(DATA!1249:1249,"AAAAAHd//2w=",0)</f>
        <v>0</v>
      </c>
      <c r="DF176" t="e">
        <f>AND(DATA!A1249,"AAAAAHd//20=")</f>
        <v>#VALUE!</v>
      </c>
      <c r="DG176" t="e">
        <f>AND(DATA!B1249,"AAAAAHd//24=")</f>
        <v>#VALUE!</v>
      </c>
      <c r="DH176" t="e">
        <f>AND(DATA!C1249,"AAAAAHd//28=")</f>
        <v>#VALUE!</v>
      </c>
      <c r="DI176" t="e">
        <f>AND(DATA!D1249,"AAAAAHd//3A=")</f>
        <v>#VALUE!</v>
      </c>
      <c r="DJ176" t="e">
        <f>AND(DATA!E1249,"AAAAAHd//3E=")</f>
        <v>#VALUE!</v>
      </c>
      <c r="DK176" t="e">
        <f>AND(DATA!F1249,"AAAAAHd//3I=")</f>
        <v>#VALUE!</v>
      </c>
      <c r="DL176" t="e">
        <f>AND(DATA!G1249,"AAAAAHd//3M=")</f>
        <v>#VALUE!</v>
      </c>
      <c r="DM176" t="e">
        <f>AND(DATA!H1249,"AAAAAHd//3Q=")</f>
        <v>#VALUE!</v>
      </c>
      <c r="DN176" t="e">
        <f>AND(DATA!I1249,"AAAAAHd//3U=")</f>
        <v>#VALUE!</v>
      </c>
      <c r="DO176" t="e">
        <f>AND(DATA!J1249,"AAAAAHd//3Y=")</f>
        <v>#VALUE!</v>
      </c>
      <c r="DP176" t="e">
        <f>AND(DATA!K1249,"AAAAAHd//3c=")</f>
        <v>#VALUE!</v>
      </c>
      <c r="DQ176" t="b">
        <f>AND(DATA!L1250,"AAAAAHd//3g=")</f>
        <v>1</v>
      </c>
      <c r="DR176" t="b">
        <f>AND(DATA!M1250,"AAAAAHd//3k=")</f>
        <v>1</v>
      </c>
      <c r="DS176" t="b">
        <f>AND(DATA!N1250,"AAAAAHd//3o=")</f>
        <v>1</v>
      </c>
      <c r="DT176" t="b">
        <f>AND(DATA!O1250,"AAAAAHd//3s=")</f>
        <v>1</v>
      </c>
      <c r="DU176" t="b">
        <f>AND(DATA!P1250,"AAAAAHd//3w=")</f>
        <v>1</v>
      </c>
      <c r="DV176" t="b">
        <f>AND(DATA!Q1250,"AAAAAHd//30=")</f>
        <v>1</v>
      </c>
      <c r="DW176" t="b">
        <f>AND(DATA!R1250,"AAAAAHd//34=")</f>
        <v>1</v>
      </c>
      <c r="DX176" t="b">
        <f>AND(DATA!S1250,"AAAAAHd//38=")</f>
        <v>1</v>
      </c>
      <c r="DY176" t="b">
        <f>AND(DATA!T1250,"AAAAAHd//4A=")</f>
        <v>1</v>
      </c>
      <c r="DZ176" t="b">
        <f>AND(DATA!U1250,"AAAAAHd//4E=")</f>
        <v>1</v>
      </c>
      <c r="EA176" t="e">
        <f>AND(DATA!V1250,"AAAAAHd//4I=")</f>
        <v>#VALUE!</v>
      </c>
      <c r="EB176" t="e">
        <f>AND(DATA!W1249,"AAAAAHd//4M=")</f>
        <v>#VALUE!</v>
      </c>
      <c r="EC176" t="e">
        <f>AND(DATA!X1249,"AAAAAHd//4Q=")</f>
        <v>#VALUE!</v>
      </c>
      <c r="ED176" t="e">
        <f>AND(DATA!Y1249,"AAAAAHd//4U=")</f>
        <v>#VALUE!</v>
      </c>
      <c r="EE176">
        <f>IF(DATA!1250:1250,"AAAAAHd//4Y=",0)</f>
        <v>0</v>
      </c>
      <c r="EF176" t="e">
        <f>AND(DATA!A1250,"AAAAAHd//4c=")</f>
        <v>#VALUE!</v>
      </c>
      <c r="EG176" t="e">
        <f>AND(DATA!B1250,"AAAAAHd//4g=")</f>
        <v>#VALUE!</v>
      </c>
      <c r="EH176" t="e">
        <f>AND(DATA!C1250,"AAAAAHd//4k=")</f>
        <v>#VALUE!</v>
      </c>
      <c r="EI176" t="e">
        <f>AND(DATA!D1250,"AAAAAHd//4o=")</f>
        <v>#VALUE!</v>
      </c>
      <c r="EJ176" t="e">
        <f>AND(DATA!E1250,"AAAAAHd//4s=")</f>
        <v>#VALUE!</v>
      </c>
      <c r="EK176" t="e">
        <f>AND(DATA!F1250,"AAAAAHd//4w=")</f>
        <v>#VALUE!</v>
      </c>
      <c r="EL176" t="e">
        <f>AND(DATA!G1250,"AAAAAHd//40=")</f>
        <v>#VALUE!</v>
      </c>
      <c r="EM176" t="e">
        <f>AND(DATA!H1250,"AAAAAHd//44=")</f>
        <v>#VALUE!</v>
      </c>
      <c r="EN176" t="e">
        <f>AND(DATA!I1250,"AAAAAHd//48=")</f>
        <v>#VALUE!</v>
      </c>
      <c r="EO176" t="e">
        <f>AND(DATA!J1250,"AAAAAHd//5A=")</f>
        <v>#VALUE!</v>
      </c>
      <c r="EP176" t="e">
        <f>AND(DATA!K1250,"AAAAAHd//5E=")</f>
        <v>#VALUE!</v>
      </c>
      <c r="EQ176" t="b">
        <f>AND(DATA!L1251,"AAAAAHd//5I=")</f>
        <v>1</v>
      </c>
      <c r="ER176" t="b">
        <f>AND(DATA!M1251,"AAAAAHd//5M=")</f>
        <v>1</v>
      </c>
      <c r="ES176" t="b">
        <f>AND(DATA!N1251,"AAAAAHd//5Q=")</f>
        <v>1</v>
      </c>
      <c r="ET176" t="b">
        <f>AND(DATA!O1251,"AAAAAHd//5U=")</f>
        <v>1</v>
      </c>
      <c r="EU176" t="b">
        <f>AND(DATA!P1251,"AAAAAHd//5Y=")</f>
        <v>1</v>
      </c>
      <c r="EV176" t="b">
        <f>AND(DATA!Q1251,"AAAAAHd//5c=")</f>
        <v>1</v>
      </c>
      <c r="EW176" t="b">
        <f>AND(DATA!R1251,"AAAAAHd//5g=")</f>
        <v>1</v>
      </c>
      <c r="EX176" t="b">
        <f>AND(DATA!S1251,"AAAAAHd//5k=")</f>
        <v>1</v>
      </c>
      <c r="EY176" t="b">
        <f>AND(DATA!T1251,"AAAAAHd//5o=")</f>
        <v>1</v>
      </c>
      <c r="EZ176" t="b">
        <f>AND(DATA!U1251,"AAAAAHd//5s=")</f>
        <v>1</v>
      </c>
      <c r="FA176" t="e">
        <f>AND(DATA!V1251,"AAAAAHd//5w=")</f>
        <v>#VALUE!</v>
      </c>
      <c r="FB176" t="e">
        <f>AND(DATA!W1250,"AAAAAHd//50=")</f>
        <v>#VALUE!</v>
      </c>
      <c r="FC176" t="e">
        <f>AND(DATA!X1250,"AAAAAHd//54=")</f>
        <v>#VALUE!</v>
      </c>
      <c r="FD176" t="e">
        <f>AND(DATA!Y1250,"AAAAAHd//58=")</f>
        <v>#VALUE!</v>
      </c>
      <c r="FE176">
        <f>IF(DATA!1251:1251,"AAAAAHd//6A=",0)</f>
        <v>0</v>
      </c>
      <c r="FF176" t="e">
        <f>AND(DATA!A1251,"AAAAAHd//6E=")</f>
        <v>#VALUE!</v>
      </c>
      <c r="FG176" t="e">
        <f>AND(DATA!B1251,"AAAAAHd//6I=")</f>
        <v>#VALUE!</v>
      </c>
      <c r="FH176" t="e">
        <f>AND(DATA!C1251,"AAAAAHd//6M=")</f>
        <v>#VALUE!</v>
      </c>
      <c r="FI176" t="e">
        <f>AND(DATA!D1251,"AAAAAHd//6Q=")</f>
        <v>#VALUE!</v>
      </c>
      <c r="FJ176" t="e">
        <f>AND(DATA!E1251,"AAAAAHd//6U=")</f>
        <v>#VALUE!</v>
      </c>
      <c r="FK176" t="e">
        <f>AND(DATA!F1251,"AAAAAHd//6Y=")</f>
        <v>#VALUE!</v>
      </c>
      <c r="FL176" t="e">
        <f>AND(DATA!G1251,"AAAAAHd//6c=")</f>
        <v>#VALUE!</v>
      </c>
      <c r="FM176" t="e">
        <f>AND(DATA!H1251,"AAAAAHd//6g=")</f>
        <v>#VALUE!</v>
      </c>
      <c r="FN176" t="e">
        <f>AND(DATA!I1251,"AAAAAHd//6k=")</f>
        <v>#VALUE!</v>
      </c>
      <c r="FO176" t="e">
        <f>AND(DATA!J1251,"AAAAAHd//6o=")</f>
        <v>#VALUE!</v>
      </c>
      <c r="FP176" t="e">
        <f>AND(DATA!K1251,"AAAAAHd//6s=")</f>
        <v>#VALUE!</v>
      </c>
      <c r="FQ176" t="b">
        <f>AND(DATA!L1252,"AAAAAHd//6w=")</f>
        <v>1</v>
      </c>
      <c r="FR176" t="b">
        <f>AND(DATA!M1252,"AAAAAHd//60=")</f>
        <v>1</v>
      </c>
      <c r="FS176" t="b">
        <f>AND(DATA!N1252,"AAAAAHd//64=")</f>
        <v>1</v>
      </c>
      <c r="FT176" t="b">
        <f>AND(DATA!O1252,"AAAAAHd//68=")</f>
        <v>1</v>
      </c>
      <c r="FU176" t="b">
        <f>AND(DATA!P1252,"AAAAAHd//7A=")</f>
        <v>1</v>
      </c>
      <c r="FV176" t="b">
        <f>AND(DATA!Q1252,"AAAAAHd//7E=")</f>
        <v>1</v>
      </c>
      <c r="FW176" t="b">
        <f>AND(DATA!R1252,"AAAAAHd//7I=")</f>
        <v>1</v>
      </c>
      <c r="FX176" t="b">
        <f>AND(DATA!S1252,"AAAAAHd//7M=")</f>
        <v>1</v>
      </c>
      <c r="FY176" t="b">
        <f>AND(DATA!T1252,"AAAAAHd//7Q=")</f>
        <v>1</v>
      </c>
      <c r="FZ176" t="b">
        <f>AND(DATA!U1252,"AAAAAHd//7U=")</f>
        <v>1</v>
      </c>
      <c r="GA176" t="e">
        <f>AND(DATA!V1252,"AAAAAHd//7Y=")</f>
        <v>#VALUE!</v>
      </c>
      <c r="GB176" t="e">
        <f>AND(DATA!W1251,"AAAAAHd//7c=")</f>
        <v>#VALUE!</v>
      </c>
      <c r="GC176" t="e">
        <f>AND(DATA!X1251,"AAAAAHd//7g=")</f>
        <v>#VALUE!</v>
      </c>
      <c r="GD176" t="e">
        <f>AND(DATA!Y1251,"AAAAAHd//7k=")</f>
        <v>#VALUE!</v>
      </c>
      <c r="GE176">
        <f>IF(DATA!1252:1252,"AAAAAHd//7o=",0)</f>
        <v>0</v>
      </c>
      <c r="GF176" t="e">
        <f>AND(DATA!A1252,"AAAAAHd//7s=")</f>
        <v>#VALUE!</v>
      </c>
      <c r="GG176" t="e">
        <f>AND(DATA!B1252,"AAAAAHd//7w=")</f>
        <v>#VALUE!</v>
      </c>
      <c r="GH176" t="e">
        <f>AND(DATA!C1252,"AAAAAHd//70=")</f>
        <v>#VALUE!</v>
      </c>
      <c r="GI176" t="e">
        <f>AND(DATA!D1252,"AAAAAHd//74=")</f>
        <v>#VALUE!</v>
      </c>
      <c r="GJ176" t="e">
        <f>AND(DATA!E1252,"AAAAAHd//78=")</f>
        <v>#VALUE!</v>
      </c>
      <c r="GK176" t="e">
        <f>AND(DATA!F1252,"AAAAAHd//8A=")</f>
        <v>#VALUE!</v>
      </c>
      <c r="GL176" t="e">
        <f>AND(DATA!G1252,"AAAAAHd//8E=")</f>
        <v>#VALUE!</v>
      </c>
      <c r="GM176" t="e">
        <f>AND(DATA!H1252,"AAAAAHd//8I=")</f>
        <v>#VALUE!</v>
      </c>
      <c r="GN176" t="e">
        <f>AND(DATA!I1252,"AAAAAHd//8M=")</f>
        <v>#VALUE!</v>
      </c>
      <c r="GO176" t="e">
        <f>AND(DATA!J1252,"AAAAAHd//8Q=")</f>
        <v>#VALUE!</v>
      </c>
      <c r="GP176" t="e">
        <f>AND(DATA!K1252,"AAAAAHd//8U=")</f>
        <v>#VALUE!</v>
      </c>
      <c r="GQ176" t="b">
        <f>AND(DATA!L1253,"AAAAAHd//8Y=")</f>
        <v>1</v>
      </c>
      <c r="GR176" t="b">
        <f>AND(DATA!M1253,"AAAAAHd//8c=")</f>
        <v>1</v>
      </c>
      <c r="GS176" t="b">
        <f>AND(DATA!N1253,"AAAAAHd//8g=")</f>
        <v>1</v>
      </c>
      <c r="GT176" t="b">
        <f>AND(DATA!O1253,"AAAAAHd//8k=")</f>
        <v>1</v>
      </c>
      <c r="GU176" t="b">
        <f>AND(DATA!P1253,"AAAAAHd//8o=")</f>
        <v>1</v>
      </c>
      <c r="GV176" t="b">
        <f>AND(DATA!Q1253,"AAAAAHd//8s=")</f>
        <v>1</v>
      </c>
      <c r="GW176" t="b">
        <f>AND(DATA!R1253,"AAAAAHd//8w=")</f>
        <v>1</v>
      </c>
      <c r="GX176" t="b">
        <f>AND(DATA!S1253,"AAAAAHd//80=")</f>
        <v>1</v>
      </c>
      <c r="GY176" t="b">
        <f>AND(DATA!T1253,"AAAAAHd//84=")</f>
        <v>1</v>
      </c>
      <c r="GZ176" t="b">
        <f>AND(DATA!U1253,"AAAAAHd//88=")</f>
        <v>1</v>
      </c>
      <c r="HA176" t="e">
        <f>AND(DATA!V1253,"AAAAAHd//9A=")</f>
        <v>#VALUE!</v>
      </c>
      <c r="HB176" t="e">
        <f>AND(DATA!W1252,"AAAAAHd//9E=")</f>
        <v>#VALUE!</v>
      </c>
      <c r="HC176" t="e">
        <f>AND(DATA!X1252,"AAAAAHd//9I=")</f>
        <v>#VALUE!</v>
      </c>
      <c r="HD176" t="e">
        <f>AND(DATA!Y1252,"AAAAAHd//9M=")</f>
        <v>#VALUE!</v>
      </c>
      <c r="HE176">
        <f>IF(DATA!1253:1253,"AAAAAHd//9Q=",0)</f>
        <v>0</v>
      </c>
      <c r="HF176" t="e">
        <f>AND(DATA!A1253,"AAAAAHd//9U=")</f>
        <v>#VALUE!</v>
      </c>
      <c r="HG176" t="e">
        <f>AND(DATA!B1253,"AAAAAHd//9Y=")</f>
        <v>#VALUE!</v>
      </c>
      <c r="HH176" t="e">
        <f>AND(DATA!C1253,"AAAAAHd//9c=")</f>
        <v>#VALUE!</v>
      </c>
      <c r="HI176" t="e">
        <f>AND(DATA!D1253,"AAAAAHd//9g=")</f>
        <v>#VALUE!</v>
      </c>
      <c r="HJ176" t="e">
        <f>AND(DATA!E1253,"AAAAAHd//9k=")</f>
        <v>#VALUE!</v>
      </c>
      <c r="HK176" t="e">
        <f>AND(DATA!F1253,"AAAAAHd//9o=")</f>
        <v>#VALUE!</v>
      </c>
      <c r="HL176" t="e">
        <f>AND(DATA!G1253,"AAAAAHd//9s=")</f>
        <v>#VALUE!</v>
      </c>
      <c r="HM176" t="e">
        <f>AND(DATA!H1253,"AAAAAHd//9w=")</f>
        <v>#VALUE!</v>
      </c>
      <c r="HN176" t="e">
        <f>AND(DATA!I1253,"AAAAAHd//90=")</f>
        <v>#VALUE!</v>
      </c>
      <c r="HO176" t="e">
        <f>AND(DATA!J1253,"AAAAAHd//94=")</f>
        <v>#VALUE!</v>
      </c>
      <c r="HP176" t="e">
        <f>AND(DATA!K1253,"AAAAAHd//98=")</f>
        <v>#VALUE!</v>
      </c>
      <c r="HQ176" t="b">
        <f>AND(DATA!L1254,"AAAAAHd//+A=")</f>
        <v>1</v>
      </c>
      <c r="HR176" t="b">
        <f>AND(DATA!M1254,"AAAAAHd//+E=")</f>
        <v>1</v>
      </c>
      <c r="HS176" t="b">
        <f>AND(DATA!N1254,"AAAAAHd//+I=")</f>
        <v>1</v>
      </c>
      <c r="HT176" t="b">
        <f>AND(DATA!O1254,"AAAAAHd//+M=")</f>
        <v>1</v>
      </c>
      <c r="HU176" t="b">
        <f>AND(DATA!P1254,"AAAAAHd//+Q=")</f>
        <v>1</v>
      </c>
      <c r="HV176" t="b">
        <f>AND(DATA!Q1254,"AAAAAHd//+U=")</f>
        <v>1</v>
      </c>
      <c r="HW176" t="b">
        <f>AND(DATA!R1254,"AAAAAHd//+Y=")</f>
        <v>1</v>
      </c>
      <c r="HX176" t="b">
        <f>AND(DATA!S1254,"AAAAAHd//+c=")</f>
        <v>1</v>
      </c>
      <c r="HY176" t="b">
        <f>AND(DATA!T1254,"AAAAAHd//+g=")</f>
        <v>1</v>
      </c>
      <c r="HZ176" t="b">
        <f>AND(DATA!U1254,"AAAAAHd//+k=")</f>
        <v>1</v>
      </c>
      <c r="IA176" t="e">
        <f>AND(DATA!V1254,"AAAAAHd//+o=")</f>
        <v>#VALUE!</v>
      </c>
      <c r="IB176" t="e">
        <f>AND(DATA!W1253,"AAAAAHd//+s=")</f>
        <v>#VALUE!</v>
      </c>
      <c r="IC176" t="e">
        <f>AND(DATA!X1253,"AAAAAHd//+w=")</f>
        <v>#VALUE!</v>
      </c>
      <c r="ID176" t="e">
        <f>AND(DATA!Y1253,"AAAAAHd//+0=")</f>
        <v>#VALUE!</v>
      </c>
      <c r="IE176">
        <f>IF(DATA!1254:1254,"AAAAAHd//+4=",0)</f>
        <v>0</v>
      </c>
      <c r="IF176" t="e">
        <f>AND(DATA!A1254,"AAAAAHd//+8=")</f>
        <v>#VALUE!</v>
      </c>
      <c r="IG176" t="e">
        <f>AND(DATA!B1254,"AAAAAHd///A=")</f>
        <v>#VALUE!</v>
      </c>
      <c r="IH176" t="e">
        <f>AND(DATA!C1254,"AAAAAHd///E=")</f>
        <v>#VALUE!</v>
      </c>
      <c r="II176" t="e">
        <f>AND(DATA!D1254,"AAAAAHd///I=")</f>
        <v>#VALUE!</v>
      </c>
      <c r="IJ176" t="e">
        <f>AND(DATA!E1254,"AAAAAHd///M=")</f>
        <v>#VALUE!</v>
      </c>
      <c r="IK176" t="e">
        <f>AND(DATA!F1254,"AAAAAHd///Q=")</f>
        <v>#VALUE!</v>
      </c>
      <c r="IL176" t="e">
        <f>AND(DATA!G1254,"AAAAAHd///U=")</f>
        <v>#VALUE!</v>
      </c>
      <c r="IM176" t="e">
        <f>AND(DATA!H1254,"AAAAAHd///Y=")</f>
        <v>#VALUE!</v>
      </c>
      <c r="IN176" t="e">
        <f>AND(DATA!I1254,"AAAAAHd///c=")</f>
        <v>#VALUE!</v>
      </c>
      <c r="IO176" t="e">
        <f>AND(DATA!J1254,"AAAAAHd///g=")</f>
        <v>#VALUE!</v>
      </c>
      <c r="IP176" t="e">
        <f>AND(DATA!K1254,"AAAAAHd///k=")</f>
        <v>#VALUE!</v>
      </c>
      <c r="IQ176" t="b">
        <f>AND(DATA!L1255,"AAAAAHd///o=")</f>
        <v>1</v>
      </c>
      <c r="IR176" t="b">
        <f>AND(DATA!M1255,"AAAAAHd///s=")</f>
        <v>1</v>
      </c>
      <c r="IS176" t="b">
        <f>AND(DATA!N1255,"AAAAAHd///w=")</f>
        <v>1</v>
      </c>
      <c r="IT176" t="b">
        <f>AND(DATA!O1255,"AAAAAHd///0=")</f>
        <v>1</v>
      </c>
      <c r="IU176" t="b">
        <f>AND(DATA!P1255,"AAAAAHd///4=")</f>
        <v>1</v>
      </c>
      <c r="IV176" t="b">
        <f>AND(DATA!Q1255,"AAAAAHd///8=")</f>
        <v>1</v>
      </c>
    </row>
    <row r="177" spans="1:256" x14ac:dyDescent="0.25">
      <c r="A177" t="b">
        <f>AND(DATA!R1255,"AAAAAF7+swA=")</f>
        <v>1</v>
      </c>
      <c r="B177" t="b">
        <f>AND(DATA!S1255,"AAAAAF7+swE=")</f>
        <v>1</v>
      </c>
      <c r="C177" t="b">
        <f>AND(DATA!T1255,"AAAAAF7+swI=")</f>
        <v>1</v>
      </c>
      <c r="D177" t="b">
        <f>AND(DATA!U1255,"AAAAAF7+swM=")</f>
        <v>1</v>
      </c>
      <c r="E177" t="e">
        <f>AND(DATA!V1255,"AAAAAF7+swQ=")</f>
        <v>#VALUE!</v>
      </c>
      <c r="F177" t="e">
        <f>AND(DATA!W1254,"AAAAAF7+swU=")</f>
        <v>#VALUE!</v>
      </c>
      <c r="G177" t="e">
        <f>AND(DATA!X1254,"AAAAAF7+swY=")</f>
        <v>#VALUE!</v>
      </c>
      <c r="H177" t="e">
        <f>AND(DATA!Y1254,"AAAAAF7+swc=")</f>
        <v>#VALUE!</v>
      </c>
      <c r="I177">
        <f>IF(DATA!1255:1255,"AAAAAF7+swg=",0)</f>
        <v>0</v>
      </c>
      <c r="J177" t="e">
        <f>AND(DATA!A1255,"AAAAAF7+swk=")</f>
        <v>#VALUE!</v>
      </c>
      <c r="K177" t="e">
        <f>AND(DATA!B1255,"AAAAAF7+swo=")</f>
        <v>#VALUE!</v>
      </c>
      <c r="L177" t="e">
        <f>AND(DATA!C1255,"AAAAAF7+sws=")</f>
        <v>#VALUE!</v>
      </c>
      <c r="M177" t="e">
        <f>AND(DATA!D1255,"AAAAAF7+sww=")</f>
        <v>#VALUE!</v>
      </c>
      <c r="N177" t="e">
        <f>AND(DATA!E1255,"AAAAAF7+sw0=")</f>
        <v>#VALUE!</v>
      </c>
      <c r="O177" t="e">
        <f>AND(DATA!F1255,"AAAAAF7+sw4=")</f>
        <v>#VALUE!</v>
      </c>
      <c r="P177" t="e">
        <f>AND(DATA!G1255,"AAAAAF7+sw8=")</f>
        <v>#VALUE!</v>
      </c>
      <c r="Q177" t="e">
        <f>AND(DATA!H1255,"AAAAAF7+sxA=")</f>
        <v>#VALUE!</v>
      </c>
      <c r="R177" t="e">
        <f>AND(DATA!I1255,"AAAAAF7+sxE=")</f>
        <v>#VALUE!</v>
      </c>
      <c r="S177" t="e">
        <f>AND(DATA!J1255,"AAAAAF7+sxI=")</f>
        <v>#VALUE!</v>
      </c>
      <c r="T177" t="e">
        <f>AND(DATA!K1255,"AAAAAF7+sxM=")</f>
        <v>#VALUE!</v>
      </c>
      <c r="U177" t="b">
        <f>AND(DATA!L1256,"AAAAAF7+sxQ=")</f>
        <v>1</v>
      </c>
      <c r="V177" t="b">
        <f>AND(DATA!M1256,"AAAAAF7+sxU=")</f>
        <v>1</v>
      </c>
      <c r="W177" t="b">
        <f>AND(DATA!N1256,"AAAAAF7+sxY=")</f>
        <v>1</v>
      </c>
      <c r="X177" t="b">
        <f>AND(DATA!O1256,"AAAAAF7+sxc=")</f>
        <v>1</v>
      </c>
      <c r="Y177" t="b">
        <f>AND(DATA!P1256,"AAAAAF7+sxg=")</f>
        <v>1</v>
      </c>
      <c r="Z177" t="b">
        <f>AND(DATA!Q1256,"AAAAAF7+sxk=")</f>
        <v>1</v>
      </c>
      <c r="AA177" t="b">
        <f>AND(DATA!R1256,"AAAAAF7+sxo=")</f>
        <v>1</v>
      </c>
      <c r="AB177" t="b">
        <f>AND(DATA!S1256,"AAAAAF7+sxs=")</f>
        <v>1</v>
      </c>
      <c r="AC177" t="b">
        <f>AND(DATA!T1256,"AAAAAF7+sxw=")</f>
        <v>1</v>
      </c>
      <c r="AD177" t="b">
        <f>AND(DATA!U1256,"AAAAAF7+sx0=")</f>
        <v>1</v>
      </c>
      <c r="AE177" t="e">
        <f>AND(DATA!V1256,"AAAAAF7+sx4=")</f>
        <v>#VALUE!</v>
      </c>
      <c r="AF177" t="e">
        <f>AND(DATA!W1255,"AAAAAF7+sx8=")</f>
        <v>#VALUE!</v>
      </c>
      <c r="AG177" t="e">
        <f>AND(DATA!X1255,"AAAAAF7+syA=")</f>
        <v>#VALUE!</v>
      </c>
      <c r="AH177" t="e">
        <f>AND(DATA!Y1255,"AAAAAF7+syE=")</f>
        <v>#VALUE!</v>
      </c>
      <c r="AI177">
        <f>IF(DATA!1256:1256,"AAAAAF7+syI=",0)</f>
        <v>0</v>
      </c>
      <c r="AJ177" t="e">
        <f>AND(DATA!A1256,"AAAAAF7+syM=")</f>
        <v>#VALUE!</v>
      </c>
      <c r="AK177" t="e">
        <f>AND(DATA!B1256,"AAAAAF7+syQ=")</f>
        <v>#VALUE!</v>
      </c>
      <c r="AL177" t="e">
        <f>AND(DATA!C1256,"AAAAAF7+syU=")</f>
        <v>#VALUE!</v>
      </c>
      <c r="AM177" t="e">
        <f>AND(DATA!D1256,"AAAAAF7+syY=")</f>
        <v>#VALUE!</v>
      </c>
      <c r="AN177" t="e">
        <f>AND(DATA!E1256,"AAAAAF7+syc=")</f>
        <v>#VALUE!</v>
      </c>
      <c r="AO177" t="e">
        <f>AND(DATA!F1256,"AAAAAF7+syg=")</f>
        <v>#VALUE!</v>
      </c>
      <c r="AP177" t="e">
        <f>AND(DATA!G1256,"AAAAAF7+syk=")</f>
        <v>#VALUE!</v>
      </c>
      <c r="AQ177" t="e">
        <f>AND(DATA!H1256,"AAAAAF7+syo=")</f>
        <v>#VALUE!</v>
      </c>
      <c r="AR177" t="e">
        <f>AND(DATA!I1256,"AAAAAF7+sys=")</f>
        <v>#VALUE!</v>
      </c>
      <c r="AS177" t="e">
        <f>AND(DATA!J1256,"AAAAAF7+syw=")</f>
        <v>#VALUE!</v>
      </c>
      <c r="AT177" t="e">
        <f>AND(DATA!K1256,"AAAAAF7+sy0=")</f>
        <v>#VALUE!</v>
      </c>
      <c r="AU177" t="b">
        <f>AND(DATA!L1257,"AAAAAF7+sy4=")</f>
        <v>1</v>
      </c>
      <c r="AV177" t="b">
        <f>AND(DATA!M1257,"AAAAAF7+sy8=")</f>
        <v>1</v>
      </c>
      <c r="AW177" t="b">
        <f>AND(DATA!N1257,"AAAAAF7+szA=")</f>
        <v>1</v>
      </c>
      <c r="AX177" t="b">
        <f>AND(DATA!O1257,"AAAAAF7+szE=")</f>
        <v>1</v>
      </c>
      <c r="AY177" t="b">
        <f>AND(DATA!P1257,"AAAAAF7+szI=")</f>
        <v>1</v>
      </c>
      <c r="AZ177" t="b">
        <f>AND(DATA!Q1257,"AAAAAF7+szM=")</f>
        <v>1</v>
      </c>
      <c r="BA177" t="b">
        <f>AND(DATA!R1257,"AAAAAF7+szQ=")</f>
        <v>1</v>
      </c>
      <c r="BB177" t="b">
        <f>AND(DATA!S1257,"AAAAAF7+szU=")</f>
        <v>1</v>
      </c>
      <c r="BC177" t="b">
        <f>AND(DATA!T1257,"AAAAAF7+szY=")</f>
        <v>1</v>
      </c>
      <c r="BD177" t="b">
        <f>AND(DATA!U1257,"AAAAAF7+szc=")</f>
        <v>1</v>
      </c>
      <c r="BE177" t="e">
        <f>AND(DATA!V1257,"AAAAAF7+szg=")</f>
        <v>#VALUE!</v>
      </c>
      <c r="BF177" t="e">
        <f>AND(DATA!W1256,"AAAAAF7+szk=")</f>
        <v>#VALUE!</v>
      </c>
      <c r="BG177" t="e">
        <f>AND(DATA!X1256,"AAAAAF7+szo=")</f>
        <v>#VALUE!</v>
      </c>
      <c r="BH177" t="e">
        <f>AND(DATA!Y1256,"AAAAAF7+szs=")</f>
        <v>#VALUE!</v>
      </c>
      <c r="BI177">
        <f>IF(DATA!1257:1257,"AAAAAF7+szw=",0)</f>
        <v>0</v>
      </c>
      <c r="BJ177" t="e">
        <f>AND(DATA!A1257,"AAAAAF7+sz0=")</f>
        <v>#VALUE!</v>
      </c>
      <c r="BK177" t="e">
        <f>AND(DATA!B1257,"AAAAAF7+sz4=")</f>
        <v>#VALUE!</v>
      </c>
      <c r="BL177" t="e">
        <f>AND(DATA!C1257,"AAAAAF7+sz8=")</f>
        <v>#VALUE!</v>
      </c>
      <c r="BM177" t="e">
        <f>AND(DATA!D1257,"AAAAAF7+s0A=")</f>
        <v>#VALUE!</v>
      </c>
      <c r="BN177" t="e">
        <f>AND(DATA!E1257,"AAAAAF7+s0E=")</f>
        <v>#VALUE!</v>
      </c>
      <c r="BO177" t="e">
        <f>AND(DATA!F1257,"AAAAAF7+s0I=")</f>
        <v>#VALUE!</v>
      </c>
      <c r="BP177" t="e">
        <f>AND(DATA!G1257,"AAAAAF7+s0M=")</f>
        <v>#VALUE!</v>
      </c>
      <c r="BQ177" t="e">
        <f>AND(DATA!H1257,"AAAAAF7+s0Q=")</f>
        <v>#VALUE!</v>
      </c>
      <c r="BR177" t="e">
        <f>AND(DATA!I1257,"AAAAAF7+s0U=")</f>
        <v>#VALUE!</v>
      </c>
      <c r="BS177" t="e">
        <f>AND(DATA!J1257,"AAAAAF7+s0Y=")</f>
        <v>#VALUE!</v>
      </c>
      <c r="BT177" t="e">
        <f>AND(DATA!K1257,"AAAAAF7+s0c=")</f>
        <v>#VALUE!</v>
      </c>
      <c r="BU177" t="b">
        <f>AND(DATA!L1258,"AAAAAF7+s0g=")</f>
        <v>1</v>
      </c>
      <c r="BV177" t="b">
        <f>AND(DATA!M1258,"AAAAAF7+s0k=")</f>
        <v>1</v>
      </c>
      <c r="BW177" t="b">
        <f>AND(DATA!N1258,"AAAAAF7+s0o=")</f>
        <v>1</v>
      </c>
      <c r="BX177" t="b">
        <f>AND(DATA!O1258,"AAAAAF7+s0s=")</f>
        <v>1</v>
      </c>
      <c r="BY177" t="b">
        <f>AND(DATA!P1258,"AAAAAF7+s0w=")</f>
        <v>1</v>
      </c>
      <c r="BZ177" t="b">
        <f>AND(DATA!Q1258,"AAAAAF7+s00=")</f>
        <v>1</v>
      </c>
      <c r="CA177" t="b">
        <f>AND(DATA!R1258,"AAAAAF7+s04=")</f>
        <v>1</v>
      </c>
      <c r="CB177" t="b">
        <f>AND(DATA!S1258,"AAAAAF7+s08=")</f>
        <v>1</v>
      </c>
      <c r="CC177" t="b">
        <f>AND(DATA!T1258,"AAAAAF7+s1A=")</f>
        <v>1</v>
      </c>
      <c r="CD177" t="b">
        <f>AND(DATA!U1258,"AAAAAF7+s1E=")</f>
        <v>1</v>
      </c>
      <c r="CE177" t="e">
        <f>AND(DATA!V1258,"AAAAAF7+s1I=")</f>
        <v>#VALUE!</v>
      </c>
      <c r="CF177" t="e">
        <f>AND(DATA!W1257,"AAAAAF7+s1M=")</f>
        <v>#VALUE!</v>
      </c>
      <c r="CG177" t="e">
        <f>AND(DATA!X1257,"AAAAAF7+s1Q=")</f>
        <v>#VALUE!</v>
      </c>
      <c r="CH177" t="e">
        <f>AND(DATA!Y1257,"AAAAAF7+s1U=")</f>
        <v>#VALUE!</v>
      </c>
      <c r="CI177">
        <f>IF(DATA!1258:1258,"AAAAAF7+s1Y=",0)</f>
        <v>0</v>
      </c>
      <c r="CJ177" t="e">
        <f>AND(DATA!A1258,"AAAAAF7+s1c=")</f>
        <v>#VALUE!</v>
      </c>
      <c r="CK177" t="e">
        <f>AND(DATA!B1258,"AAAAAF7+s1g=")</f>
        <v>#VALUE!</v>
      </c>
      <c r="CL177" t="e">
        <f>AND(DATA!C1258,"AAAAAF7+s1k=")</f>
        <v>#VALUE!</v>
      </c>
      <c r="CM177" t="e">
        <f>AND(DATA!D1258,"AAAAAF7+s1o=")</f>
        <v>#VALUE!</v>
      </c>
      <c r="CN177" t="e">
        <f>AND(DATA!E1258,"AAAAAF7+s1s=")</f>
        <v>#VALUE!</v>
      </c>
      <c r="CO177" t="e">
        <f>AND(DATA!F1258,"AAAAAF7+s1w=")</f>
        <v>#VALUE!</v>
      </c>
      <c r="CP177" t="e">
        <f>AND(DATA!G1258,"AAAAAF7+s10=")</f>
        <v>#VALUE!</v>
      </c>
      <c r="CQ177" t="e">
        <f>AND(DATA!H1258,"AAAAAF7+s14=")</f>
        <v>#VALUE!</v>
      </c>
      <c r="CR177" t="e">
        <f>AND(DATA!I1258,"AAAAAF7+s18=")</f>
        <v>#VALUE!</v>
      </c>
      <c r="CS177" t="e">
        <f>AND(DATA!J1258,"AAAAAF7+s2A=")</f>
        <v>#VALUE!</v>
      </c>
      <c r="CT177" t="e">
        <f>AND(DATA!K1258,"AAAAAF7+s2E=")</f>
        <v>#VALUE!</v>
      </c>
      <c r="CU177" t="b">
        <f>AND(DATA!L1259,"AAAAAF7+s2I=")</f>
        <v>1</v>
      </c>
      <c r="CV177" t="b">
        <f>AND(DATA!M1259,"AAAAAF7+s2M=")</f>
        <v>1</v>
      </c>
      <c r="CW177" t="b">
        <f>AND(DATA!N1259,"AAAAAF7+s2Q=")</f>
        <v>1</v>
      </c>
      <c r="CX177" t="b">
        <f>AND(DATA!O1259,"AAAAAF7+s2U=")</f>
        <v>1</v>
      </c>
      <c r="CY177" t="b">
        <f>AND(DATA!P1259,"AAAAAF7+s2Y=")</f>
        <v>1</v>
      </c>
      <c r="CZ177" t="b">
        <f>AND(DATA!Q1259,"AAAAAF7+s2c=")</f>
        <v>1</v>
      </c>
      <c r="DA177" t="b">
        <f>AND(DATA!R1259,"AAAAAF7+s2g=")</f>
        <v>1</v>
      </c>
      <c r="DB177" t="b">
        <f>AND(DATA!S1259,"AAAAAF7+s2k=")</f>
        <v>1</v>
      </c>
      <c r="DC177" t="b">
        <f>AND(DATA!T1259,"AAAAAF7+s2o=")</f>
        <v>1</v>
      </c>
      <c r="DD177" t="b">
        <f>AND(DATA!U1259,"AAAAAF7+s2s=")</f>
        <v>1</v>
      </c>
      <c r="DE177" t="e">
        <f>AND(DATA!V1259,"AAAAAF7+s2w=")</f>
        <v>#VALUE!</v>
      </c>
      <c r="DF177" t="e">
        <f>AND(DATA!W1258,"AAAAAF7+s20=")</f>
        <v>#VALUE!</v>
      </c>
      <c r="DG177" t="e">
        <f>AND(DATA!X1258,"AAAAAF7+s24=")</f>
        <v>#VALUE!</v>
      </c>
      <c r="DH177" t="e">
        <f>AND(DATA!Y1258,"AAAAAF7+s28=")</f>
        <v>#VALUE!</v>
      </c>
      <c r="DI177">
        <f>IF(DATA!1259:1259,"AAAAAF7+s3A=",0)</f>
        <v>0</v>
      </c>
      <c r="DJ177" t="e">
        <f>AND(DATA!A1259,"AAAAAF7+s3E=")</f>
        <v>#VALUE!</v>
      </c>
      <c r="DK177" t="e">
        <f>AND(DATA!B1259,"AAAAAF7+s3I=")</f>
        <v>#VALUE!</v>
      </c>
      <c r="DL177" t="e">
        <f>AND(DATA!C1259,"AAAAAF7+s3M=")</f>
        <v>#VALUE!</v>
      </c>
      <c r="DM177" t="e">
        <f>AND(DATA!D1259,"AAAAAF7+s3Q=")</f>
        <v>#VALUE!</v>
      </c>
      <c r="DN177" t="e">
        <f>AND(DATA!E1259,"AAAAAF7+s3U=")</f>
        <v>#VALUE!</v>
      </c>
      <c r="DO177" t="e">
        <f>AND(DATA!F1259,"AAAAAF7+s3Y=")</f>
        <v>#VALUE!</v>
      </c>
      <c r="DP177" t="e">
        <f>AND(DATA!G1259,"AAAAAF7+s3c=")</f>
        <v>#VALUE!</v>
      </c>
      <c r="DQ177" t="e">
        <f>AND(DATA!H1259,"AAAAAF7+s3g=")</f>
        <v>#VALUE!</v>
      </c>
      <c r="DR177" t="e">
        <f>AND(DATA!I1259,"AAAAAF7+s3k=")</f>
        <v>#VALUE!</v>
      </c>
      <c r="DS177" t="e">
        <f>AND(DATA!J1259,"AAAAAF7+s3o=")</f>
        <v>#VALUE!</v>
      </c>
      <c r="DT177" t="e">
        <f>AND(DATA!K1259,"AAAAAF7+s3s=")</f>
        <v>#VALUE!</v>
      </c>
      <c r="DU177" t="b">
        <f>AND(DATA!L1260,"AAAAAF7+s3w=")</f>
        <v>1</v>
      </c>
      <c r="DV177" t="b">
        <f>AND(DATA!M1260,"AAAAAF7+s30=")</f>
        <v>1</v>
      </c>
      <c r="DW177" t="b">
        <f>AND(DATA!N1260,"AAAAAF7+s34=")</f>
        <v>1</v>
      </c>
      <c r="DX177" t="b">
        <f>AND(DATA!O1260,"AAAAAF7+s38=")</f>
        <v>1</v>
      </c>
      <c r="DY177" t="b">
        <f>AND(DATA!P1260,"AAAAAF7+s4A=")</f>
        <v>1</v>
      </c>
      <c r="DZ177" t="b">
        <f>AND(DATA!Q1260,"AAAAAF7+s4E=")</f>
        <v>1</v>
      </c>
      <c r="EA177" t="b">
        <f>AND(DATA!R1260,"AAAAAF7+s4I=")</f>
        <v>1</v>
      </c>
      <c r="EB177" t="b">
        <f>AND(DATA!S1260,"AAAAAF7+s4M=")</f>
        <v>1</v>
      </c>
      <c r="EC177" t="b">
        <f>AND(DATA!T1260,"AAAAAF7+s4Q=")</f>
        <v>1</v>
      </c>
      <c r="ED177" t="b">
        <f>AND(DATA!U1260,"AAAAAF7+s4U=")</f>
        <v>1</v>
      </c>
      <c r="EE177" t="e">
        <f>AND(DATA!V1260,"AAAAAF7+s4Y=")</f>
        <v>#VALUE!</v>
      </c>
      <c r="EF177" t="e">
        <f>AND(DATA!W1259,"AAAAAF7+s4c=")</f>
        <v>#VALUE!</v>
      </c>
      <c r="EG177" t="e">
        <f>AND(DATA!X1259,"AAAAAF7+s4g=")</f>
        <v>#VALUE!</v>
      </c>
      <c r="EH177" t="e">
        <f>AND(DATA!Y1259,"AAAAAF7+s4k=")</f>
        <v>#VALUE!</v>
      </c>
      <c r="EI177">
        <f>IF(DATA!1260:1260,"AAAAAF7+s4o=",0)</f>
        <v>0</v>
      </c>
      <c r="EJ177" t="e">
        <f>AND(DATA!A1260,"AAAAAF7+s4s=")</f>
        <v>#VALUE!</v>
      </c>
      <c r="EK177" t="e">
        <f>AND(DATA!B1260,"AAAAAF7+s4w=")</f>
        <v>#VALUE!</v>
      </c>
      <c r="EL177" t="e">
        <f>AND(DATA!C1260,"AAAAAF7+s40=")</f>
        <v>#VALUE!</v>
      </c>
      <c r="EM177" t="e">
        <f>AND(DATA!D1260,"AAAAAF7+s44=")</f>
        <v>#VALUE!</v>
      </c>
      <c r="EN177" t="e">
        <f>AND(DATA!E1260,"AAAAAF7+s48=")</f>
        <v>#VALUE!</v>
      </c>
      <c r="EO177" t="e">
        <f>AND(DATA!F1260,"AAAAAF7+s5A=")</f>
        <v>#VALUE!</v>
      </c>
      <c r="EP177" t="e">
        <f>AND(DATA!G1260,"AAAAAF7+s5E=")</f>
        <v>#VALUE!</v>
      </c>
      <c r="EQ177" t="e">
        <f>AND(DATA!H1260,"AAAAAF7+s5I=")</f>
        <v>#VALUE!</v>
      </c>
      <c r="ER177" t="e">
        <f>AND(DATA!I1260,"AAAAAF7+s5M=")</f>
        <v>#VALUE!</v>
      </c>
      <c r="ES177" t="e">
        <f>AND(DATA!J1260,"AAAAAF7+s5Q=")</f>
        <v>#VALUE!</v>
      </c>
      <c r="ET177" t="e">
        <f>AND(DATA!K1260,"AAAAAF7+s5U=")</f>
        <v>#VALUE!</v>
      </c>
      <c r="EU177" t="b">
        <f>AND(DATA!L1261,"AAAAAF7+s5Y=")</f>
        <v>1</v>
      </c>
      <c r="EV177" t="b">
        <f>AND(DATA!M1261,"AAAAAF7+s5c=")</f>
        <v>1</v>
      </c>
      <c r="EW177" t="b">
        <f>AND(DATA!N1261,"AAAAAF7+s5g=")</f>
        <v>1</v>
      </c>
      <c r="EX177" t="b">
        <f>AND(DATA!O1261,"AAAAAF7+s5k=")</f>
        <v>1</v>
      </c>
      <c r="EY177" t="b">
        <f>AND(DATA!P1261,"AAAAAF7+s5o=")</f>
        <v>1</v>
      </c>
      <c r="EZ177" t="b">
        <f>AND(DATA!Q1261,"AAAAAF7+s5s=")</f>
        <v>1</v>
      </c>
      <c r="FA177" t="b">
        <f>AND(DATA!R1261,"AAAAAF7+s5w=")</f>
        <v>1</v>
      </c>
      <c r="FB177" t="b">
        <f>AND(DATA!S1261,"AAAAAF7+s50=")</f>
        <v>1</v>
      </c>
      <c r="FC177" t="b">
        <f>AND(DATA!T1261,"AAAAAF7+s54=")</f>
        <v>1</v>
      </c>
      <c r="FD177" t="b">
        <f>AND(DATA!U1261,"AAAAAF7+s58=")</f>
        <v>1</v>
      </c>
      <c r="FE177" t="e">
        <f>AND(DATA!V1261,"AAAAAF7+s6A=")</f>
        <v>#VALUE!</v>
      </c>
      <c r="FF177" t="e">
        <f>AND(DATA!W1260,"AAAAAF7+s6E=")</f>
        <v>#VALUE!</v>
      </c>
      <c r="FG177" t="e">
        <f>AND(DATA!X1260,"AAAAAF7+s6I=")</f>
        <v>#VALUE!</v>
      </c>
      <c r="FH177" t="e">
        <f>AND(DATA!Y1260,"AAAAAF7+s6M=")</f>
        <v>#VALUE!</v>
      </c>
      <c r="FI177">
        <f>IF(DATA!1261:1261,"AAAAAF7+s6Q=",0)</f>
        <v>0</v>
      </c>
      <c r="FJ177" t="e">
        <f>AND(DATA!A1261,"AAAAAF7+s6U=")</f>
        <v>#VALUE!</v>
      </c>
      <c r="FK177" t="e">
        <f>AND(DATA!B1261,"AAAAAF7+s6Y=")</f>
        <v>#VALUE!</v>
      </c>
      <c r="FL177" t="e">
        <f>AND(DATA!C1261,"AAAAAF7+s6c=")</f>
        <v>#VALUE!</v>
      </c>
      <c r="FM177" t="e">
        <f>AND(DATA!D1261,"AAAAAF7+s6g=")</f>
        <v>#VALUE!</v>
      </c>
      <c r="FN177" t="e">
        <f>AND(DATA!E1261,"AAAAAF7+s6k=")</f>
        <v>#VALUE!</v>
      </c>
      <c r="FO177" t="e">
        <f>AND(DATA!F1261,"AAAAAF7+s6o=")</f>
        <v>#VALUE!</v>
      </c>
      <c r="FP177" t="e">
        <f>AND(DATA!G1261,"AAAAAF7+s6s=")</f>
        <v>#VALUE!</v>
      </c>
      <c r="FQ177" t="e">
        <f>AND(DATA!H1261,"AAAAAF7+s6w=")</f>
        <v>#VALUE!</v>
      </c>
      <c r="FR177" t="e">
        <f>AND(DATA!I1261,"AAAAAF7+s60=")</f>
        <v>#VALUE!</v>
      </c>
      <c r="FS177" t="e">
        <f>AND(DATA!J1261,"AAAAAF7+s64=")</f>
        <v>#VALUE!</v>
      </c>
      <c r="FT177" t="e">
        <f>AND(DATA!K1261,"AAAAAF7+s68=")</f>
        <v>#VALUE!</v>
      </c>
      <c r="FU177" t="b">
        <f>AND(DATA!L1262,"AAAAAF7+s7A=")</f>
        <v>1</v>
      </c>
      <c r="FV177" t="b">
        <f>AND(DATA!M1262,"AAAAAF7+s7E=")</f>
        <v>1</v>
      </c>
      <c r="FW177" t="b">
        <f>AND(DATA!N1262,"AAAAAF7+s7I=")</f>
        <v>1</v>
      </c>
      <c r="FX177" t="b">
        <f>AND(DATA!O1262,"AAAAAF7+s7M=")</f>
        <v>1</v>
      </c>
      <c r="FY177" t="b">
        <f>AND(DATA!P1262,"AAAAAF7+s7Q=")</f>
        <v>1</v>
      </c>
      <c r="FZ177" t="b">
        <f>AND(DATA!Q1262,"AAAAAF7+s7U=")</f>
        <v>1</v>
      </c>
      <c r="GA177" t="b">
        <f>AND(DATA!R1262,"AAAAAF7+s7Y=")</f>
        <v>1</v>
      </c>
      <c r="GB177" t="b">
        <f>AND(DATA!S1262,"AAAAAF7+s7c=")</f>
        <v>1</v>
      </c>
      <c r="GC177" t="b">
        <f>AND(DATA!T1262,"AAAAAF7+s7g=")</f>
        <v>1</v>
      </c>
      <c r="GD177" t="b">
        <f>AND(DATA!U1262,"AAAAAF7+s7k=")</f>
        <v>1</v>
      </c>
      <c r="GE177" t="e">
        <f>AND(DATA!V1262,"AAAAAF7+s7o=")</f>
        <v>#VALUE!</v>
      </c>
      <c r="GF177" t="e">
        <f>AND(DATA!W1261,"AAAAAF7+s7s=")</f>
        <v>#VALUE!</v>
      </c>
      <c r="GG177" t="e">
        <f>AND(DATA!X1261,"AAAAAF7+s7w=")</f>
        <v>#VALUE!</v>
      </c>
      <c r="GH177" t="e">
        <f>AND(DATA!Y1261,"AAAAAF7+s70=")</f>
        <v>#VALUE!</v>
      </c>
      <c r="GI177">
        <f>IF(DATA!1262:1262,"AAAAAF7+s74=",0)</f>
        <v>0</v>
      </c>
      <c r="GJ177" t="e">
        <f>AND(DATA!A1262,"AAAAAF7+s78=")</f>
        <v>#VALUE!</v>
      </c>
      <c r="GK177" t="e">
        <f>AND(DATA!B1262,"AAAAAF7+s8A=")</f>
        <v>#VALUE!</v>
      </c>
      <c r="GL177" t="e">
        <f>AND(DATA!C1262,"AAAAAF7+s8E=")</f>
        <v>#VALUE!</v>
      </c>
      <c r="GM177" t="e">
        <f>AND(DATA!D1262,"AAAAAF7+s8I=")</f>
        <v>#VALUE!</v>
      </c>
      <c r="GN177" t="e">
        <f>AND(DATA!E1262,"AAAAAF7+s8M=")</f>
        <v>#VALUE!</v>
      </c>
      <c r="GO177" t="e">
        <f>AND(DATA!F1262,"AAAAAF7+s8Q=")</f>
        <v>#VALUE!</v>
      </c>
      <c r="GP177" t="e">
        <f>AND(DATA!G1262,"AAAAAF7+s8U=")</f>
        <v>#VALUE!</v>
      </c>
      <c r="GQ177" t="e">
        <f>AND(DATA!H1262,"AAAAAF7+s8Y=")</f>
        <v>#VALUE!</v>
      </c>
      <c r="GR177" t="e">
        <f>AND(DATA!I1262,"AAAAAF7+s8c=")</f>
        <v>#VALUE!</v>
      </c>
      <c r="GS177" t="e">
        <f>AND(DATA!J1262,"AAAAAF7+s8g=")</f>
        <v>#VALUE!</v>
      </c>
      <c r="GT177" t="e">
        <f>AND(DATA!K1262,"AAAAAF7+s8k=")</f>
        <v>#VALUE!</v>
      </c>
      <c r="GU177" t="b">
        <f>AND(DATA!L1263,"AAAAAF7+s8o=")</f>
        <v>1</v>
      </c>
      <c r="GV177" t="b">
        <f>AND(DATA!M1263,"AAAAAF7+s8s=")</f>
        <v>1</v>
      </c>
      <c r="GW177" t="b">
        <f>AND(DATA!N1263,"AAAAAF7+s8w=")</f>
        <v>1</v>
      </c>
      <c r="GX177" t="b">
        <f>AND(DATA!O1263,"AAAAAF7+s80=")</f>
        <v>1</v>
      </c>
      <c r="GY177" t="b">
        <f>AND(DATA!P1263,"AAAAAF7+s84=")</f>
        <v>1</v>
      </c>
      <c r="GZ177" t="b">
        <f>AND(DATA!Q1263,"AAAAAF7+s88=")</f>
        <v>1</v>
      </c>
      <c r="HA177" t="b">
        <f>AND(DATA!R1263,"AAAAAF7+s9A=")</f>
        <v>1</v>
      </c>
      <c r="HB177" t="b">
        <f>AND(DATA!S1263,"AAAAAF7+s9E=")</f>
        <v>1</v>
      </c>
      <c r="HC177" t="b">
        <f>AND(DATA!T1263,"AAAAAF7+s9I=")</f>
        <v>1</v>
      </c>
      <c r="HD177" t="b">
        <f>AND(DATA!U1263,"AAAAAF7+s9M=")</f>
        <v>1</v>
      </c>
      <c r="HE177" t="e">
        <f>AND(DATA!V1263,"AAAAAF7+s9Q=")</f>
        <v>#VALUE!</v>
      </c>
      <c r="HF177" t="e">
        <f>AND(DATA!W1262,"AAAAAF7+s9U=")</f>
        <v>#VALUE!</v>
      </c>
      <c r="HG177" t="e">
        <f>AND(DATA!X1262,"AAAAAF7+s9Y=")</f>
        <v>#VALUE!</v>
      </c>
      <c r="HH177" t="e">
        <f>AND(DATA!Y1262,"AAAAAF7+s9c=")</f>
        <v>#VALUE!</v>
      </c>
      <c r="HI177">
        <f>IF(DATA!1263:1263,"AAAAAF7+s9g=",0)</f>
        <v>0</v>
      </c>
      <c r="HJ177" t="e">
        <f>AND(DATA!A1263,"AAAAAF7+s9k=")</f>
        <v>#VALUE!</v>
      </c>
      <c r="HK177" t="e">
        <f>AND(DATA!B1263,"AAAAAF7+s9o=")</f>
        <v>#VALUE!</v>
      </c>
      <c r="HL177" t="e">
        <f>AND(DATA!C1263,"AAAAAF7+s9s=")</f>
        <v>#VALUE!</v>
      </c>
      <c r="HM177" t="e">
        <f>AND(DATA!D1263,"AAAAAF7+s9w=")</f>
        <v>#VALUE!</v>
      </c>
      <c r="HN177" t="e">
        <f>AND(DATA!E1263,"AAAAAF7+s90=")</f>
        <v>#VALUE!</v>
      </c>
      <c r="HO177" t="e">
        <f>AND(DATA!F1263,"AAAAAF7+s94=")</f>
        <v>#VALUE!</v>
      </c>
      <c r="HP177" t="e">
        <f>AND(DATA!G1263,"AAAAAF7+s98=")</f>
        <v>#VALUE!</v>
      </c>
      <c r="HQ177" t="e">
        <f>AND(DATA!H1263,"AAAAAF7+s+A=")</f>
        <v>#VALUE!</v>
      </c>
      <c r="HR177" t="e">
        <f>AND(DATA!I1263,"AAAAAF7+s+E=")</f>
        <v>#VALUE!</v>
      </c>
      <c r="HS177" t="e">
        <f>AND(DATA!J1263,"AAAAAF7+s+I=")</f>
        <v>#VALUE!</v>
      </c>
      <c r="HT177" t="e">
        <f>AND(DATA!K1263,"AAAAAF7+s+M=")</f>
        <v>#VALUE!</v>
      </c>
      <c r="HU177" t="b">
        <f>AND(DATA!L1264,"AAAAAF7+s+Q=")</f>
        <v>1</v>
      </c>
      <c r="HV177" t="b">
        <f>AND(DATA!M1264,"AAAAAF7+s+U=")</f>
        <v>1</v>
      </c>
      <c r="HW177" t="b">
        <f>AND(DATA!N1264,"AAAAAF7+s+Y=")</f>
        <v>1</v>
      </c>
      <c r="HX177" t="b">
        <f>AND(DATA!O1264,"AAAAAF7+s+c=")</f>
        <v>1</v>
      </c>
      <c r="HY177" t="b">
        <f>AND(DATA!P1264,"AAAAAF7+s+g=")</f>
        <v>1</v>
      </c>
      <c r="HZ177" t="b">
        <f>AND(DATA!Q1264,"AAAAAF7+s+k=")</f>
        <v>1</v>
      </c>
      <c r="IA177" t="b">
        <f>AND(DATA!R1264,"AAAAAF7+s+o=")</f>
        <v>1</v>
      </c>
      <c r="IB177" t="b">
        <f>AND(DATA!S1264,"AAAAAF7+s+s=")</f>
        <v>1</v>
      </c>
      <c r="IC177" t="b">
        <f>AND(DATA!T1264,"AAAAAF7+s+w=")</f>
        <v>1</v>
      </c>
      <c r="ID177" t="b">
        <f>AND(DATA!U1264,"AAAAAF7+s+0=")</f>
        <v>1</v>
      </c>
      <c r="IE177" t="e">
        <f>AND(DATA!V1264,"AAAAAF7+s+4=")</f>
        <v>#VALUE!</v>
      </c>
      <c r="IF177" t="e">
        <f>AND(DATA!W1263,"AAAAAF7+s+8=")</f>
        <v>#VALUE!</v>
      </c>
      <c r="IG177" t="e">
        <f>AND(DATA!X1263,"AAAAAF7+s/A=")</f>
        <v>#VALUE!</v>
      </c>
      <c r="IH177" t="e">
        <f>AND(DATA!Y1263,"AAAAAF7+s/E=")</f>
        <v>#VALUE!</v>
      </c>
      <c r="II177">
        <f>IF(DATA!1264:1264,"AAAAAF7+s/I=",0)</f>
        <v>0</v>
      </c>
      <c r="IJ177" t="e">
        <f>AND(DATA!A1264,"AAAAAF7+s/M=")</f>
        <v>#VALUE!</v>
      </c>
      <c r="IK177" t="e">
        <f>AND(DATA!B1264,"AAAAAF7+s/Q=")</f>
        <v>#VALUE!</v>
      </c>
      <c r="IL177" t="e">
        <f>AND(DATA!C1264,"AAAAAF7+s/U=")</f>
        <v>#VALUE!</v>
      </c>
      <c r="IM177" t="e">
        <f>AND(DATA!D1264,"AAAAAF7+s/Y=")</f>
        <v>#VALUE!</v>
      </c>
      <c r="IN177" t="e">
        <f>AND(DATA!E1264,"AAAAAF7+s/c=")</f>
        <v>#VALUE!</v>
      </c>
      <c r="IO177" t="e">
        <f>AND(DATA!F1264,"AAAAAF7+s/g=")</f>
        <v>#VALUE!</v>
      </c>
      <c r="IP177" t="e">
        <f>AND(DATA!G1264,"AAAAAF7+s/k=")</f>
        <v>#VALUE!</v>
      </c>
      <c r="IQ177" t="e">
        <f>AND(DATA!H1264,"AAAAAF7+s/o=")</f>
        <v>#VALUE!</v>
      </c>
      <c r="IR177" t="e">
        <f>AND(DATA!I1264,"AAAAAF7+s/s=")</f>
        <v>#VALUE!</v>
      </c>
      <c r="IS177" t="e">
        <f>AND(DATA!J1264,"AAAAAF7+s/w=")</f>
        <v>#VALUE!</v>
      </c>
      <c r="IT177" t="e">
        <f>AND(DATA!K1264,"AAAAAF7+s/0=")</f>
        <v>#VALUE!</v>
      </c>
      <c r="IU177" t="b">
        <f>AND(DATA!L1265,"AAAAAF7+s/4=")</f>
        <v>1</v>
      </c>
      <c r="IV177" t="b">
        <f>AND(DATA!M1265,"AAAAAF7+s/8=")</f>
        <v>1</v>
      </c>
    </row>
    <row r="178" spans="1:256" x14ac:dyDescent="0.25">
      <c r="A178" t="b">
        <f>AND(DATA!N1265,"AAAAAGHqPwA=")</f>
        <v>1</v>
      </c>
      <c r="B178" t="b">
        <f>AND(DATA!O1265,"AAAAAGHqPwE=")</f>
        <v>1</v>
      </c>
      <c r="C178" t="b">
        <f>AND(DATA!P1265,"AAAAAGHqPwI=")</f>
        <v>1</v>
      </c>
      <c r="D178" t="b">
        <f>AND(DATA!Q1265,"AAAAAGHqPwM=")</f>
        <v>1</v>
      </c>
      <c r="E178" t="b">
        <f>AND(DATA!R1265,"AAAAAGHqPwQ=")</f>
        <v>1</v>
      </c>
      <c r="F178" t="b">
        <f>AND(DATA!S1265,"AAAAAGHqPwU=")</f>
        <v>1</v>
      </c>
      <c r="G178" t="b">
        <f>AND(DATA!T1265,"AAAAAGHqPwY=")</f>
        <v>1</v>
      </c>
      <c r="H178" t="b">
        <f>AND(DATA!U1265,"AAAAAGHqPwc=")</f>
        <v>1</v>
      </c>
      <c r="I178" t="e">
        <f>AND(DATA!V1265,"AAAAAGHqPwg=")</f>
        <v>#VALUE!</v>
      </c>
      <c r="J178" t="e">
        <f>AND(DATA!W1264,"AAAAAGHqPwk=")</f>
        <v>#VALUE!</v>
      </c>
      <c r="K178" t="e">
        <f>AND(DATA!X1264,"AAAAAGHqPwo=")</f>
        <v>#VALUE!</v>
      </c>
      <c r="L178" t="e">
        <f>AND(DATA!Y1264,"AAAAAGHqPws=")</f>
        <v>#VALUE!</v>
      </c>
      <c r="M178" t="str">
        <f>IF(DATA!1265:1265,"AAAAAGHqPww=",0)</f>
        <v>AAAAAGHqPww=</v>
      </c>
      <c r="N178" t="e">
        <f>AND(DATA!A1265,"AAAAAGHqPw0=")</f>
        <v>#VALUE!</v>
      </c>
      <c r="O178" t="e">
        <f>AND(DATA!B1265,"AAAAAGHqPw4=")</f>
        <v>#VALUE!</v>
      </c>
      <c r="P178" t="e">
        <f>AND(DATA!C1265,"AAAAAGHqPw8=")</f>
        <v>#VALUE!</v>
      </c>
      <c r="Q178" t="e">
        <f>AND(DATA!D1265,"AAAAAGHqPxA=")</f>
        <v>#VALUE!</v>
      </c>
      <c r="R178" t="e">
        <f>AND(DATA!E1265,"AAAAAGHqPxE=")</f>
        <v>#VALUE!</v>
      </c>
      <c r="S178" t="e">
        <f>AND(DATA!F1265,"AAAAAGHqPxI=")</f>
        <v>#VALUE!</v>
      </c>
      <c r="T178" t="e">
        <f>AND(DATA!G1265,"AAAAAGHqPxM=")</f>
        <v>#VALUE!</v>
      </c>
      <c r="U178" t="e">
        <f>AND(DATA!H1265,"AAAAAGHqPxQ=")</f>
        <v>#VALUE!</v>
      </c>
      <c r="V178" t="e">
        <f>AND(DATA!I1265,"AAAAAGHqPxU=")</f>
        <v>#VALUE!</v>
      </c>
      <c r="W178" t="e">
        <f>AND(DATA!J1265,"AAAAAGHqPxY=")</f>
        <v>#VALUE!</v>
      </c>
      <c r="X178" t="e">
        <f>AND(DATA!K1265,"AAAAAGHqPxc=")</f>
        <v>#VALUE!</v>
      </c>
      <c r="Y178" t="b">
        <f>AND(DATA!L1266,"AAAAAGHqPxg=")</f>
        <v>1</v>
      </c>
      <c r="Z178" t="b">
        <f>AND(DATA!M1266,"AAAAAGHqPxk=")</f>
        <v>1</v>
      </c>
      <c r="AA178" t="b">
        <f>AND(DATA!N1266,"AAAAAGHqPxo=")</f>
        <v>1</v>
      </c>
      <c r="AB178" t="b">
        <f>AND(DATA!O1266,"AAAAAGHqPxs=")</f>
        <v>1</v>
      </c>
      <c r="AC178" t="b">
        <f>AND(DATA!P1266,"AAAAAGHqPxw=")</f>
        <v>1</v>
      </c>
      <c r="AD178" t="b">
        <f>AND(DATA!Q1266,"AAAAAGHqPx0=")</f>
        <v>1</v>
      </c>
      <c r="AE178" t="b">
        <f>AND(DATA!R1266,"AAAAAGHqPx4=")</f>
        <v>1</v>
      </c>
      <c r="AF178" t="b">
        <f>AND(DATA!S1266,"AAAAAGHqPx8=")</f>
        <v>1</v>
      </c>
      <c r="AG178" t="b">
        <f>AND(DATA!T1266,"AAAAAGHqPyA=")</f>
        <v>1</v>
      </c>
      <c r="AH178" t="b">
        <f>AND(DATA!U1266,"AAAAAGHqPyE=")</f>
        <v>1</v>
      </c>
      <c r="AI178" t="e">
        <f>AND(DATA!V1266,"AAAAAGHqPyI=")</f>
        <v>#VALUE!</v>
      </c>
      <c r="AJ178" t="e">
        <f>AND(DATA!W1265,"AAAAAGHqPyM=")</f>
        <v>#VALUE!</v>
      </c>
      <c r="AK178" t="e">
        <f>AND(DATA!X1265,"AAAAAGHqPyQ=")</f>
        <v>#VALUE!</v>
      </c>
      <c r="AL178" t="e">
        <f>AND(DATA!Y1265,"AAAAAGHqPyU=")</f>
        <v>#VALUE!</v>
      </c>
      <c r="AM178">
        <f>IF(DATA!1266:1266,"AAAAAGHqPyY=",0)</f>
        <v>0</v>
      </c>
      <c r="AN178" t="e">
        <f>AND(DATA!A1266,"AAAAAGHqPyc=")</f>
        <v>#VALUE!</v>
      </c>
      <c r="AO178" t="e">
        <f>AND(DATA!B1266,"AAAAAGHqPyg=")</f>
        <v>#VALUE!</v>
      </c>
      <c r="AP178" t="e">
        <f>AND(DATA!C1266,"AAAAAGHqPyk=")</f>
        <v>#VALUE!</v>
      </c>
      <c r="AQ178" t="e">
        <f>AND(DATA!D1266,"AAAAAGHqPyo=")</f>
        <v>#VALUE!</v>
      </c>
      <c r="AR178" t="e">
        <f>AND(DATA!E1266,"AAAAAGHqPys=")</f>
        <v>#VALUE!</v>
      </c>
      <c r="AS178" t="e">
        <f>AND(DATA!F1266,"AAAAAGHqPyw=")</f>
        <v>#VALUE!</v>
      </c>
      <c r="AT178" t="e">
        <f>AND(DATA!G1266,"AAAAAGHqPy0=")</f>
        <v>#VALUE!</v>
      </c>
      <c r="AU178" t="e">
        <f>AND(DATA!H1266,"AAAAAGHqPy4=")</f>
        <v>#VALUE!</v>
      </c>
      <c r="AV178" t="e">
        <f>AND(DATA!I1266,"AAAAAGHqPy8=")</f>
        <v>#VALUE!</v>
      </c>
      <c r="AW178" t="e">
        <f>AND(DATA!J1266,"AAAAAGHqPzA=")</f>
        <v>#VALUE!</v>
      </c>
      <c r="AX178" t="e">
        <f>AND(DATA!K1266,"AAAAAGHqPzE=")</f>
        <v>#VALUE!</v>
      </c>
      <c r="AY178" t="b">
        <f>AND(DATA!L1267,"AAAAAGHqPzI=")</f>
        <v>1</v>
      </c>
      <c r="AZ178" t="b">
        <f>AND(DATA!M1267,"AAAAAGHqPzM=")</f>
        <v>1</v>
      </c>
      <c r="BA178" t="b">
        <f>AND(DATA!N1267,"AAAAAGHqPzQ=")</f>
        <v>1</v>
      </c>
      <c r="BB178" t="b">
        <f>AND(DATA!O1267,"AAAAAGHqPzU=")</f>
        <v>1</v>
      </c>
      <c r="BC178" t="b">
        <f>AND(DATA!P1267,"AAAAAGHqPzY=")</f>
        <v>1</v>
      </c>
      <c r="BD178" t="b">
        <f>AND(DATA!Q1267,"AAAAAGHqPzc=")</f>
        <v>1</v>
      </c>
      <c r="BE178" t="b">
        <f>AND(DATA!R1267,"AAAAAGHqPzg=")</f>
        <v>1</v>
      </c>
      <c r="BF178" t="b">
        <f>AND(DATA!S1267,"AAAAAGHqPzk=")</f>
        <v>1</v>
      </c>
      <c r="BG178" t="b">
        <f>AND(DATA!T1267,"AAAAAGHqPzo=")</f>
        <v>1</v>
      </c>
      <c r="BH178" t="b">
        <f>AND(DATA!U1267,"AAAAAGHqPzs=")</f>
        <v>1</v>
      </c>
      <c r="BI178" t="e">
        <f>AND(DATA!V1267,"AAAAAGHqPzw=")</f>
        <v>#VALUE!</v>
      </c>
      <c r="BJ178" t="e">
        <f>AND(DATA!W1266,"AAAAAGHqPz0=")</f>
        <v>#VALUE!</v>
      </c>
      <c r="BK178" t="e">
        <f>AND(DATA!X1266,"AAAAAGHqPz4=")</f>
        <v>#VALUE!</v>
      </c>
      <c r="BL178" t="e">
        <f>AND(DATA!Y1266,"AAAAAGHqPz8=")</f>
        <v>#VALUE!</v>
      </c>
      <c r="BM178">
        <f>IF(DATA!1267:1267,"AAAAAGHqP0A=",0)</f>
        <v>0</v>
      </c>
      <c r="BN178" t="e">
        <f>AND(DATA!A1267,"AAAAAGHqP0E=")</f>
        <v>#VALUE!</v>
      </c>
      <c r="BO178" t="e">
        <f>AND(DATA!B1267,"AAAAAGHqP0I=")</f>
        <v>#VALUE!</v>
      </c>
      <c r="BP178" t="e">
        <f>AND(DATA!C1267,"AAAAAGHqP0M=")</f>
        <v>#VALUE!</v>
      </c>
      <c r="BQ178" t="e">
        <f>AND(DATA!D1267,"AAAAAGHqP0Q=")</f>
        <v>#VALUE!</v>
      </c>
      <c r="BR178" t="e">
        <f>AND(DATA!E1267,"AAAAAGHqP0U=")</f>
        <v>#VALUE!</v>
      </c>
      <c r="BS178" t="e">
        <f>AND(DATA!F1267,"AAAAAGHqP0Y=")</f>
        <v>#VALUE!</v>
      </c>
      <c r="BT178" t="e">
        <f>AND(DATA!G1267,"AAAAAGHqP0c=")</f>
        <v>#VALUE!</v>
      </c>
      <c r="BU178" t="e">
        <f>AND(DATA!H1267,"AAAAAGHqP0g=")</f>
        <v>#VALUE!</v>
      </c>
      <c r="BV178" t="e">
        <f>AND(DATA!I1267,"AAAAAGHqP0k=")</f>
        <v>#VALUE!</v>
      </c>
      <c r="BW178" t="e">
        <f>AND(DATA!J1267,"AAAAAGHqP0o=")</f>
        <v>#VALUE!</v>
      </c>
      <c r="BX178" t="e">
        <f>AND(DATA!K1267,"AAAAAGHqP0s=")</f>
        <v>#VALUE!</v>
      </c>
      <c r="BY178" t="b">
        <f>AND(DATA!L1268,"AAAAAGHqP0w=")</f>
        <v>1</v>
      </c>
      <c r="BZ178" t="b">
        <f>AND(DATA!M1268,"AAAAAGHqP00=")</f>
        <v>1</v>
      </c>
      <c r="CA178" t="b">
        <f>AND(DATA!N1268,"AAAAAGHqP04=")</f>
        <v>1</v>
      </c>
      <c r="CB178" t="b">
        <f>AND(DATA!O1268,"AAAAAGHqP08=")</f>
        <v>1</v>
      </c>
      <c r="CC178" t="b">
        <f>AND(DATA!P1268,"AAAAAGHqP1A=")</f>
        <v>1</v>
      </c>
      <c r="CD178" t="b">
        <f>AND(DATA!Q1268,"AAAAAGHqP1E=")</f>
        <v>1</v>
      </c>
      <c r="CE178" t="b">
        <f>AND(DATA!R1268,"AAAAAGHqP1I=")</f>
        <v>1</v>
      </c>
      <c r="CF178" t="b">
        <f>AND(DATA!S1268,"AAAAAGHqP1M=")</f>
        <v>1</v>
      </c>
      <c r="CG178" t="b">
        <f>AND(DATA!T1268,"AAAAAGHqP1Q=")</f>
        <v>1</v>
      </c>
      <c r="CH178" t="b">
        <f>AND(DATA!U1268,"AAAAAGHqP1U=")</f>
        <v>1</v>
      </c>
      <c r="CI178" t="e">
        <f>AND(DATA!V1268,"AAAAAGHqP1Y=")</f>
        <v>#VALUE!</v>
      </c>
      <c r="CJ178" t="e">
        <f>AND(DATA!W1267,"AAAAAGHqP1c=")</f>
        <v>#VALUE!</v>
      </c>
      <c r="CK178" t="e">
        <f>AND(DATA!X1267,"AAAAAGHqP1g=")</f>
        <v>#VALUE!</v>
      </c>
      <c r="CL178" t="e">
        <f>AND(DATA!Y1267,"AAAAAGHqP1k=")</f>
        <v>#VALUE!</v>
      </c>
      <c r="CM178">
        <f>IF(DATA!1268:1268,"AAAAAGHqP1o=",0)</f>
        <v>0</v>
      </c>
      <c r="CN178" t="e">
        <f>AND(DATA!A1268,"AAAAAGHqP1s=")</f>
        <v>#VALUE!</v>
      </c>
      <c r="CO178" t="e">
        <f>AND(DATA!B1268,"AAAAAGHqP1w=")</f>
        <v>#VALUE!</v>
      </c>
      <c r="CP178" t="e">
        <f>AND(DATA!C1268,"AAAAAGHqP10=")</f>
        <v>#VALUE!</v>
      </c>
      <c r="CQ178" t="e">
        <f>AND(DATA!D1268,"AAAAAGHqP14=")</f>
        <v>#VALUE!</v>
      </c>
      <c r="CR178" t="e">
        <f>AND(DATA!E1268,"AAAAAGHqP18=")</f>
        <v>#VALUE!</v>
      </c>
      <c r="CS178" t="e">
        <f>AND(DATA!F1268,"AAAAAGHqP2A=")</f>
        <v>#VALUE!</v>
      </c>
      <c r="CT178" t="e">
        <f>AND(DATA!G1268,"AAAAAGHqP2E=")</f>
        <v>#VALUE!</v>
      </c>
      <c r="CU178" t="e">
        <f>AND(DATA!H1268,"AAAAAGHqP2I=")</f>
        <v>#VALUE!</v>
      </c>
      <c r="CV178" t="e">
        <f>AND(DATA!I1268,"AAAAAGHqP2M=")</f>
        <v>#VALUE!</v>
      </c>
      <c r="CW178" t="e">
        <f>AND(DATA!J1268,"AAAAAGHqP2Q=")</f>
        <v>#VALUE!</v>
      </c>
      <c r="CX178" t="e">
        <f>AND(DATA!K1268,"AAAAAGHqP2U=")</f>
        <v>#VALUE!</v>
      </c>
      <c r="CY178" t="b">
        <f>AND(DATA!L1269,"AAAAAGHqP2Y=")</f>
        <v>1</v>
      </c>
      <c r="CZ178" t="b">
        <f>AND(DATA!M1269,"AAAAAGHqP2c=")</f>
        <v>1</v>
      </c>
      <c r="DA178" t="b">
        <f>AND(DATA!N1269,"AAAAAGHqP2g=")</f>
        <v>1</v>
      </c>
      <c r="DB178" t="b">
        <f>AND(DATA!O1269,"AAAAAGHqP2k=")</f>
        <v>1</v>
      </c>
      <c r="DC178" t="b">
        <f>AND(DATA!P1269,"AAAAAGHqP2o=")</f>
        <v>1</v>
      </c>
      <c r="DD178" t="b">
        <f>AND(DATA!Q1269,"AAAAAGHqP2s=")</f>
        <v>1</v>
      </c>
      <c r="DE178" t="b">
        <f>AND(DATA!R1269,"AAAAAGHqP2w=")</f>
        <v>1</v>
      </c>
      <c r="DF178" t="b">
        <f>AND(DATA!S1269,"AAAAAGHqP20=")</f>
        <v>1</v>
      </c>
      <c r="DG178" t="b">
        <f>AND(DATA!T1269,"AAAAAGHqP24=")</f>
        <v>1</v>
      </c>
      <c r="DH178" t="b">
        <f>AND(DATA!U1269,"AAAAAGHqP28=")</f>
        <v>1</v>
      </c>
      <c r="DI178" t="e">
        <f>AND(DATA!V1269,"AAAAAGHqP3A=")</f>
        <v>#VALUE!</v>
      </c>
      <c r="DJ178" t="e">
        <f>AND(DATA!W1268,"AAAAAGHqP3E=")</f>
        <v>#VALUE!</v>
      </c>
      <c r="DK178" t="e">
        <f>AND(DATA!X1268,"AAAAAGHqP3I=")</f>
        <v>#VALUE!</v>
      </c>
      <c r="DL178" t="e">
        <f>AND(DATA!Y1268,"AAAAAGHqP3M=")</f>
        <v>#VALUE!</v>
      </c>
      <c r="DM178">
        <f>IF(DATA!1269:1269,"AAAAAGHqP3Q=",0)</f>
        <v>0</v>
      </c>
      <c r="DN178" t="e">
        <f>AND(DATA!A1269,"AAAAAGHqP3U=")</f>
        <v>#VALUE!</v>
      </c>
      <c r="DO178" t="e">
        <f>AND(DATA!B1269,"AAAAAGHqP3Y=")</f>
        <v>#VALUE!</v>
      </c>
      <c r="DP178" t="e">
        <f>AND(DATA!C1269,"AAAAAGHqP3c=")</f>
        <v>#VALUE!</v>
      </c>
      <c r="DQ178" t="e">
        <f>AND(DATA!D1269,"AAAAAGHqP3g=")</f>
        <v>#VALUE!</v>
      </c>
      <c r="DR178" t="e">
        <f>AND(DATA!E1269,"AAAAAGHqP3k=")</f>
        <v>#VALUE!</v>
      </c>
      <c r="DS178" t="e">
        <f>AND(DATA!F1269,"AAAAAGHqP3o=")</f>
        <v>#VALUE!</v>
      </c>
      <c r="DT178" t="e">
        <f>AND(DATA!G1269,"AAAAAGHqP3s=")</f>
        <v>#VALUE!</v>
      </c>
      <c r="DU178" t="e">
        <f>AND(DATA!H1269,"AAAAAGHqP3w=")</f>
        <v>#VALUE!</v>
      </c>
      <c r="DV178" t="e">
        <f>AND(DATA!I1269,"AAAAAGHqP30=")</f>
        <v>#VALUE!</v>
      </c>
      <c r="DW178" t="e">
        <f>AND(DATA!J1269,"AAAAAGHqP34=")</f>
        <v>#VALUE!</v>
      </c>
      <c r="DX178" t="e">
        <f>AND(DATA!K1269,"AAAAAGHqP38=")</f>
        <v>#VALUE!</v>
      </c>
      <c r="DY178" t="b">
        <f>AND(DATA!L1270,"AAAAAGHqP4A=")</f>
        <v>1</v>
      </c>
      <c r="DZ178" t="b">
        <f>AND(DATA!M1270,"AAAAAGHqP4E=")</f>
        <v>1</v>
      </c>
      <c r="EA178" t="b">
        <f>AND(DATA!N1270,"AAAAAGHqP4I=")</f>
        <v>1</v>
      </c>
      <c r="EB178" t="b">
        <f>AND(DATA!O1270,"AAAAAGHqP4M=")</f>
        <v>1</v>
      </c>
      <c r="EC178" t="b">
        <f>AND(DATA!P1270,"AAAAAGHqP4Q=")</f>
        <v>1</v>
      </c>
      <c r="ED178" t="b">
        <f>AND(DATA!Q1270,"AAAAAGHqP4U=")</f>
        <v>1</v>
      </c>
      <c r="EE178" t="b">
        <f>AND(DATA!R1270,"AAAAAGHqP4Y=")</f>
        <v>1</v>
      </c>
      <c r="EF178" t="b">
        <f>AND(DATA!S1270,"AAAAAGHqP4c=")</f>
        <v>1</v>
      </c>
      <c r="EG178" t="b">
        <f>AND(DATA!T1270,"AAAAAGHqP4g=")</f>
        <v>1</v>
      </c>
      <c r="EH178" t="b">
        <f>AND(DATA!U1270,"AAAAAGHqP4k=")</f>
        <v>1</v>
      </c>
      <c r="EI178" t="e">
        <f>AND(DATA!V1270,"AAAAAGHqP4o=")</f>
        <v>#VALUE!</v>
      </c>
      <c r="EJ178" t="e">
        <f>AND(DATA!W1269,"AAAAAGHqP4s=")</f>
        <v>#VALUE!</v>
      </c>
      <c r="EK178" t="e">
        <f>AND(DATA!X1269,"AAAAAGHqP4w=")</f>
        <v>#VALUE!</v>
      </c>
      <c r="EL178" t="e">
        <f>AND(DATA!Y1269,"AAAAAGHqP40=")</f>
        <v>#VALUE!</v>
      </c>
      <c r="EM178">
        <f>IF(DATA!1270:1270,"AAAAAGHqP44=",0)</f>
        <v>0</v>
      </c>
      <c r="EN178" t="e">
        <f>AND(DATA!A1270,"AAAAAGHqP48=")</f>
        <v>#VALUE!</v>
      </c>
      <c r="EO178" t="e">
        <f>AND(DATA!B1270,"AAAAAGHqP5A=")</f>
        <v>#VALUE!</v>
      </c>
      <c r="EP178" t="e">
        <f>AND(DATA!C1270,"AAAAAGHqP5E=")</f>
        <v>#VALUE!</v>
      </c>
      <c r="EQ178" t="e">
        <f>AND(DATA!D1270,"AAAAAGHqP5I=")</f>
        <v>#VALUE!</v>
      </c>
      <c r="ER178" t="e">
        <f>AND(DATA!E1270,"AAAAAGHqP5M=")</f>
        <v>#VALUE!</v>
      </c>
      <c r="ES178" t="e">
        <f>AND(DATA!F1270,"AAAAAGHqP5Q=")</f>
        <v>#VALUE!</v>
      </c>
      <c r="ET178" t="e">
        <f>AND(DATA!G1270,"AAAAAGHqP5U=")</f>
        <v>#VALUE!</v>
      </c>
      <c r="EU178" t="e">
        <f>AND(DATA!H1270,"AAAAAGHqP5Y=")</f>
        <v>#VALUE!</v>
      </c>
      <c r="EV178" t="e">
        <f>AND(DATA!I1270,"AAAAAGHqP5c=")</f>
        <v>#VALUE!</v>
      </c>
      <c r="EW178" t="e">
        <f>AND(DATA!J1270,"AAAAAGHqP5g=")</f>
        <v>#VALUE!</v>
      </c>
      <c r="EX178" t="e">
        <f>AND(DATA!K1270,"AAAAAGHqP5k=")</f>
        <v>#VALUE!</v>
      </c>
      <c r="EY178" t="b">
        <f>AND(DATA!L1271,"AAAAAGHqP5o=")</f>
        <v>1</v>
      </c>
      <c r="EZ178" t="b">
        <f>AND(DATA!M1271,"AAAAAGHqP5s=")</f>
        <v>1</v>
      </c>
      <c r="FA178" t="b">
        <f>AND(DATA!N1271,"AAAAAGHqP5w=")</f>
        <v>1</v>
      </c>
      <c r="FB178" t="b">
        <f>AND(DATA!O1271,"AAAAAGHqP50=")</f>
        <v>1</v>
      </c>
      <c r="FC178" t="b">
        <f>AND(DATA!P1271,"AAAAAGHqP54=")</f>
        <v>1</v>
      </c>
      <c r="FD178" t="b">
        <f>AND(DATA!Q1271,"AAAAAGHqP58=")</f>
        <v>1</v>
      </c>
      <c r="FE178" t="b">
        <f>AND(DATA!R1271,"AAAAAGHqP6A=")</f>
        <v>1</v>
      </c>
      <c r="FF178" t="b">
        <f>AND(DATA!S1271,"AAAAAGHqP6E=")</f>
        <v>1</v>
      </c>
      <c r="FG178" t="b">
        <f>AND(DATA!T1271,"AAAAAGHqP6I=")</f>
        <v>1</v>
      </c>
      <c r="FH178" t="b">
        <f>AND(DATA!U1271,"AAAAAGHqP6M=")</f>
        <v>1</v>
      </c>
      <c r="FI178" t="e">
        <f>AND(DATA!V1271,"AAAAAGHqP6Q=")</f>
        <v>#VALUE!</v>
      </c>
      <c r="FJ178" t="e">
        <f>AND(DATA!W1270,"AAAAAGHqP6U=")</f>
        <v>#VALUE!</v>
      </c>
      <c r="FK178" t="e">
        <f>AND(DATA!X1270,"AAAAAGHqP6Y=")</f>
        <v>#VALUE!</v>
      </c>
      <c r="FL178" t="e">
        <f>AND(DATA!Y1270,"AAAAAGHqP6c=")</f>
        <v>#VALUE!</v>
      </c>
      <c r="FM178">
        <f>IF(DATA!1271:1271,"AAAAAGHqP6g=",0)</f>
        <v>0</v>
      </c>
      <c r="FN178" t="e">
        <f>AND(DATA!A1271,"AAAAAGHqP6k=")</f>
        <v>#VALUE!</v>
      </c>
      <c r="FO178" t="e">
        <f>AND(DATA!B1271,"AAAAAGHqP6o=")</f>
        <v>#VALUE!</v>
      </c>
      <c r="FP178" t="e">
        <f>AND(DATA!C1271,"AAAAAGHqP6s=")</f>
        <v>#VALUE!</v>
      </c>
      <c r="FQ178" t="e">
        <f>AND(DATA!D1271,"AAAAAGHqP6w=")</f>
        <v>#VALUE!</v>
      </c>
      <c r="FR178" t="e">
        <f>AND(DATA!E1271,"AAAAAGHqP60=")</f>
        <v>#VALUE!</v>
      </c>
      <c r="FS178" t="e">
        <f>AND(DATA!F1271,"AAAAAGHqP64=")</f>
        <v>#VALUE!</v>
      </c>
      <c r="FT178" t="e">
        <f>AND(DATA!G1271,"AAAAAGHqP68=")</f>
        <v>#VALUE!</v>
      </c>
      <c r="FU178" t="e">
        <f>AND(DATA!H1271,"AAAAAGHqP7A=")</f>
        <v>#VALUE!</v>
      </c>
      <c r="FV178" t="e">
        <f>AND(DATA!I1271,"AAAAAGHqP7E=")</f>
        <v>#VALUE!</v>
      </c>
      <c r="FW178" t="e">
        <f>AND(DATA!J1271,"AAAAAGHqP7I=")</f>
        <v>#VALUE!</v>
      </c>
      <c r="FX178" t="e">
        <f>AND(DATA!K1271,"AAAAAGHqP7M=")</f>
        <v>#VALUE!</v>
      </c>
      <c r="FY178" t="b">
        <f>AND(DATA!L1272,"AAAAAGHqP7Q=")</f>
        <v>1</v>
      </c>
      <c r="FZ178" t="b">
        <f>AND(DATA!M1272,"AAAAAGHqP7U=")</f>
        <v>1</v>
      </c>
      <c r="GA178" t="b">
        <f>AND(DATA!N1272,"AAAAAGHqP7Y=")</f>
        <v>1</v>
      </c>
      <c r="GB178" t="b">
        <f>AND(DATA!O1272,"AAAAAGHqP7c=")</f>
        <v>1</v>
      </c>
      <c r="GC178" t="b">
        <f>AND(DATA!P1272,"AAAAAGHqP7g=")</f>
        <v>1</v>
      </c>
      <c r="GD178" t="b">
        <f>AND(DATA!Q1272,"AAAAAGHqP7k=")</f>
        <v>1</v>
      </c>
      <c r="GE178" t="b">
        <f>AND(DATA!R1272,"AAAAAGHqP7o=")</f>
        <v>1</v>
      </c>
      <c r="GF178" t="b">
        <f>AND(DATA!S1272,"AAAAAGHqP7s=")</f>
        <v>1</v>
      </c>
      <c r="GG178" t="b">
        <f>AND(DATA!T1272,"AAAAAGHqP7w=")</f>
        <v>1</v>
      </c>
      <c r="GH178" t="b">
        <f>AND(DATA!U1272,"AAAAAGHqP70=")</f>
        <v>1</v>
      </c>
      <c r="GI178" t="e">
        <f>AND(DATA!V1272,"AAAAAGHqP74=")</f>
        <v>#VALUE!</v>
      </c>
      <c r="GJ178" t="e">
        <f>AND(DATA!W1271,"AAAAAGHqP78=")</f>
        <v>#VALUE!</v>
      </c>
      <c r="GK178" t="e">
        <f>AND(DATA!X1271,"AAAAAGHqP8A=")</f>
        <v>#VALUE!</v>
      </c>
      <c r="GL178" t="e">
        <f>AND(DATA!Y1271,"AAAAAGHqP8E=")</f>
        <v>#VALUE!</v>
      </c>
      <c r="GM178">
        <f>IF(DATA!1272:1272,"AAAAAGHqP8I=",0)</f>
        <v>0</v>
      </c>
      <c r="GN178" t="e">
        <f>AND(DATA!A1272,"AAAAAGHqP8M=")</f>
        <v>#VALUE!</v>
      </c>
      <c r="GO178" t="e">
        <f>AND(DATA!B1272,"AAAAAGHqP8Q=")</f>
        <v>#VALUE!</v>
      </c>
      <c r="GP178" t="e">
        <f>AND(DATA!C1272,"AAAAAGHqP8U=")</f>
        <v>#VALUE!</v>
      </c>
      <c r="GQ178" t="e">
        <f>AND(DATA!D1272,"AAAAAGHqP8Y=")</f>
        <v>#VALUE!</v>
      </c>
      <c r="GR178" t="e">
        <f>AND(DATA!E1272,"AAAAAGHqP8c=")</f>
        <v>#VALUE!</v>
      </c>
      <c r="GS178" t="e">
        <f>AND(DATA!F1272,"AAAAAGHqP8g=")</f>
        <v>#VALUE!</v>
      </c>
      <c r="GT178" t="e">
        <f>AND(DATA!G1272,"AAAAAGHqP8k=")</f>
        <v>#VALUE!</v>
      </c>
      <c r="GU178" t="e">
        <f>AND(DATA!H1272,"AAAAAGHqP8o=")</f>
        <v>#VALUE!</v>
      </c>
      <c r="GV178" t="e">
        <f>AND(DATA!I1272,"AAAAAGHqP8s=")</f>
        <v>#VALUE!</v>
      </c>
      <c r="GW178" t="e">
        <f>AND(DATA!J1272,"AAAAAGHqP8w=")</f>
        <v>#VALUE!</v>
      </c>
      <c r="GX178" t="e">
        <f>AND(DATA!K1272,"AAAAAGHqP80=")</f>
        <v>#VALUE!</v>
      </c>
      <c r="GY178" t="b">
        <f>AND(DATA!L1273,"AAAAAGHqP84=")</f>
        <v>1</v>
      </c>
      <c r="GZ178" t="b">
        <f>AND(DATA!M1273,"AAAAAGHqP88=")</f>
        <v>1</v>
      </c>
      <c r="HA178" t="b">
        <f>AND(DATA!N1273,"AAAAAGHqP9A=")</f>
        <v>1</v>
      </c>
      <c r="HB178" t="b">
        <f>AND(DATA!O1273,"AAAAAGHqP9E=")</f>
        <v>1</v>
      </c>
      <c r="HC178" t="b">
        <f>AND(DATA!P1273,"AAAAAGHqP9I=")</f>
        <v>1</v>
      </c>
      <c r="HD178" t="b">
        <f>AND(DATA!Q1273,"AAAAAGHqP9M=")</f>
        <v>1</v>
      </c>
      <c r="HE178" t="b">
        <f>AND(DATA!R1273,"AAAAAGHqP9Q=")</f>
        <v>1</v>
      </c>
      <c r="HF178" t="b">
        <f>AND(DATA!S1273,"AAAAAGHqP9U=")</f>
        <v>1</v>
      </c>
      <c r="HG178" t="b">
        <f>AND(DATA!T1273,"AAAAAGHqP9Y=")</f>
        <v>1</v>
      </c>
      <c r="HH178" t="b">
        <f>AND(DATA!U1273,"AAAAAGHqP9c=")</f>
        <v>1</v>
      </c>
      <c r="HI178" t="e">
        <f>AND(DATA!V1273,"AAAAAGHqP9g=")</f>
        <v>#VALUE!</v>
      </c>
      <c r="HJ178" t="e">
        <f>AND(DATA!W1272,"AAAAAGHqP9k=")</f>
        <v>#VALUE!</v>
      </c>
      <c r="HK178" t="e">
        <f>AND(DATA!X1272,"AAAAAGHqP9o=")</f>
        <v>#VALUE!</v>
      </c>
      <c r="HL178" t="e">
        <f>AND(DATA!Y1272,"AAAAAGHqP9s=")</f>
        <v>#VALUE!</v>
      </c>
      <c r="HM178">
        <f>IF(DATA!1273:1273,"AAAAAGHqP9w=",0)</f>
        <v>0</v>
      </c>
      <c r="HN178" t="e">
        <f>AND(DATA!A1273,"AAAAAGHqP90=")</f>
        <v>#VALUE!</v>
      </c>
      <c r="HO178" t="e">
        <f>AND(DATA!B1273,"AAAAAGHqP94=")</f>
        <v>#VALUE!</v>
      </c>
      <c r="HP178" t="e">
        <f>AND(DATA!C1273,"AAAAAGHqP98=")</f>
        <v>#VALUE!</v>
      </c>
      <c r="HQ178" t="e">
        <f>AND(DATA!D1273,"AAAAAGHqP+A=")</f>
        <v>#VALUE!</v>
      </c>
      <c r="HR178" t="e">
        <f>AND(DATA!E1273,"AAAAAGHqP+E=")</f>
        <v>#VALUE!</v>
      </c>
      <c r="HS178" t="e">
        <f>AND(DATA!F1273,"AAAAAGHqP+I=")</f>
        <v>#VALUE!</v>
      </c>
      <c r="HT178" t="e">
        <f>AND(DATA!G1273,"AAAAAGHqP+M=")</f>
        <v>#VALUE!</v>
      </c>
      <c r="HU178" t="e">
        <f>AND(DATA!H1273,"AAAAAGHqP+Q=")</f>
        <v>#VALUE!</v>
      </c>
      <c r="HV178" t="e">
        <f>AND(DATA!I1273,"AAAAAGHqP+U=")</f>
        <v>#VALUE!</v>
      </c>
      <c r="HW178" t="e">
        <f>AND(DATA!J1273,"AAAAAGHqP+Y=")</f>
        <v>#VALUE!</v>
      </c>
      <c r="HX178" t="e">
        <f>AND(DATA!K1273,"AAAAAGHqP+c=")</f>
        <v>#VALUE!</v>
      </c>
      <c r="HY178" t="b">
        <f>AND(DATA!L1274,"AAAAAGHqP+g=")</f>
        <v>1</v>
      </c>
      <c r="HZ178" t="b">
        <f>AND(DATA!M1274,"AAAAAGHqP+k=")</f>
        <v>1</v>
      </c>
      <c r="IA178" t="b">
        <f>AND(DATA!N1274,"AAAAAGHqP+o=")</f>
        <v>1</v>
      </c>
      <c r="IB178" t="b">
        <f>AND(DATA!O1274,"AAAAAGHqP+s=")</f>
        <v>1</v>
      </c>
      <c r="IC178" t="b">
        <f>AND(DATA!P1274,"AAAAAGHqP+w=")</f>
        <v>1</v>
      </c>
      <c r="ID178" t="b">
        <f>AND(DATA!Q1274,"AAAAAGHqP+0=")</f>
        <v>1</v>
      </c>
      <c r="IE178" t="b">
        <f>AND(DATA!R1274,"AAAAAGHqP+4=")</f>
        <v>1</v>
      </c>
      <c r="IF178" t="b">
        <f>AND(DATA!S1274,"AAAAAGHqP+8=")</f>
        <v>1</v>
      </c>
      <c r="IG178" t="b">
        <f>AND(DATA!T1274,"AAAAAGHqP/A=")</f>
        <v>1</v>
      </c>
      <c r="IH178" t="b">
        <f>AND(DATA!U1274,"AAAAAGHqP/E=")</f>
        <v>1</v>
      </c>
      <c r="II178" t="e">
        <f>AND(DATA!V1274,"AAAAAGHqP/I=")</f>
        <v>#VALUE!</v>
      </c>
      <c r="IJ178" t="e">
        <f>AND(DATA!W1273,"AAAAAGHqP/M=")</f>
        <v>#VALUE!</v>
      </c>
      <c r="IK178" t="e">
        <f>AND(DATA!X1273,"AAAAAGHqP/Q=")</f>
        <v>#VALUE!</v>
      </c>
      <c r="IL178" t="e">
        <f>AND(DATA!Y1273,"AAAAAGHqP/U=")</f>
        <v>#VALUE!</v>
      </c>
      <c r="IM178">
        <f>IF(DATA!1274:1274,"AAAAAGHqP/Y=",0)</f>
        <v>0</v>
      </c>
      <c r="IN178" t="e">
        <f>AND(DATA!A1274,"AAAAAGHqP/c=")</f>
        <v>#VALUE!</v>
      </c>
      <c r="IO178" t="e">
        <f>AND(DATA!B1274,"AAAAAGHqP/g=")</f>
        <v>#VALUE!</v>
      </c>
      <c r="IP178" t="e">
        <f>AND(DATA!C1274,"AAAAAGHqP/k=")</f>
        <v>#VALUE!</v>
      </c>
      <c r="IQ178" t="e">
        <f>AND(DATA!D1274,"AAAAAGHqP/o=")</f>
        <v>#VALUE!</v>
      </c>
      <c r="IR178" t="e">
        <f>AND(DATA!E1274,"AAAAAGHqP/s=")</f>
        <v>#VALUE!</v>
      </c>
      <c r="IS178" t="e">
        <f>AND(DATA!F1274,"AAAAAGHqP/w=")</f>
        <v>#VALUE!</v>
      </c>
      <c r="IT178" t="e">
        <f>AND(DATA!G1274,"AAAAAGHqP/0=")</f>
        <v>#VALUE!</v>
      </c>
      <c r="IU178" t="e">
        <f>AND(DATA!H1274,"AAAAAGHqP/4=")</f>
        <v>#VALUE!</v>
      </c>
      <c r="IV178" t="e">
        <f>AND(DATA!I1274,"AAAAAGHqP/8=")</f>
        <v>#VALUE!</v>
      </c>
    </row>
    <row r="179" spans="1:256" x14ac:dyDescent="0.25">
      <c r="A179" t="e">
        <f>AND(DATA!J1274,"AAAAAB37vQA=")</f>
        <v>#VALUE!</v>
      </c>
      <c r="B179" t="e">
        <f>AND(DATA!K1274,"AAAAAB37vQE=")</f>
        <v>#VALUE!</v>
      </c>
      <c r="C179" t="b">
        <f>AND(DATA!L1275,"AAAAAB37vQI=")</f>
        <v>1</v>
      </c>
      <c r="D179" t="b">
        <f>AND(DATA!M1275,"AAAAAB37vQM=")</f>
        <v>1</v>
      </c>
      <c r="E179" t="b">
        <f>AND(DATA!N1275,"AAAAAB37vQQ=")</f>
        <v>1</v>
      </c>
      <c r="F179" t="b">
        <f>AND(DATA!O1275,"AAAAAB37vQU=")</f>
        <v>1</v>
      </c>
      <c r="G179" t="b">
        <f>AND(DATA!P1275,"AAAAAB37vQY=")</f>
        <v>1</v>
      </c>
      <c r="H179" t="b">
        <f>AND(DATA!Q1275,"AAAAAB37vQc=")</f>
        <v>1</v>
      </c>
      <c r="I179" t="b">
        <f>AND(DATA!R1275,"AAAAAB37vQg=")</f>
        <v>1</v>
      </c>
      <c r="J179" t="b">
        <f>AND(DATA!S1275,"AAAAAB37vQk=")</f>
        <v>1</v>
      </c>
      <c r="K179" t="b">
        <f>AND(DATA!T1275,"AAAAAB37vQo=")</f>
        <v>1</v>
      </c>
      <c r="L179" t="b">
        <f>AND(DATA!U1275,"AAAAAB37vQs=")</f>
        <v>1</v>
      </c>
      <c r="M179" t="e">
        <f>AND(DATA!V1275,"AAAAAB37vQw=")</f>
        <v>#VALUE!</v>
      </c>
      <c r="N179" t="e">
        <f>AND(DATA!W1274,"AAAAAB37vQ0=")</f>
        <v>#VALUE!</v>
      </c>
      <c r="O179" t="e">
        <f>AND(DATA!X1274,"AAAAAB37vQ4=")</f>
        <v>#VALUE!</v>
      </c>
      <c r="P179" t="e">
        <f>AND(DATA!Y1274,"AAAAAB37vQ8=")</f>
        <v>#VALUE!</v>
      </c>
      <c r="Q179" t="str">
        <f>IF(DATA!1275:1275,"AAAAAB37vRA=",0)</f>
        <v>AAAAAB37vRA=</v>
      </c>
      <c r="R179" t="e">
        <f>AND(DATA!A1275,"AAAAAB37vRE=")</f>
        <v>#VALUE!</v>
      </c>
      <c r="S179" t="e">
        <f>AND(DATA!B1275,"AAAAAB37vRI=")</f>
        <v>#VALUE!</v>
      </c>
      <c r="T179" t="e">
        <f>AND(DATA!C1275,"AAAAAB37vRM=")</f>
        <v>#VALUE!</v>
      </c>
      <c r="U179" t="e">
        <f>AND(DATA!D1275,"AAAAAB37vRQ=")</f>
        <v>#VALUE!</v>
      </c>
      <c r="V179" t="e">
        <f>AND(DATA!E1275,"AAAAAB37vRU=")</f>
        <v>#VALUE!</v>
      </c>
      <c r="W179" t="e">
        <f>AND(DATA!F1275,"AAAAAB37vRY=")</f>
        <v>#VALUE!</v>
      </c>
      <c r="X179" t="e">
        <f>AND(DATA!G1275,"AAAAAB37vRc=")</f>
        <v>#VALUE!</v>
      </c>
      <c r="Y179" t="e">
        <f>AND(DATA!H1275,"AAAAAB37vRg=")</f>
        <v>#VALUE!</v>
      </c>
      <c r="Z179" t="e">
        <f>AND(DATA!I1275,"AAAAAB37vRk=")</f>
        <v>#VALUE!</v>
      </c>
      <c r="AA179" t="e">
        <f>AND(DATA!J1275,"AAAAAB37vRo=")</f>
        <v>#VALUE!</v>
      </c>
      <c r="AB179" t="e">
        <f>AND(DATA!K1275,"AAAAAB37vRs=")</f>
        <v>#VALUE!</v>
      </c>
      <c r="AC179" t="b">
        <f>AND(DATA!L1276,"AAAAAB37vRw=")</f>
        <v>1</v>
      </c>
      <c r="AD179" t="b">
        <f>AND(DATA!M1276,"AAAAAB37vR0=")</f>
        <v>1</v>
      </c>
      <c r="AE179" t="b">
        <f>AND(DATA!N1276,"AAAAAB37vR4=")</f>
        <v>1</v>
      </c>
      <c r="AF179" t="b">
        <f>AND(DATA!O1276,"AAAAAB37vR8=")</f>
        <v>1</v>
      </c>
      <c r="AG179" t="b">
        <f>AND(DATA!P1276,"AAAAAB37vSA=")</f>
        <v>1</v>
      </c>
      <c r="AH179" t="b">
        <f>AND(DATA!Q1276,"AAAAAB37vSE=")</f>
        <v>1</v>
      </c>
      <c r="AI179" t="b">
        <f>AND(DATA!R1276,"AAAAAB37vSI=")</f>
        <v>1</v>
      </c>
      <c r="AJ179" t="b">
        <f>AND(DATA!S1276,"AAAAAB37vSM=")</f>
        <v>1</v>
      </c>
      <c r="AK179" t="b">
        <f>AND(DATA!T1276,"AAAAAB37vSQ=")</f>
        <v>1</v>
      </c>
      <c r="AL179" t="b">
        <f>AND(DATA!U1276,"AAAAAB37vSU=")</f>
        <v>1</v>
      </c>
      <c r="AM179" t="e">
        <f>AND(DATA!V1276,"AAAAAB37vSY=")</f>
        <v>#VALUE!</v>
      </c>
      <c r="AN179" t="e">
        <f>AND(DATA!W1275,"AAAAAB37vSc=")</f>
        <v>#VALUE!</v>
      </c>
      <c r="AO179" t="e">
        <f>AND(DATA!X1275,"AAAAAB37vSg=")</f>
        <v>#VALUE!</v>
      </c>
      <c r="AP179" t="e">
        <f>AND(DATA!Y1275,"AAAAAB37vSk=")</f>
        <v>#VALUE!</v>
      </c>
      <c r="AQ179">
        <f>IF(DATA!1276:1276,"AAAAAB37vSo=",0)</f>
        <v>0</v>
      </c>
      <c r="AR179" t="e">
        <f>AND(DATA!A1276,"AAAAAB37vSs=")</f>
        <v>#VALUE!</v>
      </c>
      <c r="AS179" t="e">
        <f>AND(DATA!B1276,"AAAAAB37vSw=")</f>
        <v>#VALUE!</v>
      </c>
      <c r="AT179" t="e">
        <f>AND(DATA!C1276,"AAAAAB37vS0=")</f>
        <v>#VALUE!</v>
      </c>
      <c r="AU179" t="e">
        <f>AND(DATA!D1276,"AAAAAB37vS4=")</f>
        <v>#VALUE!</v>
      </c>
      <c r="AV179" t="e">
        <f>AND(DATA!E1276,"AAAAAB37vS8=")</f>
        <v>#VALUE!</v>
      </c>
      <c r="AW179" t="e">
        <f>AND(DATA!F1276,"AAAAAB37vTA=")</f>
        <v>#VALUE!</v>
      </c>
      <c r="AX179" t="e">
        <f>AND(DATA!G1276,"AAAAAB37vTE=")</f>
        <v>#VALUE!</v>
      </c>
      <c r="AY179" t="e">
        <f>AND(DATA!H1276,"AAAAAB37vTI=")</f>
        <v>#VALUE!</v>
      </c>
      <c r="AZ179" t="e">
        <f>AND(DATA!I1276,"AAAAAB37vTM=")</f>
        <v>#VALUE!</v>
      </c>
      <c r="BA179" t="e">
        <f>AND(DATA!J1276,"AAAAAB37vTQ=")</f>
        <v>#VALUE!</v>
      </c>
      <c r="BB179" t="e">
        <f>AND(DATA!K1276,"AAAAAB37vTU=")</f>
        <v>#VALUE!</v>
      </c>
      <c r="BC179" t="b">
        <f>AND(DATA!L1277,"AAAAAB37vTY=")</f>
        <v>1</v>
      </c>
      <c r="BD179" t="b">
        <f>AND(DATA!M1277,"AAAAAB37vTc=")</f>
        <v>1</v>
      </c>
      <c r="BE179" t="b">
        <f>AND(DATA!N1277,"AAAAAB37vTg=")</f>
        <v>1</v>
      </c>
      <c r="BF179" t="b">
        <f>AND(DATA!O1277,"AAAAAB37vTk=")</f>
        <v>1</v>
      </c>
      <c r="BG179" t="b">
        <f>AND(DATA!P1277,"AAAAAB37vTo=")</f>
        <v>1</v>
      </c>
      <c r="BH179" t="b">
        <f>AND(DATA!Q1277,"AAAAAB37vTs=")</f>
        <v>1</v>
      </c>
      <c r="BI179" t="b">
        <f>AND(DATA!R1277,"AAAAAB37vTw=")</f>
        <v>1</v>
      </c>
      <c r="BJ179" t="b">
        <f>AND(DATA!S1277,"AAAAAB37vT0=")</f>
        <v>1</v>
      </c>
      <c r="BK179" t="b">
        <f>AND(DATA!T1277,"AAAAAB37vT4=")</f>
        <v>1</v>
      </c>
      <c r="BL179" t="b">
        <f>AND(DATA!U1277,"AAAAAB37vT8=")</f>
        <v>1</v>
      </c>
      <c r="BM179" t="e">
        <f>AND(DATA!V1277,"AAAAAB37vUA=")</f>
        <v>#VALUE!</v>
      </c>
      <c r="BN179" t="e">
        <f>AND(DATA!W1276,"AAAAAB37vUE=")</f>
        <v>#VALUE!</v>
      </c>
      <c r="BO179" t="e">
        <f>AND(DATA!X1276,"AAAAAB37vUI=")</f>
        <v>#VALUE!</v>
      </c>
      <c r="BP179" t="e">
        <f>AND(DATA!Y1276,"AAAAAB37vUM=")</f>
        <v>#VALUE!</v>
      </c>
      <c r="BQ179">
        <f>IF(DATA!1277:1277,"AAAAAB37vUQ=",0)</f>
        <v>0</v>
      </c>
      <c r="BR179" t="e">
        <f>AND(DATA!A1277,"AAAAAB37vUU=")</f>
        <v>#VALUE!</v>
      </c>
      <c r="BS179" t="e">
        <f>AND(DATA!B1277,"AAAAAB37vUY=")</f>
        <v>#VALUE!</v>
      </c>
      <c r="BT179" t="e">
        <f>AND(DATA!C1277,"AAAAAB37vUc=")</f>
        <v>#VALUE!</v>
      </c>
      <c r="BU179" t="e">
        <f>AND(DATA!D1277,"AAAAAB37vUg=")</f>
        <v>#VALUE!</v>
      </c>
      <c r="BV179" t="e">
        <f>AND(DATA!E1277,"AAAAAB37vUk=")</f>
        <v>#VALUE!</v>
      </c>
      <c r="BW179" t="e">
        <f>AND(DATA!F1277,"AAAAAB37vUo=")</f>
        <v>#VALUE!</v>
      </c>
      <c r="BX179" t="e">
        <f>AND(DATA!G1277,"AAAAAB37vUs=")</f>
        <v>#VALUE!</v>
      </c>
      <c r="BY179" t="e">
        <f>AND(DATA!H1277,"AAAAAB37vUw=")</f>
        <v>#VALUE!</v>
      </c>
      <c r="BZ179" t="e">
        <f>AND(DATA!I1277,"AAAAAB37vU0=")</f>
        <v>#VALUE!</v>
      </c>
      <c r="CA179" t="e">
        <f>AND(DATA!J1277,"AAAAAB37vU4=")</f>
        <v>#VALUE!</v>
      </c>
      <c r="CB179" t="e">
        <f>AND(DATA!K1277,"AAAAAB37vU8=")</f>
        <v>#VALUE!</v>
      </c>
      <c r="CC179" t="b">
        <f>AND(DATA!L1278,"AAAAAB37vVA=")</f>
        <v>1</v>
      </c>
      <c r="CD179" t="b">
        <f>AND(DATA!M1278,"AAAAAB37vVE=")</f>
        <v>1</v>
      </c>
      <c r="CE179" t="b">
        <f>AND(DATA!N1278,"AAAAAB37vVI=")</f>
        <v>1</v>
      </c>
      <c r="CF179" t="b">
        <f>AND(DATA!O1278,"AAAAAB37vVM=")</f>
        <v>1</v>
      </c>
      <c r="CG179" t="b">
        <f>AND(DATA!P1278,"AAAAAB37vVQ=")</f>
        <v>1</v>
      </c>
      <c r="CH179" t="b">
        <f>AND(DATA!Q1278,"AAAAAB37vVU=")</f>
        <v>1</v>
      </c>
      <c r="CI179" t="b">
        <f>AND(DATA!R1278,"AAAAAB37vVY=")</f>
        <v>1</v>
      </c>
      <c r="CJ179" t="b">
        <f>AND(DATA!S1278,"AAAAAB37vVc=")</f>
        <v>1</v>
      </c>
      <c r="CK179" t="b">
        <f>AND(DATA!T1278,"AAAAAB37vVg=")</f>
        <v>1</v>
      </c>
      <c r="CL179" t="b">
        <f>AND(DATA!U1278,"AAAAAB37vVk=")</f>
        <v>1</v>
      </c>
      <c r="CM179" t="e">
        <f>AND(DATA!V1278,"AAAAAB37vVo=")</f>
        <v>#VALUE!</v>
      </c>
      <c r="CN179" t="e">
        <f>AND(DATA!W1277,"AAAAAB37vVs=")</f>
        <v>#VALUE!</v>
      </c>
      <c r="CO179" t="e">
        <f>AND(DATA!X1277,"AAAAAB37vVw=")</f>
        <v>#VALUE!</v>
      </c>
      <c r="CP179" t="e">
        <f>AND(DATA!Y1277,"AAAAAB37vV0=")</f>
        <v>#VALUE!</v>
      </c>
      <c r="CQ179">
        <f>IF(DATA!1278:1278,"AAAAAB37vV4=",0)</f>
        <v>0</v>
      </c>
      <c r="CR179" t="e">
        <f>AND(DATA!A1278,"AAAAAB37vV8=")</f>
        <v>#VALUE!</v>
      </c>
      <c r="CS179" t="e">
        <f>AND(DATA!B1278,"AAAAAB37vWA=")</f>
        <v>#VALUE!</v>
      </c>
      <c r="CT179" t="e">
        <f>AND(DATA!C1278,"AAAAAB37vWE=")</f>
        <v>#VALUE!</v>
      </c>
      <c r="CU179" t="e">
        <f>AND(DATA!D1278,"AAAAAB37vWI=")</f>
        <v>#VALUE!</v>
      </c>
      <c r="CV179" t="e">
        <f>AND(DATA!E1278,"AAAAAB37vWM=")</f>
        <v>#VALUE!</v>
      </c>
      <c r="CW179" t="e">
        <f>AND(DATA!F1278,"AAAAAB37vWQ=")</f>
        <v>#VALUE!</v>
      </c>
      <c r="CX179" t="e">
        <f>AND(DATA!G1278,"AAAAAB37vWU=")</f>
        <v>#VALUE!</v>
      </c>
      <c r="CY179" t="e">
        <f>AND(DATA!H1278,"AAAAAB37vWY=")</f>
        <v>#VALUE!</v>
      </c>
      <c r="CZ179" t="e">
        <f>AND(DATA!I1278,"AAAAAB37vWc=")</f>
        <v>#VALUE!</v>
      </c>
      <c r="DA179" t="e">
        <f>AND(DATA!J1278,"AAAAAB37vWg=")</f>
        <v>#VALUE!</v>
      </c>
      <c r="DB179" t="e">
        <f>AND(DATA!K1278,"AAAAAB37vWk=")</f>
        <v>#VALUE!</v>
      </c>
      <c r="DC179" t="b">
        <f>AND(DATA!L1279,"AAAAAB37vWo=")</f>
        <v>1</v>
      </c>
      <c r="DD179" t="b">
        <f>AND(DATA!M1279,"AAAAAB37vWs=")</f>
        <v>1</v>
      </c>
      <c r="DE179" t="b">
        <f>AND(DATA!N1279,"AAAAAB37vWw=")</f>
        <v>1</v>
      </c>
      <c r="DF179" t="b">
        <f>AND(DATA!O1279,"AAAAAB37vW0=")</f>
        <v>1</v>
      </c>
      <c r="DG179" t="b">
        <f>AND(DATA!P1279,"AAAAAB37vW4=")</f>
        <v>1</v>
      </c>
      <c r="DH179" t="b">
        <f>AND(DATA!Q1279,"AAAAAB37vW8=")</f>
        <v>1</v>
      </c>
      <c r="DI179" t="b">
        <f>AND(DATA!R1279,"AAAAAB37vXA=")</f>
        <v>1</v>
      </c>
      <c r="DJ179" t="b">
        <f>AND(DATA!S1279,"AAAAAB37vXE=")</f>
        <v>1</v>
      </c>
      <c r="DK179" t="b">
        <f>AND(DATA!T1279,"AAAAAB37vXI=")</f>
        <v>1</v>
      </c>
      <c r="DL179" t="b">
        <f>AND(DATA!U1279,"AAAAAB37vXM=")</f>
        <v>1</v>
      </c>
      <c r="DM179" t="e">
        <f>AND(DATA!V1279,"AAAAAB37vXQ=")</f>
        <v>#VALUE!</v>
      </c>
      <c r="DN179" t="e">
        <f>AND(DATA!W1278,"AAAAAB37vXU=")</f>
        <v>#VALUE!</v>
      </c>
      <c r="DO179" t="e">
        <f>AND(DATA!X1278,"AAAAAB37vXY=")</f>
        <v>#VALUE!</v>
      </c>
      <c r="DP179" t="e">
        <f>AND(DATA!Y1278,"AAAAAB37vXc=")</f>
        <v>#VALUE!</v>
      </c>
      <c r="DQ179">
        <f>IF(DATA!1279:1279,"AAAAAB37vXg=",0)</f>
        <v>0</v>
      </c>
      <c r="DR179" t="e">
        <f>AND(DATA!A1279,"AAAAAB37vXk=")</f>
        <v>#VALUE!</v>
      </c>
      <c r="DS179" t="e">
        <f>AND(DATA!B1279,"AAAAAB37vXo=")</f>
        <v>#VALUE!</v>
      </c>
      <c r="DT179" t="e">
        <f>AND(DATA!C1279,"AAAAAB37vXs=")</f>
        <v>#VALUE!</v>
      </c>
      <c r="DU179" t="e">
        <f>AND(DATA!D1279,"AAAAAB37vXw=")</f>
        <v>#VALUE!</v>
      </c>
      <c r="DV179" t="e">
        <f>AND(DATA!E1279,"AAAAAB37vX0=")</f>
        <v>#VALUE!</v>
      </c>
      <c r="DW179" t="e">
        <f>AND(DATA!F1279,"AAAAAB37vX4=")</f>
        <v>#VALUE!</v>
      </c>
      <c r="DX179" t="e">
        <f>AND(DATA!G1279,"AAAAAB37vX8=")</f>
        <v>#VALUE!</v>
      </c>
      <c r="DY179" t="e">
        <f>AND(DATA!H1279,"AAAAAB37vYA=")</f>
        <v>#VALUE!</v>
      </c>
      <c r="DZ179" t="e">
        <f>AND(DATA!I1279,"AAAAAB37vYE=")</f>
        <v>#VALUE!</v>
      </c>
      <c r="EA179" t="e">
        <f>AND(DATA!J1279,"AAAAAB37vYI=")</f>
        <v>#VALUE!</v>
      </c>
      <c r="EB179" t="e">
        <f>AND(DATA!K1279,"AAAAAB37vYM=")</f>
        <v>#VALUE!</v>
      </c>
      <c r="EC179" t="b">
        <f>AND(DATA!L1280,"AAAAAB37vYQ=")</f>
        <v>1</v>
      </c>
      <c r="ED179" t="b">
        <f>AND(DATA!M1280,"AAAAAB37vYU=")</f>
        <v>1</v>
      </c>
      <c r="EE179" t="b">
        <f>AND(DATA!N1280,"AAAAAB37vYY=")</f>
        <v>1</v>
      </c>
      <c r="EF179" t="b">
        <f>AND(DATA!O1280,"AAAAAB37vYc=")</f>
        <v>1</v>
      </c>
      <c r="EG179" t="b">
        <f>AND(DATA!P1280,"AAAAAB37vYg=")</f>
        <v>1</v>
      </c>
      <c r="EH179" t="b">
        <f>AND(DATA!Q1280,"AAAAAB37vYk=")</f>
        <v>1</v>
      </c>
      <c r="EI179" t="b">
        <f>AND(DATA!R1280,"AAAAAB37vYo=")</f>
        <v>1</v>
      </c>
      <c r="EJ179" t="b">
        <f>AND(DATA!S1280,"AAAAAB37vYs=")</f>
        <v>1</v>
      </c>
      <c r="EK179" t="b">
        <f>AND(DATA!T1280,"AAAAAB37vYw=")</f>
        <v>1</v>
      </c>
      <c r="EL179" t="b">
        <f>AND(DATA!U1280,"AAAAAB37vY0=")</f>
        <v>1</v>
      </c>
      <c r="EM179" t="e">
        <f>AND(DATA!V1280,"AAAAAB37vY4=")</f>
        <v>#VALUE!</v>
      </c>
      <c r="EN179" t="e">
        <f>AND(DATA!W1279,"AAAAAB37vY8=")</f>
        <v>#VALUE!</v>
      </c>
      <c r="EO179" t="e">
        <f>AND(DATA!X1279,"AAAAAB37vZA=")</f>
        <v>#VALUE!</v>
      </c>
      <c r="EP179" t="e">
        <f>AND(DATA!Y1279,"AAAAAB37vZE=")</f>
        <v>#VALUE!</v>
      </c>
      <c r="EQ179">
        <f>IF(DATA!1280:1280,"AAAAAB37vZI=",0)</f>
        <v>0</v>
      </c>
      <c r="ER179" t="e">
        <f>AND(DATA!A1280,"AAAAAB37vZM=")</f>
        <v>#VALUE!</v>
      </c>
      <c r="ES179" t="e">
        <f>AND(DATA!B1280,"AAAAAB37vZQ=")</f>
        <v>#VALUE!</v>
      </c>
      <c r="ET179" t="e">
        <f>AND(DATA!C1280,"AAAAAB37vZU=")</f>
        <v>#VALUE!</v>
      </c>
      <c r="EU179" t="e">
        <f>AND(DATA!D1280,"AAAAAB37vZY=")</f>
        <v>#VALUE!</v>
      </c>
      <c r="EV179" t="e">
        <f>AND(DATA!E1280,"AAAAAB37vZc=")</f>
        <v>#VALUE!</v>
      </c>
      <c r="EW179" t="e">
        <f>AND(DATA!F1280,"AAAAAB37vZg=")</f>
        <v>#VALUE!</v>
      </c>
      <c r="EX179" t="e">
        <f>AND(DATA!G1280,"AAAAAB37vZk=")</f>
        <v>#VALUE!</v>
      </c>
      <c r="EY179" t="e">
        <f>AND(DATA!H1280,"AAAAAB37vZo=")</f>
        <v>#VALUE!</v>
      </c>
      <c r="EZ179" t="e">
        <f>AND(DATA!I1280,"AAAAAB37vZs=")</f>
        <v>#VALUE!</v>
      </c>
      <c r="FA179" t="e">
        <f>AND(DATA!J1280,"AAAAAB37vZw=")</f>
        <v>#VALUE!</v>
      </c>
      <c r="FB179" t="e">
        <f>AND(DATA!K1280,"AAAAAB37vZ0=")</f>
        <v>#VALUE!</v>
      </c>
      <c r="FC179" t="b">
        <f>AND(DATA!L1281,"AAAAAB37vZ4=")</f>
        <v>1</v>
      </c>
      <c r="FD179" t="b">
        <f>AND(DATA!M1281,"AAAAAB37vZ8=")</f>
        <v>1</v>
      </c>
      <c r="FE179" t="b">
        <f>AND(DATA!N1281,"AAAAAB37vaA=")</f>
        <v>1</v>
      </c>
      <c r="FF179" t="b">
        <f>AND(DATA!O1281,"AAAAAB37vaE=")</f>
        <v>1</v>
      </c>
      <c r="FG179" t="b">
        <f>AND(DATA!P1281,"AAAAAB37vaI=")</f>
        <v>1</v>
      </c>
      <c r="FH179" t="b">
        <f>AND(DATA!Q1281,"AAAAAB37vaM=")</f>
        <v>1</v>
      </c>
      <c r="FI179" t="b">
        <f>AND(DATA!R1281,"AAAAAB37vaQ=")</f>
        <v>1</v>
      </c>
      <c r="FJ179" t="b">
        <f>AND(DATA!S1281,"AAAAAB37vaU=")</f>
        <v>1</v>
      </c>
      <c r="FK179" t="b">
        <f>AND(DATA!T1281,"AAAAAB37vaY=")</f>
        <v>1</v>
      </c>
      <c r="FL179" t="b">
        <f>AND(DATA!U1281,"AAAAAB37vac=")</f>
        <v>1</v>
      </c>
      <c r="FM179" t="e">
        <f>AND(DATA!V1281,"AAAAAB37vag=")</f>
        <v>#VALUE!</v>
      </c>
      <c r="FN179" t="e">
        <f>AND(DATA!W1280,"AAAAAB37vak=")</f>
        <v>#VALUE!</v>
      </c>
      <c r="FO179" t="e">
        <f>AND(DATA!X1280,"AAAAAB37vao=")</f>
        <v>#VALUE!</v>
      </c>
      <c r="FP179" t="e">
        <f>AND(DATA!Y1280,"AAAAAB37vas=")</f>
        <v>#VALUE!</v>
      </c>
      <c r="FQ179">
        <f>IF(DATA!1281:1281,"AAAAAB37vaw=",0)</f>
        <v>0</v>
      </c>
      <c r="FR179" t="e">
        <f>AND(DATA!A1281,"AAAAAB37va0=")</f>
        <v>#VALUE!</v>
      </c>
      <c r="FS179" t="e">
        <f>AND(DATA!B1281,"AAAAAB37va4=")</f>
        <v>#VALUE!</v>
      </c>
      <c r="FT179" t="e">
        <f>AND(DATA!C1281,"AAAAAB37va8=")</f>
        <v>#VALUE!</v>
      </c>
      <c r="FU179" t="e">
        <f>AND(DATA!D1281,"AAAAAB37vbA=")</f>
        <v>#VALUE!</v>
      </c>
      <c r="FV179" t="e">
        <f>AND(DATA!E1281,"AAAAAB37vbE=")</f>
        <v>#VALUE!</v>
      </c>
      <c r="FW179" t="e">
        <f>AND(DATA!F1281,"AAAAAB37vbI=")</f>
        <v>#VALUE!</v>
      </c>
      <c r="FX179" t="e">
        <f>AND(DATA!G1281,"AAAAAB37vbM=")</f>
        <v>#VALUE!</v>
      </c>
      <c r="FY179" t="e">
        <f>AND(DATA!H1281,"AAAAAB37vbQ=")</f>
        <v>#VALUE!</v>
      </c>
      <c r="FZ179" t="e">
        <f>AND(DATA!I1281,"AAAAAB37vbU=")</f>
        <v>#VALUE!</v>
      </c>
      <c r="GA179" t="e">
        <f>AND(DATA!J1281,"AAAAAB37vbY=")</f>
        <v>#VALUE!</v>
      </c>
      <c r="GB179" t="e">
        <f>AND(DATA!K1281,"AAAAAB37vbc=")</f>
        <v>#VALUE!</v>
      </c>
      <c r="GC179" t="b">
        <f>AND(DATA!L1282,"AAAAAB37vbg=")</f>
        <v>1</v>
      </c>
      <c r="GD179" t="b">
        <f>AND(DATA!M1282,"AAAAAB37vbk=")</f>
        <v>1</v>
      </c>
      <c r="GE179" t="b">
        <f>AND(DATA!N1282,"AAAAAB37vbo=")</f>
        <v>1</v>
      </c>
      <c r="GF179" t="b">
        <f>AND(DATA!O1282,"AAAAAB37vbs=")</f>
        <v>1</v>
      </c>
      <c r="GG179" t="b">
        <f>AND(DATA!P1282,"AAAAAB37vbw=")</f>
        <v>1</v>
      </c>
      <c r="GH179" t="b">
        <f>AND(DATA!Q1282,"AAAAAB37vb0=")</f>
        <v>1</v>
      </c>
      <c r="GI179" t="b">
        <f>AND(DATA!R1282,"AAAAAB37vb4=")</f>
        <v>1</v>
      </c>
      <c r="GJ179" t="b">
        <f>AND(DATA!S1282,"AAAAAB37vb8=")</f>
        <v>1</v>
      </c>
      <c r="GK179" t="b">
        <f>AND(DATA!T1282,"AAAAAB37vcA=")</f>
        <v>1</v>
      </c>
      <c r="GL179" t="b">
        <f>AND(DATA!U1282,"AAAAAB37vcE=")</f>
        <v>1</v>
      </c>
      <c r="GM179" t="e">
        <f>AND(DATA!V1282,"AAAAAB37vcI=")</f>
        <v>#VALUE!</v>
      </c>
      <c r="GN179" t="e">
        <f>AND(DATA!W1281,"AAAAAB37vcM=")</f>
        <v>#VALUE!</v>
      </c>
      <c r="GO179" t="e">
        <f>AND(DATA!X1281,"AAAAAB37vcQ=")</f>
        <v>#VALUE!</v>
      </c>
      <c r="GP179" t="e">
        <f>AND(DATA!Y1281,"AAAAAB37vcU=")</f>
        <v>#VALUE!</v>
      </c>
      <c r="GQ179">
        <f>IF(DATA!1282:1282,"AAAAAB37vcY=",0)</f>
        <v>0</v>
      </c>
      <c r="GR179" t="e">
        <f>AND(DATA!A1282,"AAAAAB37vcc=")</f>
        <v>#VALUE!</v>
      </c>
      <c r="GS179" t="e">
        <f>AND(DATA!B1282,"AAAAAB37vcg=")</f>
        <v>#VALUE!</v>
      </c>
      <c r="GT179" t="e">
        <f>AND(DATA!C1282,"AAAAAB37vck=")</f>
        <v>#VALUE!</v>
      </c>
      <c r="GU179" t="e">
        <f>AND(DATA!D1282,"AAAAAB37vco=")</f>
        <v>#VALUE!</v>
      </c>
      <c r="GV179" t="e">
        <f>AND(DATA!E1282,"AAAAAB37vcs=")</f>
        <v>#VALUE!</v>
      </c>
      <c r="GW179" t="e">
        <f>AND(DATA!F1282,"AAAAAB37vcw=")</f>
        <v>#VALUE!</v>
      </c>
      <c r="GX179" t="e">
        <f>AND(DATA!G1282,"AAAAAB37vc0=")</f>
        <v>#VALUE!</v>
      </c>
      <c r="GY179" t="e">
        <f>AND(DATA!H1282,"AAAAAB37vc4=")</f>
        <v>#VALUE!</v>
      </c>
      <c r="GZ179" t="e">
        <f>AND(DATA!I1282,"AAAAAB37vc8=")</f>
        <v>#VALUE!</v>
      </c>
      <c r="HA179" t="e">
        <f>AND(DATA!J1282,"AAAAAB37vdA=")</f>
        <v>#VALUE!</v>
      </c>
      <c r="HB179" t="e">
        <f>AND(DATA!K1282,"AAAAAB37vdE=")</f>
        <v>#VALUE!</v>
      </c>
      <c r="HC179" t="b">
        <f>AND(DATA!L1283,"AAAAAB37vdI=")</f>
        <v>1</v>
      </c>
      <c r="HD179" t="b">
        <f>AND(DATA!M1283,"AAAAAB37vdM=")</f>
        <v>1</v>
      </c>
      <c r="HE179" t="b">
        <f>AND(DATA!N1283,"AAAAAB37vdQ=")</f>
        <v>1</v>
      </c>
      <c r="HF179" t="b">
        <f>AND(DATA!O1283,"AAAAAB37vdU=")</f>
        <v>1</v>
      </c>
      <c r="HG179" t="b">
        <f>AND(DATA!P1283,"AAAAAB37vdY=")</f>
        <v>1</v>
      </c>
      <c r="HH179" t="b">
        <f>AND(DATA!Q1283,"AAAAAB37vdc=")</f>
        <v>1</v>
      </c>
      <c r="HI179" t="b">
        <f>AND(DATA!R1283,"AAAAAB37vdg=")</f>
        <v>1</v>
      </c>
      <c r="HJ179" t="b">
        <f>AND(DATA!S1283,"AAAAAB37vdk=")</f>
        <v>1</v>
      </c>
      <c r="HK179" t="b">
        <f>AND(DATA!T1283,"AAAAAB37vdo=")</f>
        <v>1</v>
      </c>
      <c r="HL179" t="b">
        <f>AND(DATA!U1283,"AAAAAB37vds=")</f>
        <v>1</v>
      </c>
      <c r="HM179" t="e">
        <f>AND(DATA!V1283,"AAAAAB37vdw=")</f>
        <v>#VALUE!</v>
      </c>
      <c r="HN179" t="e">
        <f>AND(DATA!W1282,"AAAAAB37vd0=")</f>
        <v>#VALUE!</v>
      </c>
      <c r="HO179" t="e">
        <f>AND(DATA!X1282,"AAAAAB37vd4=")</f>
        <v>#VALUE!</v>
      </c>
      <c r="HP179" t="e">
        <f>AND(DATA!Y1282,"AAAAAB37vd8=")</f>
        <v>#VALUE!</v>
      </c>
      <c r="HQ179">
        <f>IF(DATA!1283:1283,"AAAAAB37veA=",0)</f>
        <v>0</v>
      </c>
      <c r="HR179" t="e">
        <f>AND(DATA!A1283,"AAAAAB37veE=")</f>
        <v>#VALUE!</v>
      </c>
      <c r="HS179" t="e">
        <f>AND(DATA!B1283,"AAAAAB37veI=")</f>
        <v>#VALUE!</v>
      </c>
      <c r="HT179" t="e">
        <f>AND(DATA!C1283,"AAAAAB37veM=")</f>
        <v>#VALUE!</v>
      </c>
      <c r="HU179" t="e">
        <f>AND(DATA!D1283,"AAAAAB37veQ=")</f>
        <v>#VALUE!</v>
      </c>
      <c r="HV179" t="e">
        <f>AND(DATA!E1283,"AAAAAB37veU=")</f>
        <v>#VALUE!</v>
      </c>
      <c r="HW179" t="e">
        <f>AND(DATA!F1283,"AAAAAB37veY=")</f>
        <v>#VALUE!</v>
      </c>
      <c r="HX179" t="e">
        <f>AND(DATA!G1283,"AAAAAB37vec=")</f>
        <v>#VALUE!</v>
      </c>
      <c r="HY179" t="e">
        <f>AND(DATA!H1283,"AAAAAB37veg=")</f>
        <v>#VALUE!</v>
      </c>
      <c r="HZ179" t="e">
        <f>AND(DATA!I1283,"AAAAAB37vek=")</f>
        <v>#VALUE!</v>
      </c>
      <c r="IA179" t="e">
        <f>AND(DATA!J1283,"AAAAAB37veo=")</f>
        <v>#VALUE!</v>
      </c>
      <c r="IB179" t="e">
        <f>AND(DATA!K1283,"AAAAAB37ves=")</f>
        <v>#VALUE!</v>
      </c>
      <c r="IC179" t="b">
        <f>AND(DATA!L1284,"AAAAAB37vew=")</f>
        <v>1</v>
      </c>
      <c r="ID179" t="b">
        <f>AND(DATA!M1284,"AAAAAB37ve0=")</f>
        <v>1</v>
      </c>
      <c r="IE179" t="b">
        <f>AND(DATA!N1284,"AAAAAB37ve4=")</f>
        <v>1</v>
      </c>
      <c r="IF179" t="b">
        <f>AND(DATA!O1284,"AAAAAB37ve8=")</f>
        <v>1</v>
      </c>
      <c r="IG179" t="b">
        <f>AND(DATA!P1284,"AAAAAB37vfA=")</f>
        <v>1</v>
      </c>
      <c r="IH179" t="b">
        <f>AND(DATA!Q1284,"AAAAAB37vfE=")</f>
        <v>1</v>
      </c>
      <c r="II179" t="b">
        <f>AND(DATA!R1284,"AAAAAB37vfI=")</f>
        <v>1</v>
      </c>
      <c r="IJ179" t="b">
        <f>AND(DATA!S1284,"AAAAAB37vfM=")</f>
        <v>1</v>
      </c>
      <c r="IK179" t="b">
        <f>AND(DATA!T1284,"AAAAAB37vfQ=")</f>
        <v>1</v>
      </c>
      <c r="IL179" t="b">
        <f>AND(DATA!U1284,"AAAAAB37vfU=")</f>
        <v>1</v>
      </c>
      <c r="IM179" t="e">
        <f>AND(DATA!V1284,"AAAAAB37vfY=")</f>
        <v>#VALUE!</v>
      </c>
      <c r="IN179" t="e">
        <f>AND(DATA!W1283,"AAAAAB37vfc=")</f>
        <v>#VALUE!</v>
      </c>
      <c r="IO179" t="e">
        <f>AND(DATA!X1283,"AAAAAB37vfg=")</f>
        <v>#VALUE!</v>
      </c>
      <c r="IP179" t="e">
        <f>AND(DATA!Y1283,"AAAAAB37vfk=")</f>
        <v>#VALUE!</v>
      </c>
      <c r="IQ179">
        <f>IF(DATA!1284:1284,"AAAAAB37vfo=",0)</f>
        <v>0</v>
      </c>
      <c r="IR179" t="e">
        <f>AND(DATA!A1284,"AAAAAB37vfs=")</f>
        <v>#VALUE!</v>
      </c>
      <c r="IS179" t="e">
        <f>AND(DATA!B1284,"AAAAAB37vfw=")</f>
        <v>#VALUE!</v>
      </c>
      <c r="IT179" t="e">
        <f>AND(DATA!C1284,"AAAAAB37vf0=")</f>
        <v>#VALUE!</v>
      </c>
      <c r="IU179" t="e">
        <f>AND(DATA!D1284,"AAAAAB37vf4=")</f>
        <v>#VALUE!</v>
      </c>
      <c r="IV179" t="e">
        <f>AND(DATA!E1284,"AAAAAB37vf8=")</f>
        <v>#VALUE!</v>
      </c>
    </row>
    <row r="180" spans="1:256" x14ac:dyDescent="0.25">
      <c r="A180" t="e">
        <f>AND(DATA!F1284,"AAAAADi/+gA=")</f>
        <v>#VALUE!</v>
      </c>
      <c r="B180" t="e">
        <f>AND(DATA!G1284,"AAAAADi/+gE=")</f>
        <v>#VALUE!</v>
      </c>
      <c r="C180" t="e">
        <f>AND(DATA!H1284,"AAAAADi/+gI=")</f>
        <v>#VALUE!</v>
      </c>
      <c r="D180" t="e">
        <f>AND(DATA!I1284,"AAAAADi/+gM=")</f>
        <v>#VALUE!</v>
      </c>
      <c r="E180" t="e">
        <f>AND(DATA!J1284,"AAAAADi/+gQ=")</f>
        <v>#VALUE!</v>
      </c>
      <c r="F180" t="e">
        <f>AND(DATA!K1284,"AAAAADi/+gU=")</f>
        <v>#VALUE!</v>
      </c>
      <c r="G180" t="b">
        <f>AND(DATA!L1285,"AAAAADi/+gY=")</f>
        <v>1</v>
      </c>
      <c r="H180" t="b">
        <f>AND(DATA!M1285,"AAAAADi/+gc=")</f>
        <v>1</v>
      </c>
      <c r="I180" t="b">
        <f>AND(DATA!N1285,"AAAAADi/+gg=")</f>
        <v>1</v>
      </c>
      <c r="J180" t="b">
        <f>AND(DATA!O1285,"AAAAADi/+gk=")</f>
        <v>1</v>
      </c>
      <c r="K180" t="b">
        <f>AND(DATA!P1285,"AAAAADi/+go=")</f>
        <v>1</v>
      </c>
      <c r="L180" t="b">
        <f>AND(DATA!Q1285,"AAAAADi/+gs=")</f>
        <v>1</v>
      </c>
      <c r="M180" t="b">
        <f>AND(DATA!R1285,"AAAAADi/+gw=")</f>
        <v>1</v>
      </c>
      <c r="N180" t="b">
        <f>AND(DATA!S1285,"AAAAADi/+g0=")</f>
        <v>1</v>
      </c>
      <c r="O180" t="b">
        <f>AND(DATA!T1285,"AAAAADi/+g4=")</f>
        <v>1</v>
      </c>
      <c r="P180" t="b">
        <f>AND(DATA!U1285,"AAAAADi/+g8=")</f>
        <v>1</v>
      </c>
      <c r="Q180" t="e">
        <f>AND(DATA!V1285,"AAAAADi/+hA=")</f>
        <v>#VALUE!</v>
      </c>
      <c r="R180" t="e">
        <f>AND(DATA!W1284,"AAAAADi/+hE=")</f>
        <v>#VALUE!</v>
      </c>
      <c r="S180" t="e">
        <f>AND(DATA!X1284,"AAAAADi/+hI=")</f>
        <v>#VALUE!</v>
      </c>
      <c r="T180" t="e">
        <f>AND(DATA!Y1284,"AAAAADi/+hM=")</f>
        <v>#VALUE!</v>
      </c>
      <c r="U180" t="str">
        <f>IF(DATA!1285:1285,"AAAAADi/+hQ=",0)</f>
        <v>AAAAADi/+hQ=</v>
      </c>
      <c r="V180" t="e">
        <f>AND(DATA!A1285,"AAAAADi/+hU=")</f>
        <v>#VALUE!</v>
      </c>
      <c r="W180" t="e">
        <f>AND(DATA!B1285,"AAAAADi/+hY=")</f>
        <v>#VALUE!</v>
      </c>
      <c r="X180" t="e">
        <f>AND(DATA!C1285,"AAAAADi/+hc=")</f>
        <v>#VALUE!</v>
      </c>
      <c r="Y180" t="e">
        <f>AND(DATA!D1285,"AAAAADi/+hg=")</f>
        <v>#VALUE!</v>
      </c>
      <c r="Z180" t="e">
        <f>AND(DATA!E1285,"AAAAADi/+hk=")</f>
        <v>#VALUE!</v>
      </c>
      <c r="AA180" t="e">
        <f>AND(DATA!F1285,"AAAAADi/+ho=")</f>
        <v>#VALUE!</v>
      </c>
      <c r="AB180" t="e">
        <f>AND(DATA!G1285,"AAAAADi/+hs=")</f>
        <v>#VALUE!</v>
      </c>
      <c r="AC180" t="e">
        <f>AND(DATA!H1285,"AAAAADi/+hw=")</f>
        <v>#VALUE!</v>
      </c>
      <c r="AD180" t="e">
        <f>AND(DATA!I1285,"AAAAADi/+h0=")</f>
        <v>#VALUE!</v>
      </c>
      <c r="AE180" t="e">
        <f>AND(DATA!J1285,"AAAAADi/+h4=")</f>
        <v>#VALUE!</v>
      </c>
      <c r="AF180" t="e">
        <f>AND(DATA!K1285,"AAAAADi/+h8=")</f>
        <v>#VALUE!</v>
      </c>
      <c r="AG180" t="b">
        <f>AND(DATA!L1286,"AAAAADi/+iA=")</f>
        <v>1</v>
      </c>
      <c r="AH180" t="b">
        <f>AND(DATA!M1286,"AAAAADi/+iE=")</f>
        <v>1</v>
      </c>
      <c r="AI180" t="b">
        <f>AND(DATA!N1286,"AAAAADi/+iI=")</f>
        <v>1</v>
      </c>
      <c r="AJ180" t="b">
        <f>AND(DATA!O1286,"AAAAADi/+iM=")</f>
        <v>1</v>
      </c>
      <c r="AK180" t="b">
        <f>AND(DATA!P1286,"AAAAADi/+iQ=")</f>
        <v>1</v>
      </c>
      <c r="AL180" t="b">
        <f>AND(DATA!Q1286,"AAAAADi/+iU=")</f>
        <v>1</v>
      </c>
      <c r="AM180" t="b">
        <f>AND(DATA!R1286,"AAAAADi/+iY=")</f>
        <v>1</v>
      </c>
      <c r="AN180" t="b">
        <f>AND(DATA!S1286,"AAAAADi/+ic=")</f>
        <v>1</v>
      </c>
      <c r="AO180" t="b">
        <f>AND(DATA!T1286,"AAAAADi/+ig=")</f>
        <v>1</v>
      </c>
      <c r="AP180" t="b">
        <f>AND(DATA!U1286,"AAAAADi/+ik=")</f>
        <v>1</v>
      </c>
      <c r="AQ180" t="e">
        <f>AND(DATA!V1286,"AAAAADi/+io=")</f>
        <v>#VALUE!</v>
      </c>
      <c r="AR180" t="e">
        <f>AND(DATA!W1285,"AAAAADi/+is=")</f>
        <v>#VALUE!</v>
      </c>
      <c r="AS180" t="e">
        <f>AND(DATA!X1285,"AAAAADi/+iw=")</f>
        <v>#VALUE!</v>
      </c>
      <c r="AT180" t="e">
        <f>AND(DATA!Y1285,"AAAAADi/+i0=")</f>
        <v>#VALUE!</v>
      </c>
      <c r="AU180">
        <f>IF(DATA!1286:1286,"AAAAADi/+i4=",0)</f>
        <v>0</v>
      </c>
      <c r="AV180" t="e">
        <f>AND(DATA!A1286,"AAAAADi/+i8=")</f>
        <v>#VALUE!</v>
      </c>
      <c r="AW180" t="e">
        <f>AND(DATA!B1286,"AAAAADi/+jA=")</f>
        <v>#VALUE!</v>
      </c>
      <c r="AX180" t="e">
        <f>AND(DATA!C1286,"AAAAADi/+jE=")</f>
        <v>#VALUE!</v>
      </c>
      <c r="AY180" t="e">
        <f>AND(DATA!D1286,"AAAAADi/+jI=")</f>
        <v>#VALUE!</v>
      </c>
      <c r="AZ180" t="e">
        <f>AND(DATA!E1286,"AAAAADi/+jM=")</f>
        <v>#VALUE!</v>
      </c>
      <c r="BA180" t="e">
        <f>AND(DATA!F1286,"AAAAADi/+jQ=")</f>
        <v>#VALUE!</v>
      </c>
      <c r="BB180" t="e">
        <f>AND(DATA!G1286,"AAAAADi/+jU=")</f>
        <v>#VALUE!</v>
      </c>
      <c r="BC180" t="e">
        <f>AND(DATA!H1286,"AAAAADi/+jY=")</f>
        <v>#VALUE!</v>
      </c>
      <c r="BD180" t="e">
        <f>AND(DATA!I1286,"AAAAADi/+jc=")</f>
        <v>#VALUE!</v>
      </c>
      <c r="BE180" t="e">
        <f>AND(DATA!J1286,"AAAAADi/+jg=")</f>
        <v>#VALUE!</v>
      </c>
      <c r="BF180" t="e">
        <f>AND(DATA!K1286,"AAAAADi/+jk=")</f>
        <v>#VALUE!</v>
      </c>
      <c r="BG180" t="b">
        <f>AND(DATA!L1287,"AAAAADi/+jo=")</f>
        <v>1</v>
      </c>
      <c r="BH180" t="b">
        <f>AND(DATA!M1287,"AAAAADi/+js=")</f>
        <v>1</v>
      </c>
      <c r="BI180" t="b">
        <f>AND(DATA!N1287,"AAAAADi/+jw=")</f>
        <v>1</v>
      </c>
      <c r="BJ180" t="b">
        <f>AND(DATA!O1287,"AAAAADi/+j0=")</f>
        <v>1</v>
      </c>
      <c r="BK180" t="b">
        <f>AND(DATA!P1287,"AAAAADi/+j4=")</f>
        <v>1</v>
      </c>
      <c r="BL180" t="b">
        <f>AND(DATA!Q1287,"AAAAADi/+j8=")</f>
        <v>1</v>
      </c>
      <c r="BM180" t="b">
        <f>AND(DATA!R1287,"AAAAADi/+kA=")</f>
        <v>1</v>
      </c>
      <c r="BN180" t="b">
        <f>AND(DATA!S1287,"AAAAADi/+kE=")</f>
        <v>1</v>
      </c>
      <c r="BO180" t="b">
        <f>AND(DATA!T1287,"AAAAADi/+kI=")</f>
        <v>1</v>
      </c>
      <c r="BP180" t="b">
        <f>AND(DATA!U1287,"AAAAADi/+kM=")</f>
        <v>1</v>
      </c>
      <c r="BQ180" t="e">
        <f>AND(DATA!V1287,"AAAAADi/+kQ=")</f>
        <v>#VALUE!</v>
      </c>
      <c r="BR180" t="e">
        <f>AND(DATA!W1286,"AAAAADi/+kU=")</f>
        <v>#VALUE!</v>
      </c>
      <c r="BS180" t="e">
        <f>AND(DATA!X1286,"AAAAADi/+kY=")</f>
        <v>#VALUE!</v>
      </c>
      <c r="BT180" t="e">
        <f>AND(DATA!Y1286,"AAAAADi/+kc=")</f>
        <v>#VALUE!</v>
      </c>
      <c r="BU180">
        <f>IF(DATA!1287:1287,"AAAAADi/+kg=",0)</f>
        <v>0</v>
      </c>
      <c r="BV180" t="e">
        <f>AND(DATA!A1287,"AAAAADi/+kk=")</f>
        <v>#VALUE!</v>
      </c>
      <c r="BW180" t="e">
        <f>AND(DATA!B1287,"AAAAADi/+ko=")</f>
        <v>#VALUE!</v>
      </c>
      <c r="BX180" t="e">
        <f>AND(DATA!C1287,"AAAAADi/+ks=")</f>
        <v>#VALUE!</v>
      </c>
      <c r="BY180" t="e">
        <f>AND(DATA!D1287,"AAAAADi/+kw=")</f>
        <v>#VALUE!</v>
      </c>
      <c r="BZ180" t="e">
        <f>AND(DATA!E1287,"AAAAADi/+k0=")</f>
        <v>#VALUE!</v>
      </c>
      <c r="CA180" t="e">
        <f>AND(DATA!F1287,"AAAAADi/+k4=")</f>
        <v>#VALUE!</v>
      </c>
      <c r="CB180" t="e">
        <f>AND(DATA!G1287,"AAAAADi/+k8=")</f>
        <v>#VALUE!</v>
      </c>
      <c r="CC180" t="e">
        <f>AND(DATA!H1287,"AAAAADi/+lA=")</f>
        <v>#VALUE!</v>
      </c>
      <c r="CD180" t="e">
        <f>AND(DATA!I1287,"AAAAADi/+lE=")</f>
        <v>#VALUE!</v>
      </c>
      <c r="CE180" t="e">
        <f>AND(DATA!J1287,"AAAAADi/+lI=")</f>
        <v>#VALUE!</v>
      </c>
      <c r="CF180" t="e">
        <f>AND(DATA!K1287,"AAAAADi/+lM=")</f>
        <v>#VALUE!</v>
      </c>
      <c r="CG180" t="b">
        <f>AND(DATA!L1288,"AAAAADi/+lQ=")</f>
        <v>1</v>
      </c>
      <c r="CH180" t="b">
        <f>AND(DATA!M1288,"AAAAADi/+lU=")</f>
        <v>1</v>
      </c>
      <c r="CI180" t="b">
        <f>AND(DATA!N1288,"AAAAADi/+lY=")</f>
        <v>1</v>
      </c>
      <c r="CJ180" t="b">
        <f>AND(DATA!O1288,"AAAAADi/+lc=")</f>
        <v>1</v>
      </c>
      <c r="CK180" t="b">
        <f>AND(DATA!P1288,"AAAAADi/+lg=")</f>
        <v>1</v>
      </c>
      <c r="CL180" t="b">
        <f>AND(DATA!Q1288,"AAAAADi/+lk=")</f>
        <v>1</v>
      </c>
      <c r="CM180" t="b">
        <f>AND(DATA!R1288,"AAAAADi/+lo=")</f>
        <v>1</v>
      </c>
      <c r="CN180" t="b">
        <f>AND(DATA!S1288,"AAAAADi/+ls=")</f>
        <v>1</v>
      </c>
      <c r="CO180" t="b">
        <f>AND(DATA!T1288,"AAAAADi/+lw=")</f>
        <v>1</v>
      </c>
      <c r="CP180" t="b">
        <f>AND(DATA!U1288,"AAAAADi/+l0=")</f>
        <v>1</v>
      </c>
      <c r="CQ180" t="e">
        <f>AND(DATA!V1288,"AAAAADi/+l4=")</f>
        <v>#VALUE!</v>
      </c>
      <c r="CR180" t="e">
        <f>AND(DATA!W1287,"AAAAADi/+l8=")</f>
        <v>#VALUE!</v>
      </c>
      <c r="CS180" t="e">
        <f>AND(DATA!X1287,"AAAAADi/+mA=")</f>
        <v>#VALUE!</v>
      </c>
      <c r="CT180" t="e">
        <f>AND(DATA!Y1287,"AAAAADi/+mE=")</f>
        <v>#VALUE!</v>
      </c>
      <c r="CU180">
        <f>IF(DATA!1288:1288,"AAAAADi/+mI=",0)</f>
        <v>0</v>
      </c>
      <c r="CV180" t="e">
        <f>AND(DATA!A1288,"AAAAADi/+mM=")</f>
        <v>#VALUE!</v>
      </c>
      <c r="CW180" t="e">
        <f>AND(DATA!B1288,"AAAAADi/+mQ=")</f>
        <v>#VALUE!</v>
      </c>
      <c r="CX180" t="e">
        <f>AND(DATA!C1288,"AAAAADi/+mU=")</f>
        <v>#VALUE!</v>
      </c>
      <c r="CY180" t="e">
        <f>AND(DATA!D1288,"AAAAADi/+mY=")</f>
        <v>#VALUE!</v>
      </c>
      <c r="CZ180" t="e">
        <f>AND(DATA!E1288,"AAAAADi/+mc=")</f>
        <v>#VALUE!</v>
      </c>
      <c r="DA180" t="e">
        <f>AND(DATA!F1288,"AAAAADi/+mg=")</f>
        <v>#VALUE!</v>
      </c>
      <c r="DB180" t="e">
        <f>AND(DATA!G1288,"AAAAADi/+mk=")</f>
        <v>#VALUE!</v>
      </c>
      <c r="DC180" t="e">
        <f>AND(DATA!H1288,"AAAAADi/+mo=")</f>
        <v>#VALUE!</v>
      </c>
      <c r="DD180" t="e">
        <f>AND(DATA!I1288,"AAAAADi/+ms=")</f>
        <v>#VALUE!</v>
      </c>
      <c r="DE180" t="e">
        <f>AND(DATA!J1288,"AAAAADi/+mw=")</f>
        <v>#VALUE!</v>
      </c>
      <c r="DF180" t="e">
        <f>AND(DATA!K1288,"AAAAADi/+m0=")</f>
        <v>#VALUE!</v>
      </c>
      <c r="DG180" t="b">
        <f>AND(DATA!L1289,"AAAAADi/+m4=")</f>
        <v>1</v>
      </c>
      <c r="DH180" t="b">
        <f>AND(DATA!M1289,"AAAAADi/+m8=")</f>
        <v>1</v>
      </c>
      <c r="DI180" t="b">
        <f>AND(DATA!N1289,"AAAAADi/+nA=")</f>
        <v>1</v>
      </c>
      <c r="DJ180" t="b">
        <f>AND(DATA!O1289,"AAAAADi/+nE=")</f>
        <v>1</v>
      </c>
      <c r="DK180" t="b">
        <f>AND(DATA!P1289,"AAAAADi/+nI=")</f>
        <v>1</v>
      </c>
      <c r="DL180" t="b">
        <f>AND(DATA!Q1289,"AAAAADi/+nM=")</f>
        <v>1</v>
      </c>
      <c r="DM180" t="b">
        <f>AND(DATA!R1289,"AAAAADi/+nQ=")</f>
        <v>1</v>
      </c>
      <c r="DN180" t="b">
        <f>AND(DATA!S1289,"AAAAADi/+nU=")</f>
        <v>1</v>
      </c>
      <c r="DO180" t="b">
        <f>AND(DATA!T1289,"AAAAADi/+nY=")</f>
        <v>1</v>
      </c>
      <c r="DP180" t="b">
        <f>AND(DATA!U1289,"AAAAADi/+nc=")</f>
        <v>1</v>
      </c>
      <c r="DQ180" t="e">
        <f>AND(DATA!V1289,"AAAAADi/+ng=")</f>
        <v>#VALUE!</v>
      </c>
      <c r="DR180" t="e">
        <f>AND(DATA!W1288,"AAAAADi/+nk=")</f>
        <v>#VALUE!</v>
      </c>
      <c r="DS180" t="e">
        <f>AND(DATA!X1288,"AAAAADi/+no=")</f>
        <v>#VALUE!</v>
      </c>
      <c r="DT180" t="e">
        <f>AND(DATA!Y1288,"AAAAADi/+ns=")</f>
        <v>#VALUE!</v>
      </c>
      <c r="DU180">
        <f>IF(DATA!1289:1289,"AAAAADi/+nw=",0)</f>
        <v>0</v>
      </c>
      <c r="DV180" t="e">
        <f>AND(DATA!A1289,"AAAAADi/+n0=")</f>
        <v>#VALUE!</v>
      </c>
      <c r="DW180" t="e">
        <f>AND(DATA!B1289,"AAAAADi/+n4=")</f>
        <v>#VALUE!</v>
      </c>
      <c r="DX180" t="e">
        <f>AND(DATA!C1289,"AAAAADi/+n8=")</f>
        <v>#VALUE!</v>
      </c>
      <c r="DY180" t="e">
        <f>AND(DATA!D1289,"AAAAADi/+oA=")</f>
        <v>#VALUE!</v>
      </c>
      <c r="DZ180" t="e">
        <f>AND(DATA!E1289,"AAAAADi/+oE=")</f>
        <v>#VALUE!</v>
      </c>
      <c r="EA180" t="e">
        <f>AND(DATA!F1289,"AAAAADi/+oI=")</f>
        <v>#VALUE!</v>
      </c>
      <c r="EB180" t="e">
        <f>AND(DATA!G1289,"AAAAADi/+oM=")</f>
        <v>#VALUE!</v>
      </c>
      <c r="EC180" t="e">
        <f>AND(DATA!H1289,"AAAAADi/+oQ=")</f>
        <v>#VALUE!</v>
      </c>
      <c r="ED180" t="e">
        <f>AND(DATA!I1289,"AAAAADi/+oU=")</f>
        <v>#VALUE!</v>
      </c>
      <c r="EE180" t="e">
        <f>AND(DATA!J1289,"AAAAADi/+oY=")</f>
        <v>#VALUE!</v>
      </c>
      <c r="EF180" t="e">
        <f>AND(DATA!K1289,"AAAAADi/+oc=")</f>
        <v>#VALUE!</v>
      </c>
      <c r="EG180" t="b">
        <f>AND(DATA!L1290,"AAAAADi/+og=")</f>
        <v>1</v>
      </c>
      <c r="EH180" t="b">
        <f>AND(DATA!M1290,"AAAAADi/+ok=")</f>
        <v>1</v>
      </c>
      <c r="EI180" t="b">
        <f>AND(DATA!N1290,"AAAAADi/+oo=")</f>
        <v>1</v>
      </c>
      <c r="EJ180" t="b">
        <f>AND(DATA!O1290,"AAAAADi/+os=")</f>
        <v>1</v>
      </c>
      <c r="EK180" t="b">
        <f>AND(DATA!P1290,"AAAAADi/+ow=")</f>
        <v>1</v>
      </c>
      <c r="EL180" t="b">
        <f>AND(DATA!Q1290,"AAAAADi/+o0=")</f>
        <v>1</v>
      </c>
      <c r="EM180" t="b">
        <f>AND(DATA!R1290,"AAAAADi/+o4=")</f>
        <v>1</v>
      </c>
      <c r="EN180" t="b">
        <f>AND(DATA!S1290,"AAAAADi/+o8=")</f>
        <v>1</v>
      </c>
      <c r="EO180" t="b">
        <f>AND(DATA!T1290,"AAAAADi/+pA=")</f>
        <v>1</v>
      </c>
      <c r="EP180" t="b">
        <f>AND(DATA!U1290,"AAAAADi/+pE=")</f>
        <v>1</v>
      </c>
      <c r="EQ180" t="e">
        <f>AND(DATA!V1290,"AAAAADi/+pI=")</f>
        <v>#VALUE!</v>
      </c>
      <c r="ER180" t="e">
        <f>AND(DATA!W1289,"AAAAADi/+pM=")</f>
        <v>#VALUE!</v>
      </c>
      <c r="ES180" t="e">
        <f>AND(DATA!X1289,"AAAAADi/+pQ=")</f>
        <v>#VALUE!</v>
      </c>
      <c r="ET180" t="e">
        <f>AND(DATA!Y1289,"AAAAADi/+pU=")</f>
        <v>#VALUE!</v>
      </c>
      <c r="EU180">
        <f>IF(DATA!1290:1290,"AAAAADi/+pY=",0)</f>
        <v>0</v>
      </c>
      <c r="EV180" t="e">
        <f>AND(DATA!A1290,"AAAAADi/+pc=")</f>
        <v>#VALUE!</v>
      </c>
      <c r="EW180" t="e">
        <f>AND(DATA!B1290,"AAAAADi/+pg=")</f>
        <v>#VALUE!</v>
      </c>
      <c r="EX180" t="e">
        <f>AND(DATA!C1290,"AAAAADi/+pk=")</f>
        <v>#VALUE!</v>
      </c>
      <c r="EY180" t="e">
        <f>AND(DATA!D1290,"AAAAADi/+po=")</f>
        <v>#VALUE!</v>
      </c>
      <c r="EZ180" t="e">
        <f>AND(DATA!E1290,"AAAAADi/+ps=")</f>
        <v>#VALUE!</v>
      </c>
      <c r="FA180" t="e">
        <f>AND(DATA!F1290,"AAAAADi/+pw=")</f>
        <v>#VALUE!</v>
      </c>
      <c r="FB180" t="e">
        <f>AND(DATA!G1290,"AAAAADi/+p0=")</f>
        <v>#VALUE!</v>
      </c>
      <c r="FC180" t="e">
        <f>AND(DATA!H1290,"AAAAADi/+p4=")</f>
        <v>#VALUE!</v>
      </c>
      <c r="FD180" t="e">
        <f>AND(DATA!I1290,"AAAAADi/+p8=")</f>
        <v>#VALUE!</v>
      </c>
      <c r="FE180" t="e">
        <f>AND(DATA!J1290,"AAAAADi/+qA=")</f>
        <v>#VALUE!</v>
      </c>
      <c r="FF180" t="e">
        <f>AND(DATA!K1290,"AAAAADi/+qE=")</f>
        <v>#VALUE!</v>
      </c>
      <c r="FG180" t="b">
        <f>AND(DATA!L1291,"AAAAADi/+qI=")</f>
        <v>1</v>
      </c>
      <c r="FH180" t="b">
        <f>AND(DATA!M1291,"AAAAADi/+qM=")</f>
        <v>1</v>
      </c>
      <c r="FI180" t="b">
        <f>AND(DATA!N1291,"AAAAADi/+qQ=")</f>
        <v>1</v>
      </c>
      <c r="FJ180" t="b">
        <f>AND(DATA!O1291,"AAAAADi/+qU=")</f>
        <v>1</v>
      </c>
      <c r="FK180" t="b">
        <f>AND(DATA!P1291,"AAAAADi/+qY=")</f>
        <v>1</v>
      </c>
      <c r="FL180" t="b">
        <f>AND(DATA!Q1291,"AAAAADi/+qc=")</f>
        <v>1</v>
      </c>
      <c r="FM180" t="b">
        <f>AND(DATA!R1291,"AAAAADi/+qg=")</f>
        <v>1</v>
      </c>
      <c r="FN180" t="b">
        <f>AND(DATA!S1291,"AAAAADi/+qk=")</f>
        <v>1</v>
      </c>
      <c r="FO180" t="b">
        <f>AND(DATA!T1291,"AAAAADi/+qo=")</f>
        <v>1</v>
      </c>
      <c r="FP180" t="b">
        <f>AND(DATA!U1291,"AAAAADi/+qs=")</f>
        <v>1</v>
      </c>
      <c r="FQ180" t="e">
        <f>AND(DATA!V1291,"AAAAADi/+qw=")</f>
        <v>#VALUE!</v>
      </c>
      <c r="FR180" t="e">
        <f>AND(DATA!W1290,"AAAAADi/+q0=")</f>
        <v>#VALUE!</v>
      </c>
      <c r="FS180" t="e">
        <f>AND(DATA!X1290,"AAAAADi/+q4=")</f>
        <v>#VALUE!</v>
      </c>
      <c r="FT180" t="e">
        <f>AND(DATA!Y1290,"AAAAADi/+q8=")</f>
        <v>#VALUE!</v>
      </c>
      <c r="FU180">
        <f>IF(DATA!1291:1291,"AAAAADi/+rA=",0)</f>
        <v>0</v>
      </c>
      <c r="FV180" t="e">
        <f>AND(DATA!A1291,"AAAAADi/+rE=")</f>
        <v>#VALUE!</v>
      </c>
      <c r="FW180" t="e">
        <f>AND(DATA!B1291,"AAAAADi/+rI=")</f>
        <v>#VALUE!</v>
      </c>
      <c r="FX180" t="e">
        <f>AND(DATA!C1291,"AAAAADi/+rM=")</f>
        <v>#VALUE!</v>
      </c>
      <c r="FY180" t="e">
        <f>AND(DATA!D1291,"AAAAADi/+rQ=")</f>
        <v>#VALUE!</v>
      </c>
      <c r="FZ180" t="e">
        <f>AND(DATA!E1291,"AAAAADi/+rU=")</f>
        <v>#VALUE!</v>
      </c>
      <c r="GA180" t="e">
        <f>AND(DATA!F1291,"AAAAADi/+rY=")</f>
        <v>#VALUE!</v>
      </c>
      <c r="GB180" t="e">
        <f>AND(DATA!G1291,"AAAAADi/+rc=")</f>
        <v>#VALUE!</v>
      </c>
      <c r="GC180" t="e">
        <f>AND(DATA!H1291,"AAAAADi/+rg=")</f>
        <v>#VALUE!</v>
      </c>
      <c r="GD180" t="e">
        <f>AND(DATA!I1291,"AAAAADi/+rk=")</f>
        <v>#VALUE!</v>
      </c>
      <c r="GE180" t="e">
        <f>AND(DATA!J1291,"AAAAADi/+ro=")</f>
        <v>#VALUE!</v>
      </c>
      <c r="GF180" t="e">
        <f>AND(DATA!K1291,"AAAAADi/+rs=")</f>
        <v>#VALUE!</v>
      </c>
      <c r="GG180" t="b">
        <f>AND(DATA!L1292,"AAAAADi/+rw=")</f>
        <v>1</v>
      </c>
      <c r="GH180" t="b">
        <f>AND(DATA!M1292,"AAAAADi/+r0=")</f>
        <v>1</v>
      </c>
      <c r="GI180" t="b">
        <f>AND(DATA!N1292,"AAAAADi/+r4=")</f>
        <v>1</v>
      </c>
      <c r="GJ180" t="b">
        <f>AND(DATA!O1292,"AAAAADi/+r8=")</f>
        <v>1</v>
      </c>
      <c r="GK180" t="b">
        <f>AND(DATA!P1292,"AAAAADi/+sA=")</f>
        <v>1</v>
      </c>
      <c r="GL180" t="b">
        <f>AND(DATA!Q1292,"AAAAADi/+sE=")</f>
        <v>1</v>
      </c>
      <c r="GM180" t="b">
        <f>AND(DATA!R1292,"AAAAADi/+sI=")</f>
        <v>1</v>
      </c>
      <c r="GN180" t="b">
        <f>AND(DATA!S1292,"AAAAADi/+sM=")</f>
        <v>1</v>
      </c>
      <c r="GO180" t="b">
        <f>AND(DATA!T1292,"AAAAADi/+sQ=")</f>
        <v>1</v>
      </c>
      <c r="GP180" t="b">
        <f>AND(DATA!U1292,"AAAAADi/+sU=")</f>
        <v>1</v>
      </c>
      <c r="GQ180" t="e">
        <f>AND(DATA!V1292,"AAAAADi/+sY=")</f>
        <v>#VALUE!</v>
      </c>
      <c r="GR180" t="e">
        <f>AND(DATA!W1291,"AAAAADi/+sc=")</f>
        <v>#VALUE!</v>
      </c>
      <c r="GS180" t="e">
        <f>AND(DATA!X1291,"AAAAADi/+sg=")</f>
        <v>#VALUE!</v>
      </c>
      <c r="GT180" t="e">
        <f>AND(DATA!Y1291,"AAAAADi/+sk=")</f>
        <v>#VALUE!</v>
      </c>
      <c r="GU180">
        <f>IF(DATA!1292:1292,"AAAAADi/+so=",0)</f>
        <v>0</v>
      </c>
      <c r="GV180" t="e">
        <f>AND(DATA!A1292,"AAAAADi/+ss=")</f>
        <v>#VALUE!</v>
      </c>
      <c r="GW180" t="e">
        <f>AND(DATA!B1292,"AAAAADi/+sw=")</f>
        <v>#VALUE!</v>
      </c>
      <c r="GX180" t="e">
        <f>AND(DATA!C1292,"AAAAADi/+s0=")</f>
        <v>#VALUE!</v>
      </c>
      <c r="GY180" t="e">
        <f>AND(DATA!D1292,"AAAAADi/+s4=")</f>
        <v>#VALUE!</v>
      </c>
      <c r="GZ180" t="e">
        <f>AND(DATA!E1292,"AAAAADi/+s8=")</f>
        <v>#VALUE!</v>
      </c>
      <c r="HA180" t="e">
        <f>AND(DATA!F1292,"AAAAADi/+tA=")</f>
        <v>#VALUE!</v>
      </c>
      <c r="HB180" t="e">
        <f>AND(DATA!G1292,"AAAAADi/+tE=")</f>
        <v>#VALUE!</v>
      </c>
      <c r="HC180" t="e">
        <f>AND(DATA!H1292,"AAAAADi/+tI=")</f>
        <v>#VALUE!</v>
      </c>
      <c r="HD180" t="e">
        <f>AND(DATA!I1292,"AAAAADi/+tM=")</f>
        <v>#VALUE!</v>
      </c>
      <c r="HE180" t="e">
        <f>AND(DATA!J1292,"AAAAADi/+tQ=")</f>
        <v>#VALUE!</v>
      </c>
      <c r="HF180" t="e">
        <f>AND(DATA!K1292,"AAAAADi/+tU=")</f>
        <v>#VALUE!</v>
      </c>
      <c r="HG180" t="b">
        <f>AND(DATA!L1293,"AAAAADi/+tY=")</f>
        <v>1</v>
      </c>
      <c r="HH180" t="b">
        <f>AND(DATA!M1293,"AAAAADi/+tc=")</f>
        <v>1</v>
      </c>
      <c r="HI180" t="b">
        <f>AND(DATA!N1293,"AAAAADi/+tg=")</f>
        <v>1</v>
      </c>
      <c r="HJ180" t="b">
        <f>AND(DATA!O1293,"AAAAADi/+tk=")</f>
        <v>1</v>
      </c>
      <c r="HK180" t="b">
        <f>AND(DATA!P1293,"AAAAADi/+to=")</f>
        <v>1</v>
      </c>
      <c r="HL180" t="b">
        <f>AND(DATA!Q1293,"AAAAADi/+ts=")</f>
        <v>1</v>
      </c>
      <c r="HM180" t="b">
        <f>AND(DATA!R1293,"AAAAADi/+tw=")</f>
        <v>1</v>
      </c>
      <c r="HN180" t="b">
        <f>AND(DATA!S1293,"AAAAADi/+t0=")</f>
        <v>1</v>
      </c>
      <c r="HO180" t="b">
        <f>AND(DATA!T1293,"AAAAADi/+t4=")</f>
        <v>1</v>
      </c>
      <c r="HP180" t="b">
        <f>AND(DATA!U1293,"AAAAADi/+t8=")</f>
        <v>1</v>
      </c>
      <c r="HQ180" t="e">
        <f>AND(DATA!V1293,"AAAAADi/+uA=")</f>
        <v>#VALUE!</v>
      </c>
      <c r="HR180" t="e">
        <f>AND(DATA!W1292,"AAAAADi/+uE=")</f>
        <v>#VALUE!</v>
      </c>
      <c r="HS180" t="e">
        <f>AND(DATA!X1292,"AAAAADi/+uI=")</f>
        <v>#VALUE!</v>
      </c>
      <c r="HT180" t="e">
        <f>AND(DATA!Y1292,"AAAAADi/+uM=")</f>
        <v>#VALUE!</v>
      </c>
      <c r="HU180">
        <f>IF(DATA!1293:1293,"AAAAADi/+uQ=",0)</f>
        <v>0</v>
      </c>
      <c r="HV180" t="e">
        <f>AND(DATA!A1293,"AAAAADi/+uU=")</f>
        <v>#VALUE!</v>
      </c>
      <c r="HW180" t="e">
        <f>AND(DATA!B1293,"AAAAADi/+uY=")</f>
        <v>#VALUE!</v>
      </c>
      <c r="HX180" t="e">
        <f>AND(DATA!C1293,"AAAAADi/+uc=")</f>
        <v>#VALUE!</v>
      </c>
      <c r="HY180" t="e">
        <f>AND(DATA!D1293,"AAAAADi/+ug=")</f>
        <v>#VALUE!</v>
      </c>
      <c r="HZ180" t="e">
        <f>AND(DATA!E1293,"AAAAADi/+uk=")</f>
        <v>#VALUE!</v>
      </c>
      <c r="IA180" t="e">
        <f>AND(DATA!F1293,"AAAAADi/+uo=")</f>
        <v>#VALUE!</v>
      </c>
      <c r="IB180" t="e">
        <f>AND(DATA!G1293,"AAAAADi/+us=")</f>
        <v>#VALUE!</v>
      </c>
      <c r="IC180" t="e">
        <f>AND(DATA!H1293,"AAAAADi/+uw=")</f>
        <v>#VALUE!</v>
      </c>
      <c r="ID180" t="e">
        <f>AND(DATA!I1293,"AAAAADi/+u0=")</f>
        <v>#VALUE!</v>
      </c>
      <c r="IE180" t="e">
        <f>AND(DATA!J1293,"AAAAADi/+u4=")</f>
        <v>#VALUE!</v>
      </c>
      <c r="IF180" t="e">
        <f>AND(DATA!K1293,"AAAAADi/+u8=")</f>
        <v>#VALUE!</v>
      </c>
      <c r="IG180" t="b">
        <f>AND(DATA!L1294,"AAAAADi/+vA=")</f>
        <v>1</v>
      </c>
      <c r="IH180" t="b">
        <f>AND(DATA!M1294,"AAAAADi/+vE=")</f>
        <v>1</v>
      </c>
      <c r="II180" t="b">
        <f>AND(DATA!N1294,"AAAAADi/+vI=")</f>
        <v>1</v>
      </c>
      <c r="IJ180" t="b">
        <f>AND(DATA!O1294,"AAAAADi/+vM=")</f>
        <v>1</v>
      </c>
      <c r="IK180" t="b">
        <f>AND(DATA!P1294,"AAAAADi/+vQ=")</f>
        <v>1</v>
      </c>
      <c r="IL180" t="b">
        <f>AND(DATA!Q1294,"AAAAADi/+vU=")</f>
        <v>1</v>
      </c>
      <c r="IM180" t="b">
        <f>AND(DATA!R1294,"AAAAADi/+vY=")</f>
        <v>1</v>
      </c>
      <c r="IN180" t="b">
        <f>AND(DATA!S1294,"AAAAADi/+vc=")</f>
        <v>1</v>
      </c>
      <c r="IO180" t="b">
        <f>AND(DATA!T1294,"AAAAADi/+vg=")</f>
        <v>1</v>
      </c>
      <c r="IP180" t="b">
        <f>AND(DATA!U1294,"AAAAADi/+vk=")</f>
        <v>1</v>
      </c>
      <c r="IQ180" t="e">
        <f>AND(DATA!V1294,"AAAAADi/+vo=")</f>
        <v>#VALUE!</v>
      </c>
      <c r="IR180" t="e">
        <f>AND(DATA!W1293,"AAAAADi/+vs=")</f>
        <v>#VALUE!</v>
      </c>
      <c r="IS180" t="e">
        <f>AND(DATA!X1293,"AAAAADi/+vw=")</f>
        <v>#VALUE!</v>
      </c>
      <c r="IT180" t="e">
        <f>AND(DATA!Y1293,"AAAAADi/+v0=")</f>
        <v>#VALUE!</v>
      </c>
      <c r="IU180">
        <f>IF(DATA!1294:1294,"AAAAADi/+v4=",0)</f>
        <v>0</v>
      </c>
      <c r="IV180" t="e">
        <f>AND(DATA!A1294,"AAAAADi/+v8=")</f>
        <v>#VALUE!</v>
      </c>
    </row>
    <row r="181" spans="1:256" x14ac:dyDescent="0.25">
      <c r="A181" t="e">
        <f>AND(DATA!B1294,"AAAAADuv/gA=")</f>
        <v>#VALUE!</v>
      </c>
      <c r="B181" t="e">
        <f>AND(DATA!C1294,"AAAAADuv/gE=")</f>
        <v>#VALUE!</v>
      </c>
      <c r="C181" t="e">
        <f>AND(DATA!D1294,"AAAAADuv/gI=")</f>
        <v>#VALUE!</v>
      </c>
      <c r="D181" t="e">
        <f>AND(DATA!E1294,"AAAAADuv/gM=")</f>
        <v>#VALUE!</v>
      </c>
      <c r="E181" t="e">
        <f>AND(DATA!F1294,"AAAAADuv/gQ=")</f>
        <v>#VALUE!</v>
      </c>
      <c r="F181" t="e">
        <f>AND(DATA!G1294,"AAAAADuv/gU=")</f>
        <v>#VALUE!</v>
      </c>
      <c r="G181" t="e">
        <f>AND(DATA!H1294,"AAAAADuv/gY=")</f>
        <v>#VALUE!</v>
      </c>
      <c r="H181" t="e">
        <f>AND(DATA!I1294,"AAAAADuv/gc=")</f>
        <v>#VALUE!</v>
      </c>
      <c r="I181" t="e">
        <f>AND(DATA!J1294,"AAAAADuv/gg=")</f>
        <v>#VALUE!</v>
      </c>
      <c r="J181" t="e">
        <f>AND(DATA!K1294,"AAAAADuv/gk=")</f>
        <v>#VALUE!</v>
      </c>
      <c r="K181" t="b">
        <f>AND(DATA!L1295,"AAAAADuv/go=")</f>
        <v>1</v>
      </c>
      <c r="L181" t="b">
        <f>AND(DATA!M1295,"AAAAADuv/gs=")</f>
        <v>1</v>
      </c>
      <c r="M181" t="b">
        <f>AND(DATA!N1295,"AAAAADuv/gw=")</f>
        <v>1</v>
      </c>
      <c r="N181" t="b">
        <f>AND(DATA!O1295,"AAAAADuv/g0=")</f>
        <v>1</v>
      </c>
      <c r="O181" t="b">
        <f>AND(DATA!P1295,"AAAAADuv/g4=")</f>
        <v>1</v>
      </c>
      <c r="P181" t="b">
        <f>AND(DATA!Q1295,"AAAAADuv/g8=")</f>
        <v>1</v>
      </c>
      <c r="Q181" t="b">
        <f>AND(DATA!R1295,"AAAAADuv/hA=")</f>
        <v>1</v>
      </c>
      <c r="R181" t="b">
        <f>AND(DATA!S1295,"AAAAADuv/hE=")</f>
        <v>1</v>
      </c>
      <c r="S181" t="b">
        <f>AND(DATA!T1295,"AAAAADuv/hI=")</f>
        <v>1</v>
      </c>
      <c r="T181" t="b">
        <f>AND(DATA!U1295,"AAAAADuv/hM=")</f>
        <v>1</v>
      </c>
      <c r="U181" t="e">
        <f>AND(DATA!V1295,"AAAAADuv/hQ=")</f>
        <v>#VALUE!</v>
      </c>
      <c r="V181" t="e">
        <f>AND(DATA!W1294,"AAAAADuv/hU=")</f>
        <v>#VALUE!</v>
      </c>
      <c r="W181" t="e">
        <f>AND(DATA!X1294,"AAAAADuv/hY=")</f>
        <v>#VALUE!</v>
      </c>
      <c r="X181" t="e">
        <f>AND(DATA!Y1294,"AAAAADuv/hc=")</f>
        <v>#VALUE!</v>
      </c>
      <c r="Y181">
        <f>IF(DATA!1295:1295,"AAAAADuv/hg=",0)</f>
        <v>0</v>
      </c>
      <c r="Z181" t="e">
        <f>AND(DATA!A1295,"AAAAADuv/hk=")</f>
        <v>#VALUE!</v>
      </c>
      <c r="AA181" t="e">
        <f>AND(DATA!B1295,"AAAAADuv/ho=")</f>
        <v>#VALUE!</v>
      </c>
      <c r="AB181" t="e">
        <f>AND(DATA!C1295,"AAAAADuv/hs=")</f>
        <v>#VALUE!</v>
      </c>
      <c r="AC181" t="e">
        <f>AND(DATA!D1295,"AAAAADuv/hw=")</f>
        <v>#VALUE!</v>
      </c>
      <c r="AD181" t="e">
        <f>AND(DATA!E1295,"AAAAADuv/h0=")</f>
        <v>#VALUE!</v>
      </c>
      <c r="AE181" t="e">
        <f>AND(DATA!F1295,"AAAAADuv/h4=")</f>
        <v>#VALUE!</v>
      </c>
      <c r="AF181" t="e">
        <f>AND(DATA!G1295,"AAAAADuv/h8=")</f>
        <v>#VALUE!</v>
      </c>
      <c r="AG181" t="e">
        <f>AND(DATA!H1295,"AAAAADuv/iA=")</f>
        <v>#VALUE!</v>
      </c>
      <c r="AH181" t="e">
        <f>AND(DATA!I1295,"AAAAADuv/iE=")</f>
        <v>#VALUE!</v>
      </c>
      <c r="AI181" t="e">
        <f>AND(DATA!J1295,"AAAAADuv/iI=")</f>
        <v>#VALUE!</v>
      </c>
      <c r="AJ181" t="e">
        <f>AND(DATA!K1295,"AAAAADuv/iM=")</f>
        <v>#VALUE!</v>
      </c>
      <c r="AK181" t="b">
        <f>AND(DATA!L1296,"AAAAADuv/iQ=")</f>
        <v>1</v>
      </c>
      <c r="AL181" t="b">
        <f>AND(DATA!M1296,"AAAAADuv/iU=")</f>
        <v>1</v>
      </c>
      <c r="AM181" t="b">
        <f>AND(DATA!N1296,"AAAAADuv/iY=")</f>
        <v>1</v>
      </c>
      <c r="AN181" t="b">
        <f>AND(DATA!O1296,"AAAAADuv/ic=")</f>
        <v>1</v>
      </c>
      <c r="AO181" t="b">
        <f>AND(DATA!P1296,"AAAAADuv/ig=")</f>
        <v>1</v>
      </c>
      <c r="AP181" t="b">
        <f>AND(DATA!Q1296,"AAAAADuv/ik=")</f>
        <v>1</v>
      </c>
      <c r="AQ181" t="b">
        <f>AND(DATA!R1296,"AAAAADuv/io=")</f>
        <v>1</v>
      </c>
      <c r="AR181" t="b">
        <f>AND(DATA!S1296,"AAAAADuv/is=")</f>
        <v>1</v>
      </c>
      <c r="AS181" t="b">
        <f>AND(DATA!T1296,"AAAAADuv/iw=")</f>
        <v>1</v>
      </c>
      <c r="AT181" t="b">
        <f>AND(DATA!U1296,"AAAAADuv/i0=")</f>
        <v>1</v>
      </c>
      <c r="AU181" t="e">
        <f>AND(DATA!V1296,"AAAAADuv/i4=")</f>
        <v>#VALUE!</v>
      </c>
      <c r="AV181" t="e">
        <f>AND(DATA!W1295,"AAAAADuv/i8=")</f>
        <v>#VALUE!</v>
      </c>
      <c r="AW181" t="e">
        <f>AND(DATA!X1295,"AAAAADuv/jA=")</f>
        <v>#VALUE!</v>
      </c>
      <c r="AX181" t="e">
        <f>AND(DATA!Y1295,"AAAAADuv/jE=")</f>
        <v>#VALUE!</v>
      </c>
      <c r="AY181">
        <f>IF(DATA!1296:1296,"AAAAADuv/jI=",0)</f>
        <v>0</v>
      </c>
      <c r="AZ181" t="e">
        <f>AND(DATA!A1296,"AAAAADuv/jM=")</f>
        <v>#VALUE!</v>
      </c>
      <c r="BA181" t="e">
        <f>AND(DATA!B1296,"AAAAADuv/jQ=")</f>
        <v>#VALUE!</v>
      </c>
      <c r="BB181" t="e">
        <f>AND(DATA!C1296,"AAAAADuv/jU=")</f>
        <v>#VALUE!</v>
      </c>
      <c r="BC181" t="e">
        <f>AND(DATA!D1296,"AAAAADuv/jY=")</f>
        <v>#VALUE!</v>
      </c>
      <c r="BD181" t="e">
        <f>AND(DATA!E1296,"AAAAADuv/jc=")</f>
        <v>#VALUE!</v>
      </c>
      <c r="BE181" t="e">
        <f>AND(DATA!F1296,"AAAAADuv/jg=")</f>
        <v>#VALUE!</v>
      </c>
      <c r="BF181" t="e">
        <f>AND(DATA!G1296,"AAAAADuv/jk=")</f>
        <v>#VALUE!</v>
      </c>
      <c r="BG181" t="e">
        <f>AND(DATA!H1296,"AAAAADuv/jo=")</f>
        <v>#VALUE!</v>
      </c>
      <c r="BH181" t="e">
        <f>AND(DATA!I1296,"AAAAADuv/js=")</f>
        <v>#VALUE!</v>
      </c>
      <c r="BI181" t="e">
        <f>AND(DATA!J1296,"AAAAADuv/jw=")</f>
        <v>#VALUE!</v>
      </c>
      <c r="BJ181" t="e">
        <f>AND(DATA!K1296,"AAAAADuv/j0=")</f>
        <v>#VALUE!</v>
      </c>
      <c r="BK181" t="b">
        <f>AND(DATA!L1297,"AAAAADuv/j4=")</f>
        <v>1</v>
      </c>
      <c r="BL181" t="b">
        <f>AND(DATA!M1297,"AAAAADuv/j8=")</f>
        <v>1</v>
      </c>
      <c r="BM181" t="b">
        <f>AND(DATA!N1297,"AAAAADuv/kA=")</f>
        <v>1</v>
      </c>
      <c r="BN181" t="b">
        <f>AND(DATA!O1297,"AAAAADuv/kE=")</f>
        <v>1</v>
      </c>
      <c r="BO181" t="b">
        <f>AND(DATA!P1297,"AAAAADuv/kI=")</f>
        <v>1</v>
      </c>
      <c r="BP181" t="b">
        <f>AND(DATA!Q1297,"AAAAADuv/kM=")</f>
        <v>1</v>
      </c>
      <c r="BQ181" t="b">
        <f>AND(DATA!R1297,"AAAAADuv/kQ=")</f>
        <v>1</v>
      </c>
      <c r="BR181" t="b">
        <f>AND(DATA!S1297,"AAAAADuv/kU=")</f>
        <v>1</v>
      </c>
      <c r="BS181" t="b">
        <f>AND(DATA!T1297,"AAAAADuv/kY=")</f>
        <v>1</v>
      </c>
      <c r="BT181" t="b">
        <f>AND(DATA!U1297,"AAAAADuv/kc=")</f>
        <v>1</v>
      </c>
      <c r="BU181" t="e">
        <f>AND(DATA!V1297,"AAAAADuv/kg=")</f>
        <v>#VALUE!</v>
      </c>
      <c r="BV181" t="e">
        <f>AND(DATA!W1296,"AAAAADuv/kk=")</f>
        <v>#VALUE!</v>
      </c>
      <c r="BW181" t="e">
        <f>AND(DATA!X1296,"AAAAADuv/ko=")</f>
        <v>#VALUE!</v>
      </c>
      <c r="BX181" t="e">
        <f>AND(DATA!Y1296,"AAAAADuv/ks=")</f>
        <v>#VALUE!</v>
      </c>
      <c r="BY181">
        <f>IF(DATA!1297:1297,"AAAAADuv/kw=",0)</f>
        <v>0</v>
      </c>
      <c r="BZ181" t="e">
        <f>AND(DATA!A1297,"AAAAADuv/k0=")</f>
        <v>#VALUE!</v>
      </c>
      <c r="CA181" t="e">
        <f>AND(DATA!B1297,"AAAAADuv/k4=")</f>
        <v>#VALUE!</v>
      </c>
      <c r="CB181" t="e">
        <f>AND(DATA!C1297,"AAAAADuv/k8=")</f>
        <v>#VALUE!</v>
      </c>
      <c r="CC181" t="e">
        <f>AND(DATA!D1297,"AAAAADuv/lA=")</f>
        <v>#VALUE!</v>
      </c>
      <c r="CD181" t="e">
        <f>AND(DATA!E1297,"AAAAADuv/lE=")</f>
        <v>#VALUE!</v>
      </c>
      <c r="CE181" t="e">
        <f>AND(DATA!F1297,"AAAAADuv/lI=")</f>
        <v>#VALUE!</v>
      </c>
      <c r="CF181" t="e">
        <f>AND(DATA!G1297,"AAAAADuv/lM=")</f>
        <v>#VALUE!</v>
      </c>
      <c r="CG181" t="e">
        <f>AND(DATA!H1297,"AAAAADuv/lQ=")</f>
        <v>#VALUE!</v>
      </c>
      <c r="CH181" t="e">
        <f>AND(DATA!I1297,"AAAAADuv/lU=")</f>
        <v>#VALUE!</v>
      </c>
      <c r="CI181" t="e">
        <f>AND(DATA!J1297,"AAAAADuv/lY=")</f>
        <v>#VALUE!</v>
      </c>
      <c r="CJ181" t="e">
        <f>AND(DATA!K1297,"AAAAADuv/lc=")</f>
        <v>#VALUE!</v>
      </c>
      <c r="CK181" t="b">
        <f>AND(DATA!L1298,"AAAAADuv/lg=")</f>
        <v>1</v>
      </c>
      <c r="CL181" t="b">
        <f>AND(DATA!M1298,"AAAAADuv/lk=")</f>
        <v>1</v>
      </c>
      <c r="CM181" t="b">
        <f>AND(DATA!N1298,"AAAAADuv/lo=")</f>
        <v>1</v>
      </c>
      <c r="CN181" t="b">
        <f>AND(DATA!O1298,"AAAAADuv/ls=")</f>
        <v>1</v>
      </c>
      <c r="CO181" t="b">
        <f>AND(DATA!P1298,"AAAAADuv/lw=")</f>
        <v>1</v>
      </c>
      <c r="CP181" t="b">
        <f>AND(DATA!Q1298,"AAAAADuv/l0=")</f>
        <v>1</v>
      </c>
      <c r="CQ181" t="b">
        <f>AND(DATA!R1298,"AAAAADuv/l4=")</f>
        <v>1</v>
      </c>
      <c r="CR181" t="b">
        <f>AND(DATA!S1298,"AAAAADuv/l8=")</f>
        <v>1</v>
      </c>
      <c r="CS181" t="b">
        <f>AND(DATA!T1298,"AAAAADuv/mA=")</f>
        <v>1</v>
      </c>
      <c r="CT181" t="b">
        <f>AND(DATA!U1298,"AAAAADuv/mE=")</f>
        <v>1</v>
      </c>
      <c r="CU181" t="e">
        <f>AND(DATA!V1298,"AAAAADuv/mI=")</f>
        <v>#VALUE!</v>
      </c>
      <c r="CV181" t="e">
        <f>AND(DATA!W1297,"AAAAADuv/mM=")</f>
        <v>#VALUE!</v>
      </c>
      <c r="CW181" t="e">
        <f>AND(DATA!X1297,"AAAAADuv/mQ=")</f>
        <v>#VALUE!</v>
      </c>
      <c r="CX181" t="e">
        <f>AND(DATA!Y1297,"AAAAADuv/mU=")</f>
        <v>#VALUE!</v>
      </c>
      <c r="CY181">
        <f>IF(DATA!1298:1298,"AAAAADuv/mY=",0)</f>
        <v>0</v>
      </c>
      <c r="CZ181" t="e">
        <f>AND(DATA!A1298,"AAAAADuv/mc=")</f>
        <v>#VALUE!</v>
      </c>
      <c r="DA181" t="e">
        <f>AND(DATA!B1298,"AAAAADuv/mg=")</f>
        <v>#VALUE!</v>
      </c>
      <c r="DB181" t="e">
        <f>AND(DATA!C1298,"AAAAADuv/mk=")</f>
        <v>#VALUE!</v>
      </c>
      <c r="DC181" t="e">
        <f>AND(DATA!D1298,"AAAAADuv/mo=")</f>
        <v>#VALUE!</v>
      </c>
      <c r="DD181" t="e">
        <f>AND(DATA!E1298,"AAAAADuv/ms=")</f>
        <v>#VALUE!</v>
      </c>
      <c r="DE181" t="e">
        <f>AND(DATA!F1298,"AAAAADuv/mw=")</f>
        <v>#VALUE!</v>
      </c>
      <c r="DF181" t="e">
        <f>AND(DATA!G1298,"AAAAADuv/m0=")</f>
        <v>#VALUE!</v>
      </c>
      <c r="DG181" t="e">
        <f>AND(DATA!H1298,"AAAAADuv/m4=")</f>
        <v>#VALUE!</v>
      </c>
      <c r="DH181" t="e">
        <f>AND(DATA!I1298,"AAAAADuv/m8=")</f>
        <v>#VALUE!</v>
      </c>
      <c r="DI181" t="e">
        <f>AND(DATA!J1298,"AAAAADuv/nA=")</f>
        <v>#VALUE!</v>
      </c>
      <c r="DJ181" t="e">
        <f>AND(DATA!K1298,"AAAAADuv/nE=")</f>
        <v>#VALUE!</v>
      </c>
      <c r="DK181" t="b">
        <f>AND(DATA!L1299,"AAAAADuv/nI=")</f>
        <v>1</v>
      </c>
      <c r="DL181" t="b">
        <f>AND(DATA!M1299,"AAAAADuv/nM=")</f>
        <v>1</v>
      </c>
      <c r="DM181" t="b">
        <f>AND(DATA!N1299,"AAAAADuv/nQ=")</f>
        <v>1</v>
      </c>
      <c r="DN181" t="b">
        <f>AND(DATA!O1299,"AAAAADuv/nU=")</f>
        <v>1</v>
      </c>
      <c r="DO181" t="b">
        <f>AND(DATA!P1299,"AAAAADuv/nY=")</f>
        <v>1</v>
      </c>
      <c r="DP181" t="b">
        <f>AND(DATA!Q1299,"AAAAADuv/nc=")</f>
        <v>1</v>
      </c>
      <c r="DQ181" t="b">
        <f>AND(DATA!R1299,"AAAAADuv/ng=")</f>
        <v>1</v>
      </c>
      <c r="DR181" t="b">
        <f>AND(DATA!S1299,"AAAAADuv/nk=")</f>
        <v>1</v>
      </c>
      <c r="DS181" t="b">
        <f>AND(DATA!T1299,"AAAAADuv/no=")</f>
        <v>1</v>
      </c>
      <c r="DT181" t="b">
        <f>AND(DATA!U1299,"AAAAADuv/ns=")</f>
        <v>1</v>
      </c>
      <c r="DU181" t="e">
        <f>AND(DATA!V1299,"AAAAADuv/nw=")</f>
        <v>#VALUE!</v>
      </c>
      <c r="DV181" t="e">
        <f>AND(DATA!W1298,"AAAAADuv/n0=")</f>
        <v>#VALUE!</v>
      </c>
      <c r="DW181" t="e">
        <f>AND(DATA!X1298,"AAAAADuv/n4=")</f>
        <v>#VALUE!</v>
      </c>
      <c r="DX181" t="e">
        <f>AND(DATA!Y1298,"AAAAADuv/n8=")</f>
        <v>#VALUE!</v>
      </c>
      <c r="DY181">
        <f>IF(DATA!1299:1299,"AAAAADuv/oA=",0)</f>
        <v>0</v>
      </c>
      <c r="DZ181" t="e">
        <f>AND(DATA!A1299,"AAAAADuv/oE=")</f>
        <v>#VALUE!</v>
      </c>
      <c r="EA181" t="e">
        <f>AND(DATA!B1299,"AAAAADuv/oI=")</f>
        <v>#VALUE!</v>
      </c>
      <c r="EB181" t="e">
        <f>AND(DATA!C1299,"AAAAADuv/oM=")</f>
        <v>#VALUE!</v>
      </c>
      <c r="EC181" t="e">
        <f>AND(DATA!D1299,"AAAAADuv/oQ=")</f>
        <v>#VALUE!</v>
      </c>
      <c r="ED181" t="e">
        <f>AND(DATA!E1299,"AAAAADuv/oU=")</f>
        <v>#VALUE!</v>
      </c>
      <c r="EE181" t="e">
        <f>AND(DATA!F1299,"AAAAADuv/oY=")</f>
        <v>#VALUE!</v>
      </c>
      <c r="EF181" t="e">
        <f>AND(DATA!G1299,"AAAAADuv/oc=")</f>
        <v>#VALUE!</v>
      </c>
      <c r="EG181" t="e">
        <f>AND(DATA!H1299,"AAAAADuv/og=")</f>
        <v>#VALUE!</v>
      </c>
      <c r="EH181" t="e">
        <f>AND(DATA!I1299,"AAAAADuv/ok=")</f>
        <v>#VALUE!</v>
      </c>
      <c r="EI181" t="e">
        <f>AND(DATA!J1299,"AAAAADuv/oo=")</f>
        <v>#VALUE!</v>
      </c>
      <c r="EJ181" t="e">
        <f>AND(DATA!K1299,"AAAAADuv/os=")</f>
        <v>#VALUE!</v>
      </c>
      <c r="EK181" t="b">
        <f>AND(DATA!L1300,"AAAAADuv/ow=")</f>
        <v>1</v>
      </c>
      <c r="EL181" t="b">
        <f>AND(DATA!M1300,"AAAAADuv/o0=")</f>
        <v>1</v>
      </c>
      <c r="EM181" t="b">
        <f>AND(DATA!N1300,"AAAAADuv/o4=")</f>
        <v>1</v>
      </c>
      <c r="EN181" t="b">
        <f>AND(DATA!O1300,"AAAAADuv/o8=")</f>
        <v>1</v>
      </c>
      <c r="EO181" t="b">
        <f>AND(DATA!P1300,"AAAAADuv/pA=")</f>
        <v>1</v>
      </c>
      <c r="EP181" t="b">
        <f>AND(DATA!Q1300,"AAAAADuv/pE=")</f>
        <v>1</v>
      </c>
      <c r="EQ181" t="b">
        <f>AND(DATA!R1300,"AAAAADuv/pI=")</f>
        <v>1</v>
      </c>
      <c r="ER181" t="b">
        <f>AND(DATA!S1300,"AAAAADuv/pM=")</f>
        <v>1</v>
      </c>
      <c r="ES181" t="b">
        <f>AND(DATA!T1300,"AAAAADuv/pQ=")</f>
        <v>1</v>
      </c>
      <c r="ET181" t="b">
        <f>AND(DATA!U1300,"AAAAADuv/pU=")</f>
        <v>1</v>
      </c>
      <c r="EU181" t="e">
        <f>AND(DATA!V1300,"AAAAADuv/pY=")</f>
        <v>#VALUE!</v>
      </c>
      <c r="EV181" t="e">
        <f>AND(DATA!W1299,"AAAAADuv/pc=")</f>
        <v>#VALUE!</v>
      </c>
      <c r="EW181" t="e">
        <f>AND(DATA!X1299,"AAAAADuv/pg=")</f>
        <v>#VALUE!</v>
      </c>
      <c r="EX181" t="e">
        <f>AND(DATA!Y1299,"AAAAADuv/pk=")</f>
        <v>#VALUE!</v>
      </c>
      <c r="EY181">
        <f>IF(DATA!1300:1300,"AAAAADuv/po=",0)</f>
        <v>0</v>
      </c>
      <c r="EZ181" t="e">
        <f>AND(DATA!A1300,"AAAAADuv/ps=")</f>
        <v>#VALUE!</v>
      </c>
      <c r="FA181" t="e">
        <f>AND(DATA!B1300,"AAAAADuv/pw=")</f>
        <v>#VALUE!</v>
      </c>
      <c r="FB181" t="e">
        <f>AND(DATA!C1300,"AAAAADuv/p0=")</f>
        <v>#VALUE!</v>
      </c>
      <c r="FC181" t="e">
        <f>AND(DATA!D1300,"AAAAADuv/p4=")</f>
        <v>#VALUE!</v>
      </c>
      <c r="FD181" t="e">
        <f>AND(DATA!E1300,"AAAAADuv/p8=")</f>
        <v>#VALUE!</v>
      </c>
      <c r="FE181" t="e">
        <f>AND(DATA!F1300,"AAAAADuv/qA=")</f>
        <v>#VALUE!</v>
      </c>
      <c r="FF181" t="e">
        <f>AND(DATA!G1300,"AAAAADuv/qE=")</f>
        <v>#VALUE!</v>
      </c>
      <c r="FG181" t="e">
        <f>AND(DATA!H1300,"AAAAADuv/qI=")</f>
        <v>#VALUE!</v>
      </c>
      <c r="FH181" t="e">
        <f>AND(DATA!I1300,"AAAAADuv/qM=")</f>
        <v>#VALUE!</v>
      </c>
      <c r="FI181" t="e">
        <f>AND(DATA!J1300,"AAAAADuv/qQ=")</f>
        <v>#VALUE!</v>
      </c>
      <c r="FJ181" t="e">
        <f>AND(DATA!K1300,"AAAAADuv/qU=")</f>
        <v>#VALUE!</v>
      </c>
      <c r="FK181" t="b">
        <f>AND(DATA!L1301,"AAAAADuv/qY=")</f>
        <v>1</v>
      </c>
      <c r="FL181" t="b">
        <f>AND(DATA!M1301,"AAAAADuv/qc=")</f>
        <v>1</v>
      </c>
      <c r="FM181" t="b">
        <f>AND(DATA!N1301,"AAAAADuv/qg=")</f>
        <v>1</v>
      </c>
      <c r="FN181" t="b">
        <f>AND(DATA!O1301,"AAAAADuv/qk=")</f>
        <v>1</v>
      </c>
      <c r="FO181" t="b">
        <f>AND(DATA!P1301,"AAAAADuv/qo=")</f>
        <v>1</v>
      </c>
      <c r="FP181" t="b">
        <f>AND(DATA!Q1301,"AAAAADuv/qs=")</f>
        <v>1</v>
      </c>
      <c r="FQ181" t="b">
        <f>AND(DATA!R1301,"AAAAADuv/qw=")</f>
        <v>1</v>
      </c>
      <c r="FR181" t="b">
        <f>AND(DATA!S1301,"AAAAADuv/q0=")</f>
        <v>1</v>
      </c>
      <c r="FS181" t="b">
        <f>AND(DATA!T1301,"AAAAADuv/q4=")</f>
        <v>1</v>
      </c>
      <c r="FT181" t="b">
        <f>AND(DATA!U1301,"AAAAADuv/q8=")</f>
        <v>1</v>
      </c>
      <c r="FU181" t="e">
        <f>AND(DATA!V1301,"AAAAADuv/rA=")</f>
        <v>#VALUE!</v>
      </c>
      <c r="FV181" t="e">
        <f>AND(DATA!W1300,"AAAAADuv/rE=")</f>
        <v>#VALUE!</v>
      </c>
      <c r="FW181" t="e">
        <f>AND(DATA!X1300,"AAAAADuv/rI=")</f>
        <v>#VALUE!</v>
      </c>
      <c r="FX181" t="e">
        <f>AND(DATA!Y1300,"AAAAADuv/rM=")</f>
        <v>#VALUE!</v>
      </c>
      <c r="FY181">
        <f>IF(DATA!1301:1301,"AAAAADuv/rQ=",0)</f>
        <v>0</v>
      </c>
      <c r="FZ181" t="e">
        <f>AND(DATA!A1301,"AAAAADuv/rU=")</f>
        <v>#VALUE!</v>
      </c>
      <c r="GA181" t="e">
        <f>AND(DATA!B1301,"AAAAADuv/rY=")</f>
        <v>#VALUE!</v>
      </c>
      <c r="GB181" t="e">
        <f>AND(DATA!C1301,"AAAAADuv/rc=")</f>
        <v>#VALUE!</v>
      </c>
      <c r="GC181" t="e">
        <f>AND(DATA!D1301,"AAAAADuv/rg=")</f>
        <v>#VALUE!</v>
      </c>
      <c r="GD181" t="e">
        <f>AND(DATA!E1301,"AAAAADuv/rk=")</f>
        <v>#VALUE!</v>
      </c>
      <c r="GE181" t="e">
        <f>AND(DATA!F1301,"AAAAADuv/ro=")</f>
        <v>#VALUE!</v>
      </c>
      <c r="GF181" t="e">
        <f>AND(DATA!G1301,"AAAAADuv/rs=")</f>
        <v>#VALUE!</v>
      </c>
      <c r="GG181" t="e">
        <f>AND(DATA!H1301,"AAAAADuv/rw=")</f>
        <v>#VALUE!</v>
      </c>
      <c r="GH181" t="e">
        <f>AND(DATA!I1301,"AAAAADuv/r0=")</f>
        <v>#VALUE!</v>
      </c>
      <c r="GI181" t="e">
        <f>AND(DATA!J1301,"AAAAADuv/r4=")</f>
        <v>#VALUE!</v>
      </c>
      <c r="GJ181" t="e">
        <f>AND(DATA!K1301,"AAAAADuv/r8=")</f>
        <v>#VALUE!</v>
      </c>
      <c r="GK181" t="b">
        <f>AND(DATA!L1302,"AAAAADuv/sA=")</f>
        <v>1</v>
      </c>
      <c r="GL181" t="b">
        <f>AND(DATA!M1302,"AAAAADuv/sE=")</f>
        <v>1</v>
      </c>
      <c r="GM181" t="b">
        <f>AND(DATA!N1302,"AAAAADuv/sI=")</f>
        <v>1</v>
      </c>
      <c r="GN181" t="b">
        <f>AND(DATA!O1302,"AAAAADuv/sM=")</f>
        <v>1</v>
      </c>
      <c r="GO181" t="b">
        <f>AND(DATA!P1302,"AAAAADuv/sQ=")</f>
        <v>1</v>
      </c>
      <c r="GP181" t="b">
        <f>AND(DATA!Q1302,"AAAAADuv/sU=")</f>
        <v>1</v>
      </c>
      <c r="GQ181" t="b">
        <f>AND(DATA!R1302,"AAAAADuv/sY=")</f>
        <v>1</v>
      </c>
      <c r="GR181" t="b">
        <f>AND(DATA!S1302,"AAAAADuv/sc=")</f>
        <v>1</v>
      </c>
      <c r="GS181" t="b">
        <f>AND(DATA!T1302,"AAAAADuv/sg=")</f>
        <v>1</v>
      </c>
      <c r="GT181" t="b">
        <f>AND(DATA!U1302,"AAAAADuv/sk=")</f>
        <v>1</v>
      </c>
      <c r="GU181" t="e">
        <f>AND(DATA!V1302,"AAAAADuv/so=")</f>
        <v>#VALUE!</v>
      </c>
      <c r="GV181" t="e">
        <f>AND(DATA!W1301,"AAAAADuv/ss=")</f>
        <v>#VALUE!</v>
      </c>
      <c r="GW181" t="e">
        <f>AND(DATA!X1301,"AAAAADuv/sw=")</f>
        <v>#VALUE!</v>
      </c>
      <c r="GX181" t="e">
        <f>AND(DATA!Y1301,"AAAAADuv/s0=")</f>
        <v>#VALUE!</v>
      </c>
      <c r="GY181">
        <f>IF(DATA!1302:1302,"AAAAADuv/s4=",0)</f>
        <v>0</v>
      </c>
      <c r="GZ181" t="e">
        <f>AND(DATA!A1302,"AAAAADuv/s8=")</f>
        <v>#VALUE!</v>
      </c>
      <c r="HA181" t="e">
        <f>AND(DATA!B1302,"AAAAADuv/tA=")</f>
        <v>#VALUE!</v>
      </c>
      <c r="HB181" t="e">
        <f>AND(DATA!C1302,"AAAAADuv/tE=")</f>
        <v>#VALUE!</v>
      </c>
      <c r="HC181" t="e">
        <f>AND(DATA!D1302,"AAAAADuv/tI=")</f>
        <v>#VALUE!</v>
      </c>
      <c r="HD181" t="e">
        <f>AND(DATA!E1302,"AAAAADuv/tM=")</f>
        <v>#VALUE!</v>
      </c>
      <c r="HE181" t="e">
        <f>AND(DATA!F1302,"AAAAADuv/tQ=")</f>
        <v>#VALUE!</v>
      </c>
      <c r="HF181" t="e">
        <f>AND(DATA!G1302,"AAAAADuv/tU=")</f>
        <v>#VALUE!</v>
      </c>
      <c r="HG181" t="e">
        <f>AND(DATA!H1302,"AAAAADuv/tY=")</f>
        <v>#VALUE!</v>
      </c>
      <c r="HH181" t="e">
        <f>AND(DATA!I1302,"AAAAADuv/tc=")</f>
        <v>#VALUE!</v>
      </c>
      <c r="HI181" t="e">
        <f>AND(DATA!J1302,"AAAAADuv/tg=")</f>
        <v>#VALUE!</v>
      </c>
      <c r="HJ181" t="e">
        <f>AND(DATA!K1302,"AAAAADuv/tk=")</f>
        <v>#VALUE!</v>
      </c>
      <c r="HK181" t="b">
        <f>AND(DATA!L1303,"AAAAADuv/to=")</f>
        <v>1</v>
      </c>
      <c r="HL181" t="b">
        <f>AND(DATA!M1303,"AAAAADuv/ts=")</f>
        <v>1</v>
      </c>
      <c r="HM181" t="b">
        <f>AND(DATA!N1303,"AAAAADuv/tw=")</f>
        <v>1</v>
      </c>
      <c r="HN181" t="b">
        <f>AND(DATA!O1303,"AAAAADuv/t0=")</f>
        <v>1</v>
      </c>
      <c r="HO181" t="b">
        <f>AND(DATA!P1303,"AAAAADuv/t4=")</f>
        <v>1</v>
      </c>
      <c r="HP181" t="b">
        <f>AND(DATA!Q1303,"AAAAADuv/t8=")</f>
        <v>1</v>
      </c>
      <c r="HQ181" t="b">
        <f>AND(DATA!R1303,"AAAAADuv/uA=")</f>
        <v>1</v>
      </c>
      <c r="HR181" t="b">
        <f>AND(DATA!S1303,"AAAAADuv/uE=")</f>
        <v>1</v>
      </c>
      <c r="HS181" t="b">
        <f>AND(DATA!T1303,"AAAAADuv/uI=")</f>
        <v>1</v>
      </c>
      <c r="HT181" t="b">
        <f>AND(DATA!U1303,"AAAAADuv/uM=")</f>
        <v>1</v>
      </c>
      <c r="HU181" t="e">
        <f>AND(DATA!V1303,"AAAAADuv/uQ=")</f>
        <v>#VALUE!</v>
      </c>
      <c r="HV181" t="e">
        <f>AND(DATA!W1302,"AAAAADuv/uU=")</f>
        <v>#VALUE!</v>
      </c>
      <c r="HW181" t="e">
        <f>AND(DATA!X1302,"AAAAADuv/uY=")</f>
        <v>#VALUE!</v>
      </c>
      <c r="HX181" t="e">
        <f>AND(DATA!Y1302,"AAAAADuv/uc=")</f>
        <v>#VALUE!</v>
      </c>
      <c r="HY181">
        <f>IF(DATA!1303:1303,"AAAAADuv/ug=",0)</f>
        <v>0</v>
      </c>
      <c r="HZ181" t="e">
        <f>AND(DATA!A1303,"AAAAADuv/uk=")</f>
        <v>#VALUE!</v>
      </c>
      <c r="IA181" t="e">
        <f>AND(DATA!B1303,"AAAAADuv/uo=")</f>
        <v>#VALUE!</v>
      </c>
      <c r="IB181" t="e">
        <f>AND(DATA!C1303,"AAAAADuv/us=")</f>
        <v>#VALUE!</v>
      </c>
      <c r="IC181" t="e">
        <f>AND(DATA!D1303,"AAAAADuv/uw=")</f>
        <v>#VALUE!</v>
      </c>
      <c r="ID181" t="e">
        <f>AND(DATA!E1303,"AAAAADuv/u0=")</f>
        <v>#VALUE!</v>
      </c>
      <c r="IE181" t="e">
        <f>AND(DATA!F1303,"AAAAADuv/u4=")</f>
        <v>#VALUE!</v>
      </c>
      <c r="IF181" t="e">
        <f>AND(DATA!G1303,"AAAAADuv/u8=")</f>
        <v>#VALUE!</v>
      </c>
      <c r="IG181" t="e">
        <f>AND(DATA!H1303,"AAAAADuv/vA=")</f>
        <v>#VALUE!</v>
      </c>
      <c r="IH181" t="e">
        <f>AND(DATA!I1303,"AAAAADuv/vE=")</f>
        <v>#VALUE!</v>
      </c>
      <c r="II181" t="e">
        <f>AND(DATA!J1303,"AAAAADuv/vI=")</f>
        <v>#VALUE!</v>
      </c>
      <c r="IJ181" t="e">
        <f>AND(DATA!K1303,"AAAAADuv/vM=")</f>
        <v>#VALUE!</v>
      </c>
      <c r="IK181" t="b">
        <f>AND(DATA!L1304,"AAAAADuv/vQ=")</f>
        <v>1</v>
      </c>
      <c r="IL181" t="b">
        <f>AND(DATA!M1304,"AAAAADuv/vU=")</f>
        <v>1</v>
      </c>
      <c r="IM181" t="b">
        <f>AND(DATA!N1304,"AAAAADuv/vY=")</f>
        <v>1</v>
      </c>
      <c r="IN181" t="b">
        <f>AND(DATA!O1304,"AAAAADuv/vc=")</f>
        <v>1</v>
      </c>
      <c r="IO181" t="b">
        <f>AND(DATA!P1304,"AAAAADuv/vg=")</f>
        <v>1</v>
      </c>
      <c r="IP181" t="b">
        <f>AND(DATA!Q1304,"AAAAADuv/vk=")</f>
        <v>1</v>
      </c>
      <c r="IQ181" t="b">
        <f>AND(DATA!R1304,"AAAAADuv/vo=")</f>
        <v>1</v>
      </c>
      <c r="IR181" t="b">
        <f>AND(DATA!S1304,"AAAAADuv/vs=")</f>
        <v>1</v>
      </c>
      <c r="IS181" t="b">
        <f>AND(DATA!T1304,"AAAAADuv/vw=")</f>
        <v>1</v>
      </c>
      <c r="IT181" t="b">
        <f>AND(DATA!U1304,"AAAAADuv/v0=")</f>
        <v>1</v>
      </c>
      <c r="IU181" t="e">
        <f>AND(DATA!V1304,"AAAAADuv/v4=")</f>
        <v>#VALUE!</v>
      </c>
      <c r="IV181" t="e">
        <f>AND(DATA!W1303,"AAAAADuv/v8=")</f>
        <v>#VALUE!</v>
      </c>
    </row>
    <row r="182" spans="1:256" x14ac:dyDescent="0.25">
      <c r="A182" t="e">
        <f>AND(DATA!X1303,"AAAAAB37vwA=")</f>
        <v>#VALUE!</v>
      </c>
      <c r="B182" t="e">
        <f>AND(DATA!Y1303,"AAAAAB37vwE=")</f>
        <v>#VALUE!</v>
      </c>
      <c r="C182">
        <f>IF(DATA!1304:1304,"AAAAAB37vwI=",0)</f>
        <v>0</v>
      </c>
      <c r="D182" t="e">
        <f>AND(DATA!A1304,"AAAAAB37vwM=")</f>
        <v>#VALUE!</v>
      </c>
      <c r="E182" t="e">
        <f>AND(DATA!B1304,"AAAAAB37vwQ=")</f>
        <v>#VALUE!</v>
      </c>
      <c r="F182" t="e">
        <f>AND(DATA!C1304,"AAAAAB37vwU=")</f>
        <v>#VALUE!</v>
      </c>
      <c r="G182" t="e">
        <f>AND(DATA!D1304,"AAAAAB37vwY=")</f>
        <v>#VALUE!</v>
      </c>
      <c r="H182" t="e">
        <f>AND(DATA!E1304,"AAAAAB37vwc=")</f>
        <v>#VALUE!</v>
      </c>
      <c r="I182" t="e">
        <f>AND(DATA!F1304,"AAAAAB37vwg=")</f>
        <v>#VALUE!</v>
      </c>
      <c r="J182" t="e">
        <f>AND(DATA!G1304,"AAAAAB37vwk=")</f>
        <v>#VALUE!</v>
      </c>
      <c r="K182" t="e">
        <f>AND(DATA!H1304,"AAAAAB37vwo=")</f>
        <v>#VALUE!</v>
      </c>
      <c r="L182" t="e">
        <f>AND(DATA!I1304,"AAAAAB37vws=")</f>
        <v>#VALUE!</v>
      </c>
      <c r="M182" t="e">
        <f>AND(DATA!J1304,"AAAAAB37vww=")</f>
        <v>#VALUE!</v>
      </c>
      <c r="N182" t="e">
        <f>AND(DATA!K1304,"AAAAAB37vw0=")</f>
        <v>#VALUE!</v>
      </c>
      <c r="O182" t="b">
        <f>AND(DATA!L1305,"AAAAAB37vw4=")</f>
        <v>1</v>
      </c>
      <c r="P182" t="b">
        <f>AND(DATA!M1305,"AAAAAB37vw8=")</f>
        <v>1</v>
      </c>
      <c r="Q182" t="b">
        <f>AND(DATA!N1305,"AAAAAB37vxA=")</f>
        <v>1</v>
      </c>
      <c r="R182" t="b">
        <f>AND(DATA!O1305,"AAAAAB37vxE=")</f>
        <v>1</v>
      </c>
      <c r="S182" t="b">
        <f>AND(DATA!P1305,"AAAAAB37vxI=")</f>
        <v>1</v>
      </c>
      <c r="T182" t="b">
        <f>AND(DATA!Q1305,"AAAAAB37vxM=")</f>
        <v>1</v>
      </c>
      <c r="U182" t="b">
        <f>AND(DATA!R1305,"AAAAAB37vxQ=")</f>
        <v>1</v>
      </c>
      <c r="V182" t="b">
        <f>AND(DATA!S1305,"AAAAAB37vxU=")</f>
        <v>1</v>
      </c>
      <c r="W182" t="b">
        <f>AND(DATA!T1305,"AAAAAB37vxY=")</f>
        <v>1</v>
      </c>
      <c r="X182" t="b">
        <f>AND(DATA!U1305,"AAAAAB37vxc=")</f>
        <v>1</v>
      </c>
      <c r="Y182" t="e">
        <f>AND(DATA!V1305,"AAAAAB37vxg=")</f>
        <v>#VALUE!</v>
      </c>
      <c r="Z182" t="e">
        <f>AND(DATA!W1304,"AAAAAB37vxk=")</f>
        <v>#VALUE!</v>
      </c>
      <c r="AA182" t="e">
        <f>AND(DATA!X1304,"AAAAAB37vxo=")</f>
        <v>#VALUE!</v>
      </c>
      <c r="AB182" t="e">
        <f>AND(DATA!Y1304,"AAAAAB37vxs=")</f>
        <v>#VALUE!</v>
      </c>
      <c r="AC182">
        <f>IF(DATA!1305:1305,"AAAAAB37vxw=",0)</f>
        <v>0</v>
      </c>
      <c r="AD182" t="e">
        <f>AND(DATA!A1305,"AAAAAB37vx0=")</f>
        <v>#VALUE!</v>
      </c>
      <c r="AE182" t="e">
        <f>AND(DATA!B1305,"AAAAAB37vx4=")</f>
        <v>#VALUE!</v>
      </c>
      <c r="AF182" t="e">
        <f>AND(DATA!C1305,"AAAAAB37vx8=")</f>
        <v>#VALUE!</v>
      </c>
      <c r="AG182" t="e">
        <f>AND(DATA!D1305,"AAAAAB37vyA=")</f>
        <v>#VALUE!</v>
      </c>
      <c r="AH182" t="e">
        <f>AND(DATA!E1305,"AAAAAB37vyE=")</f>
        <v>#VALUE!</v>
      </c>
      <c r="AI182" t="e">
        <f>AND(DATA!F1305,"AAAAAB37vyI=")</f>
        <v>#VALUE!</v>
      </c>
      <c r="AJ182" t="e">
        <f>AND(DATA!G1305,"AAAAAB37vyM=")</f>
        <v>#VALUE!</v>
      </c>
      <c r="AK182" t="e">
        <f>AND(DATA!H1305,"AAAAAB37vyQ=")</f>
        <v>#VALUE!</v>
      </c>
      <c r="AL182" t="e">
        <f>AND(DATA!I1305,"AAAAAB37vyU=")</f>
        <v>#VALUE!</v>
      </c>
      <c r="AM182" t="e">
        <f>AND(DATA!J1305,"AAAAAB37vyY=")</f>
        <v>#VALUE!</v>
      </c>
      <c r="AN182" t="e">
        <f>AND(DATA!K1305,"AAAAAB37vyc=")</f>
        <v>#VALUE!</v>
      </c>
      <c r="AO182" t="b">
        <f>AND(DATA!L1306,"AAAAAB37vyg=")</f>
        <v>1</v>
      </c>
      <c r="AP182" t="b">
        <f>AND(DATA!M1306,"AAAAAB37vyk=")</f>
        <v>1</v>
      </c>
      <c r="AQ182" t="b">
        <f>AND(DATA!N1306,"AAAAAB37vyo=")</f>
        <v>1</v>
      </c>
      <c r="AR182" t="b">
        <f>AND(DATA!O1306,"AAAAAB37vys=")</f>
        <v>1</v>
      </c>
      <c r="AS182" t="b">
        <f>AND(DATA!P1306,"AAAAAB37vyw=")</f>
        <v>1</v>
      </c>
      <c r="AT182" t="b">
        <f>AND(DATA!Q1306,"AAAAAB37vy0=")</f>
        <v>1</v>
      </c>
      <c r="AU182" t="b">
        <f>AND(DATA!R1306,"AAAAAB37vy4=")</f>
        <v>1</v>
      </c>
      <c r="AV182" t="b">
        <f>AND(DATA!S1306,"AAAAAB37vy8=")</f>
        <v>1</v>
      </c>
      <c r="AW182" t="b">
        <f>AND(DATA!T1306,"AAAAAB37vzA=")</f>
        <v>1</v>
      </c>
      <c r="AX182" t="b">
        <f>AND(DATA!U1306,"AAAAAB37vzE=")</f>
        <v>1</v>
      </c>
      <c r="AY182" t="e">
        <f>AND(DATA!V1306,"AAAAAB37vzI=")</f>
        <v>#VALUE!</v>
      </c>
      <c r="AZ182" t="e">
        <f>AND(DATA!W1305,"AAAAAB37vzM=")</f>
        <v>#VALUE!</v>
      </c>
      <c r="BA182" t="e">
        <f>AND(DATA!X1305,"AAAAAB37vzQ=")</f>
        <v>#VALUE!</v>
      </c>
      <c r="BB182" t="e">
        <f>AND(DATA!Y1305,"AAAAAB37vzU=")</f>
        <v>#VALUE!</v>
      </c>
      <c r="BC182">
        <f>IF(DATA!1306:1306,"AAAAAB37vzY=",0)</f>
        <v>0</v>
      </c>
      <c r="BD182" t="e">
        <f>AND(DATA!A1306,"AAAAAB37vzc=")</f>
        <v>#VALUE!</v>
      </c>
      <c r="BE182" t="e">
        <f>AND(DATA!B1306,"AAAAAB37vzg=")</f>
        <v>#VALUE!</v>
      </c>
      <c r="BF182" t="e">
        <f>AND(DATA!C1306,"AAAAAB37vzk=")</f>
        <v>#VALUE!</v>
      </c>
      <c r="BG182" t="e">
        <f>AND(DATA!D1306,"AAAAAB37vzo=")</f>
        <v>#VALUE!</v>
      </c>
      <c r="BH182" t="e">
        <f>AND(DATA!E1306,"AAAAAB37vzs=")</f>
        <v>#VALUE!</v>
      </c>
      <c r="BI182" t="e">
        <f>AND(DATA!F1306,"AAAAAB37vzw=")</f>
        <v>#VALUE!</v>
      </c>
      <c r="BJ182" t="e">
        <f>AND(DATA!G1306,"AAAAAB37vz0=")</f>
        <v>#VALUE!</v>
      </c>
      <c r="BK182" t="e">
        <f>AND(DATA!H1306,"AAAAAB37vz4=")</f>
        <v>#VALUE!</v>
      </c>
      <c r="BL182" t="e">
        <f>AND(DATA!I1306,"AAAAAB37vz8=")</f>
        <v>#VALUE!</v>
      </c>
      <c r="BM182" t="e">
        <f>AND(DATA!J1306,"AAAAAB37v0A=")</f>
        <v>#VALUE!</v>
      </c>
      <c r="BN182" t="e">
        <f>AND(DATA!K1306,"AAAAAB37v0E=")</f>
        <v>#VALUE!</v>
      </c>
      <c r="BO182" t="b">
        <f>AND(DATA!L1307,"AAAAAB37v0I=")</f>
        <v>1</v>
      </c>
      <c r="BP182" t="b">
        <f>AND(DATA!M1307,"AAAAAB37v0M=")</f>
        <v>1</v>
      </c>
      <c r="BQ182" t="b">
        <f>AND(DATA!N1307,"AAAAAB37v0Q=")</f>
        <v>1</v>
      </c>
      <c r="BR182" t="b">
        <f>AND(DATA!O1307,"AAAAAB37v0U=")</f>
        <v>1</v>
      </c>
      <c r="BS182" t="b">
        <f>AND(DATA!P1307,"AAAAAB37v0Y=")</f>
        <v>1</v>
      </c>
      <c r="BT182" t="b">
        <f>AND(DATA!Q1307,"AAAAAB37v0c=")</f>
        <v>1</v>
      </c>
      <c r="BU182" t="b">
        <f>AND(DATA!R1307,"AAAAAB37v0g=")</f>
        <v>1</v>
      </c>
      <c r="BV182" t="b">
        <f>AND(DATA!S1307,"AAAAAB37v0k=")</f>
        <v>1</v>
      </c>
      <c r="BW182" t="b">
        <f>AND(DATA!T1307,"AAAAAB37v0o=")</f>
        <v>1</v>
      </c>
      <c r="BX182" t="b">
        <f>AND(DATA!U1307,"AAAAAB37v0s=")</f>
        <v>1</v>
      </c>
      <c r="BY182" t="e">
        <f>AND(DATA!V1307,"AAAAAB37v0w=")</f>
        <v>#VALUE!</v>
      </c>
      <c r="BZ182" t="e">
        <f>AND(DATA!W1306,"AAAAAB37v00=")</f>
        <v>#VALUE!</v>
      </c>
      <c r="CA182" t="e">
        <f>AND(DATA!X1306,"AAAAAB37v04=")</f>
        <v>#VALUE!</v>
      </c>
      <c r="CB182" t="e">
        <f>AND(DATA!Y1306,"AAAAAB37v08=")</f>
        <v>#VALUE!</v>
      </c>
      <c r="CC182">
        <f>IF(DATA!1307:1307,"AAAAAB37v1A=",0)</f>
        <v>0</v>
      </c>
      <c r="CD182" t="e">
        <f>AND(DATA!A1307,"AAAAAB37v1E=")</f>
        <v>#VALUE!</v>
      </c>
      <c r="CE182" t="e">
        <f>AND(DATA!B1307,"AAAAAB37v1I=")</f>
        <v>#VALUE!</v>
      </c>
      <c r="CF182" t="e">
        <f>AND(DATA!C1307,"AAAAAB37v1M=")</f>
        <v>#VALUE!</v>
      </c>
      <c r="CG182" t="e">
        <f>AND(DATA!D1307,"AAAAAB37v1Q=")</f>
        <v>#VALUE!</v>
      </c>
      <c r="CH182" t="e">
        <f>AND(DATA!E1307,"AAAAAB37v1U=")</f>
        <v>#VALUE!</v>
      </c>
      <c r="CI182" t="e">
        <f>AND(DATA!F1307,"AAAAAB37v1Y=")</f>
        <v>#VALUE!</v>
      </c>
      <c r="CJ182" t="e">
        <f>AND(DATA!G1307,"AAAAAB37v1c=")</f>
        <v>#VALUE!</v>
      </c>
      <c r="CK182" t="e">
        <f>AND(DATA!H1307,"AAAAAB37v1g=")</f>
        <v>#VALUE!</v>
      </c>
      <c r="CL182" t="e">
        <f>AND(DATA!I1307,"AAAAAB37v1k=")</f>
        <v>#VALUE!</v>
      </c>
      <c r="CM182" t="e">
        <f>AND(DATA!J1307,"AAAAAB37v1o=")</f>
        <v>#VALUE!</v>
      </c>
      <c r="CN182" t="e">
        <f>AND(DATA!K1307,"AAAAAB37v1s=")</f>
        <v>#VALUE!</v>
      </c>
      <c r="CO182" t="b">
        <f>AND(DATA!L1308,"AAAAAB37v1w=")</f>
        <v>1</v>
      </c>
      <c r="CP182" t="b">
        <f>AND(DATA!M1308,"AAAAAB37v10=")</f>
        <v>1</v>
      </c>
      <c r="CQ182" t="b">
        <f>AND(DATA!N1308,"AAAAAB37v14=")</f>
        <v>1</v>
      </c>
      <c r="CR182" t="b">
        <f>AND(DATA!O1308,"AAAAAB37v18=")</f>
        <v>1</v>
      </c>
      <c r="CS182" t="b">
        <f>AND(DATA!P1308,"AAAAAB37v2A=")</f>
        <v>1</v>
      </c>
      <c r="CT182" t="b">
        <f>AND(DATA!Q1308,"AAAAAB37v2E=")</f>
        <v>1</v>
      </c>
      <c r="CU182" t="b">
        <f>AND(DATA!R1308,"AAAAAB37v2I=")</f>
        <v>1</v>
      </c>
      <c r="CV182" t="b">
        <f>AND(DATA!S1308,"AAAAAB37v2M=")</f>
        <v>1</v>
      </c>
      <c r="CW182" t="b">
        <f>AND(DATA!T1308,"AAAAAB37v2Q=")</f>
        <v>1</v>
      </c>
      <c r="CX182" t="b">
        <f>AND(DATA!U1308,"AAAAAB37v2U=")</f>
        <v>1</v>
      </c>
      <c r="CY182" t="e">
        <f>AND(DATA!V1308,"AAAAAB37v2Y=")</f>
        <v>#VALUE!</v>
      </c>
      <c r="CZ182" t="e">
        <f>AND(DATA!W1307,"AAAAAB37v2c=")</f>
        <v>#VALUE!</v>
      </c>
      <c r="DA182" t="e">
        <f>AND(DATA!X1307,"AAAAAB37v2g=")</f>
        <v>#VALUE!</v>
      </c>
      <c r="DB182" t="e">
        <f>AND(DATA!Y1307,"AAAAAB37v2k=")</f>
        <v>#VALUE!</v>
      </c>
      <c r="DC182">
        <f>IF(DATA!1308:1308,"AAAAAB37v2o=",0)</f>
        <v>0</v>
      </c>
      <c r="DD182" t="e">
        <f>AND(DATA!A1308,"AAAAAB37v2s=")</f>
        <v>#VALUE!</v>
      </c>
      <c r="DE182" t="e">
        <f>AND(DATA!B1308,"AAAAAB37v2w=")</f>
        <v>#VALUE!</v>
      </c>
      <c r="DF182" t="e">
        <f>AND(DATA!C1308,"AAAAAB37v20=")</f>
        <v>#VALUE!</v>
      </c>
      <c r="DG182" t="e">
        <f>AND(DATA!D1308,"AAAAAB37v24=")</f>
        <v>#VALUE!</v>
      </c>
      <c r="DH182" t="e">
        <f>AND(DATA!E1308,"AAAAAB37v28=")</f>
        <v>#VALUE!</v>
      </c>
      <c r="DI182" t="e">
        <f>AND(DATA!F1308,"AAAAAB37v3A=")</f>
        <v>#VALUE!</v>
      </c>
      <c r="DJ182" t="e">
        <f>AND(DATA!G1308,"AAAAAB37v3E=")</f>
        <v>#VALUE!</v>
      </c>
      <c r="DK182" t="e">
        <f>AND(DATA!H1308,"AAAAAB37v3I=")</f>
        <v>#VALUE!</v>
      </c>
      <c r="DL182" t="e">
        <f>AND(DATA!I1308,"AAAAAB37v3M=")</f>
        <v>#VALUE!</v>
      </c>
      <c r="DM182" t="e">
        <f>AND(DATA!J1308,"AAAAAB37v3Q=")</f>
        <v>#VALUE!</v>
      </c>
      <c r="DN182" t="e">
        <f>AND(DATA!K1308,"AAAAAB37v3U=")</f>
        <v>#VALUE!</v>
      </c>
      <c r="DO182" t="b">
        <f>AND(DATA!L1309,"AAAAAB37v3Y=")</f>
        <v>1</v>
      </c>
      <c r="DP182" t="b">
        <f>AND(DATA!M1309,"AAAAAB37v3c=")</f>
        <v>1</v>
      </c>
      <c r="DQ182" t="b">
        <f>AND(DATA!N1309,"AAAAAB37v3g=")</f>
        <v>1</v>
      </c>
      <c r="DR182" t="b">
        <f>AND(DATA!O1309,"AAAAAB37v3k=")</f>
        <v>1</v>
      </c>
      <c r="DS182" t="b">
        <f>AND(DATA!P1309,"AAAAAB37v3o=")</f>
        <v>1</v>
      </c>
      <c r="DT182" t="b">
        <f>AND(DATA!Q1309,"AAAAAB37v3s=")</f>
        <v>1</v>
      </c>
      <c r="DU182" t="b">
        <f>AND(DATA!R1309,"AAAAAB37v3w=")</f>
        <v>1</v>
      </c>
      <c r="DV182" t="b">
        <f>AND(DATA!S1309,"AAAAAB37v30=")</f>
        <v>1</v>
      </c>
      <c r="DW182" t="b">
        <f>AND(DATA!T1309,"AAAAAB37v34=")</f>
        <v>1</v>
      </c>
      <c r="DX182" t="b">
        <f>AND(DATA!U1309,"AAAAAB37v38=")</f>
        <v>1</v>
      </c>
      <c r="DY182" t="e">
        <f>AND(DATA!V1309,"AAAAAB37v4A=")</f>
        <v>#VALUE!</v>
      </c>
      <c r="DZ182" t="e">
        <f>AND(DATA!W1308,"AAAAAB37v4E=")</f>
        <v>#VALUE!</v>
      </c>
      <c r="EA182" t="e">
        <f>AND(DATA!X1308,"AAAAAB37v4I=")</f>
        <v>#VALUE!</v>
      </c>
      <c r="EB182" t="e">
        <f>AND(DATA!Y1308,"AAAAAB37v4M=")</f>
        <v>#VALUE!</v>
      </c>
      <c r="EC182">
        <f>IF(DATA!1309:1309,"AAAAAB37v4Q=",0)</f>
        <v>0</v>
      </c>
      <c r="ED182" t="e">
        <f>AND(DATA!A1309,"AAAAAB37v4U=")</f>
        <v>#VALUE!</v>
      </c>
      <c r="EE182" t="e">
        <f>AND(DATA!B1309,"AAAAAB37v4Y=")</f>
        <v>#VALUE!</v>
      </c>
      <c r="EF182" t="e">
        <f>AND(DATA!C1309,"AAAAAB37v4c=")</f>
        <v>#VALUE!</v>
      </c>
      <c r="EG182" t="e">
        <f>AND(DATA!D1309,"AAAAAB37v4g=")</f>
        <v>#VALUE!</v>
      </c>
      <c r="EH182" t="e">
        <f>AND(DATA!E1309,"AAAAAB37v4k=")</f>
        <v>#VALUE!</v>
      </c>
      <c r="EI182" t="e">
        <f>AND(DATA!F1309,"AAAAAB37v4o=")</f>
        <v>#VALUE!</v>
      </c>
      <c r="EJ182" t="e">
        <f>AND(DATA!G1309,"AAAAAB37v4s=")</f>
        <v>#VALUE!</v>
      </c>
      <c r="EK182" t="e">
        <f>AND(DATA!H1309,"AAAAAB37v4w=")</f>
        <v>#VALUE!</v>
      </c>
      <c r="EL182" t="e">
        <f>AND(DATA!I1309,"AAAAAB37v40=")</f>
        <v>#VALUE!</v>
      </c>
      <c r="EM182" t="e">
        <f>AND(DATA!J1309,"AAAAAB37v44=")</f>
        <v>#VALUE!</v>
      </c>
      <c r="EN182" t="e">
        <f>AND(DATA!K1309,"AAAAAB37v48=")</f>
        <v>#VALUE!</v>
      </c>
      <c r="EO182" t="b">
        <f>AND(DATA!L1310,"AAAAAB37v5A=")</f>
        <v>1</v>
      </c>
      <c r="EP182" t="b">
        <f>AND(DATA!M1310,"AAAAAB37v5E=")</f>
        <v>1</v>
      </c>
      <c r="EQ182" t="b">
        <f>AND(DATA!N1310,"AAAAAB37v5I=")</f>
        <v>1</v>
      </c>
      <c r="ER182" t="b">
        <f>AND(DATA!O1310,"AAAAAB37v5M=")</f>
        <v>1</v>
      </c>
      <c r="ES182" t="b">
        <f>AND(DATA!P1310,"AAAAAB37v5Q=")</f>
        <v>1</v>
      </c>
      <c r="ET182" t="b">
        <f>AND(DATA!Q1310,"AAAAAB37v5U=")</f>
        <v>1</v>
      </c>
      <c r="EU182" t="b">
        <f>AND(DATA!R1310,"AAAAAB37v5Y=")</f>
        <v>1</v>
      </c>
      <c r="EV182" t="b">
        <f>AND(DATA!S1310,"AAAAAB37v5c=")</f>
        <v>1</v>
      </c>
      <c r="EW182" t="b">
        <f>AND(DATA!T1310,"AAAAAB37v5g=")</f>
        <v>1</v>
      </c>
      <c r="EX182" t="b">
        <f>AND(DATA!U1310,"AAAAAB37v5k=")</f>
        <v>1</v>
      </c>
      <c r="EY182" t="e">
        <f>AND(DATA!V1310,"AAAAAB37v5o=")</f>
        <v>#VALUE!</v>
      </c>
      <c r="EZ182" t="e">
        <f>AND(DATA!W1309,"AAAAAB37v5s=")</f>
        <v>#VALUE!</v>
      </c>
      <c r="FA182" t="e">
        <f>AND(DATA!X1309,"AAAAAB37v5w=")</f>
        <v>#VALUE!</v>
      </c>
      <c r="FB182" t="e">
        <f>AND(DATA!Y1309,"AAAAAB37v50=")</f>
        <v>#VALUE!</v>
      </c>
      <c r="FC182">
        <f>IF(DATA!1310:1310,"AAAAAB37v54=",0)</f>
        <v>0</v>
      </c>
      <c r="FD182" t="e">
        <f>AND(DATA!A1310,"AAAAAB37v58=")</f>
        <v>#VALUE!</v>
      </c>
      <c r="FE182" t="e">
        <f>AND(DATA!B1310,"AAAAAB37v6A=")</f>
        <v>#VALUE!</v>
      </c>
      <c r="FF182" t="e">
        <f>AND(DATA!C1310,"AAAAAB37v6E=")</f>
        <v>#VALUE!</v>
      </c>
      <c r="FG182" t="e">
        <f>AND(DATA!D1310,"AAAAAB37v6I=")</f>
        <v>#VALUE!</v>
      </c>
      <c r="FH182" t="e">
        <f>AND(DATA!E1310,"AAAAAB37v6M=")</f>
        <v>#VALUE!</v>
      </c>
      <c r="FI182" t="e">
        <f>AND(DATA!F1310,"AAAAAB37v6Q=")</f>
        <v>#VALUE!</v>
      </c>
      <c r="FJ182" t="e">
        <f>AND(DATA!G1310,"AAAAAB37v6U=")</f>
        <v>#VALUE!</v>
      </c>
      <c r="FK182" t="e">
        <f>AND(DATA!H1310,"AAAAAB37v6Y=")</f>
        <v>#VALUE!</v>
      </c>
      <c r="FL182" t="e">
        <f>AND(DATA!I1310,"AAAAAB37v6c=")</f>
        <v>#VALUE!</v>
      </c>
      <c r="FM182" t="e">
        <f>AND(DATA!J1310,"AAAAAB37v6g=")</f>
        <v>#VALUE!</v>
      </c>
      <c r="FN182" t="e">
        <f>AND(DATA!K1310,"AAAAAB37v6k=")</f>
        <v>#VALUE!</v>
      </c>
      <c r="FO182" t="b">
        <f>AND(DATA!L1311,"AAAAAB37v6o=")</f>
        <v>1</v>
      </c>
      <c r="FP182" t="b">
        <f>AND(DATA!M1311,"AAAAAB37v6s=")</f>
        <v>1</v>
      </c>
      <c r="FQ182" t="b">
        <f>AND(DATA!N1311,"AAAAAB37v6w=")</f>
        <v>1</v>
      </c>
      <c r="FR182" t="b">
        <f>AND(DATA!O1311,"AAAAAB37v60=")</f>
        <v>1</v>
      </c>
      <c r="FS182" t="b">
        <f>AND(DATA!P1311,"AAAAAB37v64=")</f>
        <v>1</v>
      </c>
      <c r="FT182" t="b">
        <f>AND(DATA!Q1311,"AAAAAB37v68=")</f>
        <v>1</v>
      </c>
      <c r="FU182" t="b">
        <f>AND(DATA!R1311,"AAAAAB37v7A=")</f>
        <v>1</v>
      </c>
      <c r="FV182" t="b">
        <f>AND(DATA!S1311,"AAAAAB37v7E=")</f>
        <v>1</v>
      </c>
      <c r="FW182" t="b">
        <f>AND(DATA!T1311,"AAAAAB37v7I=")</f>
        <v>1</v>
      </c>
      <c r="FX182" t="b">
        <f>AND(DATA!U1311,"AAAAAB37v7M=")</f>
        <v>1</v>
      </c>
      <c r="FY182" t="e">
        <f>AND(DATA!V1311,"AAAAAB37v7Q=")</f>
        <v>#VALUE!</v>
      </c>
      <c r="FZ182" t="e">
        <f>AND(DATA!W1310,"AAAAAB37v7U=")</f>
        <v>#VALUE!</v>
      </c>
      <c r="GA182" t="e">
        <f>AND(DATA!X1310,"AAAAAB37v7Y=")</f>
        <v>#VALUE!</v>
      </c>
      <c r="GB182" t="e">
        <f>AND(DATA!Y1310,"AAAAAB37v7c=")</f>
        <v>#VALUE!</v>
      </c>
      <c r="GC182">
        <f>IF(DATA!1311:1311,"AAAAAB37v7g=",0)</f>
        <v>0</v>
      </c>
      <c r="GD182" t="e">
        <f>AND(DATA!A1311,"AAAAAB37v7k=")</f>
        <v>#VALUE!</v>
      </c>
      <c r="GE182" t="e">
        <f>AND(DATA!B1311,"AAAAAB37v7o=")</f>
        <v>#VALUE!</v>
      </c>
      <c r="GF182" t="e">
        <f>AND(DATA!C1311,"AAAAAB37v7s=")</f>
        <v>#VALUE!</v>
      </c>
      <c r="GG182" t="e">
        <f>AND(DATA!D1311,"AAAAAB37v7w=")</f>
        <v>#VALUE!</v>
      </c>
      <c r="GH182" t="e">
        <f>AND(DATA!E1311,"AAAAAB37v70=")</f>
        <v>#VALUE!</v>
      </c>
      <c r="GI182" t="e">
        <f>AND(DATA!F1311,"AAAAAB37v74=")</f>
        <v>#VALUE!</v>
      </c>
      <c r="GJ182" t="e">
        <f>AND(DATA!G1311,"AAAAAB37v78=")</f>
        <v>#VALUE!</v>
      </c>
      <c r="GK182" t="e">
        <f>AND(DATA!H1311,"AAAAAB37v8A=")</f>
        <v>#VALUE!</v>
      </c>
      <c r="GL182" t="e">
        <f>AND(DATA!I1311,"AAAAAB37v8E=")</f>
        <v>#VALUE!</v>
      </c>
      <c r="GM182" t="e">
        <f>AND(DATA!J1311,"AAAAAB37v8I=")</f>
        <v>#VALUE!</v>
      </c>
      <c r="GN182" t="e">
        <f>AND(DATA!K1311,"AAAAAB37v8M=")</f>
        <v>#VALUE!</v>
      </c>
      <c r="GO182" t="b">
        <f>AND(DATA!L1312,"AAAAAB37v8Q=")</f>
        <v>1</v>
      </c>
      <c r="GP182" t="b">
        <f>AND(DATA!M1312,"AAAAAB37v8U=")</f>
        <v>1</v>
      </c>
      <c r="GQ182" t="b">
        <f>AND(DATA!N1312,"AAAAAB37v8Y=")</f>
        <v>1</v>
      </c>
      <c r="GR182" t="b">
        <f>AND(DATA!O1312,"AAAAAB37v8c=")</f>
        <v>1</v>
      </c>
      <c r="GS182" t="b">
        <f>AND(DATA!P1312,"AAAAAB37v8g=")</f>
        <v>1</v>
      </c>
      <c r="GT182" t="b">
        <f>AND(DATA!Q1312,"AAAAAB37v8k=")</f>
        <v>1</v>
      </c>
      <c r="GU182" t="b">
        <f>AND(DATA!R1312,"AAAAAB37v8o=")</f>
        <v>1</v>
      </c>
      <c r="GV182" t="b">
        <f>AND(DATA!S1312,"AAAAAB37v8s=")</f>
        <v>1</v>
      </c>
      <c r="GW182" t="b">
        <f>AND(DATA!T1312,"AAAAAB37v8w=")</f>
        <v>1</v>
      </c>
      <c r="GX182" t="b">
        <f>AND(DATA!U1312,"AAAAAB37v80=")</f>
        <v>1</v>
      </c>
      <c r="GY182" t="e">
        <f>AND(DATA!V1312,"AAAAAB37v84=")</f>
        <v>#VALUE!</v>
      </c>
      <c r="GZ182" t="e">
        <f>AND(DATA!W1311,"AAAAAB37v88=")</f>
        <v>#VALUE!</v>
      </c>
      <c r="HA182" t="e">
        <f>AND(DATA!X1311,"AAAAAB37v9A=")</f>
        <v>#VALUE!</v>
      </c>
      <c r="HB182" t="e">
        <f>AND(DATA!Y1311,"AAAAAB37v9E=")</f>
        <v>#VALUE!</v>
      </c>
      <c r="HC182">
        <f>IF(DATA!1312:1312,"AAAAAB37v9I=",0)</f>
        <v>0</v>
      </c>
      <c r="HD182" t="e">
        <f>AND(DATA!A1312,"AAAAAB37v9M=")</f>
        <v>#VALUE!</v>
      </c>
      <c r="HE182" t="e">
        <f>AND(DATA!B1312,"AAAAAB37v9Q=")</f>
        <v>#VALUE!</v>
      </c>
      <c r="HF182" t="e">
        <f>AND(DATA!C1312,"AAAAAB37v9U=")</f>
        <v>#VALUE!</v>
      </c>
      <c r="HG182" t="e">
        <f>AND(DATA!D1312,"AAAAAB37v9Y=")</f>
        <v>#VALUE!</v>
      </c>
      <c r="HH182" t="e">
        <f>AND(DATA!E1312,"AAAAAB37v9c=")</f>
        <v>#VALUE!</v>
      </c>
      <c r="HI182" t="e">
        <f>AND(DATA!F1312,"AAAAAB37v9g=")</f>
        <v>#VALUE!</v>
      </c>
      <c r="HJ182" t="e">
        <f>AND(DATA!G1312,"AAAAAB37v9k=")</f>
        <v>#VALUE!</v>
      </c>
      <c r="HK182" t="e">
        <f>AND(DATA!H1312,"AAAAAB37v9o=")</f>
        <v>#VALUE!</v>
      </c>
      <c r="HL182" t="e">
        <f>AND(DATA!I1312,"AAAAAB37v9s=")</f>
        <v>#VALUE!</v>
      </c>
      <c r="HM182" t="e">
        <f>AND(DATA!J1312,"AAAAAB37v9w=")</f>
        <v>#VALUE!</v>
      </c>
      <c r="HN182" t="e">
        <f>AND(DATA!K1312,"AAAAAB37v90=")</f>
        <v>#VALUE!</v>
      </c>
      <c r="HO182" t="b">
        <f>AND(DATA!L1313,"AAAAAB37v94=")</f>
        <v>1</v>
      </c>
      <c r="HP182" t="b">
        <f>AND(DATA!M1313,"AAAAAB37v98=")</f>
        <v>1</v>
      </c>
      <c r="HQ182" t="b">
        <f>AND(DATA!N1313,"AAAAAB37v+A=")</f>
        <v>1</v>
      </c>
      <c r="HR182" t="b">
        <f>AND(DATA!O1313,"AAAAAB37v+E=")</f>
        <v>1</v>
      </c>
      <c r="HS182" t="b">
        <f>AND(DATA!P1313,"AAAAAB37v+I=")</f>
        <v>1</v>
      </c>
      <c r="HT182" t="b">
        <f>AND(DATA!Q1313,"AAAAAB37v+M=")</f>
        <v>1</v>
      </c>
      <c r="HU182" t="b">
        <f>AND(DATA!R1313,"AAAAAB37v+Q=")</f>
        <v>1</v>
      </c>
      <c r="HV182" t="b">
        <f>AND(DATA!S1313,"AAAAAB37v+U=")</f>
        <v>1</v>
      </c>
      <c r="HW182" t="b">
        <f>AND(DATA!T1313,"AAAAAB37v+Y=")</f>
        <v>1</v>
      </c>
      <c r="HX182" t="b">
        <f>AND(DATA!U1313,"AAAAAB37v+c=")</f>
        <v>1</v>
      </c>
      <c r="HY182" t="e">
        <f>AND(DATA!V1313,"AAAAAB37v+g=")</f>
        <v>#VALUE!</v>
      </c>
      <c r="HZ182" t="e">
        <f>AND(DATA!W1312,"AAAAAB37v+k=")</f>
        <v>#VALUE!</v>
      </c>
      <c r="IA182" t="e">
        <f>AND(DATA!X1312,"AAAAAB37v+o=")</f>
        <v>#VALUE!</v>
      </c>
      <c r="IB182" t="e">
        <f>AND(DATA!Y1312,"AAAAAB37v+s=")</f>
        <v>#VALUE!</v>
      </c>
      <c r="IC182">
        <f>IF(DATA!1313:1313,"AAAAAB37v+w=",0)</f>
        <v>0</v>
      </c>
      <c r="ID182" t="e">
        <f>AND(DATA!A1313,"AAAAAB37v+0=")</f>
        <v>#VALUE!</v>
      </c>
      <c r="IE182" t="e">
        <f>AND(DATA!B1313,"AAAAAB37v+4=")</f>
        <v>#VALUE!</v>
      </c>
      <c r="IF182" t="e">
        <f>AND(DATA!C1313,"AAAAAB37v+8=")</f>
        <v>#VALUE!</v>
      </c>
      <c r="IG182" t="e">
        <f>AND(DATA!D1313,"AAAAAB37v/A=")</f>
        <v>#VALUE!</v>
      </c>
      <c r="IH182" t="e">
        <f>AND(DATA!E1313,"AAAAAB37v/E=")</f>
        <v>#VALUE!</v>
      </c>
      <c r="II182" t="e">
        <f>AND(DATA!F1313,"AAAAAB37v/I=")</f>
        <v>#VALUE!</v>
      </c>
      <c r="IJ182" t="e">
        <f>AND(DATA!G1313,"AAAAAB37v/M=")</f>
        <v>#VALUE!</v>
      </c>
      <c r="IK182" t="e">
        <f>AND(DATA!H1313,"AAAAAB37v/Q=")</f>
        <v>#VALUE!</v>
      </c>
      <c r="IL182" t="e">
        <f>AND(DATA!I1313,"AAAAAB37v/U=")</f>
        <v>#VALUE!</v>
      </c>
      <c r="IM182" t="e">
        <f>AND(DATA!J1313,"AAAAAB37v/Y=")</f>
        <v>#VALUE!</v>
      </c>
      <c r="IN182" t="e">
        <f>AND(DATA!K1313,"AAAAAB37v/c=")</f>
        <v>#VALUE!</v>
      </c>
      <c r="IO182" t="b">
        <f>AND(DATA!L1314,"AAAAAB37v/g=")</f>
        <v>1</v>
      </c>
      <c r="IP182" t="b">
        <f>AND(DATA!M1314,"AAAAAB37v/k=")</f>
        <v>1</v>
      </c>
      <c r="IQ182" t="b">
        <f>AND(DATA!N1314,"AAAAAB37v/o=")</f>
        <v>1</v>
      </c>
      <c r="IR182" t="b">
        <f>AND(DATA!O1314,"AAAAAB37v/s=")</f>
        <v>1</v>
      </c>
      <c r="IS182" t="b">
        <f>AND(DATA!P1314,"AAAAAB37v/w=")</f>
        <v>1</v>
      </c>
      <c r="IT182" t="b">
        <f>AND(DATA!Q1314,"AAAAAB37v/0=")</f>
        <v>1</v>
      </c>
      <c r="IU182" t="b">
        <f>AND(DATA!R1314,"AAAAAB37v/4=")</f>
        <v>1</v>
      </c>
      <c r="IV182" t="b">
        <f>AND(DATA!S1314,"AAAAAB37v/8=")</f>
        <v>1</v>
      </c>
    </row>
    <row r="183" spans="1:256" x14ac:dyDescent="0.25">
      <c r="A183" t="b">
        <f>AND(DATA!T1314,"AAAAAHe3+wA=")</f>
        <v>1</v>
      </c>
      <c r="B183" t="b">
        <f>AND(DATA!U1314,"AAAAAHe3+wE=")</f>
        <v>1</v>
      </c>
      <c r="C183" t="e">
        <f>AND(DATA!V1314,"AAAAAHe3+wI=")</f>
        <v>#VALUE!</v>
      </c>
      <c r="D183" t="e">
        <f>AND(DATA!W1313,"AAAAAHe3+wM=")</f>
        <v>#VALUE!</v>
      </c>
      <c r="E183" t="e">
        <f>AND(DATA!X1313,"AAAAAHe3+wQ=")</f>
        <v>#VALUE!</v>
      </c>
      <c r="F183" t="e">
        <f>AND(DATA!Y1313,"AAAAAHe3+wU=")</f>
        <v>#VALUE!</v>
      </c>
      <c r="G183">
        <f>IF(DATA!1314:1314,"AAAAAHe3+wY=",0)</f>
        <v>0</v>
      </c>
      <c r="H183" t="e">
        <f>AND(DATA!A1314,"AAAAAHe3+wc=")</f>
        <v>#VALUE!</v>
      </c>
      <c r="I183" t="e">
        <f>AND(DATA!B1314,"AAAAAHe3+wg=")</f>
        <v>#VALUE!</v>
      </c>
      <c r="J183" t="e">
        <f>AND(DATA!C1314,"AAAAAHe3+wk=")</f>
        <v>#VALUE!</v>
      </c>
      <c r="K183" t="e">
        <f>AND(DATA!D1314,"AAAAAHe3+wo=")</f>
        <v>#VALUE!</v>
      </c>
      <c r="L183" t="e">
        <f>AND(DATA!E1314,"AAAAAHe3+ws=")</f>
        <v>#VALUE!</v>
      </c>
      <c r="M183" t="e">
        <f>AND(DATA!F1314,"AAAAAHe3+ww=")</f>
        <v>#VALUE!</v>
      </c>
      <c r="N183" t="e">
        <f>AND(DATA!G1314,"AAAAAHe3+w0=")</f>
        <v>#VALUE!</v>
      </c>
      <c r="O183" t="e">
        <f>AND(DATA!H1314,"AAAAAHe3+w4=")</f>
        <v>#VALUE!</v>
      </c>
      <c r="P183" t="e">
        <f>AND(DATA!I1314,"AAAAAHe3+w8=")</f>
        <v>#VALUE!</v>
      </c>
      <c r="Q183" t="e">
        <f>AND(DATA!J1314,"AAAAAHe3+xA=")</f>
        <v>#VALUE!</v>
      </c>
      <c r="R183" t="e">
        <f>AND(DATA!K1314,"AAAAAHe3+xE=")</f>
        <v>#VALUE!</v>
      </c>
      <c r="S183" t="b">
        <f>AND(DATA!L1315,"AAAAAHe3+xI=")</f>
        <v>1</v>
      </c>
      <c r="T183" t="b">
        <f>AND(DATA!M1315,"AAAAAHe3+xM=")</f>
        <v>1</v>
      </c>
      <c r="U183" t="b">
        <f>AND(DATA!N1315,"AAAAAHe3+xQ=")</f>
        <v>1</v>
      </c>
      <c r="V183" t="b">
        <f>AND(DATA!O1315,"AAAAAHe3+xU=")</f>
        <v>1</v>
      </c>
      <c r="W183" t="b">
        <f>AND(DATA!P1315,"AAAAAHe3+xY=")</f>
        <v>1</v>
      </c>
      <c r="X183" t="b">
        <f>AND(DATA!Q1315,"AAAAAHe3+xc=")</f>
        <v>1</v>
      </c>
      <c r="Y183" t="b">
        <f>AND(DATA!R1315,"AAAAAHe3+xg=")</f>
        <v>1</v>
      </c>
      <c r="Z183" t="b">
        <f>AND(DATA!S1315,"AAAAAHe3+xk=")</f>
        <v>1</v>
      </c>
      <c r="AA183" t="b">
        <f>AND(DATA!T1315,"AAAAAHe3+xo=")</f>
        <v>1</v>
      </c>
      <c r="AB183" t="b">
        <f>AND(DATA!U1315,"AAAAAHe3+xs=")</f>
        <v>1</v>
      </c>
      <c r="AC183" t="e">
        <f>AND(DATA!V1315,"AAAAAHe3+xw=")</f>
        <v>#VALUE!</v>
      </c>
      <c r="AD183" t="e">
        <f>AND(DATA!W1314,"AAAAAHe3+x0=")</f>
        <v>#VALUE!</v>
      </c>
      <c r="AE183" t="e">
        <f>AND(DATA!X1314,"AAAAAHe3+x4=")</f>
        <v>#VALUE!</v>
      </c>
      <c r="AF183" t="e">
        <f>AND(DATA!Y1314,"AAAAAHe3+x8=")</f>
        <v>#VALUE!</v>
      </c>
      <c r="AG183">
        <f>IF(DATA!1315:1315,"AAAAAHe3+yA=",0)</f>
        <v>0</v>
      </c>
      <c r="AH183" t="e">
        <f>AND(DATA!A1315,"AAAAAHe3+yE=")</f>
        <v>#VALUE!</v>
      </c>
      <c r="AI183" t="e">
        <f>AND(DATA!B1315,"AAAAAHe3+yI=")</f>
        <v>#VALUE!</v>
      </c>
      <c r="AJ183" t="e">
        <f>AND(DATA!C1315,"AAAAAHe3+yM=")</f>
        <v>#VALUE!</v>
      </c>
      <c r="AK183" t="e">
        <f>AND(DATA!D1315,"AAAAAHe3+yQ=")</f>
        <v>#VALUE!</v>
      </c>
      <c r="AL183" t="e">
        <f>AND(DATA!E1315,"AAAAAHe3+yU=")</f>
        <v>#VALUE!</v>
      </c>
      <c r="AM183" t="e">
        <f>AND(DATA!F1315,"AAAAAHe3+yY=")</f>
        <v>#VALUE!</v>
      </c>
      <c r="AN183" t="e">
        <f>AND(DATA!G1315,"AAAAAHe3+yc=")</f>
        <v>#VALUE!</v>
      </c>
      <c r="AO183" t="e">
        <f>AND(DATA!H1315,"AAAAAHe3+yg=")</f>
        <v>#VALUE!</v>
      </c>
      <c r="AP183" t="e">
        <f>AND(DATA!I1315,"AAAAAHe3+yk=")</f>
        <v>#VALUE!</v>
      </c>
      <c r="AQ183" t="e">
        <f>AND(DATA!J1315,"AAAAAHe3+yo=")</f>
        <v>#VALUE!</v>
      </c>
      <c r="AR183" t="e">
        <f>AND(DATA!K1315,"AAAAAHe3+ys=")</f>
        <v>#VALUE!</v>
      </c>
      <c r="AS183" t="b">
        <f>AND(DATA!L1316,"AAAAAHe3+yw=")</f>
        <v>1</v>
      </c>
      <c r="AT183" t="b">
        <f>AND(DATA!M1316,"AAAAAHe3+y0=")</f>
        <v>1</v>
      </c>
      <c r="AU183" t="b">
        <f>AND(DATA!N1316,"AAAAAHe3+y4=")</f>
        <v>1</v>
      </c>
      <c r="AV183" t="b">
        <f>AND(DATA!O1316,"AAAAAHe3+y8=")</f>
        <v>1</v>
      </c>
      <c r="AW183" t="b">
        <f>AND(DATA!P1316,"AAAAAHe3+zA=")</f>
        <v>1</v>
      </c>
      <c r="AX183" t="b">
        <f>AND(DATA!Q1316,"AAAAAHe3+zE=")</f>
        <v>1</v>
      </c>
      <c r="AY183" t="b">
        <f>AND(DATA!R1316,"AAAAAHe3+zI=")</f>
        <v>1</v>
      </c>
      <c r="AZ183" t="b">
        <f>AND(DATA!S1316,"AAAAAHe3+zM=")</f>
        <v>1</v>
      </c>
      <c r="BA183" t="b">
        <f>AND(DATA!T1316,"AAAAAHe3+zQ=")</f>
        <v>1</v>
      </c>
      <c r="BB183" t="b">
        <f>AND(DATA!U1316,"AAAAAHe3+zU=")</f>
        <v>1</v>
      </c>
      <c r="BC183" t="e">
        <f>AND(DATA!V1316,"AAAAAHe3+zY=")</f>
        <v>#VALUE!</v>
      </c>
      <c r="BD183" t="e">
        <f>AND(DATA!W1315,"AAAAAHe3+zc=")</f>
        <v>#VALUE!</v>
      </c>
      <c r="BE183" t="e">
        <f>AND(DATA!X1315,"AAAAAHe3+zg=")</f>
        <v>#VALUE!</v>
      </c>
      <c r="BF183" t="e">
        <f>AND(DATA!Y1315,"AAAAAHe3+zk=")</f>
        <v>#VALUE!</v>
      </c>
      <c r="BG183">
        <f>IF(DATA!1316:1316,"AAAAAHe3+zo=",0)</f>
        <v>0</v>
      </c>
      <c r="BH183" t="e">
        <f>AND(DATA!A1316,"AAAAAHe3+zs=")</f>
        <v>#VALUE!</v>
      </c>
      <c r="BI183" t="e">
        <f>AND(DATA!B1316,"AAAAAHe3+zw=")</f>
        <v>#VALUE!</v>
      </c>
      <c r="BJ183" t="e">
        <f>AND(DATA!C1316,"AAAAAHe3+z0=")</f>
        <v>#VALUE!</v>
      </c>
      <c r="BK183" t="e">
        <f>AND(DATA!D1316,"AAAAAHe3+z4=")</f>
        <v>#VALUE!</v>
      </c>
      <c r="BL183" t="e">
        <f>AND(DATA!E1316,"AAAAAHe3+z8=")</f>
        <v>#VALUE!</v>
      </c>
      <c r="BM183" t="e">
        <f>AND(DATA!F1316,"AAAAAHe3+0A=")</f>
        <v>#VALUE!</v>
      </c>
      <c r="BN183" t="e">
        <f>AND(DATA!G1316,"AAAAAHe3+0E=")</f>
        <v>#VALUE!</v>
      </c>
      <c r="BO183" t="e">
        <f>AND(DATA!H1316,"AAAAAHe3+0I=")</f>
        <v>#VALUE!</v>
      </c>
      <c r="BP183" t="e">
        <f>AND(DATA!I1316,"AAAAAHe3+0M=")</f>
        <v>#VALUE!</v>
      </c>
      <c r="BQ183" t="e">
        <f>AND(DATA!J1316,"AAAAAHe3+0Q=")</f>
        <v>#VALUE!</v>
      </c>
      <c r="BR183" t="e">
        <f>AND(DATA!K1316,"AAAAAHe3+0U=")</f>
        <v>#VALUE!</v>
      </c>
      <c r="BS183" t="b">
        <f>AND(DATA!L1317,"AAAAAHe3+0Y=")</f>
        <v>1</v>
      </c>
      <c r="BT183" t="b">
        <f>AND(DATA!M1317,"AAAAAHe3+0c=")</f>
        <v>1</v>
      </c>
      <c r="BU183" t="b">
        <f>AND(DATA!N1317,"AAAAAHe3+0g=")</f>
        <v>1</v>
      </c>
      <c r="BV183" t="b">
        <f>AND(DATA!O1317,"AAAAAHe3+0k=")</f>
        <v>1</v>
      </c>
      <c r="BW183" t="b">
        <f>AND(DATA!P1317,"AAAAAHe3+0o=")</f>
        <v>1</v>
      </c>
      <c r="BX183" t="b">
        <f>AND(DATA!Q1317,"AAAAAHe3+0s=")</f>
        <v>1</v>
      </c>
      <c r="BY183" t="b">
        <f>AND(DATA!R1317,"AAAAAHe3+0w=")</f>
        <v>1</v>
      </c>
      <c r="BZ183" t="b">
        <f>AND(DATA!S1317,"AAAAAHe3+00=")</f>
        <v>1</v>
      </c>
      <c r="CA183" t="b">
        <f>AND(DATA!T1317,"AAAAAHe3+04=")</f>
        <v>1</v>
      </c>
      <c r="CB183" t="b">
        <f>AND(DATA!U1317,"AAAAAHe3+08=")</f>
        <v>1</v>
      </c>
      <c r="CC183" t="e">
        <f>AND(DATA!V1317,"AAAAAHe3+1A=")</f>
        <v>#VALUE!</v>
      </c>
      <c r="CD183" t="e">
        <f>AND(DATA!W1316,"AAAAAHe3+1E=")</f>
        <v>#VALUE!</v>
      </c>
      <c r="CE183" t="e">
        <f>AND(DATA!X1316,"AAAAAHe3+1I=")</f>
        <v>#VALUE!</v>
      </c>
      <c r="CF183" t="e">
        <f>AND(DATA!Y1316,"AAAAAHe3+1M=")</f>
        <v>#VALUE!</v>
      </c>
      <c r="CG183">
        <f>IF(DATA!1317:1317,"AAAAAHe3+1Q=",0)</f>
        <v>0</v>
      </c>
      <c r="CH183" t="e">
        <f>AND(DATA!A1317,"AAAAAHe3+1U=")</f>
        <v>#VALUE!</v>
      </c>
      <c r="CI183" t="e">
        <f>AND(DATA!B1317,"AAAAAHe3+1Y=")</f>
        <v>#VALUE!</v>
      </c>
      <c r="CJ183" t="e">
        <f>AND(DATA!C1317,"AAAAAHe3+1c=")</f>
        <v>#VALUE!</v>
      </c>
      <c r="CK183" t="e">
        <f>AND(DATA!D1317,"AAAAAHe3+1g=")</f>
        <v>#VALUE!</v>
      </c>
      <c r="CL183" t="e">
        <f>AND(DATA!E1317,"AAAAAHe3+1k=")</f>
        <v>#VALUE!</v>
      </c>
      <c r="CM183" t="e">
        <f>AND(DATA!F1317,"AAAAAHe3+1o=")</f>
        <v>#VALUE!</v>
      </c>
      <c r="CN183" t="e">
        <f>AND(DATA!G1317,"AAAAAHe3+1s=")</f>
        <v>#VALUE!</v>
      </c>
      <c r="CO183" t="e">
        <f>AND(DATA!H1317,"AAAAAHe3+1w=")</f>
        <v>#VALUE!</v>
      </c>
      <c r="CP183" t="e">
        <f>AND(DATA!I1317,"AAAAAHe3+10=")</f>
        <v>#VALUE!</v>
      </c>
      <c r="CQ183" t="e">
        <f>AND(DATA!J1317,"AAAAAHe3+14=")</f>
        <v>#VALUE!</v>
      </c>
      <c r="CR183" t="e">
        <f>AND(DATA!K1317,"AAAAAHe3+18=")</f>
        <v>#VALUE!</v>
      </c>
      <c r="CS183" t="b">
        <f>AND(DATA!L1318,"AAAAAHe3+2A=")</f>
        <v>1</v>
      </c>
      <c r="CT183" t="b">
        <f>AND(DATA!M1318,"AAAAAHe3+2E=")</f>
        <v>1</v>
      </c>
      <c r="CU183" t="b">
        <f>AND(DATA!N1318,"AAAAAHe3+2I=")</f>
        <v>1</v>
      </c>
      <c r="CV183" t="b">
        <f>AND(DATA!O1318,"AAAAAHe3+2M=")</f>
        <v>1</v>
      </c>
      <c r="CW183" t="b">
        <f>AND(DATA!P1318,"AAAAAHe3+2Q=")</f>
        <v>1</v>
      </c>
      <c r="CX183" t="b">
        <f>AND(DATA!Q1318,"AAAAAHe3+2U=")</f>
        <v>1</v>
      </c>
      <c r="CY183" t="b">
        <f>AND(DATA!R1318,"AAAAAHe3+2Y=")</f>
        <v>1</v>
      </c>
      <c r="CZ183" t="b">
        <f>AND(DATA!S1318,"AAAAAHe3+2c=")</f>
        <v>1</v>
      </c>
      <c r="DA183" t="b">
        <f>AND(DATA!T1318,"AAAAAHe3+2g=")</f>
        <v>1</v>
      </c>
      <c r="DB183" t="b">
        <f>AND(DATA!U1318,"AAAAAHe3+2k=")</f>
        <v>1</v>
      </c>
      <c r="DC183" t="e">
        <f>AND(DATA!V1318,"AAAAAHe3+2o=")</f>
        <v>#VALUE!</v>
      </c>
      <c r="DD183" t="e">
        <f>AND(DATA!W1317,"AAAAAHe3+2s=")</f>
        <v>#VALUE!</v>
      </c>
      <c r="DE183" t="e">
        <f>AND(DATA!X1317,"AAAAAHe3+2w=")</f>
        <v>#VALUE!</v>
      </c>
      <c r="DF183" t="e">
        <f>AND(DATA!Y1317,"AAAAAHe3+20=")</f>
        <v>#VALUE!</v>
      </c>
      <c r="DG183">
        <f>IF(DATA!1318:1318,"AAAAAHe3+24=",0)</f>
        <v>0</v>
      </c>
      <c r="DH183" t="e">
        <f>AND(DATA!A1318,"AAAAAHe3+28=")</f>
        <v>#VALUE!</v>
      </c>
      <c r="DI183" t="e">
        <f>AND(DATA!B1318,"AAAAAHe3+3A=")</f>
        <v>#VALUE!</v>
      </c>
      <c r="DJ183" t="e">
        <f>AND(DATA!C1318,"AAAAAHe3+3E=")</f>
        <v>#VALUE!</v>
      </c>
      <c r="DK183" t="e">
        <f>AND(DATA!D1318,"AAAAAHe3+3I=")</f>
        <v>#VALUE!</v>
      </c>
      <c r="DL183" t="e">
        <f>AND(DATA!E1318,"AAAAAHe3+3M=")</f>
        <v>#VALUE!</v>
      </c>
      <c r="DM183" t="e">
        <f>AND(DATA!F1318,"AAAAAHe3+3Q=")</f>
        <v>#VALUE!</v>
      </c>
      <c r="DN183" t="e">
        <f>AND(DATA!G1318,"AAAAAHe3+3U=")</f>
        <v>#VALUE!</v>
      </c>
      <c r="DO183" t="e">
        <f>AND(DATA!H1318,"AAAAAHe3+3Y=")</f>
        <v>#VALUE!</v>
      </c>
      <c r="DP183" t="e">
        <f>AND(DATA!I1318,"AAAAAHe3+3c=")</f>
        <v>#VALUE!</v>
      </c>
      <c r="DQ183" t="e">
        <f>AND(DATA!J1318,"AAAAAHe3+3g=")</f>
        <v>#VALUE!</v>
      </c>
      <c r="DR183" t="e">
        <f>AND(DATA!K1318,"AAAAAHe3+3k=")</f>
        <v>#VALUE!</v>
      </c>
      <c r="DS183" t="b">
        <f>AND(DATA!L1319,"AAAAAHe3+3o=")</f>
        <v>1</v>
      </c>
      <c r="DT183" t="b">
        <f>AND(DATA!M1319,"AAAAAHe3+3s=")</f>
        <v>1</v>
      </c>
      <c r="DU183" t="b">
        <f>AND(DATA!N1319,"AAAAAHe3+3w=")</f>
        <v>1</v>
      </c>
      <c r="DV183" t="b">
        <f>AND(DATA!O1319,"AAAAAHe3+30=")</f>
        <v>1</v>
      </c>
      <c r="DW183" t="b">
        <f>AND(DATA!P1319,"AAAAAHe3+34=")</f>
        <v>1</v>
      </c>
      <c r="DX183" t="b">
        <f>AND(DATA!Q1319,"AAAAAHe3+38=")</f>
        <v>1</v>
      </c>
      <c r="DY183" t="b">
        <f>AND(DATA!R1319,"AAAAAHe3+4A=")</f>
        <v>1</v>
      </c>
      <c r="DZ183" t="b">
        <f>AND(DATA!S1319,"AAAAAHe3+4E=")</f>
        <v>1</v>
      </c>
      <c r="EA183" t="b">
        <f>AND(DATA!T1319,"AAAAAHe3+4I=")</f>
        <v>1</v>
      </c>
      <c r="EB183" t="b">
        <f>AND(DATA!U1319,"AAAAAHe3+4M=")</f>
        <v>1</v>
      </c>
      <c r="EC183" t="e">
        <f>AND(DATA!V1319,"AAAAAHe3+4Q=")</f>
        <v>#VALUE!</v>
      </c>
      <c r="ED183" t="e">
        <f>AND(DATA!W1318,"AAAAAHe3+4U=")</f>
        <v>#VALUE!</v>
      </c>
      <c r="EE183" t="e">
        <f>AND(DATA!X1318,"AAAAAHe3+4Y=")</f>
        <v>#VALUE!</v>
      </c>
      <c r="EF183" t="e">
        <f>AND(DATA!Y1318,"AAAAAHe3+4c=")</f>
        <v>#VALUE!</v>
      </c>
      <c r="EG183">
        <f>IF(DATA!1319:1319,"AAAAAHe3+4g=",0)</f>
        <v>0</v>
      </c>
      <c r="EH183" t="e">
        <f>AND(DATA!A1319,"AAAAAHe3+4k=")</f>
        <v>#VALUE!</v>
      </c>
      <c r="EI183" t="e">
        <f>AND(DATA!B1319,"AAAAAHe3+4o=")</f>
        <v>#VALUE!</v>
      </c>
      <c r="EJ183" t="e">
        <f>AND(DATA!C1319,"AAAAAHe3+4s=")</f>
        <v>#VALUE!</v>
      </c>
      <c r="EK183" t="e">
        <f>AND(DATA!D1319,"AAAAAHe3+4w=")</f>
        <v>#VALUE!</v>
      </c>
      <c r="EL183" t="e">
        <f>AND(DATA!E1319,"AAAAAHe3+40=")</f>
        <v>#VALUE!</v>
      </c>
      <c r="EM183" t="e">
        <f>AND(DATA!F1319,"AAAAAHe3+44=")</f>
        <v>#VALUE!</v>
      </c>
      <c r="EN183" t="e">
        <f>AND(DATA!G1319,"AAAAAHe3+48=")</f>
        <v>#VALUE!</v>
      </c>
      <c r="EO183" t="e">
        <f>AND(DATA!H1319,"AAAAAHe3+5A=")</f>
        <v>#VALUE!</v>
      </c>
      <c r="EP183" t="e">
        <f>AND(DATA!I1319,"AAAAAHe3+5E=")</f>
        <v>#VALUE!</v>
      </c>
      <c r="EQ183" t="e">
        <f>AND(DATA!J1319,"AAAAAHe3+5I=")</f>
        <v>#VALUE!</v>
      </c>
      <c r="ER183" t="e">
        <f>AND(DATA!K1319,"AAAAAHe3+5M=")</f>
        <v>#VALUE!</v>
      </c>
      <c r="ES183" t="b">
        <f>AND(DATA!L1320,"AAAAAHe3+5Q=")</f>
        <v>1</v>
      </c>
      <c r="ET183" t="b">
        <f>AND(DATA!M1320,"AAAAAHe3+5U=")</f>
        <v>1</v>
      </c>
      <c r="EU183" t="b">
        <f>AND(DATA!N1320,"AAAAAHe3+5Y=")</f>
        <v>1</v>
      </c>
      <c r="EV183" t="b">
        <f>AND(DATA!O1320,"AAAAAHe3+5c=")</f>
        <v>1</v>
      </c>
      <c r="EW183" t="b">
        <f>AND(DATA!P1320,"AAAAAHe3+5g=")</f>
        <v>1</v>
      </c>
      <c r="EX183" t="b">
        <f>AND(DATA!Q1320,"AAAAAHe3+5k=")</f>
        <v>1</v>
      </c>
      <c r="EY183" t="b">
        <f>AND(DATA!R1320,"AAAAAHe3+5o=")</f>
        <v>1</v>
      </c>
      <c r="EZ183" t="b">
        <f>AND(DATA!S1320,"AAAAAHe3+5s=")</f>
        <v>1</v>
      </c>
      <c r="FA183" t="b">
        <f>AND(DATA!T1320,"AAAAAHe3+5w=")</f>
        <v>1</v>
      </c>
      <c r="FB183" t="b">
        <f>AND(DATA!U1320,"AAAAAHe3+50=")</f>
        <v>1</v>
      </c>
      <c r="FC183" t="e">
        <f>AND(DATA!V1320,"AAAAAHe3+54=")</f>
        <v>#VALUE!</v>
      </c>
      <c r="FD183" t="e">
        <f>AND(DATA!W1319,"AAAAAHe3+58=")</f>
        <v>#VALUE!</v>
      </c>
      <c r="FE183" t="e">
        <f>AND(DATA!X1319,"AAAAAHe3+6A=")</f>
        <v>#VALUE!</v>
      </c>
      <c r="FF183" t="e">
        <f>AND(DATA!Y1319,"AAAAAHe3+6E=")</f>
        <v>#VALUE!</v>
      </c>
      <c r="FG183">
        <f>IF(DATA!1320:1320,"AAAAAHe3+6I=",0)</f>
        <v>0</v>
      </c>
      <c r="FH183" t="e">
        <f>AND(DATA!A1320,"AAAAAHe3+6M=")</f>
        <v>#VALUE!</v>
      </c>
      <c r="FI183" t="e">
        <f>AND(DATA!B1320,"AAAAAHe3+6Q=")</f>
        <v>#VALUE!</v>
      </c>
      <c r="FJ183" t="e">
        <f>AND(DATA!C1320,"AAAAAHe3+6U=")</f>
        <v>#VALUE!</v>
      </c>
      <c r="FK183" t="e">
        <f>AND(DATA!D1320,"AAAAAHe3+6Y=")</f>
        <v>#VALUE!</v>
      </c>
      <c r="FL183" t="e">
        <f>AND(DATA!E1320,"AAAAAHe3+6c=")</f>
        <v>#VALUE!</v>
      </c>
      <c r="FM183" t="e">
        <f>AND(DATA!F1320,"AAAAAHe3+6g=")</f>
        <v>#VALUE!</v>
      </c>
      <c r="FN183" t="e">
        <f>AND(DATA!G1320,"AAAAAHe3+6k=")</f>
        <v>#VALUE!</v>
      </c>
      <c r="FO183" t="e">
        <f>AND(DATA!H1320,"AAAAAHe3+6o=")</f>
        <v>#VALUE!</v>
      </c>
      <c r="FP183" t="e">
        <f>AND(DATA!I1320,"AAAAAHe3+6s=")</f>
        <v>#VALUE!</v>
      </c>
      <c r="FQ183" t="e">
        <f>AND(DATA!J1320,"AAAAAHe3+6w=")</f>
        <v>#VALUE!</v>
      </c>
      <c r="FR183" t="e">
        <f>AND(DATA!K1320,"AAAAAHe3+60=")</f>
        <v>#VALUE!</v>
      </c>
      <c r="FS183" t="b">
        <f>AND(DATA!L1321,"AAAAAHe3+64=")</f>
        <v>1</v>
      </c>
      <c r="FT183" t="b">
        <f>AND(DATA!M1321,"AAAAAHe3+68=")</f>
        <v>1</v>
      </c>
      <c r="FU183" t="b">
        <f>AND(DATA!N1321,"AAAAAHe3+7A=")</f>
        <v>1</v>
      </c>
      <c r="FV183" t="b">
        <f>AND(DATA!O1321,"AAAAAHe3+7E=")</f>
        <v>1</v>
      </c>
      <c r="FW183" t="b">
        <f>AND(DATA!P1321,"AAAAAHe3+7I=")</f>
        <v>1</v>
      </c>
      <c r="FX183" t="b">
        <f>AND(DATA!Q1321,"AAAAAHe3+7M=")</f>
        <v>1</v>
      </c>
      <c r="FY183" t="b">
        <f>AND(DATA!R1321,"AAAAAHe3+7Q=")</f>
        <v>1</v>
      </c>
      <c r="FZ183" t="b">
        <f>AND(DATA!S1321,"AAAAAHe3+7U=")</f>
        <v>1</v>
      </c>
      <c r="GA183" t="b">
        <f>AND(DATA!T1321,"AAAAAHe3+7Y=")</f>
        <v>1</v>
      </c>
      <c r="GB183" t="b">
        <f>AND(DATA!U1321,"AAAAAHe3+7c=")</f>
        <v>1</v>
      </c>
      <c r="GC183" t="e">
        <f>AND(DATA!V1321,"AAAAAHe3+7g=")</f>
        <v>#VALUE!</v>
      </c>
      <c r="GD183" t="e">
        <f>AND(DATA!W1320,"AAAAAHe3+7k=")</f>
        <v>#VALUE!</v>
      </c>
      <c r="GE183" t="e">
        <f>AND(DATA!X1320,"AAAAAHe3+7o=")</f>
        <v>#VALUE!</v>
      </c>
      <c r="GF183" t="e">
        <f>AND(DATA!Y1320,"AAAAAHe3+7s=")</f>
        <v>#VALUE!</v>
      </c>
      <c r="GG183">
        <f>IF(DATA!1321:1321,"AAAAAHe3+7w=",0)</f>
        <v>0</v>
      </c>
      <c r="GH183" t="e">
        <f>AND(DATA!A1321,"AAAAAHe3+70=")</f>
        <v>#VALUE!</v>
      </c>
      <c r="GI183" t="e">
        <f>AND(DATA!B1321,"AAAAAHe3+74=")</f>
        <v>#VALUE!</v>
      </c>
      <c r="GJ183" t="e">
        <f>AND(DATA!C1321,"AAAAAHe3+78=")</f>
        <v>#VALUE!</v>
      </c>
      <c r="GK183" t="e">
        <f>AND(DATA!D1321,"AAAAAHe3+8A=")</f>
        <v>#VALUE!</v>
      </c>
      <c r="GL183" t="e">
        <f>AND(DATA!E1321,"AAAAAHe3+8E=")</f>
        <v>#VALUE!</v>
      </c>
      <c r="GM183" t="e">
        <f>AND(DATA!F1321,"AAAAAHe3+8I=")</f>
        <v>#VALUE!</v>
      </c>
      <c r="GN183" t="e">
        <f>AND(DATA!G1321,"AAAAAHe3+8M=")</f>
        <v>#VALUE!</v>
      </c>
      <c r="GO183" t="e">
        <f>AND(DATA!H1321,"AAAAAHe3+8Q=")</f>
        <v>#VALUE!</v>
      </c>
      <c r="GP183" t="e">
        <f>AND(DATA!I1321,"AAAAAHe3+8U=")</f>
        <v>#VALUE!</v>
      </c>
      <c r="GQ183" t="e">
        <f>AND(DATA!J1321,"AAAAAHe3+8Y=")</f>
        <v>#VALUE!</v>
      </c>
      <c r="GR183" t="e">
        <f>AND(DATA!K1321,"AAAAAHe3+8c=")</f>
        <v>#VALUE!</v>
      </c>
      <c r="GS183" t="b">
        <f>AND(DATA!L1322,"AAAAAHe3+8g=")</f>
        <v>1</v>
      </c>
      <c r="GT183" t="b">
        <f>AND(DATA!M1322,"AAAAAHe3+8k=")</f>
        <v>1</v>
      </c>
      <c r="GU183" t="b">
        <f>AND(DATA!N1322,"AAAAAHe3+8o=")</f>
        <v>1</v>
      </c>
      <c r="GV183" t="b">
        <f>AND(DATA!O1322,"AAAAAHe3+8s=")</f>
        <v>1</v>
      </c>
      <c r="GW183" t="b">
        <f>AND(DATA!P1322,"AAAAAHe3+8w=")</f>
        <v>1</v>
      </c>
      <c r="GX183" t="b">
        <f>AND(DATA!Q1322,"AAAAAHe3+80=")</f>
        <v>1</v>
      </c>
      <c r="GY183" t="b">
        <f>AND(DATA!R1322,"AAAAAHe3+84=")</f>
        <v>1</v>
      </c>
      <c r="GZ183" t="b">
        <f>AND(DATA!S1322,"AAAAAHe3+88=")</f>
        <v>1</v>
      </c>
      <c r="HA183" t="b">
        <f>AND(DATA!T1322,"AAAAAHe3+9A=")</f>
        <v>1</v>
      </c>
      <c r="HB183" t="b">
        <f>AND(DATA!U1322,"AAAAAHe3+9E=")</f>
        <v>1</v>
      </c>
      <c r="HC183" t="e">
        <f>AND(DATA!V1322,"AAAAAHe3+9I=")</f>
        <v>#VALUE!</v>
      </c>
      <c r="HD183" t="e">
        <f>AND(DATA!W1321,"AAAAAHe3+9M=")</f>
        <v>#VALUE!</v>
      </c>
      <c r="HE183" t="e">
        <f>AND(DATA!X1321,"AAAAAHe3+9Q=")</f>
        <v>#VALUE!</v>
      </c>
      <c r="HF183" t="e">
        <f>AND(DATA!Y1321,"AAAAAHe3+9U=")</f>
        <v>#VALUE!</v>
      </c>
      <c r="HG183">
        <f>IF(DATA!1322:1322,"AAAAAHe3+9Y=",0)</f>
        <v>0</v>
      </c>
      <c r="HH183" t="e">
        <f>AND(DATA!A1322,"AAAAAHe3+9c=")</f>
        <v>#VALUE!</v>
      </c>
      <c r="HI183" t="e">
        <f>AND(DATA!B1322,"AAAAAHe3+9g=")</f>
        <v>#VALUE!</v>
      </c>
      <c r="HJ183" t="e">
        <f>AND(DATA!C1322,"AAAAAHe3+9k=")</f>
        <v>#VALUE!</v>
      </c>
      <c r="HK183" t="e">
        <f>AND(DATA!D1322,"AAAAAHe3+9o=")</f>
        <v>#VALUE!</v>
      </c>
      <c r="HL183" t="e">
        <f>AND(DATA!E1322,"AAAAAHe3+9s=")</f>
        <v>#VALUE!</v>
      </c>
      <c r="HM183" t="e">
        <f>AND(DATA!F1322,"AAAAAHe3+9w=")</f>
        <v>#VALUE!</v>
      </c>
      <c r="HN183" t="e">
        <f>AND(DATA!G1322,"AAAAAHe3+90=")</f>
        <v>#VALUE!</v>
      </c>
      <c r="HO183" t="e">
        <f>AND(DATA!H1322,"AAAAAHe3+94=")</f>
        <v>#VALUE!</v>
      </c>
      <c r="HP183" t="e">
        <f>AND(DATA!I1322,"AAAAAHe3+98=")</f>
        <v>#VALUE!</v>
      </c>
      <c r="HQ183" t="e">
        <f>AND(DATA!J1322,"AAAAAHe3++A=")</f>
        <v>#VALUE!</v>
      </c>
      <c r="HR183" t="e">
        <f>AND(DATA!K1322,"AAAAAHe3++E=")</f>
        <v>#VALUE!</v>
      </c>
      <c r="HS183" t="b">
        <f>AND(DATA!L1323,"AAAAAHe3++I=")</f>
        <v>1</v>
      </c>
      <c r="HT183" t="b">
        <f>AND(DATA!M1323,"AAAAAHe3++M=")</f>
        <v>1</v>
      </c>
      <c r="HU183" t="b">
        <f>AND(DATA!N1323,"AAAAAHe3++Q=")</f>
        <v>1</v>
      </c>
      <c r="HV183" t="b">
        <f>AND(DATA!O1323,"AAAAAHe3++U=")</f>
        <v>1</v>
      </c>
      <c r="HW183" t="b">
        <f>AND(DATA!P1323,"AAAAAHe3++Y=")</f>
        <v>1</v>
      </c>
      <c r="HX183" t="b">
        <f>AND(DATA!Q1323,"AAAAAHe3++c=")</f>
        <v>1</v>
      </c>
      <c r="HY183" t="b">
        <f>AND(DATA!R1323,"AAAAAHe3++g=")</f>
        <v>1</v>
      </c>
      <c r="HZ183" t="b">
        <f>AND(DATA!S1323,"AAAAAHe3++k=")</f>
        <v>1</v>
      </c>
      <c r="IA183" t="b">
        <f>AND(DATA!T1323,"AAAAAHe3++o=")</f>
        <v>1</v>
      </c>
      <c r="IB183" t="b">
        <f>AND(DATA!U1323,"AAAAAHe3++s=")</f>
        <v>1</v>
      </c>
      <c r="IC183" t="e">
        <f>AND(DATA!V1323,"AAAAAHe3++w=")</f>
        <v>#VALUE!</v>
      </c>
      <c r="ID183" t="e">
        <f>AND(DATA!W1322,"AAAAAHe3++0=")</f>
        <v>#VALUE!</v>
      </c>
      <c r="IE183" t="e">
        <f>AND(DATA!X1322,"AAAAAHe3++4=")</f>
        <v>#VALUE!</v>
      </c>
      <c r="IF183" t="e">
        <f>AND(DATA!Y1322,"AAAAAHe3++8=")</f>
        <v>#VALUE!</v>
      </c>
      <c r="IG183">
        <f>IF(DATA!1323:1323,"AAAAAHe3+/A=",0)</f>
        <v>0</v>
      </c>
      <c r="IH183" t="e">
        <f>AND(DATA!A1323,"AAAAAHe3+/E=")</f>
        <v>#VALUE!</v>
      </c>
      <c r="II183" t="e">
        <f>AND(DATA!B1323,"AAAAAHe3+/I=")</f>
        <v>#VALUE!</v>
      </c>
      <c r="IJ183" t="e">
        <f>AND(DATA!C1323,"AAAAAHe3+/M=")</f>
        <v>#VALUE!</v>
      </c>
      <c r="IK183" t="e">
        <f>AND(DATA!D1323,"AAAAAHe3+/Q=")</f>
        <v>#VALUE!</v>
      </c>
      <c r="IL183" t="e">
        <f>AND(DATA!E1323,"AAAAAHe3+/U=")</f>
        <v>#VALUE!</v>
      </c>
      <c r="IM183" t="e">
        <f>AND(DATA!F1323,"AAAAAHe3+/Y=")</f>
        <v>#VALUE!</v>
      </c>
      <c r="IN183" t="e">
        <f>AND(DATA!G1323,"AAAAAHe3+/c=")</f>
        <v>#VALUE!</v>
      </c>
      <c r="IO183" t="e">
        <f>AND(DATA!H1323,"AAAAAHe3+/g=")</f>
        <v>#VALUE!</v>
      </c>
      <c r="IP183" t="e">
        <f>AND(DATA!I1323,"AAAAAHe3+/k=")</f>
        <v>#VALUE!</v>
      </c>
      <c r="IQ183" t="e">
        <f>AND(DATA!J1323,"AAAAAHe3+/o=")</f>
        <v>#VALUE!</v>
      </c>
      <c r="IR183" t="e">
        <f>AND(DATA!K1323,"AAAAAHe3+/s=")</f>
        <v>#VALUE!</v>
      </c>
      <c r="IS183" t="b">
        <f>AND(DATA!L1324,"AAAAAHe3+/w=")</f>
        <v>1</v>
      </c>
      <c r="IT183" t="b">
        <f>AND(DATA!M1324,"AAAAAHe3+/0=")</f>
        <v>1</v>
      </c>
      <c r="IU183" t="b">
        <f>AND(DATA!N1324,"AAAAAHe3+/4=")</f>
        <v>1</v>
      </c>
      <c r="IV183" t="b">
        <f>AND(DATA!O1324,"AAAAAHe3+/8=")</f>
        <v>1</v>
      </c>
    </row>
    <row r="184" spans="1:256" x14ac:dyDescent="0.25">
      <c r="A184" t="b">
        <f>AND(DATA!P1324,"AAAAAExV3gA=")</f>
        <v>1</v>
      </c>
      <c r="B184" t="b">
        <f>AND(DATA!Q1324,"AAAAAExV3gE=")</f>
        <v>1</v>
      </c>
      <c r="C184" t="b">
        <f>AND(DATA!R1324,"AAAAAExV3gI=")</f>
        <v>1</v>
      </c>
      <c r="D184" t="b">
        <f>AND(DATA!S1324,"AAAAAExV3gM=")</f>
        <v>1</v>
      </c>
      <c r="E184" t="b">
        <f>AND(DATA!T1324,"AAAAAExV3gQ=")</f>
        <v>1</v>
      </c>
      <c r="F184" t="b">
        <f>AND(DATA!U1324,"AAAAAExV3gU=")</f>
        <v>1</v>
      </c>
      <c r="G184" t="e">
        <f>AND(DATA!V1324,"AAAAAExV3gY=")</f>
        <v>#VALUE!</v>
      </c>
      <c r="H184" t="e">
        <f>AND(DATA!W1323,"AAAAAExV3gc=")</f>
        <v>#VALUE!</v>
      </c>
      <c r="I184" t="e">
        <f>AND(DATA!X1323,"AAAAAExV3gg=")</f>
        <v>#VALUE!</v>
      </c>
      <c r="J184" t="e">
        <f>AND(DATA!Y1323,"AAAAAExV3gk=")</f>
        <v>#VALUE!</v>
      </c>
      <c r="K184">
        <f>IF(DATA!1324:1324,"AAAAAExV3go=",0)</f>
        <v>0</v>
      </c>
      <c r="L184" t="e">
        <f>AND(DATA!A1324,"AAAAAExV3gs=")</f>
        <v>#VALUE!</v>
      </c>
      <c r="M184" t="e">
        <f>AND(DATA!B1324,"AAAAAExV3gw=")</f>
        <v>#VALUE!</v>
      </c>
      <c r="N184" t="e">
        <f>AND(DATA!C1324,"AAAAAExV3g0=")</f>
        <v>#VALUE!</v>
      </c>
      <c r="O184" t="e">
        <f>AND(DATA!D1324,"AAAAAExV3g4=")</f>
        <v>#VALUE!</v>
      </c>
      <c r="P184" t="e">
        <f>AND(DATA!E1324,"AAAAAExV3g8=")</f>
        <v>#VALUE!</v>
      </c>
      <c r="Q184" t="e">
        <f>AND(DATA!F1324,"AAAAAExV3hA=")</f>
        <v>#VALUE!</v>
      </c>
      <c r="R184" t="e">
        <f>AND(DATA!G1324,"AAAAAExV3hE=")</f>
        <v>#VALUE!</v>
      </c>
      <c r="S184" t="e">
        <f>AND(DATA!H1324,"AAAAAExV3hI=")</f>
        <v>#VALUE!</v>
      </c>
      <c r="T184" t="e">
        <f>AND(DATA!I1324,"AAAAAExV3hM=")</f>
        <v>#VALUE!</v>
      </c>
      <c r="U184" t="e">
        <f>AND(DATA!J1324,"AAAAAExV3hQ=")</f>
        <v>#VALUE!</v>
      </c>
      <c r="V184" t="e">
        <f>AND(DATA!K1324,"AAAAAExV3hU=")</f>
        <v>#VALUE!</v>
      </c>
      <c r="W184" t="b">
        <f>AND(DATA!L1325,"AAAAAExV3hY=")</f>
        <v>1</v>
      </c>
      <c r="X184" t="b">
        <f>AND(DATA!M1325,"AAAAAExV3hc=")</f>
        <v>1</v>
      </c>
      <c r="Y184" t="b">
        <f>AND(DATA!N1325,"AAAAAExV3hg=")</f>
        <v>1</v>
      </c>
      <c r="Z184" t="b">
        <f>AND(DATA!O1325,"AAAAAExV3hk=")</f>
        <v>1</v>
      </c>
      <c r="AA184" t="b">
        <f>AND(DATA!P1325,"AAAAAExV3ho=")</f>
        <v>1</v>
      </c>
      <c r="AB184" t="b">
        <f>AND(DATA!Q1325,"AAAAAExV3hs=")</f>
        <v>1</v>
      </c>
      <c r="AC184" t="b">
        <f>AND(DATA!R1325,"AAAAAExV3hw=")</f>
        <v>1</v>
      </c>
      <c r="AD184" t="b">
        <f>AND(DATA!S1325,"AAAAAExV3h0=")</f>
        <v>1</v>
      </c>
      <c r="AE184" t="b">
        <f>AND(DATA!T1325,"AAAAAExV3h4=")</f>
        <v>1</v>
      </c>
      <c r="AF184" t="b">
        <f>AND(DATA!U1325,"AAAAAExV3h8=")</f>
        <v>1</v>
      </c>
      <c r="AG184" t="e">
        <f>AND(DATA!V1325,"AAAAAExV3iA=")</f>
        <v>#VALUE!</v>
      </c>
      <c r="AH184" t="e">
        <f>AND(DATA!W1324,"AAAAAExV3iE=")</f>
        <v>#VALUE!</v>
      </c>
      <c r="AI184" t="e">
        <f>AND(DATA!X1324,"AAAAAExV3iI=")</f>
        <v>#VALUE!</v>
      </c>
      <c r="AJ184" t="e">
        <f>AND(DATA!Y1324,"AAAAAExV3iM=")</f>
        <v>#VALUE!</v>
      </c>
      <c r="AK184">
        <f>IF(DATA!1325:1325,"AAAAAExV3iQ=",0)</f>
        <v>0</v>
      </c>
      <c r="AL184" t="e">
        <f>AND(DATA!A1325,"AAAAAExV3iU=")</f>
        <v>#VALUE!</v>
      </c>
      <c r="AM184" t="e">
        <f>AND(DATA!B1325,"AAAAAExV3iY=")</f>
        <v>#VALUE!</v>
      </c>
      <c r="AN184" t="e">
        <f>AND(DATA!C1325,"AAAAAExV3ic=")</f>
        <v>#VALUE!</v>
      </c>
      <c r="AO184" t="e">
        <f>AND(DATA!D1325,"AAAAAExV3ig=")</f>
        <v>#VALUE!</v>
      </c>
      <c r="AP184" t="e">
        <f>AND(DATA!E1325,"AAAAAExV3ik=")</f>
        <v>#VALUE!</v>
      </c>
      <c r="AQ184" t="e">
        <f>AND(DATA!F1325,"AAAAAExV3io=")</f>
        <v>#VALUE!</v>
      </c>
      <c r="AR184" t="e">
        <f>AND(DATA!G1325,"AAAAAExV3is=")</f>
        <v>#VALUE!</v>
      </c>
      <c r="AS184" t="e">
        <f>AND(DATA!H1325,"AAAAAExV3iw=")</f>
        <v>#VALUE!</v>
      </c>
      <c r="AT184" t="e">
        <f>AND(DATA!I1325,"AAAAAExV3i0=")</f>
        <v>#VALUE!</v>
      </c>
      <c r="AU184" t="e">
        <f>AND(DATA!J1325,"AAAAAExV3i4=")</f>
        <v>#VALUE!</v>
      </c>
      <c r="AV184" t="e">
        <f>AND(DATA!K1325,"AAAAAExV3i8=")</f>
        <v>#VALUE!</v>
      </c>
      <c r="AW184" t="b">
        <f>AND(DATA!L1326,"AAAAAExV3jA=")</f>
        <v>1</v>
      </c>
      <c r="AX184" t="b">
        <f>AND(DATA!M1326,"AAAAAExV3jE=")</f>
        <v>1</v>
      </c>
      <c r="AY184" t="b">
        <f>AND(DATA!N1326,"AAAAAExV3jI=")</f>
        <v>1</v>
      </c>
      <c r="AZ184" t="b">
        <f>AND(DATA!O1326,"AAAAAExV3jM=")</f>
        <v>1</v>
      </c>
      <c r="BA184" t="b">
        <f>AND(DATA!P1326,"AAAAAExV3jQ=")</f>
        <v>1</v>
      </c>
      <c r="BB184" t="b">
        <f>AND(DATA!Q1326,"AAAAAExV3jU=")</f>
        <v>1</v>
      </c>
      <c r="BC184" t="b">
        <f>AND(DATA!R1326,"AAAAAExV3jY=")</f>
        <v>1</v>
      </c>
      <c r="BD184" t="b">
        <f>AND(DATA!S1326,"AAAAAExV3jc=")</f>
        <v>1</v>
      </c>
      <c r="BE184" t="b">
        <f>AND(DATA!T1326,"AAAAAExV3jg=")</f>
        <v>1</v>
      </c>
      <c r="BF184" t="b">
        <f>AND(DATA!U1326,"AAAAAExV3jk=")</f>
        <v>1</v>
      </c>
      <c r="BG184" t="e">
        <f>AND(DATA!V1326,"AAAAAExV3jo=")</f>
        <v>#VALUE!</v>
      </c>
      <c r="BH184" t="e">
        <f>AND(DATA!W1325,"AAAAAExV3js=")</f>
        <v>#VALUE!</v>
      </c>
      <c r="BI184" t="e">
        <f>AND(DATA!X1325,"AAAAAExV3jw=")</f>
        <v>#VALUE!</v>
      </c>
      <c r="BJ184" t="e">
        <f>AND(DATA!Y1325,"AAAAAExV3j0=")</f>
        <v>#VALUE!</v>
      </c>
      <c r="BK184">
        <f>IF(DATA!1326:1326,"AAAAAExV3j4=",0)</f>
        <v>0</v>
      </c>
      <c r="BL184" t="e">
        <f>AND(DATA!A1326,"AAAAAExV3j8=")</f>
        <v>#VALUE!</v>
      </c>
      <c r="BM184" t="e">
        <f>AND(DATA!B1326,"AAAAAExV3kA=")</f>
        <v>#VALUE!</v>
      </c>
      <c r="BN184" t="e">
        <f>AND(DATA!C1326,"AAAAAExV3kE=")</f>
        <v>#VALUE!</v>
      </c>
      <c r="BO184" t="e">
        <f>AND(DATA!D1326,"AAAAAExV3kI=")</f>
        <v>#VALUE!</v>
      </c>
      <c r="BP184" t="e">
        <f>AND(DATA!E1326,"AAAAAExV3kM=")</f>
        <v>#VALUE!</v>
      </c>
      <c r="BQ184" t="e">
        <f>AND(DATA!F1326,"AAAAAExV3kQ=")</f>
        <v>#VALUE!</v>
      </c>
      <c r="BR184" t="e">
        <f>AND(DATA!G1326,"AAAAAExV3kU=")</f>
        <v>#VALUE!</v>
      </c>
      <c r="BS184" t="e">
        <f>AND(DATA!H1326,"AAAAAExV3kY=")</f>
        <v>#VALUE!</v>
      </c>
      <c r="BT184" t="e">
        <f>AND(DATA!I1326,"AAAAAExV3kc=")</f>
        <v>#VALUE!</v>
      </c>
      <c r="BU184" t="e">
        <f>AND(DATA!J1326,"AAAAAExV3kg=")</f>
        <v>#VALUE!</v>
      </c>
      <c r="BV184" t="e">
        <f>AND(DATA!K1326,"AAAAAExV3kk=")</f>
        <v>#VALUE!</v>
      </c>
      <c r="BW184" t="b">
        <f>AND(DATA!L1327,"AAAAAExV3ko=")</f>
        <v>1</v>
      </c>
      <c r="BX184" t="b">
        <f>AND(DATA!M1327,"AAAAAExV3ks=")</f>
        <v>1</v>
      </c>
      <c r="BY184" t="b">
        <f>AND(DATA!N1327,"AAAAAExV3kw=")</f>
        <v>1</v>
      </c>
      <c r="BZ184" t="b">
        <f>AND(DATA!O1327,"AAAAAExV3k0=")</f>
        <v>1</v>
      </c>
      <c r="CA184" t="b">
        <f>AND(DATA!P1327,"AAAAAExV3k4=")</f>
        <v>1</v>
      </c>
      <c r="CB184" t="b">
        <f>AND(DATA!Q1327,"AAAAAExV3k8=")</f>
        <v>1</v>
      </c>
      <c r="CC184" t="b">
        <f>AND(DATA!R1327,"AAAAAExV3lA=")</f>
        <v>1</v>
      </c>
      <c r="CD184" t="b">
        <f>AND(DATA!S1327,"AAAAAExV3lE=")</f>
        <v>1</v>
      </c>
      <c r="CE184" t="b">
        <f>AND(DATA!T1327,"AAAAAExV3lI=")</f>
        <v>1</v>
      </c>
      <c r="CF184" t="b">
        <f>AND(DATA!U1327,"AAAAAExV3lM=")</f>
        <v>1</v>
      </c>
      <c r="CG184" t="e">
        <f>AND(DATA!V1327,"AAAAAExV3lQ=")</f>
        <v>#VALUE!</v>
      </c>
      <c r="CH184" t="e">
        <f>AND(DATA!W1326,"AAAAAExV3lU=")</f>
        <v>#VALUE!</v>
      </c>
      <c r="CI184" t="e">
        <f>AND(DATA!X1326,"AAAAAExV3lY=")</f>
        <v>#VALUE!</v>
      </c>
      <c r="CJ184" t="e">
        <f>AND(DATA!Y1326,"AAAAAExV3lc=")</f>
        <v>#VALUE!</v>
      </c>
      <c r="CK184">
        <f>IF(DATA!1327:1327,"AAAAAExV3lg=",0)</f>
        <v>0</v>
      </c>
      <c r="CL184" t="e">
        <f>AND(DATA!A1327,"AAAAAExV3lk=")</f>
        <v>#VALUE!</v>
      </c>
      <c r="CM184" t="e">
        <f>AND(DATA!B1327,"AAAAAExV3lo=")</f>
        <v>#VALUE!</v>
      </c>
      <c r="CN184" t="e">
        <f>AND(DATA!C1327,"AAAAAExV3ls=")</f>
        <v>#VALUE!</v>
      </c>
      <c r="CO184" t="e">
        <f>AND(DATA!D1327,"AAAAAExV3lw=")</f>
        <v>#VALUE!</v>
      </c>
      <c r="CP184" t="e">
        <f>AND(DATA!E1327,"AAAAAExV3l0=")</f>
        <v>#VALUE!</v>
      </c>
      <c r="CQ184" t="e">
        <f>AND(DATA!F1327,"AAAAAExV3l4=")</f>
        <v>#VALUE!</v>
      </c>
      <c r="CR184" t="e">
        <f>AND(DATA!G1327,"AAAAAExV3l8=")</f>
        <v>#VALUE!</v>
      </c>
      <c r="CS184" t="e">
        <f>AND(DATA!H1327,"AAAAAExV3mA=")</f>
        <v>#VALUE!</v>
      </c>
      <c r="CT184" t="e">
        <f>AND(DATA!I1327,"AAAAAExV3mE=")</f>
        <v>#VALUE!</v>
      </c>
      <c r="CU184" t="e">
        <f>AND(DATA!J1327,"AAAAAExV3mI=")</f>
        <v>#VALUE!</v>
      </c>
      <c r="CV184" t="e">
        <f>AND(DATA!K1327,"AAAAAExV3mM=")</f>
        <v>#VALUE!</v>
      </c>
      <c r="CW184" t="b">
        <f>AND(DATA!L1328,"AAAAAExV3mQ=")</f>
        <v>1</v>
      </c>
      <c r="CX184" t="b">
        <f>AND(DATA!M1328,"AAAAAExV3mU=")</f>
        <v>1</v>
      </c>
      <c r="CY184" t="b">
        <f>AND(DATA!N1328,"AAAAAExV3mY=")</f>
        <v>1</v>
      </c>
      <c r="CZ184" t="b">
        <f>AND(DATA!O1328,"AAAAAExV3mc=")</f>
        <v>1</v>
      </c>
      <c r="DA184" t="b">
        <f>AND(DATA!P1328,"AAAAAExV3mg=")</f>
        <v>1</v>
      </c>
      <c r="DB184" t="b">
        <f>AND(DATA!Q1328,"AAAAAExV3mk=")</f>
        <v>1</v>
      </c>
      <c r="DC184" t="b">
        <f>AND(DATA!R1328,"AAAAAExV3mo=")</f>
        <v>1</v>
      </c>
      <c r="DD184" t="b">
        <f>AND(DATA!S1328,"AAAAAExV3ms=")</f>
        <v>1</v>
      </c>
      <c r="DE184" t="b">
        <f>AND(DATA!T1328,"AAAAAExV3mw=")</f>
        <v>1</v>
      </c>
      <c r="DF184" t="b">
        <f>AND(DATA!U1328,"AAAAAExV3m0=")</f>
        <v>1</v>
      </c>
      <c r="DG184" t="e">
        <f>AND(DATA!V1328,"AAAAAExV3m4=")</f>
        <v>#VALUE!</v>
      </c>
      <c r="DH184" t="e">
        <f>AND(DATA!W1327,"AAAAAExV3m8=")</f>
        <v>#VALUE!</v>
      </c>
      <c r="DI184" t="e">
        <f>AND(DATA!X1327,"AAAAAExV3nA=")</f>
        <v>#VALUE!</v>
      </c>
      <c r="DJ184" t="e">
        <f>AND(DATA!Y1327,"AAAAAExV3nE=")</f>
        <v>#VALUE!</v>
      </c>
      <c r="DK184">
        <f>IF(DATA!1328:1328,"AAAAAExV3nI=",0)</f>
        <v>0</v>
      </c>
      <c r="DL184" t="e">
        <f>AND(DATA!A1328,"AAAAAExV3nM=")</f>
        <v>#VALUE!</v>
      </c>
      <c r="DM184" t="e">
        <f>AND(DATA!B1328,"AAAAAExV3nQ=")</f>
        <v>#VALUE!</v>
      </c>
      <c r="DN184" t="e">
        <f>AND(DATA!C1328,"AAAAAExV3nU=")</f>
        <v>#VALUE!</v>
      </c>
      <c r="DO184" t="e">
        <f>AND(DATA!D1328,"AAAAAExV3nY=")</f>
        <v>#VALUE!</v>
      </c>
      <c r="DP184" t="e">
        <f>AND(DATA!E1328,"AAAAAExV3nc=")</f>
        <v>#VALUE!</v>
      </c>
      <c r="DQ184" t="e">
        <f>AND(DATA!F1328,"AAAAAExV3ng=")</f>
        <v>#VALUE!</v>
      </c>
      <c r="DR184" t="e">
        <f>AND(DATA!G1328,"AAAAAExV3nk=")</f>
        <v>#VALUE!</v>
      </c>
      <c r="DS184" t="e">
        <f>AND(DATA!H1328,"AAAAAExV3no=")</f>
        <v>#VALUE!</v>
      </c>
      <c r="DT184" t="e">
        <f>AND(DATA!I1328,"AAAAAExV3ns=")</f>
        <v>#VALUE!</v>
      </c>
      <c r="DU184" t="e">
        <f>AND(DATA!J1328,"AAAAAExV3nw=")</f>
        <v>#VALUE!</v>
      </c>
      <c r="DV184" t="e">
        <f>AND(DATA!K1328,"AAAAAExV3n0=")</f>
        <v>#VALUE!</v>
      </c>
      <c r="DW184" t="b">
        <f>AND(DATA!L1329,"AAAAAExV3n4=")</f>
        <v>1</v>
      </c>
      <c r="DX184" t="b">
        <f>AND(DATA!M1329,"AAAAAExV3n8=")</f>
        <v>1</v>
      </c>
      <c r="DY184" t="b">
        <f>AND(DATA!N1329,"AAAAAExV3oA=")</f>
        <v>1</v>
      </c>
      <c r="DZ184" t="b">
        <f>AND(DATA!O1329,"AAAAAExV3oE=")</f>
        <v>1</v>
      </c>
      <c r="EA184" t="b">
        <f>AND(DATA!P1329,"AAAAAExV3oI=")</f>
        <v>1</v>
      </c>
      <c r="EB184" t="b">
        <f>AND(DATA!Q1329,"AAAAAExV3oM=")</f>
        <v>1</v>
      </c>
      <c r="EC184" t="b">
        <f>AND(DATA!R1329,"AAAAAExV3oQ=")</f>
        <v>1</v>
      </c>
      <c r="ED184" t="b">
        <f>AND(DATA!S1329,"AAAAAExV3oU=")</f>
        <v>1</v>
      </c>
      <c r="EE184" t="b">
        <f>AND(DATA!T1329,"AAAAAExV3oY=")</f>
        <v>1</v>
      </c>
      <c r="EF184" t="b">
        <f>AND(DATA!U1329,"AAAAAExV3oc=")</f>
        <v>1</v>
      </c>
      <c r="EG184" t="e">
        <f>AND(DATA!V1329,"AAAAAExV3og=")</f>
        <v>#VALUE!</v>
      </c>
      <c r="EH184" t="e">
        <f>AND(DATA!W1328,"AAAAAExV3ok=")</f>
        <v>#VALUE!</v>
      </c>
      <c r="EI184" t="e">
        <f>AND(DATA!X1328,"AAAAAExV3oo=")</f>
        <v>#VALUE!</v>
      </c>
      <c r="EJ184" t="e">
        <f>AND(DATA!Y1328,"AAAAAExV3os=")</f>
        <v>#VALUE!</v>
      </c>
      <c r="EK184">
        <f>IF(DATA!1329:1329,"AAAAAExV3ow=",0)</f>
        <v>0</v>
      </c>
      <c r="EL184" t="e">
        <f>AND(DATA!A1329,"AAAAAExV3o0=")</f>
        <v>#VALUE!</v>
      </c>
      <c r="EM184" t="e">
        <f>AND(DATA!B1329,"AAAAAExV3o4=")</f>
        <v>#VALUE!</v>
      </c>
      <c r="EN184" t="e">
        <f>AND(DATA!C1329,"AAAAAExV3o8=")</f>
        <v>#VALUE!</v>
      </c>
      <c r="EO184" t="e">
        <f>AND(DATA!D1329,"AAAAAExV3pA=")</f>
        <v>#VALUE!</v>
      </c>
      <c r="EP184" t="e">
        <f>AND(DATA!E1329,"AAAAAExV3pE=")</f>
        <v>#VALUE!</v>
      </c>
      <c r="EQ184" t="e">
        <f>AND(DATA!F1329,"AAAAAExV3pI=")</f>
        <v>#VALUE!</v>
      </c>
      <c r="ER184" t="e">
        <f>AND(DATA!G1329,"AAAAAExV3pM=")</f>
        <v>#VALUE!</v>
      </c>
      <c r="ES184" t="e">
        <f>AND(DATA!H1329,"AAAAAExV3pQ=")</f>
        <v>#VALUE!</v>
      </c>
      <c r="ET184" t="e">
        <f>AND(DATA!I1329,"AAAAAExV3pU=")</f>
        <v>#VALUE!</v>
      </c>
      <c r="EU184" t="e">
        <f>AND(DATA!J1329,"AAAAAExV3pY=")</f>
        <v>#VALUE!</v>
      </c>
      <c r="EV184" t="e">
        <f>AND(DATA!K1329,"AAAAAExV3pc=")</f>
        <v>#VALUE!</v>
      </c>
      <c r="EW184" t="b">
        <f>AND(DATA!L1330,"AAAAAExV3pg=")</f>
        <v>1</v>
      </c>
      <c r="EX184" t="b">
        <f>AND(DATA!M1330,"AAAAAExV3pk=")</f>
        <v>1</v>
      </c>
      <c r="EY184" t="b">
        <f>AND(DATA!N1330,"AAAAAExV3po=")</f>
        <v>1</v>
      </c>
      <c r="EZ184" t="b">
        <f>AND(DATA!O1330,"AAAAAExV3ps=")</f>
        <v>1</v>
      </c>
      <c r="FA184" t="b">
        <f>AND(DATA!P1330,"AAAAAExV3pw=")</f>
        <v>1</v>
      </c>
      <c r="FB184" t="b">
        <f>AND(DATA!Q1330,"AAAAAExV3p0=")</f>
        <v>1</v>
      </c>
      <c r="FC184" t="b">
        <f>AND(DATA!R1330,"AAAAAExV3p4=")</f>
        <v>1</v>
      </c>
      <c r="FD184" t="b">
        <f>AND(DATA!S1330,"AAAAAExV3p8=")</f>
        <v>1</v>
      </c>
      <c r="FE184" t="b">
        <f>AND(DATA!T1330,"AAAAAExV3qA=")</f>
        <v>1</v>
      </c>
      <c r="FF184" t="b">
        <f>AND(DATA!U1330,"AAAAAExV3qE=")</f>
        <v>1</v>
      </c>
      <c r="FG184" t="e">
        <f>AND(DATA!V1330,"AAAAAExV3qI=")</f>
        <v>#VALUE!</v>
      </c>
      <c r="FH184" t="e">
        <f>AND(DATA!W1329,"AAAAAExV3qM=")</f>
        <v>#VALUE!</v>
      </c>
      <c r="FI184" t="e">
        <f>AND(DATA!X1329,"AAAAAExV3qQ=")</f>
        <v>#VALUE!</v>
      </c>
      <c r="FJ184" t="e">
        <f>AND(DATA!Y1329,"AAAAAExV3qU=")</f>
        <v>#VALUE!</v>
      </c>
      <c r="FK184">
        <f>IF(DATA!1330:1330,"AAAAAExV3qY=",0)</f>
        <v>0</v>
      </c>
      <c r="FL184" t="e">
        <f>AND(DATA!A1330,"AAAAAExV3qc=")</f>
        <v>#VALUE!</v>
      </c>
      <c r="FM184" t="e">
        <f>AND(DATA!B1330,"AAAAAExV3qg=")</f>
        <v>#VALUE!</v>
      </c>
      <c r="FN184" t="e">
        <f>AND(DATA!C1330,"AAAAAExV3qk=")</f>
        <v>#VALUE!</v>
      </c>
      <c r="FO184" t="e">
        <f>AND(DATA!D1330,"AAAAAExV3qo=")</f>
        <v>#VALUE!</v>
      </c>
      <c r="FP184" t="e">
        <f>AND(DATA!E1330,"AAAAAExV3qs=")</f>
        <v>#VALUE!</v>
      </c>
      <c r="FQ184" t="e">
        <f>AND(DATA!F1330,"AAAAAExV3qw=")</f>
        <v>#VALUE!</v>
      </c>
      <c r="FR184" t="e">
        <f>AND(DATA!G1330,"AAAAAExV3q0=")</f>
        <v>#VALUE!</v>
      </c>
      <c r="FS184" t="e">
        <f>AND(DATA!H1330,"AAAAAExV3q4=")</f>
        <v>#VALUE!</v>
      </c>
      <c r="FT184" t="e">
        <f>AND(DATA!I1330,"AAAAAExV3q8=")</f>
        <v>#VALUE!</v>
      </c>
      <c r="FU184" t="e">
        <f>AND(DATA!J1330,"AAAAAExV3rA=")</f>
        <v>#VALUE!</v>
      </c>
      <c r="FV184" t="e">
        <f>AND(DATA!K1330,"AAAAAExV3rE=")</f>
        <v>#VALUE!</v>
      </c>
      <c r="FW184" t="b">
        <f>AND(DATA!L1331,"AAAAAExV3rI=")</f>
        <v>1</v>
      </c>
      <c r="FX184" t="b">
        <f>AND(DATA!M1331,"AAAAAExV3rM=")</f>
        <v>1</v>
      </c>
      <c r="FY184" t="b">
        <f>AND(DATA!N1331,"AAAAAExV3rQ=")</f>
        <v>1</v>
      </c>
      <c r="FZ184" t="b">
        <f>AND(DATA!O1331,"AAAAAExV3rU=")</f>
        <v>1</v>
      </c>
      <c r="GA184" t="b">
        <f>AND(DATA!P1331,"AAAAAExV3rY=")</f>
        <v>1</v>
      </c>
      <c r="GB184" t="b">
        <f>AND(DATA!Q1331,"AAAAAExV3rc=")</f>
        <v>1</v>
      </c>
      <c r="GC184" t="b">
        <f>AND(DATA!R1331,"AAAAAExV3rg=")</f>
        <v>1</v>
      </c>
      <c r="GD184" t="b">
        <f>AND(DATA!S1331,"AAAAAExV3rk=")</f>
        <v>1</v>
      </c>
      <c r="GE184" t="b">
        <f>AND(DATA!T1331,"AAAAAExV3ro=")</f>
        <v>1</v>
      </c>
      <c r="GF184" t="b">
        <f>AND(DATA!U1331,"AAAAAExV3rs=")</f>
        <v>1</v>
      </c>
      <c r="GG184" t="e">
        <f>AND(DATA!V1331,"AAAAAExV3rw=")</f>
        <v>#VALUE!</v>
      </c>
      <c r="GH184" t="e">
        <f>AND(DATA!W1330,"AAAAAExV3r0=")</f>
        <v>#VALUE!</v>
      </c>
      <c r="GI184" t="e">
        <f>AND(DATA!X1330,"AAAAAExV3r4=")</f>
        <v>#VALUE!</v>
      </c>
      <c r="GJ184" t="e">
        <f>AND(DATA!Y1330,"AAAAAExV3r8=")</f>
        <v>#VALUE!</v>
      </c>
      <c r="GK184">
        <f>IF(DATA!1331:1331,"AAAAAExV3sA=",0)</f>
        <v>0</v>
      </c>
      <c r="GL184" t="e">
        <f>AND(DATA!A1331,"AAAAAExV3sE=")</f>
        <v>#VALUE!</v>
      </c>
      <c r="GM184" t="e">
        <f>AND(DATA!B1331,"AAAAAExV3sI=")</f>
        <v>#VALUE!</v>
      </c>
      <c r="GN184" t="e">
        <f>AND(DATA!C1331,"AAAAAExV3sM=")</f>
        <v>#VALUE!</v>
      </c>
      <c r="GO184" t="e">
        <f>AND(DATA!D1331,"AAAAAExV3sQ=")</f>
        <v>#VALUE!</v>
      </c>
      <c r="GP184" t="e">
        <f>AND(DATA!E1331,"AAAAAExV3sU=")</f>
        <v>#VALUE!</v>
      </c>
      <c r="GQ184" t="e">
        <f>AND(DATA!F1331,"AAAAAExV3sY=")</f>
        <v>#VALUE!</v>
      </c>
      <c r="GR184" t="e">
        <f>AND(DATA!G1331,"AAAAAExV3sc=")</f>
        <v>#VALUE!</v>
      </c>
      <c r="GS184" t="e">
        <f>AND(DATA!H1331,"AAAAAExV3sg=")</f>
        <v>#VALUE!</v>
      </c>
      <c r="GT184" t="e">
        <f>AND(DATA!I1331,"AAAAAExV3sk=")</f>
        <v>#VALUE!</v>
      </c>
      <c r="GU184" t="e">
        <f>AND(DATA!J1331,"AAAAAExV3so=")</f>
        <v>#VALUE!</v>
      </c>
      <c r="GV184" t="e">
        <f>AND(DATA!K1331,"AAAAAExV3ss=")</f>
        <v>#VALUE!</v>
      </c>
      <c r="GW184" t="b">
        <f>AND(DATA!L1332,"AAAAAExV3sw=")</f>
        <v>1</v>
      </c>
      <c r="GX184" t="b">
        <f>AND(DATA!M1332,"AAAAAExV3s0=")</f>
        <v>1</v>
      </c>
      <c r="GY184" t="b">
        <f>AND(DATA!N1332,"AAAAAExV3s4=")</f>
        <v>1</v>
      </c>
      <c r="GZ184" t="b">
        <f>AND(DATA!O1332,"AAAAAExV3s8=")</f>
        <v>1</v>
      </c>
      <c r="HA184" t="b">
        <f>AND(DATA!P1332,"AAAAAExV3tA=")</f>
        <v>1</v>
      </c>
      <c r="HB184" t="b">
        <f>AND(DATA!Q1332,"AAAAAExV3tE=")</f>
        <v>1</v>
      </c>
      <c r="HC184" t="b">
        <f>AND(DATA!R1332,"AAAAAExV3tI=")</f>
        <v>1</v>
      </c>
      <c r="HD184" t="b">
        <f>AND(DATA!S1332,"AAAAAExV3tM=")</f>
        <v>1</v>
      </c>
      <c r="HE184" t="b">
        <f>AND(DATA!T1332,"AAAAAExV3tQ=")</f>
        <v>1</v>
      </c>
      <c r="HF184" t="b">
        <f>AND(DATA!U1332,"AAAAAExV3tU=")</f>
        <v>1</v>
      </c>
      <c r="HG184" t="e">
        <f>AND(DATA!V1332,"AAAAAExV3tY=")</f>
        <v>#VALUE!</v>
      </c>
      <c r="HH184" t="e">
        <f>AND(DATA!W1331,"AAAAAExV3tc=")</f>
        <v>#VALUE!</v>
      </c>
      <c r="HI184" t="e">
        <f>AND(DATA!X1331,"AAAAAExV3tg=")</f>
        <v>#VALUE!</v>
      </c>
      <c r="HJ184" t="e">
        <f>AND(DATA!Y1331,"AAAAAExV3tk=")</f>
        <v>#VALUE!</v>
      </c>
      <c r="HK184">
        <f>IF(DATA!1332:1332,"AAAAAExV3to=",0)</f>
        <v>0</v>
      </c>
      <c r="HL184" t="e">
        <f>AND(DATA!A1332,"AAAAAExV3ts=")</f>
        <v>#VALUE!</v>
      </c>
      <c r="HM184" t="e">
        <f>AND(DATA!B1332,"AAAAAExV3tw=")</f>
        <v>#VALUE!</v>
      </c>
      <c r="HN184" t="e">
        <f>AND(DATA!C1332,"AAAAAExV3t0=")</f>
        <v>#VALUE!</v>
      </c>
      <c r="HO184" t="e">
        <f>AND(DATA!D1332,"AAAAAExV3t4=")</f>
        <v>#VALUE!</v>
      </c>
      <c r="HP184" t="e">
        <f>AND(DATA!E1332,"AAAAAExV3t8=")</f>
        <v>#VALUE!</v>
      </c>
      <c r="HQ184" t="e">
        <f>AND(DATA!F1332,"AAAAAExV3uA=")</f>
        <v>#VALUE!</v>
      </c>
      <c r="HR184" t="e">
        <f>AND(DATA!G1332,"AAAAAExV3uE=")</f>
        <v>#VALUE!</v>
      </c>
      <c r="HS184" t="e">
        <f>AND(DATA!H1332,"AAAAAExV3uI=")</f>
        <v>#VALUE!</v>
      </c>
      <c r="HT184" t="e">
        <f>AND(DATA!I1332,"AAAAAExV3uM=")</f>
        <v>#VALUE!</v>
      </c>
      <c r="HU184" t="e">
        <f>AND(DATA!J1332,"AAAAAExV3uQ=")</f>
        <v>#VALUE!</v>
      </c>
      <c r="HV184" t="e">
        <f>AND(DATA!K1332,"AAAAAExV3uU=")</f>
        <v>#VALUE!</v>
      </c>
      <c r="HW184" t="b">
        <f>AND(DATA!L1333,"AAAAAExV3uY=")</f>
        <v>1</v>
      </c>
      <c r="HX184" t="b">
        <f>AND(DATA!M1333,"AAAAAExV3uc=")</f>
        <v>1</v>
      </c>
      <c r="HY184" t="b">
        <f>AND(DATA!N1333,"AAAAAExV3ug=")</f>
        <v>1</v>
      </c>
      <c r="HZ184" t="b">
        <f>AND(DATA!O1333,"AAAAAExV3uk=")</f>
        <v>1</v>
      </c>
      <c r="IA184" t="b">
        <f>AND(DATA!P1333,"AAAAAExV3uo=")</f>
        <v>1</v>
      </c>
      <c r="IB184" t="b">
        <f>AND(DATA!Q1333,"AAAAAExV3us=")</f>
        <v>1</v>
      </c>
      <c r="IC184" t="b">
        <f>AND(DATA!R1333,"AAAAAExV3uw=")</f>
        <v>1</v>
      </c>
      <c r="ID184" t="b">
        <f>AND(DATA!S1333,"AAAAAExV3u0=")</f>
        <v>1</v>
      </c>
      <c r="IE184" t="b">
        <f>AND(DATA!T1333,"AAAAAExV3u4=")</f>
        <v>1</v>
      </c>
      <c r="IF184" t="b">
        <f>AND(DATA!U1333,"AAAAAExV3u8=")</f>
        <v>1</v>
      </c>
      <c r="IG184" t="e">
        <f>AND(DATA!V1333,"AAAAAExV3vA=")</f>
        <v>#VALUE!</v>
      </c>
      <c r="IH184" t="e">
        <f>AND(DATA!W1332,"AAAAAExV3vE=")</f>
        <v>#VALUE!</v>
      </c>
      <c r="II184" t="e">
        <f>AND(DATA!X1332,"AAAAAExV3vI=")</f>
        <v>#VALUE!</v>
      </c>
      <c r="IJ184" t="e">
        <f>AND(DATA!Y1332,"AAAAAExV3vM=")</f>
        <v>#VALUE!</v>
      </c>
      <c r="IK184">
        <f>IF(DATA!1333:1333,"AAAAAExV3vQ=",0)</f>
        <v>0</v>
      </c>
      <c r="IL184" t="e">
        <f>AND(DATA!A1333,"AAAAAExV3vU=")</f>
        <v>#VALUE!</v>
      </c>
      <c r="IM184" t="e">
        <f>AND(DATA!B1333,"AAAAAExV3vY=")</f>
        <v>#VALUE!</v>
      </c>
      <c r="IN184" t="e">
        <f>AND(DATA!C1333,"AAAAAExV3vc=")</f>
        <v>#VALUE!</v>
      </c>
      <c r="IO184" t="e">
        <f>AND(DATA!D1333,"AAAAAExV3vg=")</f>
        <v>#VALUE!</v>
      </c>
      <c r="IP184" t="e">
        <f>AND(DATA!E1333,"AAAAAExV3vk=")</f>
        <v>#VALUE!</v>
      </c>
      <c r="IQ184" t="e">
        <f>AND(DATA!F1333,"AAAAAExV3vo=")</f>
        <v>#VALUE!</v>
      </c>
      <c r="IR184" t="e">
        <f>AND(DATA!G1333,"AAAAAExV3vs=")</f>
        <v>#VALUE!</v>
      </c>
      <c r="IS184" t="e">
        <f>AND(DATA!H1333,"AAAAAExV3vw=")</f>
        <v>#VALUE!</v>
      </c>
      <c r="IT184" t="e">
        <f>AND(DATA!I1333,"AAAAAExV3v0=")</f>
        <v>#VALUE!</v>
      </c>
      <c r="IU184" t="e">
        <f>AND(DATA!J1333,"AAAAAExV3v4=")</f>
        <v>#VALUE!</v>
      </c>
      <c r="IV184" t="e">
        <f>AND(DATA!K1333,"AAAAAExV3v8=")</f>
        <v>#VALUE!</v>
      </c>
    </row>
    <row r="185" spans="1:256" x14ac:dyDescent="0.25">
      <c r="A185" t="b">
        <f>AND(DATA!L1334,"AAAAAHP/PwA=")</f>
        <v>1</v>
      </c>
      <c r="B185" t="b">
        <f>AND(DATA!M1334,"AAAAAHP/PwE=")</f>
        <v>1</v>
      </c>
      <c r="C185" t="b">
        <f>AND(DATA!N1334,"AAAAAHP/PwI=")</f>
        <v>1</v>
      </c>
      <c r="D185" t="b">
        <f>AND(DATA!O1334,"AAAAAHP/PwM=")</f>
        <v>1</v>
      </c>
      <c r="E185" t="b">
        <f>AND(DATA!P1334,"AAAAAHP/PwQ=")</f>
        <v>1</v>
      </c>
      <c r="F185" t="b">
        <f>AND(DATA!Q1334,"AAAAAHP/PwU=")</f>
        <v>1</v>
      </c>
      <c r="G185" t="b">
        <f>AND(DATA!R1334,"AAAAAHP/PwY=")</f>
        <v>1</v>
      </c>
      <c r="H185" t="b">
        <f>AND(DATA!S1334,"AAAAAHP/Pwc=")</f>
        <v>1</v>
      </c>
      <c r="I185" t="b">
        <f>AND(DATA!T1334,"AAAAAHP/Pwg=")</f>
        <v>1</v>
      </c>
      <c r="J185" t="b">
        <f>AND(DATA!U1334,"AAAAAHP/Pwk=")</f>
        <v>1</v>
      </c>
      <c r="K185" t="e">
        <f>AND(DATA!V1334,"AAAAAHP/Pwo=")</f>
        <v>#VALUE!</v>
      </c>
      <c r="L185" t="e">
        <f>AND(DATA!W1333,"AAAAAHP/Pws=")</f>
        <v>#VALUE!</v>
      </c>
      <c r="M185" t="e">
        <f>AND(DATA!X1333,"AAAAAHP/Pww=")</f>
        <v>#VALUE!</v>
      </c>
      <c r="N185" t="e">
        <f>AND(DATA!Y1333,"AAAAAHP/Pw0=")</f>
        <v>#VALUE!</v>
      </c>
      <c r="O185" t="str">
        <f>IF(DATA!1334:1334,"AAAAAHP/Pw4=",0)</f>
        <v>AAAAAHP/Pw4=</v>
      </c>
      <c r="P185" t="e">
        <f>AND(DATA!A1334,"AAAAAHP/Pw8=")</f>
        <v>#VALUE!</v>
      </c>
      <c r="Q185" t="e">
        <f>AND(DATA!B1334,"AAAAAHP/PxA=")</f>
        <v>#VALUE!</v>
      </c>
      <c r="R185" t="e">
        <f>AND(DATA!C1334,"AAAAAHP/PxE=")</f>
        <v>#VALUE!</v>
      </c>
      <c r="S185" t="e">
        <f>AND(DATA!D1334,"AAAAAHP/PxI=")</f>
        <v>#VALUE!</v>
      </c>
      <c r="T185" t="e">
        <f>AND(DATA!E1334,"AAAAAHP/PxM=")</f>
        <v>#VALUE!</v>
      </c>
      <c r="U185" t="e">
        <f>AND(DATA!F1334,"AAAAAHP/PxQ=")</f>
        <v>#VALUE!</v>
      </c>
      <c r="V185" t="e">
        <f>AND(DATA!G1334,"AAAAAHP/PxU=")</f>
        <v>#VALUE!</v>
      </c>
      <c r="W185" t="e">
        <f>AND(DATA!H1334,"AAAAAHP/PxY=")</f>
        <v>#VALUE!</v>
      </c>
      <c r="X185" t="e">
        <f>AND(DATA!I1334,"AAAAAHP/Pxc=")</f>
        <v>#VALUE!</v>
      </c>
      <c r="Y185" t="e">
        <f>AND(DATA!J1334,"AAAAAHP/Pxg=")</f>
        <v>#VALUE!</v>
      </c>
      <c r="Z185" t="e">
        <f>AND(DATA!K1334,"AAAAAHP/Pxk=")</f>
        <v>#VALUE!</v>
      </c>
      <c r="AA185" t="b">
        <f>AND(DATA!L1335,"AAAAAHP/Pxo=")</f>
        <v>1</v>
      </c>
      <c r="AB185" t="b">
        <f>AND(DATA!M1335,"AAAAAHP/Pxs=")</f>
        <v>1</v>
      </c>
      <c r="AC185" t="b">
        <f>AND(DATA!N1335,"AAAAAHP/Pxw=")</f>
        <v>1</v>
      </c>
      <c r="AD185" t="b">
        <f>AND(DATA!O1335,"AAAAAHP/Px0=")</f>
        <v>1</v>
      </c>
      <c r="AE185" t="b">
        <f>AND(DATA!P1335,"AAAAAHP/Px4=")</f>
        <v>1</v>
      </c>
      <c r="AF185" t="b">
        <f>AND(DATA!Q1335,"AAAAAHP/Px8=")</f>
        <v>1</v>
      </c>
      <c r="AG185" t="b">
        <f>AND(DATA!R1335,"AAAAAHP/PyA=")</f>
        <v>1</v>
      </c>
      <c r="AH185" t="b">
        <f>AND(DATA!S1335,"AAAAAHP/PyE=")</f>
        <v>1</v>
      </c>
      <c r="AI185" t="b">
        <f>AND(DATA!T1335,"AAAAAHP/PyI=")</f>
        <v>1</v>
      </c>
      <c r="AJ185" t="b">
        <f>AND(DATA!U1335,"AAAAAHP/PyM=")</f>
        <v>1</v>
      </c>
      <c r="AK185" t="e">
        <f>AND(DATA!V1335,"AAAAAHP/PyQ=")</f>
        <v>#VALUE!</v>
      </c>
      <c r="AL185" t="e">
        <f>AND(DATA!W1334,"AAAAAHP/PyU=")</f>
        <v>#VALUE!</v>
      </c>
      <c r="AM185" t="e">
        <f>AND(DATA!X1334,"AAAAAHP/PyY=")</f>
        <v>#VALUE!</v>
      </c>
      <c r="AN185" t="e">
        <f>AND(DATA!Y1334,"AAAAAHP/Pyc=")</f>
        <v>#VALUE!</v>
      </c>
      <c r="AO185">
        <f>IF(DATA!1335:1335,"AAAAAHP/Pyg=",0)</f>
        <v>0</v>
      </c>
      <c r="AP185" t="e">
        <f>AND(DATA!A1335,"AAAAAHP/Pyk=")</f>
        <v>#VALUE!</v>
      </c>
      <c r="AQ185" t="e">
        <f>AND(DATA!B1335,"AAAAAHP/Pyo=")</f>
        <v>#VALUE!</v>
      </c>
      <c r="AR185" t="e">
        <f>AND(DATA!C1335,"AAAAAHP/Pys=")</f>
        <v>#VALUE!</v>
      </c>
      <c r="AS185" t="e">
        <f>AND(DATA!D1335,"AAAAAHP/Pyw=")</f>
        <v>#VALUE!</v>
      </c>
      <c r="AT185" t="e">
        <f>AND(DATA!E1335,"AAAAAHP/Py0=")</f>
        <v>#VALUE!</v>
      </c>
      <c r="AU185" t="e">
        <f>AND(DATA!F1335,"AAAAAHP/Py4=")</f>
        <v>#VALUE!</v>
      </c>
      <c r="AV185" t="e">
        <f>AND(DATA!G1335,"AAAAAHP/Py8=")</f>
        <v>#VALUE!</v>
      </c>
      <c r="AW185" t="e">
        <f>AND(DATA!H1335,"AAAAAHP/PzA=")</f>
        <v>#VALUE!</v>
      </c>
      <c r="AX185" t="e">
        <f>AND(DATA!I1335,"AAAAAHP/PzE=")</f>
        <v>#VALUE!</v>
      </c>
      <c r="AY185" t="e">
        <f>AND(DATA!J1335,"AAAAAHP/PzI=")</f>
        <v>#VALUE!</v>
      </c>
      <c r="AZ185" t="e">
        <f>AND(DATA!K1335,"AAAAAHP/PzM=")</f>
        <v>#VALUE!</v>
      </c>
      <c r="BA185" t="b">
        <f>AND(DATA!L1336,"AAAAAHP/PzQ=")</f>
        <v>1</v>
      </c>
      <c r="BB185" t="b">
        <f>AND(DATA!M1336,"AAAAAHP/PzU=")</f>
        <v>1</v>
      </c>
      <c r="BC185" t="b">
        <f>AND(DATA!N1336,"AAAAAHP/PzY=")</f>
        <v>1</v>
      </c>
      <c r="BD185" t="b">
        <f>AND(DATA!O1336,"AAAAAHP/Pzc=")</f>
        <v>1</v>
      </c>
      <c r="BE185" t="b">
        <f>AND(DATA!P1336,"AAAAAHP/Pzg=")</f>
        <v>1</v>
      </c>
      <c r="BF185" t="b">
        <f>AND(DATA!Q1336,"AAAAAHP/Pzk=")</f>
        <v>1</v>
      </c>
      <c r="BG185" t="b">
        <f>AND(DATA!R1336,"AAAAAHP/Pzo=")</f>
        <v>1</v>
      </c>
      <c r="BH185" t="b">
        <f>AND(DATA!S1336,"AAAAAHP/Pzs=")</f>
        <v>1</v>
      </c>
      <c r="BI185" t="b">
        <f>AND(DATA!T1336,"AAAAAHP/Pzw=")</f>
        <v>1</v>
      </c>
      <c r="BJ185" t="b">
        <f>AND(DATA!U1336,"AAAAAHP/Pz0=")</f>
        <v>1</v>
      </c>
      <c r="BK185" t="e">
        <f>AND(DATA!V1336,"AAAAAHP/Pz4=")</f>
        <v>#VALUE!</v>
      </c>
      <c r="BL185" t="e">
        <f>AND(DATA!W1335,"AAAAAHP/Pz8=")</f>
        <v>#VALUE!</v>
      </c>
      <c r="BM185" t="e">
        <f>AND(DATA!X1335,"AAAAAHP/P0A=")</f>
        <v>#VALUE!</v>
      </c>
      <c r="BN185" t="e">
        <f>AND(DATA!Y1335,"AAAAAHP/P0E=")</f>
        <v>#VALUE!</v>
      </c>
      <c r="BO185">
        <f>IF(DATA!1336:1336,"AAAAAHP/P0I=",0)</f>
        <v>0</v>
      </c>
      <c r="BP185" t="e">
        <f>AND(DATA!A1336,"AAAAAHP/P0M=")</f>
        <v>#VALUE!</v>
      </c>
      <c r="BQ185" t="e">
        <f>AND(DATA!B1336,"AAAAAHP/P0Q=")</f>
        <v>#VALUE!</v>
      </c>
      <c r="BR185" t="e">
        <f>AND(DATA!C1336,"AAAAAHP/P0U=")</f>
        <v>#VALUE!</v>
      </c>
      <c r="BS185" t="e">
        <f>AND(DATA!D1336,"AAAAAHP/P0Y=")</f>
        <v>#VALUE!</v>
      </c>
      <c r="BT185" t="e">
        <f>AND(DATA!E1336,"AAAAAHP/P0c=")</f>
        <v>#VALUE!</v>
      </c>
      <c r="BU185" t="e">
        <f>AND(DATA!F1336,"AAAAAHP/P0g=")</f>
        <v>#VALUE!</v>
      </c>
      <c r="BV185" t="e">
        <f>AND(DATA!G1336,"AAAAAHP/P0k=")</f>
        <v>#VALUE!</v>
      </c>
      <c r="BW185" t="e">
        <f>AND(DATA!H1336,"AAAAAHP/P0o=")</f>
        <v>#VALUE!</v>
      </c>
      <c r="BX185" t="e">
        <f>AND(DATA!I1336,"AAAAAHP/P0s=")</f>
        <v>#VALUE!</v>
      </c>
      <c r="BY185" t="e">
        <f>AND(DATA!J1336,"AAAAAHP/P0w=")</f>
        <v>#VALUE!</v>
      </c>
      <c r="BZ185" t="e">
        <f>AND(DATA!K1336,"AAAAAHP/P00=")</f>
        <v>#VALUE!</v>
      </c>
      <c r="CA185" t="b">
        <f>AND(DATA!L1337,"AAAAAHP/P04=")</f>
        <v>1</v>
      </c>
      <c r="CB185" t="b">
        <f>AND(DATA!M1337,"AAAAAHP/P08=")</f>
        <v>1</v>
      </c>
      <c r="CC185" t="b">
        <f>AND(DATA!N1337,"AAAAAHP/P1A=")</f>
        <v>1</v>
      </c>
      <c r="CD185" t="b">
        <f>AND(DATA!O1337,"AAAAAHP/P1E=")</f>
        <v>1</v>
      </c>
      <c r="CE185" t="b">
        <f>AND(DATA!P1337,"AAAAAHP/P1I=")</f>
        <v>1</v>
      </c>
      <c r="CF185" t="b">
        <f>AND(DATA!Q1337,"AAAAAHP/P1M=")</f>
        <v>1</v>
      </c>
      <c r="CG185" t="b">
        <f>AND(DATA!R1337,"AAAAAHP/P1Q=")</f>
        <v>1</v>
      </c>
      <c r="CH185" t="b">
        <f>AND(DATA!S1337,"AAAAAHP/P1U=")</f>
        <v>1</v>
      </c>
      <c r="CI185" t="b">
        <f>AND(DATA!T1337,"AAAAAHP/P1Y=")</f>
        <v>1</v>
      </c>
      <c r="CJ185" t="b">
        <f>AND(DATA!U1337,"AAAAAHP/P1c=")</f>
        <v>1</v>
      </c>
      <c r="CK185" t="e">
        <f>AND(DATA!V1337,"AAAAAHP/P1g=")</f>
        <v>#VALUE!</v>
      </c>
      <c r="CL185" t="e">
        <f>AND(DATA!W1336,"AAAAAHP/P1k=")</f>
        <v>#VALUE!</v>
      </c>
      <c r="CM185" t="e">
        <f>AND(DATA!X1336,"AAAAAHP/P1o=")</f>
        <v>#VALUE!</v>
      </c>
      <c r="CN185" t="e">
        <f>AND(DATA!Y1336,"AAAAAHP/P1s=")</f>
        <v>#VALUE!</v>
      </c>
      <c r="CO185">
        <f>IF(DATA!1337:1337,"AAAAAHP/P1w=",0)</f>
        <v>0</v>
      </c>
      <c r="CP185" t="e">
        <f>AND(DATA!A1337,"AAAAAHP/P10=")</f>
        <v>#VALUE!</v>
      </c>
      <c r="CQ185" t="e">
        <f>AND(DATA!B1337,"AAAAAHP/P14=")</f>
        <v>#VALUE!</v>
      </c>
      <c r="CR185" t="e">
        <f>AND(DATA!C1337,"AAAAAHP/P18=")</f>
        <v>#VALUE!</v>
      </c>
      <c r="CS185" t="e">
        <f>AND(DATA!D1337,"AAAAAHP/P2A=")</f>
        <v>#VALUE!</v>
      </c>
      <c r="CT185" t="e">
        <f>AND(DATA!E1337,"AAAAAHP/P2E=")</f>
        <v>#VALUE!</v>
      </c>
      <c r="CU185" t="e">
        <f>AND(DATA!F1337,"AAAAAHP/P2I=")</f>
        <v>#VALUE!</v>
      </c>
      <c r="CV185" t="e">
        <f>AND(DATA!G1337,"AAAAAHP/P2M=")</f>
        <v>#VALUE!</v>
      </c>
      <c r="CW185" t="e">
        <f>AND(DATA!H1337,"AAAAAHP/P2Q=")</f>
        <v>#VALUE!</v>
      </c>
      <c r="CX185" t="e">
        <f>AND(DATA!I1337,"AAAAAHP/P2U=")</f>
        <v>#VALUE!</v>
      </c>
      <c r="CY185" t="e">
        <f>AND(DATA!J1337,"AAAAAHP/P2Y=")</f>
        <v>#VALUE!</v>
      </c>
      <c r="CZ185" t="e">
        <f>AND(DATA!K1337,"AAAAAHP/P2c=")</f>
        <v>#VALUE!</v>
      </c>
      <c r="DA185" t="b">
        <f>AND(DATA!L1338,"AAAAAHP/P2g=")</f>
        <v>1</v>
      </c>
      <c r="DB185" t="b">
        <f>AND(DATA!M1338,"AAAAAHP/P2k=")</f>
        <v>1</v>
      </c>
      <c r="DC185" t="b">
        <f>AND(DATA!N1338,"AAAAAHP/P2o=")</f>
        <v>1</v>
      </c>
      <c r="DD185" t="b">
        <f>AND(DATA!O1338,"AAAAAHP/P2s=")</f>
        <v>1</v>
      </c>
      <c r="DE185" t="b">
        <f>AND(DATA!P1338,"AAAAAHP/P2w=")</f>
        <v>1</v>
      </c>
      <c r="DF185" t="b">
        <f>AND(DATA!Q1338,"AAAAAHP/P20=")</f>
        <v>1</v>
      </c>
      <c r="DG185" t="b">
        <f>AND(DATA!R1338,"AAAAAHP/P24=")</f>
        <v>1</v>
      </c>
      <c r="DH185" t="b">
        <f>AND(DATA!S1338,"AAAAAHP/P28=")</f>
        <v>1</v>
      </c>
      <c r="DI185" t="b">
        <f>AND(DATA!T1338,"AAAAAHP/P3A=")</f>
        <v>1</v>
      </c>
      <c r="DJ185" t="b">
        <f>AND(DATA!U1338,"AAAAAHP/P3E=")</f>
        <v>1</v>
      </c>
      <c r="DK185" t="e">
        <f>AND(DATA!V1338,"AAAAAHP/P3I=")</f>
        <v>#VALUE!</v>
      </c>
      <c r="DL185" t="e">
        <f>AND(DATA!W1337,"AAAAAHP/P3M=")</f>
        <v>#VALUE!</v>
      </c>
      <c r="DM185" t="e">
        <f>AND(DATA!X1337,"AAAAAHP/P3Q=")</f>
        <v>#VALUE!</v>
      </c>
      <c r="DN185" t="e">
        <f>AND(DATA!Y1337,"AAAAAHP/P3U=")</f>
        <v>#VALUE!</v>
      </c>
      <c r="DO185">
        <f>IF(DATA!1338:1338,"AAAAAHP/P3Y=",0)</f>
        <v>0</v>
      </c>
      <c r="DP185" t="e">
        <f>AND(DATA!A1338,"AAAAAHP/P3c=")</f>
        <v>#VALUE!</v>
      </c>
      <c r="DQ185" t="e">
        <f>AND(DATA!B1338,"AAAAAHP/P3g=")</f>
        <v>#VALUE!</v>
      </c>
      <c r="DR185" t="e">
        <f>AND(DATA!C1338,"AAAAAHP/P3k=")</f>
        <v>#VALUE!</v>
      </c>
      <c r="DS185" t="e">
        <f>AND(DATA!D1338,"AAAAAHP/P3o=")</f>
        <v>#VALUE!</v>
      </c>
      <c r="DT185" t="e">
        <f>AND(DATA!E1338,"AAAAAHP/P3s=")</f>
        <v>#VALUE!</v>
      </c>
      <c r="DU185" t="e">
        <f>AND(DATA!F1338,"AAAAAHP/P3w=")</f>
        <v>#VALUE!</v>
      </c>
      <c r="DV185" t="e">
        <f>AND(DATA!G1338,"AAAAAHP/P30=")</f>
        <v>#VALUE!</v>
      </c>
      <c r="DW185" t="e">
        <f>AND(DATA!H1338,"AAAAAHP/P34=")</f>
        <v>#VALUE!</v>
      </c>
      <c r="DX185" t="e">
        <f>AND(DATA!I1338,"AAAAAHP/P38=")</f>
        <v>#VALUE!</v>
      </c>
      <c r="DY185" t="e">
        <f>AND(DATA!J1338,"AAAAAHP/P4A=")</f>
        <v>#VALUE!</v>
      </c>
      <c r="DZ185" t="e">
        <f>AND(DATA!K1338,"AAAAAHP/P4E=")</f>
        <v>#VALUE!</v>
      </c>
      <c r="EA185" t="b">
        <f>AND(DATA!L1339,"AAAAAHP/P4I=")</f>
        <v>1</v>
      </c>
      <c r="EB185" t="b">
        <f>AND(DATA!M1339,"AAAAAHP/P4M=")</f>
        <v>1</v>
      </c>
      <c r="EC185" t="b">
        <f>AND(DATA!N1339,"AAAAAHP/P4Q=")</f>
        <v>1</v>
      </c>
      <c r="ED185" t="b">
        <f>AND(DATA!O1339,"AAAAAHP/P4U=")</f>
        <v>1</v>
      </c>
      <c r="EE185" t="b">
        <f>AND(DATA!P1339,"AAAAAHP/P4Y=")</f>
        <v>1</v>
      </c>
      <c r="EF185" t="b">
        <f>AND(DATA!Q1339,"AAAAAHP/P4c=")</f>
        <v>1</v>
      </c>
      <c r="EG185" t="b">
        <f>AND(DATA!R1339,"AAAAAHP/P4g=")</f>
        <v>1</v>
      </c>
      <c r="EH185" t="b">
        <f>AND(DATA!S1339,"AAAAAHP/P4k=")</f>
        <v>1</v>
      </c>
      <c r="EI185" t="b">
        <f>AND(DATA!T1339,"AAAAAHP/P4o=")</f>
        <v>1</v>
      </c>
      <c r="EJ185" t="b">
        <f>AND(DATA!U1339,"AAAAAHP/P4s=")</f>
        <v>1</v>
      </c>
      <c r="EK185" t="e">
        <f>AND(DATA!V1339,"AAAAAHP/P4w=")</f>
        <v>#VALUE!</v>
      </c>
      <c r="EL185" t="e">
        <f>AND(DATA!W1338,"AAAAAHP/P40=")</f>
        <v>#VALUE!</v>
      </c>
      <c r="EM185" t="e">
        <f>AND(DATA!X1338,"AAAAAHP/P44=")</f>
        <v>#VALUE!</v>
      </c>
      <c r="EN185" t="e">
        <f>AND(DATA!Y1338,"AAAAAHP/P48=")</f>
        <v>#VALUE!</v>
      </c>
      <c r="EO185">
        <f>IF(DATA!1339:1339,"AAAAAHP/P5A=",0)</f>
        <v>0</v>
      </c>
      <c r="EP185" t="e">
        <f>AND(DATA!A1339,"AAAAAHP/P5E=")</f>
        <v>#VALUE!</v>
      </c>
      <c r="EQ185" t="e">
        <f>AND(DATA!B1339,"AAAAAHP/P5I=")</f>
        <v>#VALUE!</v>
      </c>
      <c r="ER185" t="e">
        <f>AND(DATA!C1339,"AAAAAHP/P5M=")</f>
        <v>#VALUE!</v>
      </c>
      <c r="ES185" t="e">
        <f>AND(DATA!D1339,"AAAAAHP/P5Q=")</f>
        <v>#VALUE!</v>
      </c>
      <c r="ET185" t="e">
        <f>AND(DATA!E1339,"AAAAAHP/P5U=")</f>
        <v>#VALUE!</v>
      </c>
      <c r="EU185" t="e">
        <f>AND(DATA!F1339,"AAAAAHP/P5Y=")</f>
        <v>#VALUE!</v>
      </c>
      <c r="EV185" t="e">
        <f>AND(DATA!G1339,"AAAAAHP/P5c=")</f>
        <v>#VALUE!</v>
      </c>
      <c r="EW185" t="e">
        <f>AND(DATA!H1339,"AAAAAHP/P5g=")</f>
        <v>#VALUE!</v>
      </c>
      <c r="EX185" t="e">
        <f>AND(DATA!I1339,"AAAAAHP/P5k=")</f>
        <v>#VALUE!</v>
      </c>
      <c r="EY185" t="e">
        <f>AND(DATA!J1339,"AAAAAHP/P5o=")</f>
        <v>#VALUE!</v>
      </c>
      <c r="EZ185" t="e">
        <f>AND(DATA!K1339,"AAAAAHP/P5s=")</f>
        <v>#VALUE!</v>
      </c>
      <c r="FA185" t="b">
        <f>AND(DATA!L1340,"AAAAAHP/P5w=")</f>
        <v>1</v>
      </c>
      <c r="FB185" t="b">
        <f>AND(DATA!M1340,"AAAAAHP/P50=")</f>
        <v>1</v>
      </c>
      <c r="FC185" t="b">
        <f>AND(DATA!N1340,"AAAAAHP/P54=")</f>
        <v>1</v>
      </c>
      <c r="FD185" t="b">
        <f>AND(DATA!O1340,"AAAAAHP/P58=")</f>
        <v>1</v>
      </c>
      <c r="FE185" t="b">
        <f>AND(DATA!P1340,"AAAAAHP/P6A=")</f>
        <v>1</v>
      </c>
      <c r="FF185" t="b">
        <f>AND(DATA!Q1340,"AAAAAHP/P6E=")</f>
        <v>1</v>
      </c>
      <c r="FG185" t="b">
        <f>AND(DATA!R1340,"AAAAAHP/P6I=")</f>
        <v>1</v>
      </c>
      <c r="FH185" t="b">
        <f>AND(DATA!S1340,"AAAAAHP/P6M=")</f>
        <v>1</v>
      </c>
      <c r="FI185" t="b">
        <f>AND(DATA!T1340,"AAAAAHP/P6Q=")</f>
        <v>1</v>
      </c>
      <c r="FJ185" t="b">
        <f>AND(DATA!U1340,"AAAAAHP/P6U=")</f>
        <v>1</v>
      </c>
      <c r="FK185" t="e">
        <f>AND(DATA!V1340,"AAAAAHP/P6Y=")</f>
        <v>#VALUE!</v>
      </c>
      <c r="FL185" t="e">
        <f>AND(DATA!W1339,"AAAAAHP/P6c=")</f>
        <v>#VALUE!</v>
      </c>
      <c r="FM185" t="e">
        <f>AND(DATA!X1339,"AAAAAHP/P6g=")</f>
        <v>#VALUE!</v>
      </c>
      <c r="FN185" t="e">
        <f>AND(DATA!Y1339,"AAAAAHP/P6k=")</f>
        <v>#VALUE!</v>
      </c>
      <c r="FO185">
        <f>IF(DATA!1340:1340,"AAAAAHP/P6o=",0)</f>
        <v>0</v>
      </c>
      <c r="FP185" t="e">
        <f>AND(DATA!A1340,"AAAAAHP/P6s=")</f>
        <v>#VALUE!</v>
      </c>
      <c r="FQ185" t="e">
        <f>AND(DATA!B1340,"AAAAAHP/P6w=")</f>
        <v>#VALUE!</v>
      </c>
      <c r="FR185" t="e">
        <f>AND(DATA!C1340,"AAAAAHP/P60=")</f>
        <v>#VALUE!</v>
      </c>
      <c r="FS185" t="e">
        <f>AND(DATA!D1340,"AAAAAHP/P64=")</f>
        <v>#VALUE!</v>
      </c>
      <c r="FT185" t="e">
        <f>AND(DATA!E1340,"AAAAAHP/P68=")</f>
        <v>#VALUE!</v>
      </c>
      <c r="FU185" t="e">
        <f>AND(DATA!F1340,"AAAAAHP/P7A=")</f>
        <v>#VALUE!</v>
      </c>
      <c r="FV185" t="e">
        <f>AND(DATA!G1340,"AAAAAHP/P7E=")</f>
        <v>#VALUE!</v>
      </c>
      <c r="FW185" t="e">
        <f>AND(DATA!H1340,"AAAAAHP/P7I=")</f>
        <v>#VALUE!</v>
      </c>
      <c r="FX185" t="e">
        <f>AND(DATA!I1340,"AAAAAHP/P7M=")</f>
        <v>#VALUE!</v>
      </c>
      <c r="FY185" t="e">
        <f>AND(DATA!J1340,"AAAAAHP/P7Q=")</f>
        <v>#VALUE!</v>
      </c>
      <c r="FZ185" t="e">
        <f>AND(DATA!K1340,"AAAAAHP/P7U=")</f>
        <v>#VALUE!</v>
      </c>
      <c r="GA185" t="b">
        <f>AND(DATA!L1341,"AAAAAHP/P7Y=")</f>
        <v>1</v>
      </c>
      <c r="GB185" t="b">
        <f>AND(DATA!M1341,"AAAAAHP/P7c=")</f>
        <v>1</v>
      </c>
      <c r="GC185" t="b">
        <f>AND(DATA!N1341,"AAAAAHP/P7g=")</f>
        <v>1</v>
      </c>
      <c r="GD185" t="b">
        <f>AND(DATA!O1341,"AAAAAHP/P7k=")</f>
        <v>1</v>
      </c>
      <c r="GE185" t="b">
        <f>AND(DATA!P1341,"AAAAAHP/P7o=")</f>
        <v>1</v>
      </c>
      <c r="GF185" t="b">
        <f>AND(DATA!Q1341,"AAAAAHP/P7s=")</f>
        <v>1</v>
      </c>
      <c r="GG185" t="b">
        <f>AND(DATA!R1341,"AAAAAHP/P7w=")</f>
        <v>1</v>
      </c>
      <c r="GH185" t="b">
        <f>AND(DATA!S1341,"AAAAAHP/P70=")</f>
        <v>1</v>
      </c>
      <c r="GI185" t="b">
        <f>AND(DATA!T1341,"AAAAAHP/P74=")</f>
        <v>1</v>
      </c>
      <c r="GJ185" t="b">
        <f>AND(DATA!U1341,"AAAAAHP/P78=")</f>
        <v>1</v>
      </c>
      <c r="GK185" t="e">
        <f>AND(DATA!V1341,"AAAAAHP/P8A=")</f>
        <v>#VALUE!</v>
      </c>
      <c r="GL185" t="e">
        <f>AND(DATA!W1340,"AAAAAHP/P8E=")</f>
        <v>#VALUE!</v>
      </c>
      <c r="GM185" t="e">
        <f>AND(DATA!X1340,"AAAAAHP/P8I=")</f>
        <v>#VALUE!</v>
      </c>
      <c r="GN185" t="e">
        <f>AND(DATA!Y1340,"AAAAAHP/P8M=")</f>
        <v>#VALUE!</v>
      </c>
      <c r="GO185">
        <f>IF(DATA!1341:1341,"AAAAAHP/P8Q=",0)</f>
        <v>0</v>
      </c>
      <c r="GP185" t="e">
        <f>AND(DATA!A1341,"AAAAAHP/P8U=")</f>
        <v>#VALUE!</v>
      </c>
      <c r="GQ185" t="e">
        <f>AND(DATA!B1341,"AAAAAHP/P8Y=")</f>
        <v>#VALUE!</v>
      </c>
      <c r="GR185" t="e">
        <f>AND(DATA!C1341,"AAAAAHP/P8c=")</f>
        <v>#VALUE!</v>
      </c>
      <c r="GS185" t="e">
        <f>AND(DATA!D1341,"AAAAAHP/P8g=")</f>
        <v>#VALUE!</v>
      </c>
      <c r="GT185" t="e">
        <f>AND(DATA!E1341,"AAAAAHP/P8k=")</f>
        <v>#VALUE!</v>
      </c>
      <c r="GU185" t="e">
        <f>AND(DATA!F1341,"AAAAAHP/P8o=")</f>
        <v>#VALUE!</v>
      </c>
      <c r="GV185" t="e">
        <f>AND(DATA!G1341,"AAAAAHP/P8s=")</f>
        <v>#VALUE!</v>
      </c>
      <c r="GW185" t="e">
        <f>AND(DATA!H1341,"AAAAAHP/P8w=")</f>
        <v>#VALUE!</v>
      </c>
      <c r="GX185" t="e">
        <f>AND(DATA!I1341,"AAAAAHP/P80=")</f>
        <v>#VALUE!</v>
      </c>
      <c r="GY185" t="e">
        <f>AND(DATA!J1341,"AAAAAHP/P84=")</f>
        <v>#VALUE!</v>
      </c>
      <c r="GZ185" t="e">
        <f>AND(DATA!K1341,"AAAAAHP/P88=")</f>
        <v>#VALUE!</v>
      </c>
      <c r="HA185" t="b">
        <f>AND(DATA!L1342,"AAAAAHP/P9A=")</f>
        <v>1</v>
      </c>
      <c r="HB185" t="b">
        <f>AND(DATA!M1342,"AAAAAHP/P9E=")</f>
        <v>1</v>
      </c>
      <c r="HC185" t="b">
        <f>AND(DATA!N1342,"AAAAAHP/P9I=")</f>
        <v>1</v>
      </c>
      <c r="HD185" t="b">
        <f>AND(DATA!O1342,"AAAAAHP/P9M=")</f>
        <v>1</v>
      </c>
      <c r="HE185" t="b">
        <f>AND(DATA!P1342,"AAAAAHP/P9Q=")</f>
        <v>1</v>
      </c>
      <c r="HF185" t="b">
        <f>AND(DATA!Q1342,"AAAAAHP/P9U=")</f>
        <v>1</v>
      </c>
      <c r="HG185" t="b">
        <f>AND(DATA!R1342,"AAAAAHP/P9Y=")</f>
        <v>1</v>
      </c>
      <c r="HH185" t="b">
        <f>AND(DATA!S1342,"AAAAAHP/P9c=")</f>
        <v>1</v>
      </c>
      <c r="HI185" t="b">
        <f>AND(DATA!T1342,"AAAAAHP/P9g=")</f>
        <v>1</v>
      </c>
      <c r="HJ185" t="b">
        <f>AND(DATA!U1342,"AAAAAHP/P9k=")</f>
        <v>1</v>
      </c>
      <c r="HK185" t="e">
        <f>AND(DATA!V1342,"AAAAAHP/P9o=")</f>
        <v>#VALUE!</v>
      </c>
      <c r="HL185" t="e">
        <f>AND(DATA!W1341,"AAAAAHP/P9s=")</f>
        <v>#VALUE!</v>
      </c>
      <c r="HM185" t="e">
        <f>AND(DATA!X1341,"AAAAAHP/P9w=")</f>
        <v>#VALUE!</v>
      </c>
      <c r="HN185" t="e">
        <f>AND(DATA!Y1341,"AAAAAHP/P90=")</f>
        <v>#VALUE!</v>
      </c>
      <c r="HO185">
        <f>IF(DATA!1342:1342,"AAAAAHP/P94=",0)</f>
        <v>0</v>
      </c>
      <c r="HP185" t="e">
        <f>AND(DATA!A1342,"AAAAAHP/P98=")</f>
        <v>#VALUE!</v>
      </c>
      <c r="HQ185" t="e">
        <f>AND(DATA!B1342,"AAAAAHP/P+A=")</f>
        <v>#VALUE!</v>
      </c>
      <c r="HR185" t="e">
        <f>AND(DATA!C1342,"AAAAAHP/P+E=")</f>
        <v>#VALUE!</v>
      </c>
      <c r="HS185" t="e">
        <f>AND(DATA!D1342,"AAAAAHP/P+I=")</f>
        <v>#VALUE!</v>
      </c>
      <c r="HT185" t="e">
        <f>AND(DATA!E1342,"AAAAAHP/P+M=")</f>
        <v>#VALUE!</v>
      </c>
      <c r="HU185" t="e">
        <f>AND(DATA!F1342,"AAAAAHP/P+Q=")</f>
        <v>#VALUE!</v>
      </c>
      <c r="HV185" t="e">
        <f>AND(DATA!G1342,"AAAAAHP/P+U=")</f>
        <v>#VALUE!</v>
      </c>
      <c r="HW185" t="e">
        <f>AND(DATA!H1342,"AAAAAHP/P+Y=")</f>
        <v>#VALUE!</v>
      </c>
      <c r="HX185" t="e">
        <f>AND(DATA!I1342,"AAAAAHP/P+c=")</f>
        <v>#VALUE!</v>
      </c>
      <c r="HY185" t="e">
        <f>AND(DATA!J1342,"AAAAAHP/P+g=")</f>
        <v>#VALUE!</v>
      </c>
      <c r="HZ185" t="e">
        <f>AND(DATA!K1342,"AAAAAHP/P+k=")</f>
        <v>#VALUE!</v>
      </c>
      <c r="IA185" t="b">
        <f>AND(DATA!L1343,"AAAAAHP/P+o=")</f>
        <v>1</v>
      </c>
      <c r="IB185" t="b">
        <f>AND(DATA!M1343,"AAAAAHP/P+s=")</f>
        <v>1</v>
      </c>
      <c r="IC185" t="b">
        <f>AND(DATA!N1343,"AAAAAHP/P+w=")</f>
        <v>1</v>
      </c>
      <c r="ID185" t="b">
        <f>AND(DATA!O1343,"AAAAAHP/P+0=")</f>
        <v>1</v>
      </c>
      <c r="IE185" t="b">
        <f>AND(DATA!P1343,"AAAAAHP/P+4=")</f>
        <v>1</v>
      </c>
      <c r="IF185" t="b">
        <f>AND(DATA!Q1343,"AAAAAHP/P+8=")</f>
        <v>1</v>
      </c>
      <c r="IG185" t="b">
        <f>AND(DATA!R1343,"AAAAAHP/P/A=")</f>
        <v>1</v>
      </c>
      <c r="IH185" t="b">
        <f>AND(DATA!S1343,"AAAAAHP/P/E=")</f>
        <v>1</v>
      </c>
      <c r="II185" t="b">
        <f>AND(DATA!T1343,"AAAAAHP/P/I=")</f>
        <v>1</v>
      </c>
      <c r="IJ185" t="b">
        <f>AND(DATA!U1343,"AAAAAHP/P/M=")</f>
        <v>1</v>
      </c>
      <c r="IK185" t="e">
        <f>AND(DATA!V1343,"AAAAAHP/P/Q=")</f>
        <v>#VALUE!</v>
      </c>
      <c r="IL185" t="e">
        <f>AND(DATA!W1342,"AAAAAHP/P/U=")</f>
        <v>#VALUE!</v>
      </c>
      <c r="IM185" t="e">
        <f>AND(DATA!X1342,"AAAAAHP/P/Y=")</f>
        <v>#VALUE!</v>
      </c>
      <c r="IN185" t="e">
        <f>AND(DATA!Y1342,"AAAAAHP/P/c=")</f>
        <v>#VALUE!</v>
      </c>
      <c r="IO185">
        <f>IF(DATA!1343:1343,"AAAAAHP/P/g=",0)</f>
        <v>0</v>
      </c>
      <c r="IP185" t="e">
        <f>AND(DATA!A1343,"AAAAAHP/P/k=")</f>
        <v>#VALUE!</v>
      </c>
      <c r="IQ185" t="e">
        <f>AND(DATA!B1343,"AAAAAHP/P/o=")</f>
        <v>#VALUE!</v>
      </c>
      <c r="IR185" t="e">
        <f>AND(DATA!C1343,"AAAAAHP/P/s=")</f>
        <v>#VALUE!</v>
      </c>
      <c r="IS185" t="e">
        <f>AND(DATA!D1343,"AAAAAHP/P/w=")</f>
        <v>#VALUE!</v>
      </c>
      <c r="IT185" t="e">
        <f>AND(DATA!E1343,"AAAAAHP/P/0=")</f>
        <v>#VALUE!</v>
      </c>
      <c r="IU185" t="e">
        <f>AND(DATA!F1343,"AAAAAHP/P/4=")</f>
        <v>#VALUE!</v>
      </c>
      <c r="IV185" t="e">
        <f>AND(DATA!G1343,"AAAAAHP/P/8=")</f>
        <v>#VALUE!</v>
      </c>
    </row>
    <row r="186" spans="1:256" x14ac:dyDescent="0.25">
      <c r="A186" t="e">
        <f>AND(DATA!H1343,"AAAAAFux6wA=")</f>
        <v>#VALUE!</v>
      </c>
      <c r="B186" t="e">
        <f>AND(DATA!I1343,"AAAAAFux6wE=")</f>
        <v>#VALUE!</v>
      </c>
      <c r="C186" t="e">
        <f>AND(DATA!J1343,"AAAAAFux6wI=")</f>
        <v>#VALUE!</v>
      </c>
      <c r="D186" t="e">
        <f>AND(DATA!K1343,"AAAAAFux6wM=")</f>
        <v>#VALUE!</v>
      </c>
      <c r="E186" t="b">
        <f>AND(DATA!L1344,"AAAAAFux6wQ=")</f>
        <v>1</v>
      </c>
      <c r="F186" t="b">
        <f>AND(DATA!M1344,"AAAAAFux6wU=")</f>
        <v>1</v>
      </c>
      <c r="G186" t="b">
        <f>AND(DATA!N1344,"AAAAAFux6wY=")</f>
        <v>1</v>
      </c>
      <c r="H186" t="b">
        <f>AND(DATA!O1344,"AAAAAFux6wc=")</f>
        <v>1</v>
      </c>
      <c r="I186" t="b">
        <f>AND(DATA!P1344,"AAAAAFux6wg=")</f>
        <v>1</v>
      </c>
      <c r="J186" t="b">
        <f>AND(DATA!Q1344,"AAAAAFux6wk=")</f>
        <v>1</v>
      </c>
      <c r="K186" t="b">
        <f>AND(DATA!R1344,"AAAAAFux6wo=")</f>
        <v>1</v>
      </c>
      <c r="L186" t="b">
        <f>AND(DATA!S1344,"AAAAAFux6ws=")</f>
        <v>1</v>
      </c>
      <c r="M186" t="b">
        <f>AND(DATA!T1344,"AAAAAFux6ww=")</f>
        <v>1</v>
      </c>
      <c r="N186" t="b">
        <f>AND(DATA!U1344,"AAAAAFux6w0=")</f>
        <v>1</v>
      </c>
      <c r="O186" t="e">
        <f>AND(DATA!V1344,"AAAAAFux6w4=")</f>
        <v>#VALUE!</v>
      </c>
      <c r="P186" t="e">
        <f>AND(DATA!W1343,"AAAAAFux6w8=")</f>
        <v>#VALUE!</v>
      </c>
      <c r="Q186" t="e">
        <f>AND(DATA!X1343,"AAAAAFux6xA=")</f>
        <v>#VALUE!</v>
      </c>
      <c r="R186" t="e">
        <f>AND(DATA!Y1343,"AAAAAFux6xE=")</f>
        <v>#VALUE!</v>
      </c>
      <c r="S186" t="str">
        <f>IF(DATA!1344:1344,"AAAAAFux6xI=",0)</f>
        <v>AAAAAFux6xI=</v>
      </c>
      <c r="T186" t="e">
        <f>AND(DATA!A1344,"AAAAAFux6xM=")</f>
        <v>#VALUE!</v>
      </c>
      <c r="U186" t="e">
        <f>AND(DATA!B1344,"AAAAAFux6xQ=")</f>
        <v>#VALUE!</v>
      </c>
      <c r="V186" t="e">
        <f>AND(DATA!C1344,"AAAAAFux6xU=")</f>
        <v>#VALUE!</v>
      </c>
      <c r="W186" t="e">
        <f>AND(DATA!D1344,"AAAAAFux6xY=")</f>
        <v>#VALUE!</v>
      </c>
      <c r="X186" t="e">
        <f>AND(DATA!E1344,"AAAAAFux6xc=")</f>
        <v>#VALUE!</v>
      </c>
      <c r="Y186" t="e">
        <f>AND(DATA!F1344,"AAAAAFux6xg=")</f>
        <v>#VALUE!</v>
      </c>
      <c r="Z186" t="e">
        <f>AND(DATA!G1344,"AAAAAFux6xk=")</f>
        <v>#VALUE!</v>
      </c>
      <c r="AA186" t="e">
        <f>AND(DATA!H1344,"AAAAAFux6xo=")</f>
        <v>#VALUE!</v>
      </c>
      <c r="AB186" t="e">
        <f>AND(DATA!I1344,"AAAAAFux6xs=")</f>
        <v>#VALUE!</v>
      </c>
      <c r="AC186" t="e">
        <f>AND(DATA!J1344,"AAAAAFux6xw=")</f>
        <v>#VALUE!</v>
      </c>
      <c r="AD186" t="e">
        <f>AND(DATA!K1344,"AAAAAFux6x0=")</f>
        <v>#VALUE!</v>
      </c>
      <c r="AE186" t="b">
        <f>AND(DATA!L1345,"AAAAAFux6x4=")</f>
        <v>1</v>
      </c>
      <c r="AF186" t="b">
        <f>AND(DATA!M1345,"AAAAAFux6x8=")</f>
        <v>1</v>
      </c>
      <c r="AG186" t="b">
        <f>AND(DATA!N1345,"AAAAAFux6yA=")</f>
        <v>1</v>
      </c>
      <c r="AH186" t="b">
        <f>AND(DATA!O1345,"AAAAAFux6yE=")</f>
        <v>1</v>
      </c>
      <c r="AI186" t="b">
        <f>AND(DATA!P1345,"AAAAAFux6yI=")</f>
        <v>1</v>
      </c>
      <c r="AJ186" t="b">
        <f>AND(DATA!Q1345,"AAAAAFux6yM=")</f>
        <v>1</v>
      </c>
      <c r="AK186" t="b">
        <f>AND(DATA!R1345,"AAAAAFux6yQ=")</f>
        <v>1</v>
      </c>
      <c r="AL186" t="b">
        <f>AND(DATA!S1345,"AAAAAFux6yU=")</f>
        <v>1</v>
      </c>
      <c r="AM186" t="b">
        <f>AND(DATA!T1345,"AAAAAFux6yY=")</f>
        <v>1</v>
      </c>
      <c r="AN186" t="b">
        <f>AND(DATA!U1345,"AAAAAFux6yc=")</f>
        <v>1</v>
      </c>
      <c r="AO186" t="e">
        <f>AND(DATA!V1345,"AAAAAFux6yg=")</f>
        <v>#VALUE!</v>
      </c>
      <c r="AP186" t="e">
        <f>AND(DATA!W1344,"AAAAAFux6yk=")</f>
        <v>#VALUE!</v>
      </c>
      <c r="AQ186" t="e">
        <f>AND(DATA!X1344,"AAAAAFux6yo=")</f>
        <v>#VALUE!</v>
      </c>
      <c r="AR186" t="e">
        <f>AND(DATA!Y1344,"AAAAAFux6ys=")</f>
        <v>#VALUE!</v>
      </c>
      <c r="AS186">
        <f>IF(DATA!1345:1345,"AAAAAFux6yw=",0)</f>
        <v>0</v>
      </c>
      <c r="AT186" t="e">
        <f>AND(DATA!A1345,"AAAAAFux6y0=")</f>
        <v>#VALUE!</v>
      </c>
      <c r="AU186" t="e">
        <f>AND(DATA!B1345,"AAAAAFux6y4=")</f>
        <v>#VALUE!</v>
      </c>
      <c r="AV186" t="e">
        <f>AND(DATA!C1345,"AAAAAFux6y8=")</f>
        <v>#VALUE!</v>
      </c>
      <c r="AW186" t="e">
        <f>AND(DATA!D1345,"AAAAAFux6zA=")</f>
        <v>#VALUE!</v>
      </c>
      <c r="AX186" t="e">
        <f>AND(DATA!E1345,"AAAAAFux6zE=")</f>
        <v>#VALUE!</v>
      </c>
      <c r="AY186" t="e">
        <f>AND(DATA!F1345,"AAAAAFux6zI=")</f>
        <v>#VALUE!</v>
      </c>
      <c r="AZ186" t="e">
        <f>AND(DATA!G1345,"AAAAAFux6zM=")</f>
        <v>#VALUE!</v>
      </c>
      <c r="BA186" t="e">
        <f>AND(DATA!H1345,"AAAAAFux6zQ=")</f>
        <v>#VALUE!</v>
      </c>
      <c r="BB186" t="e">
        <f>AND(DATA!I1345,"AAAAAFux6zU=")</f>
        <v>#VALUE!</v>
      </c>
      <c r="BC186" t="e">
        <f>AND(DATA!J1345,"AAAAAFux6zY=")</f>
        <v>#VALUE!</v>
      </c>
      <c r="BD186" t="e">
        <f>AND(DATA!K1345,"AAAAAFux6zc=")</f>
        <v>#VALUE!</v>
      </c>
      <c r="BE186" t="b">
        <f>AND(DATA!L1346,"AAAAAFux6zg=")</f>
        <v>1</v>
      </c>
      <c r="BF186" t="b">
        <f>AND(DATA!M1346,"AAAAAFux6zk=")</f>
        <v>1</v>
      </c>
      <c r="BG186" t="b">
        <f>AND(DATA!N1346,"AAAAAFux6zo=")</f>
        <v>1</v>
      </c>
      <c r="BH186" t="b">
        <f>AND(DATA!O1346,"AAAAAFux6zs=")</f>
        <v>1</v>
      </c>
      <c r="BI186" t="b">
        <f>AND(DATA!P1346,"AAAAAFux6zw=")</f>
        <v>1</v>
      </c>
      <c r="BJ186" t="b">
        <f>AND(DATA!Q1346,"AAAAAFux6z0=")</f>
        <v>1</v>
      </c>
      <c r="BK186" t="b">
        <f>AND(DATA!R1346,"AAAAAFux6z4=")</f>
        <v>1</v>
      </c>
      <c r="BL186" t="b">
        <f>AND(DATA!S1346,"AAAAAFux6z8=")</f>
        <v>1</v>
      </c>
      <c r="BM186" t="b">
        <f>AND(DATA!T1346,"AAAAAFux60A=")</f>
        <v>1</v>
      </c>
      <c r="BN186" t="b">
        <f>AND(DATA!U1346,"AAAAAFux60E=")</f>
        <v>1</v>
      </c>
      <c r="BO186" t="e">
        <f>AND(DATA!V1346,"AAAAAFux60I=")</f>
        <v>#VALUE!</v>
      </c>
      <c r="BP186" t="e">
        <f>AND(DATA!W1345,"AAAAAFux60M=")</f>
        <v>#VALUE!</v>
      </c>
      <c r="BQ186" t="e">
        <f>AND(DATA!X1345,"AAAAAFux60Q=")</f>
        <v>#VALUE!</v>
      </c>
      <c r="BR186" t="e">
        <f>AND(DATA!Y1345,"AAAAAFux60U=")</f>
        <v>#VALUE!</v>
      </c>
      <c r="BS186">
        <f>IF(DATA!1346:1346,"AAAAAFux60Y=",0)</f>
        <v>0</v>
      </c>
      <c r="BT186" t="e">
        <f>AND(DATA!A1346,"AAAAAFux60c=")</f>
        <v>#VALUE!</v>
      </c>
      <c r="BU186" t="e">
        <f>AND(DATA!B1346,"AAAAAFux60g=")</f>
        <v>#VALUE!</v>
      </c>
      <c r="BV186" t="e">
        <f>AND(DATA!C1346,"AAAAAFux60k=")</f>
        <v>#VALUE!</v>
      </c>
      <c r="BW186" t="e">
        <f>AND(DATA!D1346,"AAAAAFux60o=")</f>
        <v>#VALUE!</v>
      </c>
      <c r="BX186" t="e">
        <f>AND(DATA!E1346,"AAAAAFux60s=")</f>
        <v>#VALUE!</v>
      </c>
      <c r="BY186" t="e">
        <f>AND(DATA!F1346,"AAAAAFux60w=")</f>
        <v>#VALUE!</v>
      </c>
      <c r="BZ186" t="e">
        <f>AND(DATA!G1346,"AAAAAFux600=")</f>
        <v>#VALUE!</v>
      </c>
      <c r="CA186" t="e">
        <f>AND(DATA!H1346,"AAAAAFux604=")</f>
        <v>#VALUE!</v>
      </c>
      <c r="CB186" t="e">
        <f>AND(DATA!I1346,"AAAAAFux608=")</f>
        <v>#VALUE!</v>
      </c>
      <c r="CC186" t="e">
        <f>AND(DATA!J1346,"AAAAAFux61A=")</f>
        <v>#VALUE!</v>
      </c>
      <c r="CD186" t="e">
        <f>AND(DATA!K1346,"AAAAAFux61E=")</f>
        <v>#VALUE!</v>
      </c>
      <c r="CE186" t="b">
        <f>AND(DATA!L1347,"AAAAAFux61I=")</f>
        <v>1</v>
      </c>
      <c r="CF186" t="b">
        <f>AND(DATA!M1347,"AAAAAFux61M=")</f>
        <v>1</v>
      </c>
      <c r="CG186" t="b">
        <f>AND(DATA!N1347,"AAAAAFux61Q=")</f>
        <v>1</v>
      </c>
      <c r="CH186" t="b">
        <f>AND(DATA!O1347,"AAAAAFux61U=")</f>
        <v>1</v>
      </c>
      <c r="CI186" t="b">
        <f>AND(DATA!P1347,"AAAAAFux61Y=")</f>
        <v>1</v>
      </c>
      <c r="CJ186" t="b">
        <f>AND(DATA!Q1347,"AAAAAFux61c=")</f>
        <v>1</v>
      </c>
      <c r="CK186" t="b">
        <f>AND(DATA!R1347,"AAAAAFux61g=")</f>
        <v>1</v>
      </c>
      <c r="CL186" t="b">
        <f>AND(DATA!S1347,"AAAAAFux61k=")</f>
        <v>1</v>
      </c>
      <c r="CM186" t="b">
        <f>AND(DATA!T1347,"AAAAAFux61o=")</f>
        <v>1</v>
      </c>
      <c r="CN186" t="b">
        <f>AND(DATA!U1347,"AAAAAFux61s=")</f>
        <v>1</v>
      </c>
      <c r="CO186" t="e">
        <f>AND(DATA!V1347,"AAAAAFux61w=")</f>
        <v>#VALUE!</v>
      </c>
      <c r="CP186" t="e">
        <f>AND(DATA!W1346,"AAAAAFux610=")</f>
        <v>#VALUE!</v>
      </c>
      <c r="CQ186" t="e">
        <f>AND(DATA!X1346,"AAAAAFux614=")</f>
        <v>#VALUE!</v>
      </c>
      <c r="CR186" t="e">
        <f>AND(DATA!Y1346,"AAAAAFux618=")</f>
        <v>#VALUE!</v>
      </c>
      <c r="CS186">
        <f>IF(DATA!1347:1347,"AAAAAFux62A=",0)</f>
        <v>0</v>
      </c>
      <c r="CT186" t="e">
        <f>AND(DATA!A1347,"AAAAAFux62E=")</f>
        <v>#VALUE!</v>
      </c>
      <c r="CU186" t="e">
        <f>AND(DATA!B1347,"AAAAAFux62I=")</f>
        <v>#VALUE!</v>
      </c>
      <c r="CV186" t="e">
        <f>AND(DATA!C1347,"AAAAAFux62M=")</f>
        <v>#VALUE!</v>
      </c>
      <c r="CW186" t="e">
        <f>AND(DATA!D1347,"AAAAAFux62Q=")</f>
        <v>#VALUE!</v>
      </c>
      <c r="CX186" t="e">
        <f>AND(DATA!E1347,"AAAAAFux62U=")</f>
        <v>#VALUE!</v>
      </c>
      <c r="CY186" t="e">
        <f>AND(DATA!F1347,"AAAAAFux62Y=")</f>
        <v>#VALUE!</v>
      </c>
      <c r="CZ186" t="e">
        <f>AND(DATA!G1347,"AAAAAFux62c=")</f>
        <v>#VALUE!</v>
      </c>
      <c r="DA186" t="e">
        <f>AND(DATA!H1347,"AAAAAFux62g=")</f>
        <v>#VALUE!</v>
      </c>
      <c r="DB186" t="e">
        <f>AND(DATA!I1347,"AAAAAFux62k=")</f>
        <v>#VALUE!</v>
      </c>
      <c r="DC186" t="e">
        <f>AND(DATA!J1347,"AAAAAFux62o=")</f>
        <v>#VALUE!</v>
      </c>
      <c r="DD186" t="e">
        <f>AND(DATA!K1347,"AAAAAFux62s=")</f>
        <v>#VALUE!</v>
      </c>
      <c r="DE186" t="b">
        <f>AND(DATA!L1348,"AAAAAFux62w=")</f>
        <v>1</v>
      </c>
      <c r="DF186" t="b">
        <f>AND(DATA!M1348,"AAAAAFux620=")</f>
        <v>1</v>
      </c>
      <c r="DG186" t="b">
        <f>AND(DATA!N1348,"AAAAAFux624=")</f>
        <v>1</v>
      </c>
      <c r="DH186" t="b">
        <f>AND(DATA!O1348,"AAAAAFux628=")</f>
        <v>1</v>
      </c>
      <c r="DI186" t="b">
        <f>AND(DATA!P1348,"AAAAAFux63A=")</f>
        <v>1</v>
      </c>
      <c r="DJ186" t="b">
        <f>AND(DATA!Q1348,"AAAAAFux63E=")</f>
        <v>1</v>
      </c>
      <c r="DK186" t="b">
        <f>AND(DATA!R1348,"AAAAAFux63I=")</f>
        <v>1</v>
      </c>
      <c r="DL186" t="b">
        <f>AND(DATA!S1348,"AAAAAFux63M=")</f>
        <v>1</v>
      </c>
      <c r="DM186" t="b">
        <f>AND(DATA!T1348,"AAAAAFux63Q=")</f>
        <v>1</v>
      </c>
      <c r="DN186" t="b">
        <f>AND(DATA!U1348,"AAAAAFux63U=")</f>
        <v>1</v>
      </c>
      <c r="DO186" t="e">
        <f>AND(DATA!V1348,"AAAAAFux63Y=")</f>
        <v>#VALUE!</v>
      </c>
      <c r="DP186" t="e">
        <f>AND(DATA!W1347,"AAAAAFux63c=")</f>
        <v>#VALUE!</v>
      </c>
      <c r="DQ186" t="e">
        <f>AND(DATA!X1347,"AAAAAFux63g=")</f>
        <v>#VALUE!</v>
      </c>
      <c r="DR186" t="e">
        <f>AND(DATA!Y1347,"AAAAAFux63k=")</f>
        <v>#VALUE!</v>
      </c>
      <c r="DS186">
        <f>IF(DATA!1348:1348,"AAAAAFux63o=",0)</f>
        <v>0</v>
      </c>
      <c r="DT186" t="e">
        <f>AND(DATA!A1348,"AAAAAFux63s=")</f>
        <v>#VALUE!</v>
      </c>
      <c r="DU186" t="e">
        <f>AND(DATA!B1348,"AAAAAFux63w=")</f>
        <v>#VALUE!</v>
      </c>
      <c r="DV186" t="e">
        <f>AND(DATA!C1348,"AAAAAFux630=")</f>
        <v>#VALUE!</v>
      </c>
      <c r="DW186" t="e">
        <f>AND(DATA!D1348,"AAAAAFux634=")</f>
        <v>#VALUE!</v>
      </c>
      <c r="DX186" t="e">
        <f>AND(DATA!E1348,"AAAAAFux638=")</f>
        <v>#VALUE!</v>
      </c>
      <c r="DY186" t="e">
        <f>AND(DATA!F1348,"AAAAAFux64A=")</f>
        <v>#VALUE!</v>
      </c>
      <c r="DZ186" t="e">
        <f>AND(DATA!G1348,"AAAAAFux64E=")</f>
        <v>#VALUE!</v>
      </c>
      <c r="EA186" t="e">
        <f>AND(DATA!H1348,"AAAAAFux64I=")</f>
        <v>#VALUE!</v>
      </c>
      <c r="EB186" t="e">
        <f>AND(DATA!I1348,"AAAAAFux64M=")</f>
        <v>#VALUE!</v>
      </c>
      <c r="EC186" t="e">
        <f>AND(DATA!J1348,"AAAAAFux64Q=")</f>
        <v>#VALUE!</v>
      </c>
      <c r="ED186" t="e">
        <f>AND(DATA!K1348,"AAAAAFux64U=")</f>
        <v>#VALUE!</v>
      </c>
      <c r="EE186" t="b">
        <f>AND(DATA!L1349,"AAAAAFux64Y=")</f>
        <v>1</v>
      </c>
      <c r="EF186" t="b">
        <f>AND(DATA!M1349,"AAAAAFux64c=")</f>
        <v>1</v>
      </c>
      <c r="EG186" t="b">
        <f>AND(DATA!N1349,"AAAAAFux64g=")</f>
        <v>1</v>
      </c>
      <c r="EH186" t="b">
        <f>AND(DATA!O1349,"AAAAAFux64k=")</f>
        <v>1</v>
      </c>
      <c r="EI186" t="b">
        <f>AND(DATA!P1349,"AAAAAFux64o=")</f>
        <v>1</v>
      </c>
      <c r="EJ186" t="b">
        <f>AND(DATA!Q1349,"AAAAAFux64s=")</f>
        <v>1</v>
      </c>
      <c r="EK186" t="b">
        <f>AND(DATA!R1349,"AAAAAFux64w=")</f>
        <v>1</v>
      </c>
      <c r="EL186" t="b">
        <f>AND(DATA!S1349,"AAAAAFux640=")</f>
        <v>1</v>
      </c>
      <c r="EM186" t="b">
        <f>AND(DATA!T1349,"AAAAAFux644=")</f>
        <v>1</v>
      </c>
      <c r="EN186" t="b">
        <f>AND(DATA!U1349,"AAAAAFux648=")</f>
        <v>1</v>
      </c>
      <c r="EO186" t="e">
        <f>AND(DATA!V1349,"AAAAAFux65A=")</f>
        <v>#VALUE!</v>
      </c>
      <c r="EP186" t="e">
        <f>AND(DATA!W1348,"AAAAAFux65E=")</f>
        <v>#VALUE!</v>
      </c>
      <c r="EQ186" t="e">
        <f>AND(DATA!X1348,"AAAAAFux65I=")</f>
        <v>#VALUE!</v>
      </c>
      <c r="ER186" t="e">
        <f>AND(DATA!Y1348,"AAAAAFux65M=")</f>
        <v>#VALUE!</v>
      </c>
      <c r="ES186">
        <f>IF(DATA!1349:1349,"AAAAAFux65Q=",0)</f>
        <v>0</v>
      </c>
      <c r="ET186" t="e">
        <f>AND(DATA!A1349,"AAAAAFux65U=")</f>
        <v>#VALUE!</v>
      </c>
      <c r="EU186" t="e">
        <f>AND(DATA!B1349,"AAAAAFux65Y=")</f>
        <v>#VALUE!</v>
      </c>
      <c r="EV186" t="e">
        <f>AND(DATA!C1349,"AAAAAFux65c=")</f>
        <v>#VALUE!</v>
      </c>
      <c r="EW186" t="e">
        <f>AND(DATA!D1349,"AAAAAFux65g=")</f>
        <v>#VALUE!</v>
      </c>
      <c r="EX186" t="e">
        <f>AND(DATA!E1349,"AAAAAFux65k=")</f>
        <v>#VALUE!</v>
      </c>
      <c r="EY186" t="e">
        <f>AND(DATA!F1349,"AAAAAFux65o=")</f>
        <v>#VALUE!</v>
      </c>
      <c r="EZ186" t="e">
        <f>AND(DATA!G1349,"AAAAAFux65s=")</f>
        <v>#VALUE!</v>
      </c>
      <c r="FA186" t="e">
        <f>AND(DATA!H1349,"AAAAAFux65w=")</f>
        <v>#VALUE!</v>
      </c>
      <c r="FB186" t="e">
        <f>AND(DATA!I1349,"AAAAAFux650=")</f>
        <v>#VALUE!</v>
      </c>
      <c r="FC186" t="e">
        <f>AND(DATA!J1349,"AAAAAFux654=")</f>
        <v>#VALUE!</v>
      </c>
      <c r="FD186" t="e">
        <f>AND(DATA!K1349,"AAAAAFux658=")</f>
        <v>#VALUE!</v>
      </c>
      <c r="FE186" t="b">
        <f>AND(DATA!L1350,"AAAAAFux66A=")</f>
        <v>1</v>
      </c>
      <c r="FF186" t="b">
        <f>AND(DATA!M1350,"AAAAAFux66E=")</f>
        <v>1</v>
      </c>
      <c r="FG186" t="b">
        <f>AND(DATA!N1350,"AAAAAFux66I=")</f>
        <v>1</v>
      </c>
      <c r="FH186" t="b">
        <f>AND(DATA!O1350,"AAAAAFux66M=")</f>
        <v>1</v>
      </c>
      <c r="FI186" t="b">
        <f>AND(DATA!P1350,"AAAAAFux66Q=")</f>
        <v>1</v>
      </c>
      <c r="FJ186" t="b">
        <f>AND(DATA!Q1350,"AAAAAFux66U=")</f>
        <v>1</v>
      </c>
      <c r="FK186" t="b">
        <f>AND(DATA!R1350,"AAAAAFux66Y=")</f>
        <v>1</v>
      </c>
      <c r="FL186" t="b">
        <f>AND(DATA!S1350,"AAAAAFux66c=")</f>
        <v>1</v>
      </c>
      <c r="FM186" t="b">
        <f>AND(DATA!T1350,"AAAAAFux66g=")</f>
        <v>1</v>
      </c>
      <c r="FN186" t="b">
        <f>AND(DATA!U1350,"AAAAAFux66k=")</f>
        <v>1</v>
      </c>
      <c r="FO186" t="e">
        <f>AND(DATA!V1350,"AAAAAFux66o=")</f>
        <v>#VALUE!</v>
      </c>
      <c r="FP186" t="e">
        <f>AND(DATA!W1349,"AAAAAFux66s=")</f>
        <v>#VALUE!</v>
      </c>
      <c r="FQ186" t="e">
        <f>AND(DATA!X1349,"AAAAAFux66w=")</f>
        <v>#VALUE!</v>
      </c>
      <c r="FR186" t="e">
        <f>AND(DATA!Y1349,"AAAAAFux660=")</f>
        <v>#VALUE!</v>
      </c>
      <c r="FS186">
        <f>IF(DATA!1350:1350,"AAAAAFux664=",0)</f>
        <v>0</v>
      </c>
      <c r="FT186" t="e">
        <f>AND(DATA!A1350,"AAAAAFux668=")</f>
        <v>#VALUE!</v>
      </c>
      <c r="FU186" t="e">
        <f>AND(DATA!B1350,"AAAAAFux67A=")</f>
        <v>#VALUE!</v>
      </c>
      <c r="FV186" t="e">
        <f>AND(DATA!C1350,"AAAAAFux67E=")</f>
        <v>#VALUE!</v>
      </c>
      <c r="FW186" t="e">
        <f>AND(DATA!D1350,"AAAAAFux67I=")</f>
        <v>#VALUE!</v>
      </c>
      <c r="FX186" t="e">
        <f>AND(DATA!E1350,"AAAAAFux67M=")</f>
        <v>#VALUE!</v>
      </c>
      <c r="FY186" t="e">
        <f>AND(DATA!F1350,"AAAAAFux67Q=")</f>
        <v>#VALUE!</v>
      </c>
      <c r="FZ186" t="e">
        <f>AND(DATA!G1350,"AAAAAFux67U=")</f>
        <v>#VALUE!</v>
      </c>
      <c r="GA186" t="e">
        <f>AND(DATA!H1350,"AAAAAFux67Y=")</f>
        <v>#VALUE!</v>
      </c>
      <c r="GB186" t="e">
        <f>AND(DATA!I1350,"AAAAAFux67c=")</f>
        <v>#VALUE!</v>
      </c>
      <c r="GC186" t="e">
        <f>AND(DATA!J1350,"AAAAAFux67g=")</f>
        <v>#VALUE!</v>
      </c>
      <c r="GD186" t="e">
        <f>AND(DATA!K1350,"AAAAAFux67k=")</f>
        <v>#VALUE!</v>
      </c>
      <c r="GE186" t="b">
        <f>AND(DATA!L1351,"AAAAAFux67o=")</f>
        <v>1</v>
      </c>
      <c r="GF186" t="b">
        <f>AND(DATA!M1351,"AAAAAFux67s=")</f>
        <v>1</v>
      </c>
      <c r="GG186" t="b">
        <f>AND(DATA!N1351,"AAAAAFux67w=")</f>
        <v>1</v>
      </c>
      <c r="GH186" t="b">
        <f>AND(DATA!O1351,"AAAAAFux670=")</f>
        <v>1</v>
      </c>
      <c r="GI186" t="b">
        <f>AND(DATA!P1351,"AAAAAFux674=")</f>
        <v>1</v>
      </c>
      <c r="GJ186" t="b">
        <f>AND(DATA!Q1351,"AAAAAFux678=")</f>
        <v>1</v>
      </c>
      <c r="GK186" t="b">
        <f>AND(DATA!R1351,"AAAAAFux68A=")</f>
        <v>1</v>
      </c>
      <c r="GL186" t="b">
        <f>AND(DATA!S1351,"AAAAAFux68E=")</f>
        <v>1</v>
      </c>
      <c r="GM186" t="b">
        <f>AND(DATA!T1351,"AAAAAFux68I=")</f>
        <v>1</v>
      </c>
      <c r="GN186" t="b">
        <f>AND(DATA!U1351,"AAAAAFux68M=")</f>
        <v>1</v>
      </c>
      <c r="GO186" t="e">
        <f>AND(DATA!V1351,"AAAAAFux68Q=")</f>
        <v>#VALUE!</v>
      </c>
      <c r="GP186" t="e">
        <f>AND(DATA!W1350,"AAAAAFux68U=")</f>
        <v>#VALUE!</v>
      </c>
      <c r="GQ186" t="e">
        <f>AND(DATA!X1350,"AAAAAFux68Y=")</f>
        <v>#VALUE!</v>
      </c>
      <c r="GR186" t="e">
        <f>AND(DATA!Y1350,"AAAAAFux68c=")</f>
        <v>#VALUE!</v>
      </c>
      <c r="GS186">
        <f>IF(DATA!1351:1351,"AAAAAFux68g=",0)</f>
        <v>0</v>
      </c>
      <c r="GT186" t="e">
        <f>AND(DATA!A1351,"AAAAAFux68k=")</f>
        <v>#VALUE!</v>
      </c>
      <c r="GU186" t="e">
        <f>AND(DATA!B1351,"AAAAAFux68o=")</f>
        <v>#VALUE!</v>
      </c>
      <c r="GV186" t="e">
        <f>AND(DATA!C1351,"AAAAAFux68s=")</f>
        <v>#VALUE!</v>
      </c>
      <c r="GW186" t="e">
        <f>AND(DATA!D1351,"AAAAAFux68w=")</f>
        <v>#VALUE!</v>
      </c>
      <c r="GX186" t="e">
        <f>AND(DATA!E1351,"AAAAAFux680=")</f>
        <v>#VALUE!</v>
      </c>
      <c r="GY186" t="e">
        <f>AND(DATA!F1351,"AAAAAFux684=")</f>
        <v>#VALUE!</v>
      </c>
      <c r="GZ186" t="e">
        <f>AND(DATA!G1351,"AAAAAFux688=")</f>
        <v>#VALUE!</v>
      </c>
      <c r="HA186" t="e">
        <f>AND(DATA!H1351,"AAAAAFux69A=")</f>
        <v>#VALUE!</v>
      </c>
      <c r="HB186" t="e">
        <f>AND(DATA!I1351,"AAAAAFux69E=")</f>
        <v>#VALUE!</v>
      </c>
      <c r="HC186" t="e">
        <f>AND(DATA!J1351,"AAAAAFux69I=")</f>
        <v>#VALUE!</v>
      </c>
      <c r="HD186" t="e">
        <f>AND(DATA!K1351,"AAAAAFux69M=")</f>
        <v>#VALUE!</v>
      </c>
      <c r="HE186" t="b">
        <f>AND(DATA!L1352,"AAAAAFux69Q=")</f>
        <v>1</v>
      </c>
      <c r="HF186" t="b">
        <f>AND(DATA!M1352,"AAAAAFux69U=")</f>
        <v>1</v>
      </c>
      <c r="HG186" t="b">
        <f>AND(DATA!N1352,"AAAAAFux69Y=")</f>
        <v>1</v>
      </c>
      <c r="HH186" t="b">
        <f>AND(DATA!O1352,"AAAAAFux69c=")</f>
        <v>1</v>
      </c>
      <c r="HI186" t="b">
        <f>AND(DATA!P1352,"AAAAAFux69g=")</f>
        <v>1</v>
      </c>
      <c r="HJ186" t="b">
        <f>AND(DATA!Q1352,"AAAAAFux69k=")</f>
        <v>1</v>
      </c>
      <c r="HK186" t="b">
        <f>AND(DATA!R1352,"AAAAAFux69o=")</f>
        <v>1</v>
      </c>
      <c r="HL186" t="b">
        <f>AND(DATA!S1352,"AAAAAFux69s=")</f>
        <v>1</v>
      </c>
      <c r="HM186" t="b">
        <f>AND(DATA!T1352,"AAAAAFux69w=")</f>
        <v>1</v>
      </c>
      <c r="HN186">
        <f>IF(DATA!1352:1352,"AAAAAFux690=",0)</f>
        <v>0</v>
      </c>
      <c r="HO186" t="e">
        <f>AND(DATA!A1352,"AAAAAFux694=")</f>
        <v>#VALUE!</v>
      </c>
      <c r="HP186" t="e">
        <f>AND(DATA!B1352,"AAAAAFux698=")</f>
        <v>#VALUE!</v>
      </c>
      <c r="HQ186" t="e">
        <f>AND(DATA!C1352,"AAAAAFux6+A=")</f>
        <v>#VALUE!</v>
      </c>
      <c r="HR186" t="e">
        <f>AND(DATA!D1352,"AAAAAFux6+E=")</f>
        <v>#VALUE!</v>
      </c>
      <c r="HS186" t="e">
        <f>AND(DATA!E1352,"AAAAAFux6+I=")</f>
        <v>#VALUE!</v>
      </c>
      <c r="HT186" t="e">
        <f>AND(DATA!F1352,"AAAAAFux6+M=")</f>
        <v>#VALUE!</v>
      </c>
      <c r="HU186" t="e">
        <f>AND(DATA!G1352,"AAAAAFux6+Q=")</f>
        <v>#VALUE!</v>
      </c>
      <c r="HV186" t="e">
        <f>AND(DATA!H1352,"AAAAAFux6+U=")</f>
        <v>#VALUE!</v>
      </c>
      <c r="HW186" t="e">
        <f>AND(DATA!I1352,"AAAAAFux6+Y=")</f>
        <v>#VALUE!</v>
      </c>
      <c r="HX186" t="e">
        <f>AND(DATA!J1352,"AAAAAFux6+c=")</f>
        <v>#VALUE!</v>
      </c>
      <c r="HY186" t="e">
        <f>AND(DATA!K1352,"AAAAAFux6+g=")</f>
        <v>#VALUE!</v>
      </c>
      <c r="HZ186" t="b">
        <f>AND(DATA!L1353,"AAAAAFux6+k=")</f>
        <v>1</v>
      </c>
      <c r="IA186" t="b">
        <f>AND(DATA!M1353,"AAAAAFux6+o=")</f>
        <v>1</v>
      </c>
      <c r="IB186" t="b">
        <f>AND(DATA!N1353,"AAAAAFux6+s=")</f>
        <v>1</v>
      </c>
      <c r="IC186" t="b">
        <f>AND(DATA!O1353,"AAAAAFux6+w=")</f>
        <v>1</v>
      </c>
      <c r="ID186" t="b">
        <f>AND(DATA!P1353,"AAAAAFux6+0=")</f>
        <v>1</v>
      </c>
      <c r="IE186" t="b">
        <f>AND(DATA!Q1353,"AAAAAFux6+4=")</f>
        <v>1</v>
      </c>
      <c r="IF186" t="b">
        <f>AND(DATA!R1353,"AAAAAFux6+8=")</f>
        <v>1</v>
      </c>
      <c r="IG186" t="b">
        <f>AND(DATA!S1353,"AAAAAFux6/A=")</f>
        <v>1</v>
      </c>
      <c r="IH186" t="b">
        <f>AND(DATA!T1353,"AAAAAFux6/E=")</f>
        <v>1</v>
      </c>
      <c r="II186">
        <f>IF(DATA!1353:1353,"AAAAAFux6/I=",0)</f>
        <v>0</v>
      </c>
      <c r="IJ186" t="e">
        <f>AND(DATA!A1353,"AAAAAFux6/M=")</f>
        <v>#VALUE!</v>
      </c>
      <c r="IK186" t="e">
        <f>AND(DATA!B1353,"AAAAAFux6/Q=")</f>
        <v>#VALUE!</v>
      </c>
      <c r="IL186" t="e">
        <f>AND(DATA!C1353,"AAAAAFux6/U=")</f>
        <v>#VALUE!</v>
      </c>
      <c r="IM186" t="e">
        <f>AND(DATA!D1353,"AAAAAFux6/Y=")</f>
        <v>#VALUE!</v>
      </c>
      <c r="IN186" t="e">
        <f>AND(DATA!E1353,"AAAAAFux6/c=")</f>
        <v>#VALUE!</v>
      </c>
      <c r="IO186" t="e">
        <f>AND(DATA!F1353,"AAAAAFux6/g=")</f>
        <v>#VALUE!</v>
      </c>
      <c r="IP186" t="e">
        <f>AND(DATA!G1353,"AAAAAFux6/k=")</f>
        <v>#VALUE!</v>
      </c>
      <c r="IQ186" t="e">
        <f>AND(DATA!H1353,"AAAAAFux6/o=")</f>
        <v>#VALUE!</v>
      </c>
      <c r="IR186" t="e">
        <f>AND(DATA!I1353,"AAAAAFux6/s=")</f>
        <v>#VALUE!</v>
      </c>
      <c r="IS186" t="e">
        <f>AND(DATA!J1353,"AAAAAFux6/w=")</f>
        <v>#VALUE!</v>
      </c>
      <c r="IT186" t="e">
        <f>AND(DATA!K1353,"AAAAAFux6/0=")</f>
        <v>#VALUE!</v>
      </c>
      <c r="IU186" t="b">
        <f>AND(DATA!L1354,"AAAAAFux6/4=")</f>
        <v>1</v>
      </c>
      <c r="IV186" t="b">
        <f>AND(DATA!M1354,"AAAAAFux6/8=")</f>
        <v>1</v>
      </c>
    </row>
    <row r="187" spans="1:256" x14ac:dyDescent="0.25">
      <c r="A187" t="b">
        <f>AND(DATA!N1354,"AAAAAH3dfwA=")</f>
        <v>1</v>
      </c>
      <c r="B187" t="b">
        <f>AND(DATA!O1354,"AAAAAH3dfwE=")</f>
        <v>1</v>
      </c>
      <c r="C187" t="b">
        <f>AND(DATA!P1354,"AAAAAH3dfwI=")</f>
        <v>1</v>
      </c>
      <c r="D187" t="b">
        <f>AND(DATA!Q1354,"AAAAAH3dfwM=")</f>
        <v>1</v>
      </c>
      <c r="E187" t="b">
        <f>AND(DATA!R1354,"AAAAAH3dfwQ=")</f>
        <v>1</v>
      </c>
      <c r="F187" t="b">
        <f>AND(DATA!S1354,"AAAAAH3dfwU=")</f>
        <v>1</v>
      </c>
      <c r="G187" t="b">
        <f>AND(DATA!T1354,"AAAAAH3dfwY=")</f>
        <v>1</v>
      </c>
      <c r="H187">
        <f>IF(DATA!1354:1354,"AAAAAH3dfwc=",0)</f>
        <v>0</v>
      </c>
      <c r="I187" t="e">
        <f>AND(DATA!A1354,"AAAAAH3dfwg=")</f>
        <v>#VALUE!</v>
      </c>
      <c r="J187" t="e">
        <f>AND(DATA!B1354,"AAAAAH3dfwk=")</f>
        <v>#VALUE!</v>
      </c>
      <c r="K187" t="e">
        <f>AND(DATA!C1354,"AAAAAH3dfwo=")</f>
        <v>#VALUE!</v>
      </c>
      <c r="L187" t="e">
        <f>AND(DATA!D1354,"AAAAAH3dfws=")</f>
        <v>#VALUE!</v>
      </c>
      <c r="M187" t="e">
        <f>AND(DATA!E1354,"AAAAAH3dfww=")</f>
        <v>#VALUE!</v>
      </c>
      <c r="N187" t="e">
        <f>AND(DATA!F1354,"AAAAAH3dfw0=")</f>
        <v>#VALUE!</v>
      </c>
      <c r="O187" t="e">
        <f>AND(DATA!G1354,"AAAAAH3dfw4=")</f>
        <v>#VALUE!</v>
      </c>
      <c r="P187" t="e">
        <f>AND(DATA!H1354,"AAAAAH3dfw8=")</f>
        <v>#VALUE!</v>
      </c>
      <c r="Q187" t="e">
        <f>AND(DATA!I1354,"AAAAAH3dfxA=")</f>
        <v>#VALUE!</v>
      </c>
      <c r="R187" t="e">
        <f>AND(DATA!J1354,"AAAAAH3dfxE=")</f>
        <v>#VALUE!</v>
      </c>
      <c r="S187" t="e">
        <f>AND(DATA!K1354,"AAAAAH3dfxI=")</f>
        <v>#VALUE!</v>
      </c>
      <c r="T187" t="b">
        <f>AND(DATA!L1355,"AAAAAH3dfxM=")</f>
        <v>1</v>
      </c>
      <c r="U187" t="b">
        <f>AND(DATA!M1355,"AAAAAH3dfxQ=")</f>
        <v>1</v>
      </c>
      <c r="V187" t="b">
        <f>AND(DATA!N1355,"AAAAAH3dfxU=")</f>
        <v>1</v>
      </c>
      <c r="W187" t="b">
        <f>AND(DATA!O1355,"AAAAAH3dfxY=")</f>
        <v>1</v>
      </c>
      <c r="X187" t="b">
        <f>AND(DATA!P1355,"AAAAAH3dfxc=")</f>
        <v>1</v>
      </c>
      <c r="Y187" t="b">
        <f>AND(DATA!Q1355,"AAAAAH3dfxg=")</f>
        <v>1</v>
      </c>
      <c r="Z187" t="b">
        <f>AND(DATA!R1355,"AAAAAH3dfxk=")</f>
        <v>1</v>
      </c>
      <c r="AA187" t="b">
        <f>AND(DATA!S1355,"AAAAAH3dfxo=")</f>
        <v>1</v>
      </c>
      <c r="AB187" t="b">
        <f>AND(DATA!T1355,"AAAAAH3dfxs=")</f>
        <v>1</v>
      </c>
      <c r="AC187">
        <f>IF(DATA!1355:1355,"AAAAAH3dfxw=",0)</f>
        <v>0</v>
      </c>
      <c r="AD187" t="e">
        <f>AND(DATA!A1355,"AAAAAH3dfx0=")</f>
        <v>#VALUE!</v>
      </c>
      <c r="AE187" t="e">
        <f>AND(DATA!B1355,"AAAAAH3dfx4=")</f>
        <v>#VALUE!</v>
      </c>
      <c r="AF187" t="e">
        <f>AND(DATA!C1355,"AAAAAH3dfx8=")</f>
        <v>#VALUE!</v>
      </c>
      <c r="AG187" t="e">
        <f>AND(DATA!D1355,"AAAAAH3dfyA=")</f>
        <v>#VALUE!</v>
      </c>
      <c r="AH187" t="e">
        <f>AND(DATA!E1355,"AAAAAH3dfyE=")</f>
        <v>#VALUE!</v>
      </c>
      <c r="AI187" t="e">
        <f>AND(DATA!F1355,"AAAAAH3dfyI=")</f>
        <v>#VALUE!</v>
      </c>
      <c r="AJ187" t="e">
        <f>AND(DATA!G1355,"AAAAAH3dfyM=")</f>
        <v>#VALUE!</v>
      </c>
      <c r="AK187" t="e">
        <f>AND(DATA!H1355,"AAAAAH3dfyQ=")</f>
        <v>#VALUE!</v>
      </c>
      <c r="AL187" t="e">
        <f>AND(DATA!I1355,"AAAAAH3dfyU=")</f>
        <v>#VALUE!</v>
      </c>
      <c r="AM187" t="e">
        <f>AND(DATA!J1355,"AAAAAH3dfyY=")</f>
        <v>#VALUE!</v>
      </c>
      <c r="AN187" t="e">
        <f>AND(DATA!K1355,"AAAAAH3dfyc=")</f>
        <v>#VALUE!</v>
      </c>
      <c r="AO187" t="b">
        <f>AND(DATA!L1356,"AAAAAH3dfyg=")</f>
        <v>1</v>
      </c>
      <c r="AP187" t="b">
        <f>AND(DATA!M1356,"AAAAAH3dfyk=")</f>
        <v>1</v>
      </c>
      <c r="AQ187" t="b">
        <f>AND(DATA!N1356,"AAAAAH3dfyo=")</f>
        <v>1</v>
      </c>
      <c r="AR187" t="b">
        <f>AND(DATA!O1356,"AAAAAH3dfys=")</f>
        <v>1</v>
      </c>
      <c r="AS187" t="b">
        <f>AND(DATA!P1356,"AAAAAH3dfyw=")</f>
        <v>1</v>
      </c>
      <c r="AT187" t="b">
        <f>AND(DATA!Q1356,"AAAAAH3dfy0=")</f>
        <v>1</v>
      </c>
      <c r="AU187" t="b">
        <f>AND(DATA!R1356,"AAAAAH3dfy4=")</f>
        <v>1</v>
      </c>
      <c r="AV187" t="b">
        <f>AND(DATA!S1356,"AAAAAH3dfy8=")</f>
        <v>1</v>
      </c>
      <c r="AW187" t="b">
        <f>AND(DATA!T1356,"AAAAAH3dfzA=")</f>
        <v>1</v>
      </c>
      <c r="AX187">
        <f>IF(DATA!1356:1356,"AAAAAH3dfzE=",0)</f>
        <v>0</v>
      </c>
      <c r="AY187" t="e">
        <f>AND(DATA!A1356,"AAAAAH3dfzI=")</f>
        <v>#VALUE!</v>
      </c>
      <c r="AZ187" t="e">
        <f>AND(DATA!B1356,"AAAAAH3dfzM=")</f>
        <v>#VALUE!</v>
      </c>
      <c r="BA187" t="e">
        <f>AND(DATA!C1356,"AAAAAH3dfzQ=")</f>
        <v>#VALUE!</v>
      </c>
      <c r="BB187" t="e">
        <f>AND(DATA!D1356,"AAAAAH3dfzU=")</f>
        <v>#VALUE!</v>
      </c>
      <c r="BC187" t="e">
        <f>AND(DATA!E1356,"AAAAAH3dfzY=")</f>
        <v>#VALUE!</v>
      </c>
      <c r="BD187" t="e">
        <f>AND(DATA!F1356,"AAAAAH3dfzc=")</f>
        <v>#VALUE!</v>
      </c>
      <c r="BE187" t="e">
        <f>AND(DATA!G1356,"AAAAAH3dfzg=")</f>
        <v>#VALUE!</v>
      </c>
      <c r="BF187" t="e">
        <f>AND(DATA!H1356,"AAAAAH3dfzk=")</f>
        <v>#VALUE!</v>
      </c>
      <c r="BG187" t="e">
        <f>AND(DATA!I1356,"AAAAAH3dfzo=")</f>
        <v>#VALUE!</v>
      </c>
      <c r="BH187" t="e">
        <f>AND(DATA!J1356,"AAAAAH3dfzs=")</f>
        <v>#VALUE!</v>
      </c>
      <c r="BI187" t="e">
        <f>AND(DATA!K1356,"AAAAAH3dfzw=")</f>
        <v>#VALUE!</v>
      </c>
      <c r="BJ187" t="b">
        <f>AND(DATA!L1357,"AAAAAH3dfz0=")</f>
        <v>1</v>
      </c>
      <c r="BK187" t="b">
        <f>AND(DATA!M1357,"AAAAAH3dfz4=")</f>
        <v>1</v>
      </c>
      <c r="BL187" t="b">
        <f>AND(DATA!N1357,"AAAAAH3dfz8=")</f>
        <v>1</v>
      </c>
      <c r="BM187" t="b">
        <f>AND(DATA!O1357,"AAAAAH3df0A=")</f>
        <v>1</v>
      </c>
      <c r="BN187" t="b">
        <f>AND(DATA!P1357,"AAAAAH3df0E=")</f>
        <v>1</v>
      </c>
      <c r="BO187" t="b">
        <f>AND(DATA!Q1357,"AAAAAH3df0I=")</f>
        <v>1</v>
      </c>
      <c r="BP187" t="b">
        <f>AND(DATA!R1357,"AAAAAH3df0M=")</f>
        <v>1</v>
      </c>
      <c r="BQ187" t="b">
        <f>AND(DATA!S1357,"AAAAAH3df0Q=")</f>
        <v>1</v>
      </c>
      <c r="BR187" t="b">
        <f>AND(DATA!T1357,"AAAAAH3df0U=")</f>
        <v>1</v>
      </c>
      <c r="BS187">
        <f>IF(DATA!1357:1357,"AAAAAH3df0Y=",0)</f>
        <v>0</v>
      </c>
      <c r="BT187" t="e">
        <f>AND(DATA!A1357,"AAAAAH3df0c=")</f>
        <v>#VALUE!</v>
      </c>
      <c r="BU187" t="e">
        <f>AND(DATA!B1357,"AAAAAH3df0g=")</f>
        <v>#VALUE!</v>
      </c>
      <c r="BV187" t="e">
        <f>AND(DATA!C1357,"AAAAAH3df0k=")</f>
        <v>#VALUE!</v>
      </c>
      <c r="BW187" t="e">
        <f>AND(DATA!D1357,"AAAAAH3df0o=")</f>
        <v>#VALUE!</v>
      </c>
      <c r="BX187" t="e">
        <f>AND(DATA!E1357,"AAAAAH3df0s=")</f>
        <v>#VALUE!</v>
      </c>
      <c r="BY187" t="e">
        <f>AND(DATA!F1357,"AAAAAH3df0w=")</f>
        <v>#VALUE!</v>
      </c>
      <c r="BZ187" t="e">
        <f>AND(DATA!G1357,"AAAAAH3df00=")</f>
        <v>#VALUE!</v>
      </c>
      <c r="CA187" t="e">
        <f>AND(DATA!H1357,"AAAAAH3df04=")</f>
        <v>#VALUE!</v>
      </c>
      <c r="CB187" t="e">
        <f>AND(DATA!I1357,"AAAAAH3df08=")</f>
        <v>#VALUE!</v>
      </c>
      <c r="CC187" t="e">
        <f>AND(DATA!J1357,"AAAAAH3df1A=")</f>
        <v>#VALUE!</v>
      </c>
      <c r="CD187" t="e">
        <f>AND(DATA!K1357,"AAAAAH3df1E=")</f>
        <v>#VALUE!</v>
      </c>
      <c r="CE187" t="b">
        <f>AND(DATA!L1358,"AAAAAH3df1I=")</f>
        <v>1</v>
      </c>
      <c r="CF187" t="b">
        <f>AND(DATA!M1358,"AAAAAH3df1M=")</f>
        <v>1</v>
      </c>
      <c r="CG187" t="b">
        <f>AND(DATA!N1358,"AAAAAH3df1Q=")</f>
        <v>1</v>
      </c>
      <c r="CH187" t="b">
        <f>AND(DATA!O1358,"AAAAAH3df1U=")</f>
        <v>1</v>
      </c>
      <c r="CI187" t="b">
        <f>AND(DATA!P1358,"AAAAAH3df1Y=")</f>
        <v>1</v>
      </c>
      <c r="CJ187" t="b">
        <f>AND(DATA!Q1358,"AAAAAH3df1c=")</f>
        <v>1</v>
      </c>
      <c r="CK187" t="b">
        <f>AND(DATA!R1358,"AAAAAH3df1g=")</f>
        <v>1</v>
      </c>
      <c r="CL187" t="b">
        <f>AND(DATA!S1358,"AAAAAH3df1k=")</f>
        <v>1</v>
      </c>
      <c r="CM187" t="b">
        <f>AND(DATA!T1358,"AAAAAH3df1o=")</f>
        <v>1</v>
      </c>
      <c r="CN187">
        <f>IF(DATA!1358:1358,"AAAAAH3df1s=",0)</f>
        <v>0</v>
      </c>
      <c r="CO187" t="e">
        <f>AND(DATA!A1358,"AAAAAH3df1w=")</f>
        <v>#VALUE!</v>
      </c>
      <c r="CP187" t="e">
        <f>AND(DATA!B1358,"AAAAAH3df10=")</f>
        <v>#VALUE!</v>
      </c>
      <c r="CQ187" t="e">
        <f>AND(DATA!C1358,"AAAAAH3df14=")</f>
        <v>#VALUE!</v>
      </c>
      <c r="CR187" t="e">
        <f>AND(DATA!D1358,"AAAAAH3df18=")</f>
        <v>#VALUE!</v>
      </c>
      <c r="CS187" t="e">
        <f>AND(DATA!E1358,"AAAAAH3df2A=")</f>
        <v>#VALUE!</v>
      </c>
      <c r="CT187" t="e">
        <f>AND(DATA!F1358,"AAAAAH3df2E=")</f>
        <v>#VALUE!</v>
      </c>
      <c r="CU187" t="e">
        <f>AND(DATA!G1358,"AAAAAH3df2I=")</f>
        <v>#VALUE!</v>
      </c>
      <c r="CV187" t="e">
        <f>AND(DATA!H1358,"AAAAAH3df2M=")</f>
        <v>#VALUE!</v>
      </c>
      <c r="CW187" t="e">
        <f>AND(DATA!I1358,"AAAAAH3df2Q=")</f>
        <v>#VALUE!</v>
      </c>
      <c r="CX187" t="e">
        <f>AND(DATA!J1358,"AAAAAH3df2U=")</f>
        <v>#VALUE!</v>
      </c>
      <c r="CY187" t="e">
        <f>AND(DATA!K1358,"AAAAAH3df2Y=")</f>
        <v>#VALUE!</v>
      </c>
      <c r="CZ187" t="b">
        <f>AND(DATA!L1359,"AAAAAH3df2c=")</f>
        <v>1</v>
      </c>
      <c r="DA187" t="b">
        <f>AND(DATA!M1359,"AAAAAH3df2g=")</f>
        <v>1</v>
      </c>
      <c r="DB187" t="b">
        <f>AND(DATA!N1359,"AAAAAH3df2k=")</f>
        <v>1</v>
      </c>
      <c r="DC187" t="b">
        <f>AND(DATA!O1359,"AAAAAH3df2o=")</f>
        <v>1</v>
      </c>
      <c r="DD187" t="b">
        <f>AND(DATA!P1359,"AAAAAH3df2s=")</f>
        <v>1</v>
      </c>
      <c r="DE187" t="b">
        <f>AND(DATA!Q1359,"AAAAAH3df2w=")</f>
        <v>1</v>
      </c>
      <c r="DF187" t="b">
        <f>AND(DATA!R1359,"AAAAAH3df20=")</f>
        <v>1</v>
      </c>
      <c r="DG187" t="b">
        <f>AND(DATA!S1359,"AAAAAH3df24=")</f>
        <v>1</v>
      </c>
      <c r="DH187" t="b">
        <f>AND(DATA!T1359,"AAAAAH3df28=")</f>
        <v>1</v>
      </c>
      <c r="DI187">
        <f>IF(DATA!1359:1359,"AAAAAH3df3A=",0)</f>
        <v>0</v>
      </c>
      <c r="DJ187" t="e">
        <f>AND(DATA!A1359,"AAAAAH3df3E=")</f>
        <v>#VALUE!</v>
      </c>
      <c r="DK187" t="e">
        <f>AND(DATA!B1359,"AAAAAH3df3I=")</f>
        <v>#VALUE!</v>
      </c>
      <c r="DL187" t="e">
        <f>AND(DATA!C1359,"AAAAAH3df3M=")</f>
        <v>#VALUE!</v>
      </c>
      <c r="DM187" t="e">
        <f>AND(DATA!D1359,"AAAAAH3df3Q=")</f>
        <v>#VALUE!</v>
      </c>
      <c r="DN187" t="e">
        <f>AND(DATA!E1359,"AAAAAH3df3U=")</f>
        <v>#VALUE!</v>
      </c>
      <c r="DO187" t="e">
        <f>AND(DATA!F1359,"AAAAAH3df3Y=")</f>
        <v>#VALUE!</v>
      </c>
      <c r="DP187" t="e">
        <f>AND(DATA!G1359,"AAAAAH3df3c=")</f>
        <v>#VALUE!</v>
      </c>
      <c r="DQ187" t="e">
        <f>AND(DATA!H1359,"AAAAAH3df3g=")</f>
        <v>#VALUE!</v>
      </c>
      <c r="DR187" t="e">
        <f>AND(DATA!I1359,"AAAAAH3df3k=")</f>
        <v>#VALUE!</v>
      </c>
      <c r="DS187" t="e">
        <f>AND(DATA!J1359,"AAAAAH3df3o=")</f>
        <v>#VALUE!</v>
      </c>
      <c r="DT187" t="e">
        <f>AND(DATA!K1359,"AAAAAH3df3s=")</f>
        <v>#VALUE!</v>
      </c>
      <c r="DU187" t="b">
        <f>AND(DATA!L1360,"AAAAAH3df3w=")</f>
        <v>1</v>
      </c>
      <c r="DV187" t="b">
        <f>AND(DATA!M1360,"AAAAAH3df30=")</f>
        <v>1</v>
      </c>
      <c r="DW187" t="b">
        <f>AND(DATA!N1360,"AAAAAH3df34=")</f>
        <v>1</v>
      </c>
      <c r="DX187" t="b">
        <f>AND(DATA!O1360,"AAAAAH3df38=")</f>
        <v>1</v>
      </c>
      <c r="DY187" t="b">
        <f>AND(DATA!P1360,"AAAAAH3df4A=")</f>
        <v>1</v>
      </c>
      <c r="DZ187" t="b">
        <f>AND(DATA!Q1360,"AAAAAH3df4E=")</f>
        <v>1</v>
      </c>
      <c r="EA187" t="b">
        <f>AND(DATA!R1360,"AAAAAH3df4I=")</f>
        <v>1</v>
      </c>
      <c r="EB187" t="b">
        <f>AND(DATA!S1360,"AAAAAH3df4M=")</f>
        <v>1</v>
      </c>
      <c r="EC187" t="b">
        <f>AND(DATA!T1360,"AAAAAH3df4Q=")</f>
        <v>1</v>
      </c>
      <c r="ED187">
        <f>IF(DATA!1360:1360,"AAAAAH3df4U=",0)</f>
        <v>0</v>
      </c>
      <c r="EE187" t="e">
        <f>AND(DATA!A1360,"AAAAAH3df4Y=")</f>
        <v>#VALUE!</v>
      </c>
      <c r="EF187" t="e">
        <f>AND(DATA!B1360,"AAAAAH3df4c=")</f>
        <v>#VALUE!</v>
      </c>
      <c r="EG187" t="e">
        <f>AND(DATA!C1360,"AAAAAH3df4g=")</f>
        <v>#VALUE!</v>
      </c>
      <c r="EH187" t="e">
        <f>AND(DATA!D1360,"AAAAAH3df4k=")</f>
        <v>#VALUE!</v>
      </c>
      <c r="EI187" t="e">
        <f>AND(DATA!E1360,"AAAAAH3df4o=")</f>
        <v>#VALUE!</v>
      </c>
      <c r="EJ187" t="e">
        <f>AND(DATA!F1360,"AAAAAH3df4s=")</f>
        <v>#VALUE!</v>
      </c>
      <c r="EK187" t="e">
        <f>AND(DATA!G1360,"AAAAAH3df4w=")</f>
        <v>#VALUE!</v>
      </c>
      <c r="EL187" t="e">
        <f>AND(DATA!H1360,"AAAAAH3df40=")</f>
        <v>#VALUE!</v>
      </c>
      <c r="EM187" t="e">
        <f>AND(DATA!I1360,"AAAAAH3df44=")</f>
        <v>#VALUE!</v>
      </c>
      <c r="EN187" t="e">
        <f>AND(DATA!J1360,"AAAAAH3df48=")</f>
        <v>#VALUE!</v>
      </c>
      <c r="EO187" t="e">
        <f>AND(DATA!K1360,"AAAAAH3df5A=")</f>
        <v>#VALUE!</v>
      </c>
      <c r="EP187" t="b">
        <f>AND(DATA!L1361,"AAAAAH3df5E=")</f>
        <v>1</v>
      </c>
      <c r="EQ187" t="b">
        <f>AND(DATA!M1361,"AAAAAH3df5I=")</f>
        <v>1</v>
      </c>
      <c r="ER187" t="b">
        <f>AND(DATA!N1361,"AAAAAH3df5M=")</f>
        <v>1</v>
      </c>
      <c r="ES187" t="b">
        <f>AND(DATA!O1361,"AAAAAH3df5Q=")</f>
        <v>1</v>
      </c>
      <c r="ET187" t="b">
        <f>AND(DATA!P1361,"AAAAAH3df5U=")</f>
        <v>1</v>
      </c>
      <c r="EU187" t="b">
        <f>AND(DATA!Q1361,"AAAAAH3df5Y=")</f>
        <v>1</v>
      </c>
      <c r="EV187" t="b">
        <f>AND(DATA!R1361,"AAAAAH3df5c=")</f>
        <v>1</v>
      </c>
      <c r="EW187" t="b">
        <f>AND(DATA!S1361,"AAAAAH3df5g=")</f>
        <v>1</v>
      </c>
      <c r="EX187" t="b">
        <f>AND(DATA!T1361,"AAAAAH3df5k=")</f>
        <v>1</v>
      </c>
      <c r="EY187">
        <f>IF(DATA!1361:1361,"AAAAAH3df5o=",0)</f>
        <v>0</v>
      </c>
      <c r="EZ187" t="e">
        <f>AND(DATA!A1361,"AAAAAH3df5s=")</f>
        <v>#VALUE!</v>
      </c>
      <c r="FA187" t="e">
        <f>AND(DATA!B1361,"AAAAAH3df5w=")</f>
        <v>#VALUE!</v>
      </c>
      <c r="FB187" t="e">
        <f>AND(DATA!C1361,"AAAAAH3df50=")</f>
        <v>#VALUE!</v>
      </c>
      <c r="FC187" t="e">
        <f>AND(DATA!D1361,"AAAAAH3df54=")</f>
        <v>#VALUE!</v>
      </c>
      <c r="FD187" t="e">
        <f>AND(DATA!E1361,"AAAAAH3df58=")</f>
        <v>#VALUE!</v>
      </c>
      <c r="FE187" t="e">
        <f>AND(DATA!F1361,"AAAAAH3df6A=")</f>
        <v>#VALUE!</v>
      </c>
      <c r="FF187" t="e">
        <f>AND(DATA!G1361,"AAAAAH3df6E=")</f>
        <v>#VALUE!</v>
      </c>
      <c r="FG187" t="e">
        <f>AND(DATA!H1361,"AAAAAH3df6I=")</f>
        <v>#VALUE!</v>
      </c>
      <c r="FH187" t="e">
        <f>AND(DATA!I1361,"AAAAAH3df6M=")</f>
        <v>#VALUE!</v>
      </c>
      <c r="FI187" t="e">
        <f>AND(DATA!J1361,"AAAAAH3df6Q=")</f>
        <v>#VALUE!</v>
      </c>
      <c r="FJ187" t="e">
        <f>AND(DATA!K1361,"AAAAAH3df6U=")</f>
        <v>#VALUE!</v>
      </c>
      <c r="FK187" t="b">
        <f>AND(DATA!L1362,"AAAAAH3df6Y=")</f>
        <v>1</v>
      </c>
      <c r="FL187" t="b">
        <f>AND(DATA!M1362,"AAAAAH3df6c=")</f>
        <v>1</v>
      </c>
      <c r="FM187" t="b">
        <f>AND(DATA!N1362,"AAAAAH3df6g=")</f>
        <v>1</v>
      </c>
      <c r="FN187" t="b">
        <f>AND(DATA!O1362,"AAAAAH3df6k=")</f>
        <v>1</v>
      </c>
      <c r="FO187" t="b">
        <f>AND(DATA!P1362,"AAAAAH3df6o=")</f>
        <v>1</v>
      </c>
      <c r="FP187" t="b">
        <f>AND(DATA!Q1362,"AAAAAH3df6s=")</f>
        <v>1</v>
      </c>
      <c r="FQ187" t="b">
        <f>AND(DATA!R1362,"AAAAAH3df6w=")</f>
        <v>1</v>
      </c>
      <c r="FR187" t="b">
        <f>AND(DATA!S1362,"AAAAAH3df60=")</f>
        <v>1</v>
      </c>
      <c r="FS187" t="b">
        <f>AND(DATA!T1362,"AAAAAH3df64=")</f>
        <v>1</v>
      </c>
      <c r="FT187">
        <f>IF(DATA!1362:1362,"AAAAAH3df68=",0)</f>
        <v>0</v>
      </c>
      <c r="FU187" t="e">
        <f>AND(DATA!A1362,"AAAAAH3df7A=")</f>
        <v>#VALUE!</v>
      </c>
      <c r="FV187" t="e">
        <f>AND(DATA!B1362,"AAAAAH3df7E=")</f>
        <v>#VALUE!</v>
      </c>
      <c r="FW187" t="e">
        <f>AND(DATA!C1362,"AAAAAH3df7I=")</f>
        <v>#VALUE!</v>
      </c>
      <c r="FX187" t="e">
        <f>AND(DATA!D1362,"AAAAAH3df7M=")</f>
        <v>#VALUE!</v>
      </c>
      <c r="FY187" t="e">
        <f>AND(DATA!E1362,"AAAAAH3df7Q=")</f>
        <v>#VALUE!</v>
      </c>
      <c r="FZ187" t="e">
        <f>AND(DATA!F1362,"AAAAAH3df7U=")</f>
        <v>#VALUE!</v>
      </c>
      <c r="GA187" t="e">
        <f>AND(DATA!G1362,"AAAAAH3df7Y=")</f>
        <v>#VALUE!</v>
      </c>
      <c r="GB187" t="e">
        <f>AND(DATA!H1362,"AAAAAH3df7c=")</f>
        <v>#VALUE!</v>
      </c>
      <c r="GC187" t="e">
        <f>AND(DATA!I1362,"AAAAAH3df7g=")</f>
        <v>#VALUE!</v>
      </c>
      <c r="GD187" t="e">
        <f>AND(DATA!J1362,"AAAAAH3df7k=")</f>
        <v>#VALUE!</v>
      </c>
      <c r="GE187" t="e">
        <f>AND(DATA!K1362,"AAAAAH3df7o=")</f>
        <v>#VALUE!</v>
      </c>
      <c r="GF187" t="b">
        <f>AND(DATA!L1363,"AAAAAH3df7s=")</f>
        <v>1</v>
      </c>
      <c r="GG187" t="b">
        <f>AND(DATA!M1363,"AAAAAH3df7w=")</f>
        <v>1</v>
      </c>
      <c r="GH187" t="b">
        <f>AND(DATA!N1363,"AAAAAH3df70=")</f>
        <v>1</v>
      </c>
      <c r="GI187" t="b">
        <f>AND(DATA!O1363,"AAAAAH3df74=")</f>
        <v>1</v>
      </c>
      <c r="GJ187" t="b">
        <f>AND(DATA!P1363,"AAAAAH3df78=")</f>
        <v>1</v>
      </c>
      <c r="GK187" t="b">
        <f>AND(DATA!Q1363,"AAAAAH3df8A=")</f>
        <v>1</v>
      </c>
      <c r="GL187" t="b">
        <f>AND(DATA!R1363,"AAAAAH3df8E=")</f>
        <v>1</v>
      </c>
      <c r="GM187" t="b">
        <f>AND(DATA!S1363,"AAAAAH3df8I=")</f>
        <v>1</v>
      </c>
      <c r="GN187" t="b">
        <f>AND(DATA!T1363,"AAAAAH3df8M=")</f>
        <v>1</v>
      </c>
      <c r="GO187">
        <f>IF(DATA!1363:1363,"AAAAAH3df8Q=",0)</f>
        <v>0</v>
      </c>
      <c r="GP187" t="e">
        <f>AND(DATA!A1363,"AAAAAH3df8U=")</f>
        <v>#VALUE!</v>
      </c>
      <c r="GQ187" t="e">
        <f>AND(DATA!B1363,"AAAAAH3df8Y=")</f>
        <v>#VALUE!</v>
      </c>
      <c r="GR187" t="e">
        <f>AND(DATA!C1363,"AAAAAH3df8c=")</f>
        <v>#VALUE!</v>
      </c>
      <c r="GS187" t="e">
        <f>AND(DATA!D1363,"AAAAAH3df8g=")</f>
        <v>#VALUE!</v>
      </c>
      <c r="GT187" t="e">
        <f>AND(DATA!E1363,"AAAAAH3df8k=")</f>
        <v>#VALUE!</v>
      </c>
      <c r="GU187" t="e">
        <f>AND(DATA!F1363,"AAAAAH3df8o=")</f>
        <v>#VALUE!</v>
      </c>
      <c r="GV187" t="e">
        <f>AND(DATA!G1363,"AAAAAH3df8s=")</f>
        <v>#VALUE!</v>
      </c>
      <c r="GW187" t="e">
        <f>AND(DATA!H1363,"AAAAAH3df8w=")</f>
        <v>#VALUE!</v>
      </c>
      <c r="GX187" t="e">
        <f>AND(DATA!I1363,"AAAAAH3df80=")</f>
        <v>#VALUE!</v>
      </c>
      <c r="GY187" t="e">
        <f>AND(DATA!J1363,"AAAAAH3df84=")</f>
        <v>#VALUE!</v>
      </c>
      <c r="GZ187" t="e">
        <f>AND(DATA!K1363,"AAAAAH3df88=")</f>
        <v>#VALUE!</v>
      </c>
      <c r="HA187" t="b">
        <f>AND(DATA!L1364,"AAAAAH3df9A=")</f>
        <v>1</v>
      </c>
      <c r="HB187" t="b">
        <f>AND(DATA!M1364,"AAAAAH3df9E=")</f>
        <v>1</v>
      </c>
      <c r="HC187" t="b">
        <f>AND(DATA!N1364,"AAAAAH3df9I=")</f>
        <v>1</v>
      </c>
      <c r="HD187" t="b">
        <f>AND(DATA!O1364,"AAAAAH3df9M=")</f>
        <v>1</v>
      </c>
      <c r="HE187" t="b">
        <f>AND(DATA!P1364,"AAAAAH3df9Q=")</f>
        <v>1</v>
      </c>
      <c r="HF187" t="b">
        <f>AND(DATA!Q1364,"AAAAAH3df9U=")</f>
        <v>1</v>
      </c>
      <c r="HG187" t="b">
        <f>AND(DATA!R1364,"AAAAAH3df9Y=")</f>
        <v>1</v>
      </c>
      <c r="HH187" t="b">
        <f>AND(DATA!S1364,"AAAAAH3df9c=")</f>
        <v>1</v>
      </c>
      <c r="HI187" t="b">
        <f>AND(DATA!T1364,"AAAAAH3df9g=")</f>
        <v>1</v>
      </c>
      <c r="HJ187">
        <f>IF(DATA!1364:1364,"AAAAAH3df9k=",0)</f>
        <v>0</v>
      </c>
      <c r="HK187" t="e">
        <f>AND(DATA!A1364,"AAAAAH3df9o=")</f>
        <v>#VALUE!</v>
      </c>
      <c r="HL187" t="e">
        <f>AND(DATA!B1364,"AAAAAH3df9s=")</f>
        <v>#VALUE!</v>
      </c>
      <c r="HM187" t="e">
        <f>AND(DATA!C1364,"AAAAAH3df9w=")</f>
        <v>#VALUE!</v>
      </c>
      <c r="HN187" t="e">
        <f>AND(DATA!D1364,"AAAAAH3df90=")</f>
        <v>#VALUE!</v>
      </c>
      <c r="HO187" t="e">
        <f>AND(DATA!E1364,"AAAAAH3df94=")</f>
        <v>#VALUE!</v>
      </c>
      <c r="HP187" t="e">
        <f>AND(DATA!F1364,"AAAAAH3df98=")</f>
        <v>#VALUE!</v>
      </c>
      <c r="HQ187" t="e">
        <f>AND(DATA!G1364,"AAAAAH3df+A=")</f>
        <v>#VALUE!</v>
      </c>
      <c r="HR187" t="e">
        <f>AND(DATA!H1364,"AAAAAH3df+E=")</f>
        <v>#VALUE!</v>
      </c>
      <c r="HS187" t="e">
        <f>AND(DATA!I1364,"AAAAAH3df+I=")</f>
        <v>#VALUE!</v>
      </c>
      <c r="HT187" t="e">
        <f>AND(DATA!J1364,"AAAAAH3df+M=")</f>
        <v>#VALUE!</v>
      </c>
      <c r="HU187" t="e">
        <f>AND(DATA!K1364,"AAAAAH3df+Q=")</f>
        <v>#VALUE!</v>
      </c>
      <c r="HV187" t="b">
        <f>AND(DATA!L1365,"AAAAAH3df+U=")</f>
        <v>1</v>
      </c>
      <c r="HW187" t="b">
        <f>AND(DATA!M1365,"AAAAAH3df+Y=")</f>
        <v>1</v>
      </c>
      <c r="HX187" t="b">
        <f>AND(DATA!N1365,"AAAAAH3df+c=")</f>
        <v>1</v>
      </c>
      <c r="HY187" t="b">
        <f>AND(DATA!O1365,"AAAAAH3df+g=")</f>
        <v>1</v>
      </c>
      <c r="HZ187" t="b">
        <f>AND(DATA!P1365,"AAAAAH3df+k=")</f>
        <v>1</v>
      </c>
      <c r="IA187" t="b">
        <f>AND(DATA!Q1365,"AAAAAH3df+o=")</f>
        <v>1</v>
      </c>
      <c r="IB187" t="b">
        <f>AND(DATA!R1365,"AAAAAH3df+s=")</f>
        <v>1</v>
      </c>
      <c r="IC187" t="b">
        <f>AND(DATA!S1365,"AAAAAH3df+w=")</f>
        <v>1</v>
      </c>
      <c r="ID187" t="b">
        <f>AND(DATA!T1365,"AAAAAH3df+0=")</f>
        <v>1</v>
      </c>
      <c r="IE187">
        <f>IF(DATA!1365:1365,"AAAAAH3df+4=",0)</f>
        <v>0</v>
      </c>
      <c r="IF187" t="e">
        <f>AND(DATA!A1365,"AAAAAH3df+8=")</f>
        <v>#VALUE!</v>
      </c>
      <c r="IG187" t="e">
        <f>AND(DATA!B1365,"AAAAAH3df/A=")</f>
        <v>#VALUE!</v>
      </c>
      <c r="IH187" t="e">
        <f>AND(DATA!C1365,"AAAAAH3df/E=")</f>
        <v>#VALUE!</v>
      </c>
      <c r="II187" t="e">
        <f>AND(DATA!D1365,"AAAAAH3df/I=")</f>
        <v>#VALUE!</v>
      </c>
      <c r="IJ187" t="e">
        <f>AND(DATA!E1365,"AAAAAH3df/M=")</f>
        <v>#VALUE!</v>
      </c>
      <c r="IK187" t="e">
        <f>AND(DATA!F1365,"AAAAAH3df/Q=")</f>
        <v>#VALUE!</v>
      </c>
      <c r="IL187" t="e">
        <f>AND(DATA!G1365,"AAAAAH3df/U=")</f>
        <v>#VALUE!</v>
      </c>
      <c r="IM187" t="e">
        <f>AND(DATA!H1365,"AAAAAH3df/Y=")</f>
        <v>#VALUE!</v>
      </c>
      <c r="IN187" t="e">
        <f>AND(DATA!I1365,"AAAAAH3df/c=")</f>
        <v>#VALUE!</v>
      </c>
      <c r="IO187" t="e">
        <f>AND(DATA!J1365,"AAAAAH3df/g=")</f>
        <v>#VALUE!</v>
      </c>
      <c r="IP187" t="e">
        <f>AND(DATA!K1365,"AAAAAH3df/k=")</f>
        <v>#VALUE!</v>
      </c>
      <c r="IQ187" t="b">
        <f>AND(DATA!L1366,"AAAAAH3df/o=")</f>
        <v>1</v>
      </c>
      <c r="IR187" t="b">
        <f>AND(DATA!M1366,"AAAAAH3df/s=")</f>
        <v>1</v>
      </c>
      <c r="IS187" t="b">
        <f>AND(DATA!N1366,"AAAAAH3df/w=")</f>
        <v>1</v>
      </c>
      <c r="IT187" t="b">
        <f>AND(DATA!O1366,"AAAAAH3df/0=")</f>
        <v>1</v>
      </c>
      <c r="IU187" t="b">
        <f>AND(DATA!P1366,"AAAAAH3df/4=")</f>
        <v>1</v>
      </c>
      <c r="IV187" t="b">
        <f>AND(DATA!Q1366,"AAAAAH3df/8=")</f>
        <v>1</v>
      </c>
    </row>
    <row r="188" spans="1:256" x14ac:dyDescent="0.25">
      <c r="A188" t="b">
        <f>AND(DATA!R1366,"AAAAAH73vQA=")</f>
        <v>1</v>
      </c>
      <c r="B188" t="b">
        <f>AND(DATA!S1366,"AAAAAH73vQE=")</f>
        <v>1</v>
      </c>
      <c r="C188" t="b">
        <f>AND(DATA!T1366,"AAAAAH73vQI=")</f>
        <v>1</v>
      </c>
      <c r="D188">
        <f>IF(DATA!1366:1366,"AAAAAH73vQM=",0)</f>
        <v>0</v>
      </c>
      <c r="E188" t="e">
        <f>AND(DATA!A1366,"AAAAAH73vQQ=")</f>
        <v>#VALUE!</v>
      </c>
      <c r="F188" t="e">
        <f>AND(DATA!B1366,"AAAAAH73vQU=")</f>
        <v>#VALUE!</v>
      </c>
      <c r="G188" t="e">
        <f>AND(DATA!C1366,"AAAAAH73vQY=")</f>
        <v>#VALUE!</v>
      </c>
      <c r="H188" t="e">
        <f>AND(DATA!D1366,"AAAAAH73vQc=")</f>
        <v>#VALUE!</v>
      </c>
      <c r="I188" t="e">
        <f>AND(DATA!E1366,"AAAAAH73vQg=")</f>
        <v>#VALUE!</v>
      </c>
      <c r="J188" t="e">
        <f>AND(DATA!F1366,"AAAAAH73vQk=")</f>
        <v>#VALUE!</v>
      </c>
      <c r="K188" t="e">
        <f>AND(DATA!G1366,"AAAAAH73vQo=")</f>
        <v>#VALUE!</v>
      </c>
      <c r="L188" t="e">
        <f>AND(DATA!H1366,"AAAAAH73vQs=")</f>
        <v>#VALUE!</v>
      </c>
      <c r="M188" t="e">
        <f>AND(DATA!I1366,"AAAAAH73vQw=")</f>
        <v>#VALUE!</v>
      </c>
      <c r="N188" t="e">
        <f>AND(DATA!J1366,"AAAAAH73vQ0=")</f>
        <v>#VALUE!</v>
      </c>
      <c r="O188" t="e">
        <f>AND(DATA!K1366,"AAAAAH73vQ4=")</f>
        <v>#VALUE!</v>
      </c>
      <c r="P188" t="b">
        <f>AND(DATA!L1367,"AAAAAH73vQ8=")</f>
        <v>1</v>
      </c>
      <c r="Q188" t="b">
        <f>AND(DATA!M1367,"AAAAAH73vRA=")</f>
        <v>1</v>
      </c>
      <c r="R188" t="b">
        <f>AND(DATA!N1367,"AAAAAH73vRE=")</f>
        <v>1</v>
      </c>
      <c r="S188" t="b">
        <f>AND(DATA!O1367,"AAAAAH73vRI=")</f>
        <v>1</v>
      </c>
      <c r="T188" t="b">
        <f>AND(DATA!P1367,"AAAAAH73vRM=")</f>
        <v>1</v>
      </c>
      <c r="U188" t="b">
        <f>AND(DATA!Q1367,"AAAAAH73vRQ=")</f>
        <v>1</v>
      </c>
      <c r="V188" t="b">
        <f>AND(DATA!R1367,"AAAAAH73vRU=")</f>
        <v>1</v>
      </c>
      <c r="W188" t="b">
        <f>AND(DATA!S1367,"AAAAAH73vRY=")</f>
        <v>1</v>
      </c>
      <c r="X188" t="b">
        <f>AND(DATA!T1367,"AAAAAH73vRc=")</f>
        <v>1</v>
      </c>
      <c r="Y188">
        <f>IF(DATA!1367:1367,"AAAAAH73vRg=",0)</f>
        <v>0</v>
      </c>
      <c r="Z188" t="e">
        <f>AND(DATA!A1367,"AAAAAH73vRk=")</f>
        <v>#VALUE!</v>
      </c>
      <c r="AA188" t="e">
        <f>AND(DATA!B1367,"AAAAAH73vRo=")</f>
        <v>#VALUE!</v>
      </c>
      <c r="AB188" t="e">
        <f>AND(DATA!C1367,"AAAAAH73vRs=")</f>
        <v>#VALUE!</v>
      </c>
      <c r="AC188" t="e">
        <f>AND(DATA!D1367,"AAAAAH73vRw=")</f>
        <v>#VALUE!</v>
      </c>
      <c r="AD188" t="e">
        <f>AND(DATA!E1367,"AAAAAH73vR0=")</f>
        <v>#VALUE!</v>
      </c>
      <c r="AE188" t="e">
        <f>AND(DATA!F1367,"AAAAAH73vR4=")</f>
        <v>#VALUE!</v>
      </c>
      <c r="AF188" t="e">
        <f>AND(DATA!G1367,"AAAAAH73vR8=")</f>
        <v>#VALUE!</v>
      </c>
      <c r="AG188" t="e">
        <f>AND(DATA!H1367,"AAAAAH73vSA=")</f>
        <v>#VALUE!</v>
      </c>
      <c r="AH188" t="e">
        <f>AND(DATA!I1367,"AAAAAH73vSE=")</f>
        <v>#VALUE!</v>
      </c>
      <c r="AI188" t="e">
        <f>AND(DATA!J1367,"AAAAAH73vSI=")</f>
        <v>#VALUE!</v>
      </c>
      <c r="AJ188" t="e">
        <f>AND(DATA!K1367,"AAAAAH73vSM=")</f>
        <v>#VALUE!</v>
      </c>
      <c r="AK188" t="b">
        <f>AND(DATA!L1368,"AAAAAH73vSQ=")</f>
        <v>1</v>
      </c>
      <c r="AL188" t="b">
        <f>AND(DATA!M1368,"AAAAAH73vSU=")</f>
        <v>1</v>
      </c>
      <c r="AM188" t="b">
        <f>AND(DATA!N1368,"AAAAAH73vSY=")</f>
        <v>1</v>
      </c>
      <c r="AN188" t="b">
        <f>AND(DATA!O1368,"AAAAAH73vSc=")</f>
        <v>1</v>
      </c>
      <c r="AO188" t="b">
        <f>AND(DATA!P1368,"AAAAAH73vSg=")</f>
        <v>1</v>
      </c>
      <c r="AP188" t="b">
        <f>AND(DATA!Q1368,"AAAAAH73vSk=")</f>
        <v>1</v>
      </c>
      <c r="AQ188" t="b">
        <f>AND(DATA!R1368,"AAAAAH73vSo=")</f>
        <v>1</v>
      </c>
      <c r="AR188" t="b">
        <f>AND(DATA!S1368,"AAAAAH73vSs=")</f>
        <v>1</v>
      </c>
      <c r="AS188" t="b">
        <f>AND(DATA!T1368,"AAAAAH73vSw=")</f>
        <v>1</v>
      </c>
      <c r="AT188">
        <f>IF(DATA!1368:1368,"AAAAAH73vS0=",0)</f>
        <v>0</v>
      </c>
      <c r="AU188" t="e">
        <f>AND(DATA!A1368,"AAAAAH73vS4=")</f>
        <v>#VALUE!</v>
      </c>
      <c r="AV188" t="e">
        <f>AND(DATA!B1368,"AAAAAH73vS8=")</f>
        <v>#VALUE!</v>
      </c>
      <c r="AW188" t="e">
        <f>AND(DATA!C1368,"AAAAAH73vTA=")</f>
        <v>#VALUE!</v>
      </c>
      <c r="AX188" t="e">
        <f>AND(DATA!D1368,"AAAAAH73vTE=")</f>
        <v>#VALUE!</v>
      </c>
      <c r="AY188" t="e">
        <f>AND(DATA!E1368,"AAAAAH73vTI=")</f>
        <v>#VALUE!</v>
      </c>
      <c r="AZ188" t="e">
        <f>AND(DATA!F1368,"AAAAAH73vTM=")</f>
        <v>#VALUE!</v>
      </c>
      <c r="BA188" t="e">
        <f>AND(DATA!G1368,"AAAAAH73vTQ=")</f>
        <v>#VALUE!</v>
      </c>
      <c r="BB188" t="e">
        <f>AND(DATA!H1368,"AAAAAH73vTU=")</f>
        <v>#VALUE!</v>
      </c>
      <c r="BC188" t="e">
        <f>AND(DATA!I1368,"AAAAAH73vTY=")</f>
        <v>#VALUE!</v>
      </c>
      <c r="BD188" t="e">
        <f>AND(DATA!J1368,"AAAAAH73vTc=")</f>
        <v>#VALUE!</v>
      </c>
      <c r="BE188" t="e">
        <f>AND(DATA!K1368,"AAAAAH73vTg=")</f>
        <v>#VALUE!</v>
      </c>
      <c r="BF188" t="b">
        <f>AND(DATA!L1369,"AAAAAH73vTk=")</f>
        <v>1</v>
      </c>
      <c r="BG188" t="b">
        <f>AND(DATA!M1369,"AAAAAH73vTo=")</f>
        <v>1</v>
      </c>
      <c r="BH188" t="b">
        <f>AND(DATA!N1369,"AAAAAH73vTs=")</f>
        <v>1</v>
      </c>
      <c r="BI188" t="b">
        <f>AND(DATA!O1369,"AAAAAH73vTw=")</f>
        <v>1</v>
      </c>
      <c r="BJ188" t="b">
        <f>AND(DATA!P1369,"AAAAAH73vT0=")</f>
        <v>1</v>
      </c>
      <c r="BK188" t="b">
        <f>AND(DATA!Q1369,"AAAAAH73vT4=")</f>
        <v>1</v>
      </c>
      <c r="BL188" t="b">
        <f>AND(DATA!R1369,"AAAAAH73vT8=")</f>
        <v>1</v>
      </c>
      <c r="BM188" t="b">
        <f>AND(DATA!S1369,"AAAAAH73vUA=")</f>
        <v>1</v>
      </c>
      <c r="BN188" t="b">
        <f>AND(DATA!T1369,"AAAAAH73vUE=")</f>
        <v>1</v>
      </c>
      <c r="BO188">
        <f>IF(DATA!1369:1369,"AAAAAH73vUI=",0)</f>
        <v>0</v>
      </c>
      <c r="BP188" t="e">
        <f>AND(DATA!A1369,"AAAAAH73vUM=")</f>
        <v>#VALUE!</v>
      </c>
      <c r="BQ188" t="e">
        <f>AND(DATA!B1369,"AAAAAH73vUQ=")</f>
        <v>#VALUE!</v>
      </c>
      <c r="BR188" t="e">
        <f>AND(DATA!C1369,"AAAAAH73vUU=")</f>
        <v>#VALUE!</v>
      </c>
      <c r="BS188" t="e">
        <f>AND(DATA!D1369,"AAAAAH73vUY=")</f>
        <v>#VALUE!</v>
      </c>
      <c r="BT188" t="e">
        <f>AND(DATA!E1369,"AAAAAH73vUc=")</f>
        <v>#VALUE!</v>
      </c>
      <c r="BU188" t="e">
        <f>AND(DATA!F1369,"AAAAAH73vUg=")</f>
        <v>#VALUE!</v>
      </c>
      <c r="BV188" t="e">
        <f>AND(DATA!G1369,"AAAAAH73vUk=")</f>
        <v>#VALUE!</v>
      </c>
      <c r="BW188" t="e">
        <f>AND(DATA!H1369,"AAAAAH73vUo=")</f>
        <v>#VALUE!</v>
      </c>
      <c r="BX188" t="e">
        <f>AND(DATA!I1369,"AAAAAH73vUs=")</f>
        <v>#VALUE!</v>
      </c>
      <c r="BY188" t="e">
        <f>AND(DATA!J1369,"AAAAAH73vUw=")</f>
        <v>#VALUE!</v>
      </c>
      <c r="BZ188" t="e">
        <f>AND(DATA!K1369,"AAAAAH73vU0=")</f>
        <v>#VALUE!</v>
      </c>
      <c r="CA188" t="b">
        <f>AND(DATA!L1370,"AAAAAH73vU4=")</f>
        <v>1</v>
      </c>
      <c r="CB188" t="b">
        <f>AND(DATA!M1370,"AAAAAH73vU8=")</f>
        <v>1</v>
      </c>
      <c r="CC188" t="b">
        <f>AND(DATA!N1370,"AAAAAH73vVA=")</f>
        <v>1</v>
      </c>
      <c r="CD188" t="b">
        <f>AND(DATA!O1370,"AAAAAH73vVE=")</f>
        <v>1</v>
      </c>
      <c r="CE188" t="b">
        <f>AND(DATA!P1370,"AAAAAH73vVI=")</f>
        <v>1</v>
      </c>
      <c r="CF188" t="b">
        <f>AND(DATA!Q1370,"AAAAAH73vVM=")</f>
        <v>1</v>
      </c>
      <c r="CG188" t="b">
        <f>AND(DATA!R1370,"AAAAAH73vVQ=")</f>
        <v>1</v>
      </c>
      <c r="CH188" t="b">
        <f>AND(DATA!S1370,"AAAAAH73vVU=")</f>
        <v>1</v>
      </c>
      <c r="CI188" t="b">
        <f>AND(DATA!T1370,"AAAAAH73vVY=")</f>
        <v>1</v>
      </c>
      <c r="CJ188">
        <f>IF(DATA!1370:1370,"AAAAAH73vVc=",0)</f>
        <v>0</v>
      </c>
      <c r="CK188" t="e">
        <f>AND(DATA!A1370,"AAAAAH73vVg=")</f>
        <v>#VALUE!</v>
      </c>
      <c r="CL188" t="e">
        <f>AND(DATA!B1370,"AAAAAH73vVk=")</f>
        <v>#VALUE!</v>
      </c>
      <c r="CM188" t="e">
        <f>AND(DATA!C1370,"AAAAAH73vVo=")</f>
        <v>#VALUE!</v>
      </c>
      <c r="CN188" t="e">
        <f>AND(DATA!D1370,"AAAAAH73vVs=")</f>
        <v>#VALUE!</v>
      </c>
      <c r="CO188" t="e">
        <f>AND(DATA!E1370,"AAAAAH73vVw=")</f>
        <v>#VALUE!</v>
      </c>
      <c r="CP188" t="e">
        <f>AND(DATA!F1370,"AAAAAH73vV0=")</f>
        <v>#VALUE!</v>
      </c>
      <c r="CQ188" t="e">
        <f>AND(DATA!G1370,"AAAAAH73vV4=")</f>
        <v>#VALUE!</v>
      </c>
      <c r="CR188" t="e">
        <f>AND(DATA!H1370,"AAAAAH73vV8=")</f>
        <v>#VALUE!</v>
      </c>
      <c r="CS188" t="e">
        <f>AND(DATA!I1370,"AAAAAH73vWA=")</f>
        <v>#VALUE!</v>
      </c>
      <c r="CT188" t="e">
        <f>AND(DATA!J1370,"AAAAAH73vWE=")</f>
        <v>#VALUE!</v>
      </c>
      <c r="CU188" t="e">
        <f>AND(DATA!K1370,"AAAAAH73vWI=")</f>
        <v>#VALUE!</v>
      </c>
      <c r="CV188" t="b">
        <f>AND(DATA!L1371,"AAAAAH73vWM=")</f>
        <v>1</v>
      </c>
      <c r="CW188" t="b">
        <f>AND(DATA!M1371,"AAAAAH73vWQ=")</f>
        <v>1</v>
      </c>
      <c r="CX188" t="b">
        <f>AND(DATA!N1371,"AAAAAH73vWU=")</f>
        <v>1</v>
      </c>
      <c r="CY188" t="b">
        <f>AND(DATA!O1371,"AAAAAH73vWY=")</f>
        <v>1</v>
      </c>
      <c r="CZ188" t="b">
        <f>AND(DATA!P1371,"AAAAAH73vWc=")</f>
        <v>1</v>
      </c>
      <c r="DA188" t="b">
        <f>AND(DATA!Q1371,"AAAAAH73vWg=")</f>
        <v>1</v>
      </c>
      <c r="DB188" t="b">
        <f>AND(DATA!R1371,"AAAAAH73vWk=")</f>
        <v>1</v>
      </c>
      <c r="DC188" t="b">
        <f>AND(DATA!S1371,"AAAAAH73vWo=")</f>
        <v>1</v>
      </c>
      <c r="DD188" t="b">
        <f>AND(DATA!T1371,"AAAAAH73vWs=")</f>
        <v>1</v>
      </c>
      <c r="DE188">
        <f>IF(DATA!1371:1371,"AAAAAH73vWw=",0)</f>
        <v>0</v>
      </c>
      <c r="DF188" t="e">
        <f>AND(DATA!A1371,"AAAAAH73vW0=")</f>
        <v>#VALUE!</v>
      </c>
      <c r="DG188" t="e">
        <f>AND(DATA!B1371,"AAAAAH73vW4=")</f>
        <v>#VALUE!</v>
      </c>
      <c r="DH188" t="e">
        <f>AND(DATA!C1371,"AAAAAH73vW8=")</f>
        <v>#VALUE!</v>
      </c>
      <c r="DI188" t="e">
        <f>AND(DATA!D1371,"AAAAAH73vXA=")</f>
        <v>#VALUE!</v>
      </c>
      <c r="DJ188" t="e">
        <f>AND(DATA!E1371,"AAAAAH73vXE=")</f>
        <v>#VALUE!</v>
      </c>
      <c r="DK188" t="e">
        <f>AND(DATA!F1371,"AAAAAH73vXI=")</f>
        <v>#VALUE!</v>
      </c>
      <c r="DL188" t="e">
        <f>AND(DATA!G1371,"AAAAAH73vXM=")</f>
        <v>#VALUE!</v>
      </c>
      <c r="DM188" t="e">
        <f>AND(DATA!H1371,"AAAAAH73vXQ=")</f>
        <v>#VALUE!</v>
      </c>
      <c r="DN188" t="e">
        <f>AND(DATA!I1371,"AAAAAH73vXU=")</f>
        <v>#VALUE!</v>
      </c>
      <c r="DO188" t="e">
        <f>AND(DATA!J1371,"AAAAAH73vXY=")</f>
        <v>#VALUE!</v>
      </c>
      <c r="DP188" t="e">
        <f>AND(DATA!K1371,"AAAAAH73vXc=")</f>
        <v>#VALUE!</v>
      </c>
      <c r="DQ188" t="b">
        <f>AND(DATA!L1372,"AAAAAH73vXg=")</f>
        <v>1</v>
      </c>
      <c r="DR188" t="b">
        <f>AND(DATA!M1372,"AAAAAH73vXk=")</f>
        <v>1</v>
      </c>
      <c r="DS188" t="b">
        <f>AND(DATA!N1372,"AAAAAH73vXo=")</f>
        <v>1</v>
      </c>
      <c r="DT188" t="b">
        <f>AND(DATA!O1372,"AAAAAH73vXs=")</f>
        <v>1</v>
      </c>
      <c r="DU188" t="b">
        <f>AND(DATA!P1372,"AAAAAH73vXw=")</f>
        <v>1</v>
      </c>
      <c r="DV188" t="b">
        <f>AND(DATA!Q1372,"AAAAAH73vX0=")</f>
        <v>1</v>
      </c>
      <c r="DW188" t="b">
        <f>AND(DATA!R1372,"AAAAAH73vX4=")</f>
        <v>1</v>
      </c>
      <c r="DX188" t="b">
        <f>AND(DATA!S1372,"AAAAAH73vX8=")</f>
        <v>1</v>
      </c>
      <c r="DY188" t="b">
        <f>AND(DATA!T1372,"AAAAAH73vYA=")</f>
        <v>1</v>
      </c>
      <c r="DZ188">
        <f>IF(DATA!1372:1372,"AAAAAH73vYE=",0)</f>
        <v>0</v>
      </c>
      <c r="EA188" t="e">
        <f>AND(DATA!A1372,"AAAAAH73vYI=")</f>
        <v>#VALUE!</v>
      </c>
      <c r="EB188" t="e">
        <f>AND(DATA!B1372,"AAAAAH73vYM=")</f>
        <v>#VALUE!</v>
      </c>
      <c r="EC188" t="e">
        <f>AND(DATA!C1372,"AAAAAH73vYQ=")</f>
        <v>#VALUE!</v>
      </c>
      <c r="ED188" t="e">
        <f>AND(DATA!D1372,"AAAAAH73vYU=")</f>
        <v>#VALUE!</v>
      </c>
      <c r="EE188" t="e">
        <f>AND(DATA!E1372,"AAAAAH73vYY=")</f>
        <v>#VALUE!</v>
      </c>
      <c r="EF188" t="e">
        <f>AND(DATA!F1372,"AAAAAH73vYc=")</f>
        <v>#VALUE!</v>
      </c>
      <c r="EG188" t="e">
        <f>AND(DATA!G1372,"AAAAAH73vYg=")</f>
        <v>#VALUE!</v>
      </c>
      <c r="EH188" t="e">
        <f>AND(DATA!H1372,"AAAAAH73vYk=")</f>
        <v>#VALUE!</v>
      </c>
      <c r="EI188" t="e">
        <f>AND(DATA!I1372,"AAAAAH73vYo=")</f>
        <v>#VALUE!</v>
      </c>
      <c r="EJ188" t="e">
        <f>AND(DATA!J1372,"AAAAAH73vYs=")</f>
        <v>#VALUE!</v>
      </c>
      <c r="EK188" t="e">
        <f>AND(DATA!K1372,"AAAAAH73vYw=")</f>
        <v>#VALUE!</v>
      </c>
      <c r="EL188" t="b">
        <f>AND(DATA!L1373,"AAAAAH73vY0=")</f>
        <v>1</v>
      </c>
      <c r="EM188" t="b">
        <f>AND(DATA!M1373,"AAAAAH73vY4=")</f>
        <v>1</v>
      </c>
      <c r="EN188" t="b">
        <f>AND(DATA!N1373,"AAAAAH73vY8=")</f>
        <v>1</v>
      </c>
      <c r="EO188" t="b">
        <f>AND(DATA!O1373,"AAAAAH73vZA=")</f>
        <v>1</v>
      </c>
      <c r="EP188" t="b">
        <f>AND(DATA!P1373,"AAAAAH73vZE=")</f>
        <v>1</v>
      </c>
      <c r="EQ188" t="b">
        <f>AND(DATA!Q1373,"AAAAAH73vZI=")</f>
        <v>1</v>
      </c>
      <c r="ER188" t="b">
        <f>AND(DATA!R1373,"AAAAAH73vZM=")</f>
        <v>1</v>
      </c>
      <c r="ES188" t="b">
        <f>AND(DATA!S1373,"AAAAAH73vZQ=")</f>
        <v>1</v>
      </c>
      <c r="ET188" t="b">
        <f>AND(DATA!T1373,"AAAAAH73vZU=")</f>
        <v>1</v>
      </c>
      <c r="EU188">
        <f>IF(DATA!1373:1373,"AAAAAH73vZY=",0)</f>
        <v>0</v>
      </c>
      <c r="EV188" t="e">
        <f>AND(DATA!A1373,"AAAAAH73vZc=")</f>
        <v>#VALUE!</v>
      </c>
      <c r="EW188" t="e">
        <f>AND(DATA!B1373,"AAAAAH73vZg=")</f>
        <v>#VALUE!</v>
      </c>
      <c r="EX188" t="e">
        <f>AND(DATA!C1373,"AAAAAH73vZk=")</f>
        <v>#VALUE!</v>
      </c>
      <c r="EY188" t="e">
        <f>AND(DATA!D1373,"AAAAAH73vZo=")</f>
        <v>#VALUE!</v>
      </c>
      <c r="EZ188" t="e">
        <f>AND(DATA!E1373,"AAAAAH73vZs=")</f>
        <v>#VALUE!</v>
      </c>
      <c r="FA188" t="e">
        <f>AND(DATA!F1373,"AAAAAH73vZw=")</f>
        <v>#VALUE!</v>
      </c>
      <c r="FB188" t="e">
        <f>AND(DATA!G1373,"AAAAAH73vZ0=")</f>
        <v>#VALUE!</v>
      </c>
      <c r="FC188" t="e">
        <f>AND(DATA!H1373,"AAAAAH73vZ4=")</f>
        <v>#VALUE!</v>
      </c>
      <c r="FD188" t="e">
        <f>AND(DATA!I1373,"AAAAAH73vZ8=")</f>
        <v>#VALUE!</v>
      </c>
      <c r="FE188" t="e">
        <f>AND(DATA!J1373,"AAAAAH73vaA=")</f>
        <v>#VALUE!</v>
      </c>
      <c r="FF188" t="e">
        <f>AND(DATA!K1373,"AAAAAH73vaE=")</f>
        <v>#VALUE!</v>
      </c>
      <c r="FG188" t="b">
        <f>AND(DATA!L1374,"AAAAAH73vaI=")</f>
        <v>1</v>
      </c>
      <c r="FH188" t="b">
        <f>AND(DATA!M1374,"AAAAAH73vaM=")</f>
        <v>1</v>
      </c>
      <c r="FI188" t="b">
        <f>AND(DATA!N1374,"AAAAAH73vaQ=")</f>
        <v>1</v>
      </c>
      <c r="FJ188" t="b">
        <f>AND(DATA!O1374,"AAAAAH73vaU=")</f>
        <v>1</v>
      </c>
      <c r="FK188" t="b">
        <f>AND(DATA!P1374,"AAAAAH73vaY=")</f>
        <v>1</v>
      </c>
      <c r="FL188" t="b">
        <f>AND(DATA!Q1374,"AAAAAH73vac=")</f>
        <v>1</v>
      </c>
      <c r="FM188" t="b">
        <f>AND(DATA!R1374,"AAAAAH73vag=")</f>
        <v>1</v>
      </c>
      <c r="FN188" t="b">
        <f>AND(DATA!S1374,"AAAAAH73vak=")</f>
        <v>1</v>
      </c>
      <c r="FO188" t="b">
        <f>AND(DATA!T1374,"AAAAAH73vao=")</f>
        <v>1</v>
      </c>
      <c r="FP188">
        <f>IF(DATA!1374:1374,"AAAAAH73vas=",0)</f>
        <v>0</v>
      </c>
      <c r="FQ188" t="e">
        <f>AND(DATA!A1374,"AAAAAH73vaw=")</f>
        <v>#VALUE!</v>
      </c>
      <c r="FR188" t="e">
        <f>AND(DATA!B1374,"AAAAAH73va0=")</f>
        <v>#VALUE!</v>
      </c>
      <c r="FS188" t="e">
        <f>AND(DATA!C1374,"AAAAAH73va4=")</f>
        <v>#VALUE!</v>
      </c>
      <c r="FT188" t="e">
        <f>AND(DATA!D1374,"AAAAAH73va8=")</f>
        <v>#VALUE!</v>
      </c>
      <c r="FU188" t="e">
        <f>AND(DATA!E1374,"AAAAAH73vbA=")</f>
        <v>#VALUE!</v>
      </c>
      <c r="FV188" t="e">
        <f>AND(DATA!F1374,"AAAAAH73vbE=")</f>
        <v>#VALUE!</v>
      </c>
      <c r="FW188" t="e">
        <f>AND(DATA!G1374,"AAAAAH73vbI=")</f>
        <v>#VALUE!</v>
      </c>
      <c r="FX188" t="e">
        <f>AND(DATA!H1374,"AAAAAH73vbM=")</f>
        <v>#VALUE!</v>
      </c>
      <c r="FY188" t="e">
        <f>AND(DATA!I1374,"AAAAAH73vbQ=")</f>
        <v>#VALUE!</v>
      </c>
      <c r="FZ188" t="e">
        <f>AND(DATA!J1374,"AAAAAH73vbU=")</f>
        <v>#VALUE!</v>
      </c>
      <c r="GA188" t="e">
        <f>AND(DATA!K1374,"AAAAAH73vbY=")</f>
        <v>#VALUE!</v>
      </c>
      <c r="GB188" t="b">
        <f>AND(DATA!L1375,"AAAAAH73vbc=")</f>
        <v>1</v>
      </c>
      <c r="GC188" t="b">
        <f>AND(DATA!M1375,"AAAAAH73vbg=")</f>
        <v>1</v>
      </c>
      <c r="GD188" t="b">
        <f>AND(DATA!N1375,"AAAAAH73vbk=")</f>
        <v>1</v>
      </c>
      <c r="GE188" t="b">
        <f>AND(DATA!O1375,"AAAAAH73vbo=")</f>
        <v>1</v>
      </c>
      <c r="GF188" t="b">
        <f>AND(DATA!P1375,"AAAAAH73vbs=")</f>
        <v>1</v>
      </c>
      <c r="GG188" t="b">
        <f>AND(DATA!Q1375,"AAAAAH73vbw=")</f>
        <v>1</v>
      </c>
      <c r="GH188" t="b">
        <f>AND(DATA!R1375,"AAAAAH73vb0=")</f>
        <v>1</v>
      </c>
      <c r="GI188" t="b">
        <f>AND(DATA!S1375,"AAAAAH73vb4=")</f>
        <v>1</v>
      </c>
      <c r="GJ188" t="b">
        <f>AND(DATA!T1375,"AAAAAH73vb8=")</f>
        <v>1</v>
      </c>
      <c r="GK188">
        <f>IF(DATA!1375:1375,"AAAAAH73vcA=",0)</f>
        <v>0</v>
      </c>
      <c r="GL188" t="e">
        <f>AND(DATA!A1375,"AAAAAH73vcE=")</f>
        <v>#VALUE!</v>
      </c>
      <c r="GM188" t="e">
        <f>AND(DATA!B1375,"AAAAAH73vcI=")</f>
        <v>#VALUE!</v>
      </c>
      <c r="GN188" t="e">
        <f>AND(DATA!C1375,"AAAAAH73vcM=")</f>
        <v>#VALUE!</v>
      </c>
      <c r="GO188" t="e">
        <f>AND(DATA!D1375,"AAAAAH73vcQ=")</f>
        <v>#VALUE!</v>
      </c>
      <c r="GP188" t="e">
        <f>AND(DATA!E1375,"AAAAAH73vcU=")</f>
        <v>#VALUE!</v>
      </c>
      <c r="GQ188" t="e">
        <f>AND(DATA!F1375,"AAAAAH73vcY=")</f>
        <v>#VALUE!</v>
      </c>
      <c r="GR188" t="e">
        <f>AND(DATA!G1375,"AAAAAH73vcc=")</f>
        <v>#VALUE!</v>
      </c>
      <c r="GS188" t="e">
        <f>AND(DATA!H1375,"AAAAAH73vcg=")</f>
        <v>#VALUE!</v>
      </c>
      <c r="GT188" t="e">
        <f>AND(DATA!I1375,"AAAAAH73vck=")</f>
        <v>#VALUE!</v>
      </c>
      <c r="GU188" t="e">
        <f>AND(DATA!J1375,"AAAAAH73vco=")</f>
        <v>#VALUE!</v>
      </c>
      <c r="GV188" t="e">
        <f>AND(DATA!K1375,"AAAAAH73vcs=")</f>
        <v>#VALUE!</v>
      </c>
      <c r="GW188" t="b">
        <f>AND(DATA!L1376,"AAAAAH73vcw=")</f>
        <v>1</v>
      </c>
      <c r="GX188" t="b">
        <f>AND(DATA!M1376,"AAAAAH73vc0=")</f>
        <v>1</v>
      </c>
      <c r="GY188" t="b">
        <f>AND(DATA!N1376,"AAAAAH73vc4=")</f>
        <v>1</v>
      </c>
      <c r="GZ188" t="b">
        <f>AND(DATA!O1376,"AAAAAH73vc8=")</f>
        <v>1</v>
      </c>
      <c r="HA188" t="b">
        <f>AND(DATA!P1376,"AAAAAH73vdA=")</f>
        <v>1</v>
      </c>
      <c r="HB188" t="b">
        <f>AND(DATA!Q1376,"AAAAAH73vdE=")</f>
        <v>1</v>
      </c>
      <c r="HC188" t="b">
        <f>AND(DATA!R1376,"AAAAAH73vdI=")</f>
        <v>1</v>
      </c>
      <c r="HD188" t="b">
        <f>AND(DATA!S1376,"AAAAAH73vdM=")</f>
        <v>1</v>
      </c>
      <c r="HE188" t="b">
        <f>AND(DATA!T1376,"AAAAAH73vdQ=")</f>
        <v>1</v>
      </c>
      <c r="HF188">
        <f>IF(DATA!1376:1376,"AAAAAH73vdU=",0)</f>
        <v>0</v>
      </c>
      <c r="HG188" t="e">
        <f>AND(DATA!A1376,"AAAAAH73vdY=")</f>
        <v>#VALUE!</v>
      </c>
      <c r="HH188" t="e">
        <f>AND(DATA!B1376,"AAAAAH73vdc=")</f>
        <v>#VALUE!</v>
      </c>
      <c r="HI188" t="e">
        <f>AND(DATA!C1376,"AAAAAH73vdg=")</f>
        <v>#VALUE!</v>
      </c>
      <c r="HJ188" t="e">
        <f>AND(DATA!D1376,"AAAAAH73vdk=")</f>
        <v>#VALUE!</v>
      </c>
      <c r="HK188" t="e">
        <f>AND(DATA!E1376,"AAAAAH73vdo=")</f>
        <v>#VALUE!</v>
      </c>
      <c r="HL188" t="e">
        <f>AND(DATA!F1376,"AAAAAH73vds=")</f>
        <v>#VALUE!</v>
      </c>
      <c r="HM188" t="e">
        <f>AND(DATA!G1376,"AAAAAH73vdw=")</f>
        <v>#VALUE!</v>
      </c>
      <c r="HN188" t="e">
        <f>AND(DATA!H1376,"AAAAAH73vd0=")</f>
        <v>#VALUE!</v>
      </c>
      <c r="HO188" t="e">
        <f>AND(DATA!I1376,"AAAAAH73vd4=")</f>
        <v>#VALUE!</v>
      </c>
      <c r="HP188" t="e">
        <f>AND(DATA!J1376,"AAAAAH73vd8=")</f>
        <v>#VALUE!</v>
      </c>
      <c r="HQ188" t="e">
        <f>AND(DATA!K1376,"AAAAAH73veA=")</f>
        <v>#VALUE!</v>
      </c>
      <c r="HR188" t="b">
        <f>AND(DATA!L1377,"AAAAAH73veE=")</f>
        <v>1</v>
      </c>
      <c r="HS188" t="b">
        <f>AND(DATA!M1377,"AAAAAH73veI=")</f>
        <v>1</v>
      </c>
      <c r="HT188" t="b">
        <f>AND(DATA!N1377,"AAAAAH73veM=")</f>
        <v>1</v>
      </c>
      <c r="HU188" t="b">
        <f>AND(DATA!O1377,"AAAAAH73veQ=")</f>
        <v>1</v>
      </c>
      <c r="HV188" t="b">
        <f>AND(DATA!P1377,"AAAAAH73veU=")</f>
        <v>1</v>
      </c>
      <c r="HW188" t="b">
        <f>AND(DATA!Q1377,"AAAAAH73veY=")</f>
        <v>1</v>
      </c>
      <c r="HX188" t="b">
        <f>AND(DATA!R1377,"AAAAAH73vec=")</f>
        <v>1</v>
      </c>
      <c r="HY188" t="b">
        <f>AND(DATA!S1377,"AAAAAH73veg=")</f>
        <v>1</v>
      </c>
      <c r="HZ188" t="b">
        <f>AND(DATA!T1377,"AAAAAH73vek=")</f>
        <v>1</v>
      </c>
      <c r="IA188">
        <f>IF(DATA!1377:1377,"AAAAAH73veo=",0)</f>
        <v>0</v>
      </c>
      <c r="IB188" t="e">
        <f>AND(DATA!A1377,"AAAAAH73ves=")</f>
        <v>#VALUE!</v>
      </c>
      <c r="IC188" t="e">
        <f>AND(DATA!B1377,"AAAAAH73vew=")</f>
        <v>#VALUE!</v>
      </c>
      <c r="ID188" t="e">
        <f>AND(DATA!C1377,"AAAAAH73ve0=")</f>
        <v>#VALUE!</v>
      </c>
      <c r="IE188" t="e">
        <f>AND(DATA!D1377,"AAAAAH73ve4=")</f>
        <v>#VALUE!</v>
      </c>
      <c r="IF188" t="e">
        <f>AND(DATA!E1377,"AAAAAH73ve8=")</f>
        <v>#VALUE!</v>
      </c>
      <c r="IG188" t="e">
        <f>AND(DATA!F1377,"AAAAAH73vfA=")</f>
        <v>#VALUE!</v>
      </c>
      <c r="IH188" t="e">
        <f>AND(DATA!G1377,"AAAAAH73vfE=")</f>
        <v>#VALUE!</v>
      </c>
      <c r="II188" t="e">
        <f>AND(DATA!H1377,"AAAAAH73vfI=")</f>
        <v>#VALUE!</v>
      </c>
      <c r="IJ188" t="e">
        <f>AND(DATA!I1377,"AAAAAH73vfM=")</f>
        <v>#VALUE!</v>
      </c>
      <c r="IK188" t="e">
        <f>AND(DATA!J1377,"AAAAAH73vfQ=")</f>
        <v>#VALUE!</v>
      </c>
      <c r="IL188" t="e">
        <f>AND(DATA!K1377,"AAAAAH73vfU=")</f>
        <v>#VALUE!</v>
      </c>
      <c r="IM188" t="b">
        <f>AND(DATA!L1378,"AAAAAH73vfY=")</f>
        <v>1</v>
      </c>
      <c r="IN188" t="b">
        <f>AND(DATA!M1378,"AAAAAH73vfc=")</f>
        <v>1</v>
      </c>
      <c r="IO188" t="b">
        <f>AND(DATA!N1378,"AAAAAH73vfg=")</f>
        <v>1</v>
      </c>
      <c r="IP188" t="b">
        <f>AND(DATA!O1378,"AAAAAH73vfk=")</f>
        <v>1</v>
      </c>
      <c r="IQ188" t="b">
        <f>AND(DATA!P1378,"AAAAAH73vfo=")</f>
        <v>1</v>
      </c>
      <c r="IR188" t="b">
        <f>AND(DATA!Q1378,"AAAAAH73vfs=")</f>
        <v>1</v>
      </c>
      <c r="IS188" t="b">
        <f>AND(DATA!R1378,"AAAAAH73vfw=")</f>
        <v>1</v>
      </c>
      <c r="IT188" t="b">
        <f>AND(DATA!S1378,"AAAAAH73vf0=")</f>
        <v>1</v>
      </c>
      <c r="IU188" t="b">
        <f>AND(DATA!T1378,"AAAAAH73vf4=")</f>
        <v>1</v>
      </c>
      <c r="IV188">
        <f>IF(DATA!1378:1378,"AAAAAH73vf8=",0)</f>
        <v>0</v>
      </c>
    </row>
    <row r="189" spans="1:256" x14ac:dyDescent="0.25">
      <c r="A189" t="e">
        <f>AND(DATA!A1378,"AAAAAEfPfwA=")</f>
        <v>#VALUE!</v>
      </c>
      <c r="B189" t="e">
        <f>AND(DATA!B1378,"AAAAAEfPfwE=")</f>
        <v>#VALUE!</v>
      </c>
      <c r="C189" t="e">
        <f>AND(DATA!C1378,"AAAAAEfPfwI=")</f>
        <v>#VALUE!</v>
      </c>
      <c r="D189" t="e">
        <f>AND(DATA!D1378,"AAAAAEfPfwM=")</f>
        <v>#VALUE!</v>
      </c>
      <c r="E189" t="e">
        <f>AND(DATA!E1378,"AAAAAEfPfwQ=")</f>
        <v>#VALUE!</v>
      </c>
      <c r="F189" t="e">
        <f>AND(DATA!F1378,"AAAAAEfPfwU=")</f>
        <v>#VALUE!</v>
      </c>
      <c r="G189" t="e">
        <f>AND(DATA!G1378,"AAAAAEfPfwY=")</f>
        <v>#VALUE!</v>
      </c>
      <c r="H189" t="e">
        <f>AND(DATA!H1378,"AAAAAEfPfwc=")</f>
        <v>#VALUE!</v>
      </c>
      <c r="I189" t="e">
        <f>AND(DATA!I1378,"AAAAAEfPfwg=")</f>
        <v>#VALUE!</v>
      </c>
      <c r="J189" t="e">
        <f>AND(DATA!J1378,"AAAAAEfPfwk=")</f>
        <v>#VALUE!</v>
      </c>
      <c r="K189" t="e">
        <f>AND(DATA!K1378,"AAAAAEfPfwo=")</f>
        <v>#VALUE!</v>
      </c>
      <c r="L189" t="b">
        <f>AND(DATA!L1379,"AAAAAEfPfws=")</f>
        <v>1</v>
      </c>
      <c r="M189" t="b">
        <f>AND(DATA!M1379,"AAAAAEfPfww=")</f>
        <v>1</v>
      </c>
      <c r="N189" t="b">
        <f>AND(DATA!N1379,"AAAAAEfPfw0=")</f>
        <v>1</v>
      </c>
      <c r="O189" t="b">
        <f>AND(DATA!O1379,"AAAAAEfPfw4=")</f>
        <v>1</v>
      </c>
      <c r="P189" t="b">
        <f>AND(DATA!P1379,"AAAAAEfPfw8=")</f>
        <v>1</v>
      </c>
      <c r="Q189" t="b">
        <f>AND(DATA!Q1379,"AAAAAEfPfxA=")</f>
        <v>1</v>
      </c>
      <c r="R189" t="b">
        <f>AND(DATA!R1379,"AAAAAEfPfxE=")</f>
        <v>1</v>
      </c>
      <c r="S189" t="b">
        <f>AND(DATA!S1379,"AAAAAEfPfxI=")</f>
        <v>1</v>
      </c>
      <c r="T189" t="b">
        <f>AND(DATA!T1379,"AAAAAEfPfxM=")</f>
        <v>1</v>
      </c>
      <c r="U189">
        <f>IF(DATA!1379:1379,"AAAAAEfPfxQ=",0)</f>
        <v>0</v>
      </c>
      <c r="V189" t="e">
        <f>AND(DATA!A1379,"AAAAAEfPfxU=")</f>
        <v>#VALUE!</v>
      </c>
      <c r="W189" t="e">
        <f>AND(DATA!B1379,"AAAAAEfPfxY=")</f>
        <v>#VALUE!</v>
      </c>
      <c r="X189" t="e">
        <f>AND(DATA!C1379,"AAAAAEfPfxc=")</f>
        <v>#VALUE!</v>
      </c>
      <c r="Y189" t="e">
        <f>AND(DATA!D1379,"AAAAAEfPfxg=")</f>
        <v>#VALUE!</v>
      </c>
      <c r="Z189" t="e">
        <f>AND(DATA!E1379,"AAAAAEfPfxk=")</f>
        <v>#VALUE!</v>
      </c>
      <c r="AA189" t="e">
        <f>AND(DATA!F1379,"AAAAAEfPfxo=")</f>
        <v>#VALUE!</v>
      </c>
      <c r="AB189" t="e">
        <f>AND(DATA!G1379,"AAAAAEfPfxs=")</f>
        <v>#VALUE!</v>
      </c>
      <c r="AC189" t="e">
        <f>AND(DATA!H1379,"AAAAAEfPfxw=")</f>
        <v>#VALUE!</v>
      </c>
      <c r="AD189" t="e">
        <f>AND(DATA!I1379,"AAAAAEfPfx0=")</f>
        <v>#VALUE!</v>
      </c>
      <c r="AE189" t="e">
        <f>AND(DATA!J1379,"AAAAAEfPfx4=")</f>
        <v>#VALUE!</v>
      </c>
      <c r="AF189" t="e">
        <f>AND(DATA!K1379,"AAAAAEfPfx8=")</f>
        <v>#VALUE!</v>
      </c>
      <c r="AG189" t="b">
        <f>AND(DATA!L1380,"AAAAAEfPfyA=")</f>
        <v>1</v>
      </c>
      <c r="AH189" t="b">
        <f>AND(DATA!M1380,"AAAAAEfPfyE=")</f>
        <v>1</v>
      </c>
      <c r="AI189" t="b">
        <f>AND(DATA!N1380,"AAAAAEfPfyI=")</f>
        <v>1</v>
      </c>
      <c r="AJ189" t="b">
        <f>AND(DATA!O1380,"AAAAAEfPfyM=")</f>
        <v>1</v>
      </c>
      <c r="AK189" t="b">
        <f>AND(DATA!P1380,"AAAAAEfPfyQ=")</f>
        <v>1</v>
      </c>
      <c r="AL189" t="b">
        <f>AND(DATA!Q1380,"AAAAAEfPfyU=")</f>
        <v>1</v>
      </c>
      <c r="AM189" t="b">
        <f>AND(DATA!R1380,"AAAAAEfPfyY=")</f>
        <v>1</v>
      </c>
      <c r="AN189" t="b">
        <f>AND(DATA!S1380,"AAAAAEfPfyc=")</f>
        <v>1</v>
      </c>
      <c r="AO189" t="b">
        <f>AND(DATA!T1380,"AAAAAEfPfyg=")</f>
        <v>1</v>
      </c>
      <c r="AP189">
        <f>IF(DATA!1380:1380,"AAAAAEfPfyk=",0)</f>
        <v>0</v>
      </c>
      <c r="AQ189" t="e">
        <f>AND(DATA!A1380,"AAAAAEfPfyo=")</f>
        <v>#VALUE!</v>
      </c>
      <c r="AR189" t="e">
        <f>AND(DATA!B1380,"AAAAAEfPfys=")</f>
        <v>#VALUE!</v>
      </c>
      <c r="AS189" t="e">
        <f>AND(DATA!C1380,"AAAAAEfPfyw=")</f>
        <v>#VALUE!</v>
      </c>
      <c r="AT189" t="e">
        <f>AND(DATA!D1380,"AAAAAEfPfy0=")</f>
        <v>#VALUE!</v>
      </c>
      <c r="AU189" t="e">
        <f>AND(DATA!E1380,"AAAAAEfPfy4=")</f>
        <v>#VALUE!</v>
      </c>
      <c r="AV189" t="e">
        <f>AND(DATA!F1380,"AAAAAEfPfy8=")</f>
        <v>#VALUE!</v>
      </c>
      <c r="AW189" t="e">
        <f>AND(DATA!G1380,"AAAAAEfPfzA=")</f>
        <v>#VALUE!</v>
      </c>
      <c r="AX189" t="e">
        <f>AND(DATA!H1380,"AAAAAEfPfzE=")</f>
        <v>#VALUE!</v>
      </c>
      <c r="AY189" t="e">
        <f>AND(DATA!I1380,"AAAAAEfPfzI=")</f>
        <v>#VALUE!</v>
      </c>
      <c r="AZ189" t="e">
        <f>AND(DATA!J1380,"AAAAAEfPfzM=")</f>
        <v>#VALUE!</v>
      </c>
      <c r="BA189" t="e">
        <f>AND(DATA!K1380,"AAAAAEfPfzQ=")</f>
        <v>#VALUE!</v>
      </c>
      <c r="BB189" t="b">
        <f>AND(DATA!L1381,"AAAAAEfPfzU=")</f>
        <v>1</v>
      </c>
      <c r="BC189" t="b">
        <f>AND(DATA!M1381,"AAAAAEfPfzY=")</f>
        <v>1</v>
      </c>
      <c r="BD189" t="b">
        <f>AND(DATA!N1381,"AAAAAEfPfzc=")</f>
        <v>1</v>
      </c>
      <c r="BE189" t="b">
        <f>AND(DATA!O1381,"AAAAAEfPfzg=")</f>
        <v>1</v>
      </c>
      <c r="BF189" t="b">
        <f>AND(DATA!P1381,"AAAAAEfPfzk=")</f>
        <v>1</v>
      </c>
      <c r="BG189" t="b">
        <f>AND(DATA!Q1381,"AAAAAEfPfzo=")</f>
        <v>1</v>
      </c>
      <c r="BH189" t="b">
        <f>AND(DATA!R1381,"AAAAAEfPfzs=")</f>
        <v>1</v>
      </c>
      <c r="BI189" t="b">
        <f>AND(DATA!S1381,"AAAAAEfPfzw=")</f>
        <v>1</v>
      </c>
      <c r="BJ189" t="b">
        <f>AND(DATA!T1381,"AAAAAEfPfz0=")</f>
        <v>1</v>
      </c>
      <c r="BK189">
        <f>IF(DATA!1381:1381,"AAAAAEfPfz4=",0)</f>
        <v>0</v>
      </c>
      <c r="BL189" t="e">
        <f>AND(DATA!A1381,"AAAAAEfPfz8=")</f>
        <v>#VALUE!</v>
      </c>
      <c r="BM189" t="e">
        <f>AND(DATA!B1381,"AAAAAEfPf0A=")</f>
        <v>#VALUE!</v>
      </c>
      <c r="BN189" t="e">
        <f>AND(DATA!C1381,"AAAAAEfPf0E=")</f>
        <v>#VALUE!</v>
      </c>
      <c r="BO189" t="e">
        <f>AND(DATA!D1381,"AAAAAEfPf0I=")</f>
        <v>#VALUE!</v>
      </c>
      <c r="BP189" t="e">
        <f>AND(DATA!E1381,"AAAAAEfPf0M=")</f>
        <v>#VALUE!</v>
      </c>
      <c r="BQ189" t="e">
        <f>AND(DATA!F1381,"AAAAAEfPf0Q=")</f>
        <v>#VALUE!</v>
      </c>
      <c r="BR189" t="e">
        <f>AND(DATA!G1381,"AAAAAEfPf0U=")</f>
        <v>#VALUE!</v>
      </c>
      <c r="BS189" t="e">
        <f>AND(DATA!H1381,"AAAAAEfPf0Y=")</f>
        <v>#VALUE!</v>
      </c>
      <c r="BT189" t="e">
        <f>AND(DATA!I1381,"AAAAAEfPf0c=")</f>
        <v>#VALUE!</v>
      </c>
      <c r="BU189" t="e">
        <f>AND(DATA!J1381,"AAAAAEfPf0g=")</f>
        <v>#VALUE!</v>
      </c>
      <c r="BV189" t="e">
        <f>AND(DATA!K1381,"AAAAAEfPf0k=")</f>
        <v>#VALUE!</v>
      </c>
      <c r="BW189" t="b">
        <f>AND(DATA!L1382,"AAAAAEfPf0o=")</f>
        <v>1</v>
      </c>
      <c r="BX189" t="b">
        <f>AND(DATA!M1382,"AAAAAEfPf0s=")</f>
        <v>1</v>
      </c>
      <c r="BY189" t="b">
        <f>AND(DATA!N1382,"AAAAAEfPf0w=")</f>
        <v>1</v>
      </c>
      <c r="BZ189" t="b">
        <f>AND(DATA!O1382,"AAAAAEfPf00=")</f>
        <v>1</v>
      </c>
      <c r="CA189" t="b">
        <f>AND(DATA!P1382,"AAAAAEfPf04=")</f>
        <v>1</v>
      </c>
      <c r="CB189" t="b">
        <f>AND(DATA!Q1382,"AAAAAEfPf08=")</f>
        <v>1</v>
      </c>
      <c r="CC189" t="b">
        <f>AND(DATA!R1382,"AAAAAEfPf1A=")</f>
        <v>1</v>
      </c>
      <c r="CD189" t="b">
        <f>AND(DATA!S1382,"AAAAAEfPf1E=")</f>
        <v>1</v>
      </c>
      <c r="CE189" t="b">
        <f>AND(DATA!T1382,"AAAAAEfPf1I=")</f>
        <v>1</v>
      </c>
      <c r="CF189">
        <f>IF(DATA!1382:1382,"AAAAAEfPf1M=",0)</f>
        <v>0</v>
      </c>
      <c r="CG189" t="e">
        <f>AND(DATA!A1382,"AAAAAEfPf1Q=")</f>
        <v>#VALUE!</v>
      </c>
      <c r="CH189" t="e">
        <f>AND(DATA!B1382,"AAAAAEfPf1U=")</f>
        <v>#VALUE!</v>
      </c>
      <c r="CI189" t="e">
        <f>AND(DATA!C1382,"AAAAAEfPf1Y=")</f>
        <v>#VALUE!</v>
      </c>
      <c r="CJ189" t="e">
        <f>AND(DATA!D1382,"AAAAAEfPf1c=")</f>
        <v>#VALUE!</v>
      </c>
      <c r="CK189" t="e">
        <f>AND(DATA!E1382,"AAAAAEfPf1g=")</f>
        <v>#VALUE!</v>
      </c>
      <c r="CL189" t="e">
        <f>AND(DATA!F1382,"AAAAAEfPf1k=")</f>
        <v>#VALUE!</v>
      </c>
      <c r="CM189" t="e">
        <f>AND(DATA!G1382,"AAAAAEfPf1o=")</f>
        <v>#VALUE!</v>
      </c>
      <c r="CN189" t="e">
        <f>AND(DATA!H1382,"AAAAAEfPf1s=")</f>
        <v>#VALUE!</v>
      </c>
      <c r="CO189" t="e">
        <f>AND(DATA!I1382,"AAAAAEfPf1w=")</f>
        <v>#VALUE!</v>
      </c>
      <c r="CP189" t="e">
        <f>AND(DATA!J1382,"AAAAAEfPf10=")</f>
        <v>#VALUE!</v>
      </c>
      <c r="CQ189" t="e">
        <f>AND(DATA!K1382,"AAAAAEfPf14=")</f>
        <v>#VALUE!</v>
      </c>
      <c r="CR189" t="b">
        <f>AND(DATA!L1383,"AAAAAEfPf18=")</f>
        <v>1</v>
      </c>
      <c r="CS189" t="b">
        <f>AND(DATA!M1383,"AAAAAEfPf2A=")</f>
        <v>1</v>
      </c>
      <c r="CT189" t="b">
        <f>AND(DATA!N1383,"AAAAAEfPf2E=")</f>
        <v>1</v>
      </c>
      <c r="CU189" t="b">
        <f>AND(DATA!O1383,"AAAAAEfPf2I=")</f>
        <v>1</v>
      </c>
      <c r="CV189" t="b">
        <f>AND(DATA!P1383,"AAAAAEfPf2M=")</f>
        <v>1</v>
      </c>
      <c r="CW189" t="b">
        <f>AND(DATA!Q1383,"AAAAAEfPf2Q=")</f>
        <v>1</v>
      </c>
      <c r="CX189" t="b">
        <f>AND(DATA!R1383,"AAAAAEfPf2U=")</f>
        <v>1</v>
      </c>
      <c r="CY189" t="b">
        <f>AND(DATA!S1383,"AAAAAEfPf2Y=")</f>
        <v>1</v>
      </c>
      <c r="CZ189" t="b">
        <f>AND(DATA!T1383,"AAAAAEfPf2c=")</f>
        <v>1</v>
      </c>
      <c r="DA189">
        <f>IF(DATA!1383:1383,"AAAAAEfPf2g=",0)</f>
        <v>0</v>
      </c>
      <c r="DB189" t="e">
        <f>AND(DATA!A1383,"AAAAAEfPf2k=")</f>
        <v>#VALUE!</v>
      </c>
      <c r="DC189" t="e">
        <f>AND(DATA!B1383,"AAAAAEfPf2o=")</f>
        <v>#VALUE!</v>
      </c>
      <c r="DD189" t="e">
        <f>AND(DATA!C1383,"AAAAAEfPf2s=")</f>
        <v>#VALUE!</v>
      </c>
      <c r="DE189" t="e">
        <f>AND(DATA!D1383,"AAAAAEfPf2w=")</f>
        <v>#VALUE!</v>
      </c>
      <c r="DF189" t="e">
        <f>AND(DATA!E1383,"AAAAAEfPf20=")</f>
        <v>#VALUE!</v>
      </c>
      <c r="DG189" t="e">
        <f>AND(DATA!F1383,"AAAAAEfPf24=")</f>
        <v>#VALUE!</v>
      </c>
      <c r="DH189" t="e">
        <f>AND(DATA!G1383,"AAAAAEfPf28=")</f>
        <v>#VALUE!</v>
      </c>
      <c r="DI189" t="e">
        <f>AND(DATA!H1383,"AAAAAEfPf3A=")</f>
        <v>#VALUE!</v>
      </c>
      <c r="DJ189" t="e">
        <f>AND(DATA!I1383,"AAAAAEfPf3E=")</f>
        <v>#VALUE!</v>
      </c>
      <c r="DK189" t="e">
        <f>AND(DATA!J1383,"AAAAAEfPf3I=")</f>
        <v>#VALUE!</v>
      </c>
      <c r="DL189" t="e">
        <f>AND(DATA!K1383,"AAAAAEfPf3M=")</f>
        <v>#VALUE!</v>
      </c>
      <c r="DM189" t="b">
        <f>AND(DATA!L1384,"AAAAAEfPf3Q=")</f>
        <v>1</v>
      </c>
      <c r="DN189" t="b">
        <f>AND(DATA!M1384,"AAAAAEfPf3U=")</f>
        <v>1</v>
      </c>
      <c r="DO189" t="b">
        <f>AND(DATA!N1384,"AAAAAEfPf3Y=")</f>
        <v>1</v>
      </c>
      <c r="DP189" t="b">
        <f>AND(DATA!O1384,"AAAAAEfPf3c=")</f>
        <v>1</v>
      </c>
      <c r="DQ189" t="b">
        <f>AND(DATA!P1384,"AAAAAEfPf3g=")</f>
        <v>1</v>
      </c>
      <c r="DR189" t="b">
        <f>AND(DATA!Q1384,"AAAAAEfPf3k=")</f>
        <v>1</v>
      </c>
      <c r="DS189" t="b">
        <f>AND(DATA!R1384,"AAAAAEfPf3o=")</f>
        <v>1</v>
      </c>
      <c r="DT189" t="b">
        <f>AND(DATA!S1384,"AAAAAEfPf3s=")</f>
        <v>1</v>
      </c>
      <c r="DU189" t="b">
        <f>AND(DATA!T1384,"AAAAAEfPf3w=")</f>
        <v>1</v>
      </c>
      <c r="DV189">
        <f>IF(DATA!1384:1384,"AAAAAEfPf30=",0)</f>
        <v>0</v>
      </c>
      <c r="DW189" t="e">
        <f>AND(DATA!A1384,"AAAAAEfPf34=")</f>
        <v>#VALUE!</v>
      </c>
      <c r="DX189" t="e">
        <f>AND(DATA!B1384,"AAAAAEfPf38=")</f>
        <v>#VALUE!</v>
      </c>
      <c r="DY189" t="e">
        <f>AND(DATA!C1384,"AAAAAEfPf4A=")</f>
        <v>#VALUE!</v>
      </c>
      <c r="DZ189" t="e">
        <f>AND(DATA!D1384,"AAAAAEfPf4E=")</f>
        <v>#VALUE!</v>
      </c>
      <c r="EA189" t="e">
        <f>AND(DATA!E1384,"AAAAAEfPf4I=")</f>
        <v>#VALUE!</v>
      </c>
      <c r="EB189" t="e">
        <f>AND(DATA!F1384,"AAAAAEfPf4M=")</f>
        <v>#VALUE!</v>
      </c>
      <c r="EC189" t="e">
        <f>AND(DATA!G1384,"AAAAAEfPf4Q=")</f>
        <v>#VALUE!</v>
      </c>
      <c r="ED189" t="e">
        <f>AND(DATA!H1384,"AAAAAEfPf4U=")</f>
        <v>#VALUE!</v>
      </c>
      <c r="EE189" t="e">
        <f>AND(DATA!I1384,"AAAAAEfPf4Y=")</f>
        <v>#VALUE!</v>
      </c>
      <c r="EF189" t="e">
        <f>AND(DATA!J1384,"AAAAAEfPf4c=")</f>
        <v>#VALUE!</v>
      </c>
      <c r="EG189" t="e">
        <f>AND(DATA!K1384,"AAAAAEfPf4g=")</f>
        <v>#VALUE!</v>
      </c>
      <c r="EH189" t="b">
        <f>AND(DATA!L1385,"AAAAAEfPf4k=")</f>
        <v>1</v>
      </c>
      <c r="EI189" t="b">
        <f>AND(DATA!M1385,"AAAAAEfPf4o=")</f>
        <v>1</v>
      </c>
      <c r="EJ189" t="b">
        <f>AND(DATA!N1385,"AAAAAEfPf4s=")</f>
        <v>1</v>
      </c>
      <c r="EK189" t="b">
        <f>AND(DATA!O1385,"AAAAAEfPf4w=")</f>
        <v>1</v>
      </c>
      <c r="EL189" t="b">
        <f>AND(DATA!P1385,"AAAAAEfPf40=")</f>
        <v>1</v>
      </c>
      <c r="EM189" t="b">
        <f>AND(DATA!Q1385,"AAAAAEfPf44=")</f>
        <v>1</v>
      </c>
      <c r="EN189" t="b">
        <f>AND(DATA!R1385,"AAAAAEfPf48=")</f>
        <v>1</v>
      </c>
      <c r="EO189" t="b">
        <f>AND(DATA!S1385,"AAAAAEfPf5A=")</f>
        <v>1</v>
      </c>
      <c r="EP189" t="b">
        <f>AND(DATA!T1385,"AAAAAEfPf5E=")</f>
        <v>1</v>
      </c>
      <c r="EQ189">
        <f>IF(DATA!1385:1385,"AAAAAEfPf5I=",0)</f>
        <v>0</v>
      </c>
      <c r="ER189" t="e">
        <f>AND(DATA!A1385,"AAAAAEfPf5M=")</f>
        <v>#VALUE!</v>
      </c>
      <c r="ES189" t="e">
        <f>AND(DATA!B1385,"AAAAAEfPf5Q=")</f>
        <v>#VALUE!</v>
      </c>
      <c r="ET189" t="e">
        <f>AND(DATA!C1385,"AAAAAEfPf5U=")</f>
        <v>#VALUE!</v>
      </c>
      <c r="EU189" t="e">
        <f>AND(DATA!D1385,"AAAAAEfPf5Y=")</f>
        <v>#VALUE!</v>
      </c>
      <c r="EV189" t="e">
        <f>AND(DATA!E1385,"AAAAAEfPf5c=")</f>
        <v>#VALUE!</v>
      </c>
      <c r="EW189" t="e">
        <f>AND(DATA!F1385,"AAAAAEfPf5g=")</f>
        <v>#VALUE!</v>
      </c>
      <c r="EX189" t="e">
        <f>AND(DATA!G1385,"AAAAAEfPf5k=")</f>
        <v>#VALUE!</v>
      </c>
      <c r="EY189" t="e">
        <f>AND(DATA!H1385,"AAAAAEfPf5o=")</f>
        <v>#VALUE!</v>
      </c>
      <c r="EZ189" t="e">
        <f>AND(DATA!I1385,"AAAAAEfPf5s=")</f>
        <v>#VALUE!</v>
      </c>
      <c r="FA189" t="e">
        <f>AND(DATA!J1385,"AAAAAEfPf5w=")</f>
        <v>#VALUE!</v>
      </c>
      <c r="FB189" t="e">
        <f>AND(DATA!K1385,"AAAAAEfPf50=")</f>
        <v>#VALUE!</v>
      </c>
      <c r="FC189" t="b">
        <f>AND(DATA!L1386,"AAAAAEfPf54=")</f>
        <v>1</v>
      </c>
      <c r="FD189" t="b">
        <f>AND(DATA!M1386,"AAAAAEfPf58=")</f>
        <v>1</v>
      </c>
      <c r="FE189" t="b">
        <f>AND(DATA!N1386,"AAAAAEfPf6A=")</f>
        <v>1</v>
      </c>
      <c r="FF189" t="b">
        <f>AND(DATA!O1386,"AAAAAEfPf6E=")</f>
        <v>1</v>
      </c>
      <c r="FG189" t="b">
        <f>AND(DATA!P1386,"AAAAAEfPf6I=")</f>
        <v>1</v>
      </c>
      <c r="FH189" t="b">
        <f>AND(DATA!Q1386,"AAAAAEfPf6M=")</f>
        <v>1</v>
      </c>
      <c r="FI189" t="b">
        <f>AND(DATA!R1386,"AAAAAEfPf6Q=")</f>
        <v>1</v>
      </c>
      <c r="FJ189" t="b">
        <f>AND(DATA!S1386,"AAAAAEfPf6U=")</f>
        <v>1</v>
      </c>
      <c r="FK189" t="b">
        <f>AND(DATA!T1386,"AAAAAEfPf6Y=")</f>
        <v>1</v>
      </c>
      <c r="FL189">
        <f>IF(DATA!1386:1386,"AAAAAEfPf6c=",0)</f>
        <v>0</v>
      </c>
      <c r="FM189" t="e">
        <f>AND(DATA!A1386,"AAAAAEfPf6g=")</f>
        <v>#VALUE!</v>
      </c>
      <c r="FN189" t="e">
        <f>AND(DATA!B1386,"AAAAAEfPf6k=")</f>
        <v>#VALUE!</v>
      </c>
      <c r="FO189" t="e">
        <f>AND(DATA!C1386,"AAAAAEfPf6o=")</f>
        <v>#VALUE!</v>
      </c>
      <c r="FP189" t="e">
        <f>AND(DATA!D1386,"AAAAAEfPf6s=")</f>
        <v>#VALUE!</v>
      </c>
      <c r="FQ189" t="e">
        <f>AND(DATA!E1386,"AAAAAEfPf6w=")</f>
        <v>#VALUE!</v>
      </c>
      <c r="FR189" t="e">
        <f>AND(DATA!F1386,"AAAAAEfPf60=")</f>
        <v>#VALUE!</v>
      </c>
      <c r="FS189" t="e">
        <f>AND(DATA!G1386,"AAAAAEfPf64=")</f>
        <v>#VALUE!</v>
      </c>
      <c r="FT189" t="e">
        <f>AND(DATA!H1386,"AAAAAEfPf68=")</f>
        <v>#VALUE!</v>
      </c>
      <c r="FU189" t="e">
        <f>AND(DATA!I1386,"AAAAAEfPf7A=")</f>
        <v>#VALUE!</v>
      </c>
      <c r="FV189" t="e">
        <f>AND(DATA!J1386,"AAAAAEfPf7E=")</f>
        <v>#VALUE!</v>
      </c>
      <c r="FW189" t="e">
        <f>AND(DATA!K1386,"AAAAAEfPf7I=")</f>
        <v>#VALUE!</v>
      </c>
      <c r="FX189" t="b">
        <f>AND(DATA!L1387,"AAAAAEfPf7M=")</f>
        <v>1</v>
      </c>
      <c r="FY189" t="b">
        <f>AND(DATA!M1387,"AAAAAEfPf7Q=")</f>
        <v>1</v>
      </c>
      <c r="FZ189" t="b">
        <f>AND(DATA!N1387,"AAAAAEfPf7U=")</f>
        <v>1</v>
      </c>
      <c r="GA189" t="b">
        <f>AND(DATA!O1387,"AAAAAEfPf7Y=")</f>
        <v>1</v>
      </c>
      <c r="GB189" t="b">
        <f>AND(DATA!P1387,"AAAAAEfPf7c=")</f>
        <v>1</v>
      </c>
      <c r="GC189" t="b">
        <f>AND(DATA!Q1387,"AAAAAEfPf7g=")</f>
        <v>1</v>
      </c>
      <c r="GD189" t="b">
        <f>AND(DATA!R1387,"AAAAAEfPf7k=")</f>
        <v>1</v>
      </c>
      <c r="GE189" t="b">
        <f>AND(DATA!S1387,"AAAAAEfPf7o=")</f>
        <v>1</v>
      </c>
      <c r="GF189" t="b">
        <f>AND(DATA!T1387,"AAAAAEfPf7s=")</f>
        <v>1</v>
      </c>
      <c r="GG189">
        <f>IF(DATA!1387:1387,"AAAAAEfPf7w=",0)</f>
        <v>0</v>
      </c>
      <c r="GH189" t="e">
        <f>AND(DATA!A1387,"AAAAAEfPf70=")</f>
        <v>#VALUE!</v>
      </c>
      <c r="GI189" t="e">
        <f>AND(DATA!B1387,"AAAAAEfPf74=")</f>
        <v>#VALUE!</v>
      </c>
      <c r="GJ189" t="e">
        <f>AND(DATA!C1387,"AAAAAEfPf78=")</f>
        <v>#VALUE!</v>
      </c>
      <c r="GK189" t="e">
        <f>AND(DATA!D1387,"AAAAAEfPf8A=")</f>
        <v>#VALUE!</v>
      </c>
      <c r="GL189" t="e">
        <f>AND(DATA!E1387,"AAAAAEfPf8E=")</f>
        <v>#VALUE!</v>
      </c>
      <c r="GM189" t="e">
        <f>AND(DATA!F1387,"AAAAAEfPf8I=")</f>
        <v>#VALUE!</v>
      </c>
      <c r="GN189" t="e">
        <f>AND(DATA!G1387,"AAAAAEfPf8M=")</f>
        <v>#VALUE!</v>
      </c>
      <c r="GO189" t="e">
        <f>AND(DATA!H1387,"AAAAAEfPf8Q=")</f>
        <v>#VALUE!</v>
      </c>
      <c r="GP189" t="e">
        <f>AND(DATA!I1387,"AAAAAEfPf8U=")</f>
        <v>#VALUE!</v>
      </c>
      <c r="GQ189" t="e">
        <f>AND(DATA!J1387,"AAAAAEfPf8Y=")</f>
        <v>#VALUE!</v>
      </c>
      <c r="GR189" t="e">
        <f>AND(DATA!K1387,"AAAAAEfPf8c=")</f>
        <v>#VALUE!</v>
      </c>
      <c r="GS189" t="b">
        <f>AND(DATA!L1388,"AAAAAEfPf8g=")</f>
        <v>1</v>
      </c>
      <c r="GT189" t="b">
        <f>AND(DATA!M1388,"AAAAAEfPf8k=")</f>
        <v>1</v>
      </c>
      <c r="GU189" t="b">
        <f>AND(DATA!N1388,"AAAAAEfPf8o=")</f>
        <v>1</v>
      </c>
      <c r="GV189" t="b">
        <f>AND(DATA!O1388,"AAAAAEfPf8s=")</f>
        <v>1</v>
      </c>
      <c r="GW189" t="b">
        <f>AND(DATA!P1388,"AAAAAEfPf8w=")</f>
        <v>1</v>
      </c>
      <c r="GX189" t="b">
        <f>AND(DATA!Q1388,"AAAAAEfPf80=")</f>
        <v>1</v>
      </c>
      <c r="GY189" t="b">
        <f>AND(DATA!R1388,"AAAAAEfPf84=")</f>
        <v>1</v>
      </c>
      <c r="GZ189" t="b">
        <f>AND(DATA!S1388,"AAAAAEfPf88=")</f>
        <v>1</v>
      </c>
      <c r="HA189" t="b">
        <f>AND(DATA!T1388,"AAAAAEfPf9A=")</f>
        <v>1</v>
      </c>
      <c r="HB189">
        <f>IF(DATA!1388:1388,"AAAAAEfPf9E=",0)</f>
        <v>0</v>
      </c>
      <c r="HC189" t="e">
        <f>AND(DATA!A1388,"AAAAAEfPf9I=")</f>
        <v>#VALUE!</v>
      </c>
      <c r="HD189" t="e">
        <f>AND(DATA!B1388,"AAAAAEfPf9M=")</f>
        <v>#VALUE!</v>
      </c>
      <c r="HE189" t="e">
        <f>AND(DATA!C1388,"AAAAAEfPf9Q=")</f>
        <v>#VALUE!</v>
      </c>
      <c r="HF189" t="e">
        <f>AND(DATA!D1388,"AAAAAEfPf9U=")</f>
        <v>#VALUE!</v>
      </c>
      <c r="HG189" t="e">
        <f>AND(DATA!E1388,"AAAAAEfPf9Y=")</f>
        <v>#VALUE!</v>
      </c>
      <c r="HH189" t="e">
        <f>AND(DATA!F1388,"AAAAAEfPf9c=")</f>
        <v>#VALUE!</v>
      </c>
      <c r="HI189" t="e">
        <f>AND(DATA!G1388,"AAAAAEfPf9g=")</f>
        <v>#VALUE!</v>
      </c>
      <c r="HJ189" t="e">
        <f>AND(DATA!H1388,"AAAAAEfPf9k=")</f>
        <v>#VALUE!</v>
      </c>
      <c r="HK189" t="e">
        <f>AND(DATA!I1388,"AAAAAEfPf9o=")</f>
        <v>#VALUE!</v>
      </c>
      <c r="HL189" t="e">
        <f>AND(DATA!J1388,"AAAAAEfPf9s=")</f>
        <v>#VALUE!</v>
      </c>
      <c r="HM189" t="e">
        <f>AND(DATA!K1388,"AAAAAEfPf9w=")</f>
        <v>#VALUE!</v>
      </c>
      <c r="HN189" t="b">
        <f>AND(DATA!L1389,"AAAAAEfPf90=")</f>
        <v>1</v>
      </c>
      <c r="HO189" t="b">
        <f>AND(DATA!M1389,"AAAAAEfPf94=")</f>
        <v>1</v>
      </c>
      <c r="HP189" t="b">
        <f>AND(DATA!N1389,"AAAAAEfPf98=")</f>
        <v>1</v>
      </c>
      <c r="HQ189" t="b">
        <f>AND(DATA!O1389,"AAAAAEfPf+A=")</f>
        <v>1</v>
      </c>
      <c r="HR189" t="b">
        <f>AND(DATA!P1389,"AAAAAEfPf+E=")</f>
        <v>1</v>
      </c>
      <c r="HS189" t="b">
        <f>AND(DATA!Q1389,"AAAAAEfPf+I=")</f>
        <v>1</v>
      </c>
      <c r="HT189" t="b">
        <f>AND(DATA!R1389,"AAAAAEfPf+M=")</f>
        <v>1</v>
      </c>
      <c r="HU189" t="b">
        <f>AND(DATA!S1389,"AAAAAEfPf+Q=")</f>
        <v>1</v>
      </c>
      <c r="HV189" t="b">
        <f>AND(DATA!T1389,"AAAAAEfPf+U=")</f>
        <v>1</v>
      </c>
      <c r="HW189">
        <f>IF(DATA!1389:1389,"AAAAAEfPf+Y=",0)</f>
        <v>0</v>
      </c>
      <c r="HX189" t="e">
        <f>AND(DATA!A1389,"AAAAAEfPf+c=")</f>
        <v>#VALUE!</v>
      </c>
      <c r="HY189" t="e">
        <f>AND(DATA!B1389,"AAAAAEfPf+g=")</f>
        <v>#VALUE!</v>
      </c>
      <c r="HZ189" t="e">
        <f>AND(DATA!C1389,"AAAAAEfPf+k=")</f>
        <v>#VALUE!</v>
      </c>
      <c r="IA189" t="e">
        <f>AND(DATA!D1389,"AAAAAEfPf+o=")</f>
        <v>#VALUE!</v>
      </c>
      <c r="IB189" t="e">
        <f>AND(DATA!E1389,"AAAAAEfPf+s=")</f>
        <v>#VALUE!</v>
      </c>
      <c r="IC189" t="e">
        <f>AND(DATA!F1389,"AAAAAEfPf+w=")</f>
        <v>#VALUE!</v>
      </c>
      <c r="ID189" t="e">
        <f>AND(DATA!G1389,"AAAAAEfPf+0=")</f>
        <v>#VALUE!</v>
      </c>
      <c r="IE189" t="e">
        <f>AND(DATA!H1389,"AAAAAEfPf+4=")</f>
        <v>#VALUE!</v>
      </c>
      <c r="IF189" t="e">
        <f>AND(DATA!I1389,"AAAAAEfPf+8=")</f>
        <v>#VALUE!</v>
      </c>
      <c r="IG189" t="e">
        <f>AND(DATA!J1389,"AAAAAEfPf/A=")</f>
        <v>#VALUE!</v>
      </c>
      <c r="IH189" t="e">
        <f>AND(DATA!K1389,"AAAAAEfPf/E=")</f>
        <v>#VALUE!</v>
      </c>
      <c r="II189" t="b">
        <f>AND(DATA!L1390,"AAAAAEfPf/I=")</f>
        <v>1</v>
      </c>
      <c r="IJ189" t="b">
        <f>AND(DATA!M1390,"AAAAAEfPf/M=")</f>
        <v>1</v>
      </c>
      <c r="IK189" t="b">
        <f>AND(DATA!N1390,"AAAAAEfPf/Q=")</f>
        <v>1</v>
      </c>
      <c r="IL189" t="b">
        <f>AND(DATA!O1390,"AAAAAEfPf/U=")</f>
        <v>1</v>
      </c>
      <c r="IM189" t="b">
        <f>AND(DATA!P1390,"AAAAAEfPf/Y=")</f>
        <v>1</v>
      </c>
      <c r="IN189" t="b">
        <f>AND(DATA!Q1390,"AAAAAEfPf/c=")</f>
        <v>1</v>
      </c>
      <c r="IO189" t="b">
        <f>AND(DATA!R1390,"AAAAAEfPf/g=")</f>
        <v>1</v>
      </c>
      <c r="IP189" t="b">
        <f>AND(DATA!S1390,"AAAAAEfPf/k=")</f>
        <v>1</v>
      </c>
      <c r="IQ189" t="b">
        <f>AND(DATA!T1390,"AAAAAEfPf/o=")</f>
        <v>1</v>
      </c>
      <c r="IR189">
        <f>IF(DATA!1390:1390,"AAAAAEfPf/s=",0)</f>
        <v>0</v>
      </c>
      <c r="IS189" t="e">
        <f>AND(DATA!A1390,"AAAAAEfPf/w=")</f>
        <v>#VALUE!</v>
      </c>
      <c r="IT189" t="e">
        <f>AND(DATA!B1390,"AAAAAEfPf/0=")</f>
        <v>#VALUE!</v>
      </c>
      <c r="IU189" t="e">
        <f>AND(DATA!C1390,"AAAAAEfPf/4=")</f>
        <v>#VALUE!</v>
      </c>
      <c r="IV189" t="e">
        <f>AND(DATA!D1390,"AAAAAEfPf/8=")</f>
        <v>#VALUE!</v>
      </c>
    </row>
    <row r="190" spans="1:256" x14ac:dyDescent="0.25">
      <c r="A190" t="e">
        <f>AND(DATA!E1390,"AAAAAD/pvgA=")</f>
        <v>#VALUE!</v>
      </c>
      <c r="B190" t="e">
        <f>AND(DATA!F1390,"AAAAAD/pvgE=")</f>
        <v>#VALUE!</v>
      </c>
      <c r="C190" t="e">
        <f>AND(DATA!G1390,"AAAAAD/pvgI=")</f>
        <v>#VALUE!</v>
      </c>
      <c r="D190" t="e">
        <f>AND(DATA!H1390,"AAAAAD/pvgM=")</f>
        <v>#VALUE!</v>
      </c>
      <c r="E190" t="e">
        <f>AND(DATA!I1390,"AAAAAD/pvgQ=")</f>
        <v>#VALUE!</v>
      </c>
      <c r="F190" t="e">
        <f>AND(DATA!J1390,"AAAAAD/pvgU=")</f>
        <v>#VALUE!</v>
      </c>
      <c r="G190" t="e">
        <f>AND(DATA!K1390,"AAAAAD/pvgY=")</f>
        <v>#VALUE!</v>
      </c>
      <c r="H190" t="b">
        <f>AND(DATA!L1391,"AAAAAD/pvgc=")</f>
        <v>1</v>
      </c>
      <c r="I190" t="b">
        <f>AND(DATA!M1391,"AAAAAD/pvgg=")</f>
        <v>1</v>
      </c>
      <c r="J190" t="b">
        <f>AND(DATA!N1391,"AAAAAD/pvgk=")</f>
        <v>1</v>
      </c>
      <c r="K190" t="b">
        <f>AND(DATA!O1391,"AAAAAD/pvgo=")</f>
        <v>1</v>
      </c>
      <c r="L190" t="b">
        <f>AND(DATA!P1391,"AAAAAD/pvgs=")</f>
        <v>1</v>
      </c>
      <c r="M190" t="b">
        <f>AND(DATA!Q1391,"AAAAAD/pvgw=")</f>
        <v>1</v>
      </c>
      <c r="N190" t="b">
        <f>AND(DATA!R1391,"AAAAAD/pvg0=")</f>
        <v>1</v>
      </c>
      <c r="O190" t="b">
        <f>AND(DATA!S1391,"AAAAAD/pvg4=")</f>
        <v>1</v>
      </c>
      <c r="P190" t="b">
        <f>AND(DATA!T1391,"AAAAAD/pvg8=")</f>
        <v>1</v>
      </c>
      <c r="Q190" t="str">
        <f>IF(DATA!1391:1391,"AAAAAD/pvhA=",0)</f>
        <v>AAAAAD/pvhA=</v>
      </c>
      <c r="R190" t="e">
        <f>AND(DATA!A1391,"AAAAAD/pvhE=")</f>
        <v>#VALUE!</v>
      </c>
      <c r="S190" t="e">
        <f>AND(DATA!B1391,"AAAAAD/pvhI=")</f>
        <v>#VALUE!</v>
      </c>
      <c r="T190" t="e">
        <f>AND(DATA!C1391,"AAAAAD/pvhM=")</f>
        <v>#VALUE!</v>
      </c>
      <c r="U190" t="e">
        <f>AND(DATA!D1391,"AAAAAD/pvhQ=")</f>
        <v>#VALUE!</v>
      </c>
      <c r="V190" t="e">
        <f>AND(DATA!E1391,"AAAAAD/pvhU=")</f>
        <v>#VALUE!</v>
      </c>
      <c r="W190" t="e">
        <f>AND(DATA!F1391,"AAAAAD/pvhY=")</f>
        <v>#VALUE!</v>
      </c>
      <c r="X190" t="e">
        <f>AND(DATA!G1391,"AAAAAD/pvhc=")</f>
        <v>#VALUE!</v>
      </c>
      <c r="Y190" t="e">
        <f>AND(DATA!H1391,"AAAAAD/pvhg=")</f>
        <v>#VALUE!</v>
      </c>
      <c r="Z190" t="e">
        <f>AND(DATA!I1391,"AAAAAD/pvhk=")</f>
        <v>#VALUE!</v>
      </c>
      <c r="AA190" t="e">
        <f>AND(DATA!J1391,"AAAAAD/pvho=")</f>
        <v>#VALUE!</v>
      </c>
      <c r="AB190" t="e">
        <f>AND(DATA!K1391,"AAAAAD/pvhs=")</f>
        <v>#VALUE!</v>
      </c>
      <c r="AC190" t="b">
        <f>AND(DATA!L1392,"AAAAAD/pvhw=")</f>
        <v>1</v>
      </c>
      <c r="AD190" t="b">
        <f>AND(DATA!M1392,"AAAAAD/pvh0=")</f>
        <v>1</v>
      </c>
      <c r="AE190" t="b">
        <f>AND(DATA!N1392,"AAAAAD/pvh4=")</f>
        <v>1</v>
      </c>
      <c r="AF190" t="b">
        <f>AND(DATA!O1392,"AAAAAD/pvh8=")</f>
        <v>1</v>
      </c>
      <c r="AG190" t="b">
        <f>AND(DATA!P1392,"AAAAAD/pviA=")</f>
        <v>1</v>
      </c>
      <c r="AH190" t="b">
        <f>AND(DATA!Q1392,"AAAAAD/pviE=")</f>
        <v>1</v>
      </c>
      <c r="AI190" t="b">
        <f>AND(DATA!R1392,"AAAAAD/pviI=")</f>
        <v>1</v>
      </c>
      <c r="AJ190" t="b">
        <f>AND(DATA!S1392,"AAAAAD/pviM=")</f>
        <v>1</v>
      </c>
      <c r="AK190" t="b">
        <f>AND(DATA!T1392,"AAAAAD/pviQ=")</f>
        <v>1</v>
      </c>
      <c r="AL190">
        <f>IF(DATA!1392:1392,"AAAAAD/pviU=",0)</f>
        <v>0</v>
      </c>
      <c r="AM190" t="e">
        <f>AND(DATA!A1392,"AAAAAD/pviY=")</f>
        <v>#VALUE!</v>
      </c>
      <c r="AN190" t="e">
        <f>AND(DATA!B1392,"AAAAAD/pvic=")</f>
        <v>#VALUE!</v>
      </c>
      <c r="AO190" t="e">
        <f>AND(DATA!C1392,"AAAAAD/pvig=")</f>
        <v>#VALUE!</v>
      </c>
      <c r="AP190" t="e">
        <f>AND(DATA!D1392,"AAAAAD/pvik=")</f>
        <v>#VALUE!</v>
      </c>
      <c r="AQ190" t="e">
        <f>AND(DATA!E1392,"AAAAAD/pvio=")</f>
        <v>#VALUE!</v>
      </c>
      <c r="AR190" t="e">
        <f>AND(DATA!F1392,"AAAAAD/pvis=")</f>
        <v>#VALUE!</v>
      </c>
      <c r="AS190" t="e">
        <f>AND(DATA!G1392,"AAAAAD/pviw=")</f>
        <v>#VALUE!</v>
      </c>
      <c r="AT190" t="e">
        <f>AND(DATA!H1392,"AAAAAD/pvi0=")</f>
        <v>#VALUE!</v>
      </c>
      <c r="AU190" t="e">
        <f>AND(DATA!I1392,"AAAAAD/pvi4=")</f>
        <v>#VALUE!</v>
      </c>
      <c r="AV190" t="e">
        <f>AND(DATA!J1392,"AAAAAD/pvi8=")</f>
        <v>#VALUE!</v>
      </c>
      <c r="AW190" t="e">
        <f>AND(DATA!K1392,"AAAAAD/pvjA=")</f>
        <v>#VALUE!</v>
      </c>
      <c r="AX190" t="b">
        <f>AND(DATA!L1393,"AAAAAD/pvjE=")</f>
        <v>1</v>
      </c>
      <c r="AY190" t="b">
        <f>AND(DATA!M1393,"AAAAAD/pvjI=")</f>
        <v>1</v>
      </c>
      <c r="AZ190" t="b">
        <f>AND(DATA!N1393,"AAAAAD/pvjM=")</f>
        <v>1</v>
      </c>
      <c r="BA190" t="b">
        <f>AND(DATA!O1393,"AAAAAD/pvjQ=")</f>
        <v>1</v>
      </c>
      <c r="BB190" t="b">
        <f>AND(DATA!P1393,"AAAAAD/pvjU=")</f>
        <v>1</v>
      </c>
      <c r="BC190" t="b">
        <f>AND(DATA!Q1393,"AAAAAD/pvjY=")</f>
        <v>1</v>
      </c>
      <c r="BD190" t="b">
        <f>AND(DATA!R1393,"AAAAAD/pvjc=")</f>
        <v>1</v>
      </c>
      <c r="BE190" t="b">
        <f>AND(DATA!S1393,"AAAAAD/pvjg=")</f>
        <v>1</v>
      </c>
      <c r="BF190" t="b">
        <f>AND(DATA!T1393,"AAAAAD/pvjk=")</f>
        <v>1</v>
      </c>
      <c r="BG190">
        <f>IF(DATA!1393:1393,"AAAAAD/pvjo=",0)</f>
        <v>0</v>
      </c>
      <c r="BH190" t="e">
        <f>AND(DATA!A1393,"AAAAAD/pvjs=")</f>
        <v>#VALUE!</v>
      </c>
      <c r="BI190" t="e">
        <f>AND(DATA!B1393,"AAAAAD/pvjw=")</f>
        <v>#VALUE!</v>
      </c>
      <c r="BJ190" t="e">
        <f>AND(DATA!C1393,"AAAAAD/pvj0=")</f>
        <v>#VALUE!</v>
      </c>
      <c r="BK190" t="e">
        <f>AND(DATA!D1393,"AAAAAD/pvj4=")</f>
        <v>#VALUE!</v>
      </c>
      <c r="BL190" t="e">
        <f>AND(DATA!E1393,"AAAAAD/pvj8=")</f>
        <v>#VALUE!</v>
      </c>
      <c r="BM190" t="e">
        <f>AND(DATA!F1393,"AAAAAD/pvkA=")</f>
        <v>#VALUE!</v>
      </c>
      <c r="BN190" t="e">
        <f>AND(DATA!G1393,"AAAAAD/pvkE=")</f>
        <v>#VALUE!</v>
      </c>
      <c r="BO190" t="e">
        <f>AND(DATA!H1393,"AAAAAD/pvkI=")</f>
        <v>#VALUE!</v>
      </c>
      <c r="BP190" t="e">
        <f>AND(DATA!I1393,"AAAAAD/pvkM=")</f>
        <v>#VALUE!</v>
      </c>
      <c r="BQ190" t="e">
        <f>AND(DATA!J1393,"AAAAAD/pvkQ=")</f>
        <v>#VALUE!</v>
      </c>
      <c r="BR190" t="e">
        <f>AND(DATA!K1393,"AAAAAD/pvkU=")</f>
        <v>#VALUE!</v>
      </c>
      <c r="BS190" t="b">
        <f>AND(DATA!L1394,"AAAAAD/pvkY=")</f>
        <v>1</v>
      </c>
      <c r="BT190" t="b">
        <f>AND(DATA!M1394,"AAAAAD/pvkc=")</f>
        <v>1</v>
      </c>
      <c r="BU190" t="b">
        <f>AND(DATA!N1394,"AAAAAD/pvkg=")</f>
        <v>1</v>
      </c>
      <c r="BV190" t="b">
        <f>AND(DATA!O1394,"AAAAAD/pvkk=")</f>
        <v>1</v>
      </c>
      <c r="BW190" t="b">
        <f>AND(DATA!P1394,"AAAAAD/pvko=")</f>
        <v>1</v>
      </c>
      <c r="BX190" t="b">
        <f>AND(DATA!Q1394,"AAAAAD/pvks=")</f>
        <v>1</v>
      </c>
      <c r="BY190" t="b">
        <f>AND(DATA!R1394,"AAAAAD/pvkw=")</f>
        <v>1</v>
      </c>
      <c r="BZ190" t="b">
        <f>AND(DATA!S1394,"AAAAAD/pvk0=")</f>
        <v>1</v>
      </c>
      <c r="CA190" t="b">
        <f>AND(DATA!T1394,"AAAAAD/pvk4=")</f>
        <v>1</v>
      </c>
      <c r="CB190">
        <f>IF(DATA!1394:1394,"AAAAAD/pvk8=",0)</f>
        <v>0</v>
      </c>
      <c r="CC190" t="e">
        <f>AND(DATA!A1394,"AAAAAD/pvlA=")</f>
        <v>#VALUE!</v>
      </c>
      <c r="CD190" t="e">
        <f>AND(DATA!B1394,"AAAAAD/pvlE=")</f>
        <v>#VALUE!</v>
      </c>
      <c r="CE190" t="e">
        <f>AND(DATA!C1394,"AAAAAD/pvlI=")</f>
        <v>#VALUE!</v>
      </c>
      <c r="CF190" t="e">
        <f>AND(DATA!D1394,"AAAAAD/pvlM=")</f>
        <v>#VALUE!</v>
      </c>
      <c r="CG190" t="e">
        <f>AND(DATA!E1394,"AAAAAD/pvlQ=")</f>
        <v>#VALUE!</v>
      </c>
      <c r="CH190" t="e">
        <f>AND(DATA!F1394,"AAAAAD/pvlU=")</f>
        <v>#VALUE!</v>
      </c>
      <c r="CI190" t="e">
        <f>AND(DATA!G1394,"AAAAAD/pvlY=")</f>
        <v>#VALUE!</v>
      </c>
      <c r="CJ190" t="e">
        <f>AND(DATA!H1394,"AAAAAD/pvlc=")</f>
        <v>#VALUE!</v>
      </c>
      <c r="CK190" t="e">
        <f>AND(DATA!I1394,"AAAAAD/pvlg=")</f>
        <v>#VALUE!</v>
      </c>
      <c r="CL190" t="e">
        <f>AND(DATA!J1394,"AAAAAD/pvlk=")</f>
        <v>#VALUE!</v>
      </c>
      <c r="CM190" t="e">
        <f>AND(DATA!K1394,"AAAAAD/pvlo=")</f>
        <v>#VALUE!</v>
      </c>
      <c r="CN190" t="b">
        <f>AND(DATA!L1395,"AAAAAD/pvls=")</f>
        <v>1</v>
      </c>
      <c r="CO190" t="b">
        <f>AND(DATA!M1395,"AAAAAD/pvlw=")</f>
        <v>1</v>
      </c>
      <c r="CP190" t="b">
        <f>AND(DATA!N1395,"AAAAAD/pvl0=")</f>
        <v>1</v>
      </c>
      <c r="CQ190" t="b">
        <f>AND(DATA!O1395,"AAAAAD/pvl4=")</f>
        <v>1</v>
      </c>
      <c r="CR190" t="b">
        <f>AND(DATA!P1395,"AAAAAD/pvl8=")</f>
        <v>1</v>
      </c>
      <c r="CS190" t="b">
        <f>AND(DATA!Q1395,"AAAAAD/pvmA=")</f>
        <v>1</v>
      </c>
      <c r="CT190" t="b">
        <f>AND(DATA!R1395,"AAAAAD/pvmE=")</f>
        <v>1</v>
      </c>
      <c r="CU190" t="b">
        <f>AND(DATA!S1395,"AAAAAD/pvmI=")</f>
        <v>1</v>
      </c>
      <c r="CV190" t="b">
        <f>AND(DATA!T1395,"AAAAAD/pvmM=")</f>
        <v>1</v>
      </c>
      <c r="CW190">
        <f>IF(DATA!1395:1395,"AAAAAD/pvmQ=",0)</f>
        <v>0</v>
      </c>
      <c r="CX190" t="e">
        <f>AND(DATA!A1395,"AAAAAD/pvmU=")</f>
        <v>#VALUE!</v>
      </c>
      <c r="CY190" t="e">
        <f>AND(DATA!B1395,"AAAAAD/pvmY=")</f>
        <v>#VALUE!</v>
      </c>
      <c r="CZ190" t="e">
        <f>AND(DATA!C1395,"AAAAAD/pvmc=")</f>
        <v>#VALUE!</v>
      </c>
      <c r="DA190" t="e">
        <f>AND(DATA!D1395,"AAAAAD/pvmg=")</f>
        <v>#VALUE!</v>
      </c>
      <c r="DB190" t="e">
        <f>AND(DATA!E1395,"AAAAAD/pvmk=")</f>
        <v>#VALUE!</v>
      </c>
      <c r="DC190" t="e">
        <f>AND(DATA!F1395,"AAAAAD/pvmo=")</f>
        <v>#VALUE!</v>
      </c>
      <c r="DD190" t="e">
        <f>AND(DATA!G1395,"AAAAAD/pvms=")</f>
        <v>#VALUE!</v>
      </c>
      <c r="DE190" t="e">
        <f>AND(DATA!H1395,"AAAAAD/pvmw=")</f>
        <v>#VALUE!</v>
      </c>
      <c r="DF190" t="e">
        <f>AND(DATA!I1395,"AAAAAD/pvm0=")</f>
        <v>#VALUE!</v>
      </c>
      <c r="DG190" t="e">
        <f>AND(DATA!J1395,"AAAAAD/pvm4=")</f>
        <v>#VALUE!</v>
      </c>
      <c r="DH190" t="e">
        <f>AND(DATA!K1395,"AAAAAD/pvm8=")</f>
        <v>#VALUE!</v>
      </c>
      <c r="DI190" t="b">
        <f>AND(DATA!L1396,"AAAAAD/pvnA=")</f>
        <v>1</v>
      </c>
      <c r="DJ190" t="b">
        <f>AND(DATA!M1396,"AAAAAD/pvnE=")</f>
        <v>1</v>
      </c>
      <c r="DK190" t="b">
        <f>AND(DATA!N1396,"AAAAAD/pvnI=")</f>
        <v>1</v>
      </c>
      <c r="DL190" t="b">
        <f>AND(DATA!O1396,"AAAAAD/pvnM=")</f>
        <v>1</v>
      </c>
      <c r="DM190" t="b">
        <f>AND(DATA!P1396,"AAAAAD/pvnQ=")</f>
        <v>1</v>
      </c>
      <c r="DN190" t="b">
        <f>AND(DATA!Q1396,"AAAAAD/pvnU=")</f>
        <v>1</v>
      </c>
      <c r="DO190" t="b">
        <f>AND(DATA!R1396,"AAAAAD/pvnY=")</f>
        <v>1</v>
      </c>
      <c r="DP190" t="b">
        <f>AND(DATA!S1396,"AAAAAD/pvnc=")</f>
        <v>1</v>
      </c>
      <c r="DQ190" t="b">
        <f>AND(DATA!T1396,"AAAAAD/pvng=")</f>
        <v>1</v>
      </c>
      <c r="DR190">
        <f>IF(DATA!1396:1396,"AAAAAD/pvnk=",0)</f>
        <v>0</v>
      </c>
      <c r="DS190" t="e">
        <f>AND(DATA!A1396,"AAAAAD/pvno=")</f>
        <v>#VALUE!</v>
      </c>
      <c r="DT190" t="e">
        <f>AND(DATA!B1396,"AAAAAD/pvns=")</f>
        <v>#VALUE!</v>
      </c>
      <c r="DU190" t="e">
        <f>AND(DATA!C1396,"AAAAAD/pvnw=")</f>
        <v>#VALUE!</v>
      </c>
      <c r="DV190" t="e">
        <f>AND(DATA!D1396,"AAAAAD/pvn0=")</f>
        <v>#VALUE!</v>
      </c>
      <c r="DW190" t="e">
        <f>AND(DATA!E1396,"AAAAAD/pvn4=")</f>
        <v>#VALUE!</v>
      </c>
      <c r="DX190" t="e">
        <f>AND(DATA!F1396,"AAAAAD/pvn8=")</f>
        <v>#VALUE!</v>
      </c>
      <c r="DY190" t="e">
        <f>AND(DATA!G1396,"AAAAAD/pvoA=")</f>
        <v>#VALUE!</v>
      </c>
      <c r="DZ190" t="e">
        <f>AND(DATA!H1396,"AAAAAD/pvoE=")</f>
        <v>#VALUE!</v>
      </c>
      <c r="EA190" t="e">
        <f>AND(DATA!I1396,"AAAAAD/pvoI=")</f>
        <v>#VALUE!</v>
      </c>
      <c r="EB190" t="e">
        <f>AND(DATA!J1396,"AAAAAD/pvoM=")</f>
        <v>#VALUE!</v>
      </c>
      <c r="EC190" t="e">
        <f>AND(DATA!K1396,"AAAAAD/pvoQ=")</f>
        <v>#VALUE!</v>
      </c>
      <c r="ED190" t="b">
        <f>AND(DATA!L1397,"AAAAAD/pvoU=")</f>
        <v>1</v>
      </c>
      <c r="EE190" t="b">
        <f>AND(DATA!M1397,"AAAAAD/pvoY=")</f>
        <v>1</v>
      </c>
      <c r="EF190" t="b">
        <f>AND(DATA!N1397,"AAAAAD/pvoc=")</f>
        <v>1</v>
      </c>
      <c r="EG190" t="b">
        <f>AND(DATA!O1397,"AAAAAD/pvog=")</f>
        <v>1</v>
      </c>
      <c r="EH190" t="b">
        <f>AND(DATA!P1397,"AAAAAD/pvok=")</f>
        <v>1</v>
      </c>
      <c r="EI190" t="b">
        <f>AND(DATA!Q1397,"AAAAAD/pvoo=")</f>
        <v>1</v>
      </c>
      <c r="EJ190" t="b">
        <f>AND(DATA!R1397,"AAAAAD/pvos=")</f>
        <v>1</v>
      </c>
      <c r="EK190" t="b">
        <f>AND(DATA!S1397,"AAAAAD/pvow=")</f>
        <v>1</v>
      </c>
      <c r="EL190" t="b">
        <f>AND(DATA!T1397,"AAAAAD/pvo0=")</f>
        <v>1</v>
      </c>
      <c r="EM190">
        <f>IF(DATA!1397:1397,"AAAAAD/pvo4=",0)</f>
        <v>0</v>
      </c>
      <c r="EN190" t="e">
        <f>AND(DATA!A1397,"AAAAAD/pvo8=")</f>
        <v>#VALUE!</v>
      </c>
      <c r="EO190" t="e">
        <f>AND(DATA!B1397,"AAAAAD/pvpA=")</f>
        <v>#VALUE!</v>
      </c>
      <c r="EP190" t="e">
        <f>AND(DATA!C1397,"AAAAAD/pvpE=")</f>
        <v>#VALUE!</v>
      </c>
      <c r="EQ190" t="e">
        <f>AND(DATA!D1397,"AAAAAD/pvpI=")</f>
        <v>#VALUE!</v>
      </c>
      <c r="ER190" t="e">
        <f>AND(DATA!E1397,"AAAAAD/pvpM=")</f>
        <v>#VALUE!</v>
      </c>
      <c r="ES190" t="e">
        <f>AND(DATA!F1397,"AAAAAD/pvpQ=")</f>
        <v>#VALUE!</v>
      </c>
      <c r="ET190" t="e">
        <f>AND(DATA!G1397,"AAAAAD/pvpU=")</f>
        <v>#VALUE!</v>
      </c>
      <c r="EU190" t="e">
        <f>AND(DATA!H1397,"AAAAAD/pvpY=")</f>
        <v>#VALUE!</v>
      </c>
      <c r="EV190" t="e">
        <f>AND(DATA!I1397,"AAAAAD/pvpc=")</f>
        <v>#VALUE!</v>
      </c>
      <c r="EW190" t="e">
        <f>AND(DATA!J1397,"AAAAAD/pvpg=")</f>
        <v>#VALUE!</v>
      </c>
      <c r="EX190" t="e">
        <f>AND(DATA!K1397,"AAAAAD/pvpk=")</f>
        <v>#VALUE!</v>
      </c>
      <c r="EY190" t="b">
        <f>AND(DATA!L1398,"AAAAAD/pvpo=")</f>
        <v>1</v>
      </c>
      <c r="EZ190" t="b">
        <f>AND(DATA!M1398,"AAAAAD/pvps=")</f>
        <v>1</v>
      </c>
      <c r="FA190" t="b">
        <f>AND(DATA!N1398,"AAAAAD/pvpw=")</f>
        <v>1</v>
      </c>
      <c r="FB190" t="b">
        <f>AND(DATA!O1398,"AAAAAD/pvp0=")</f>
        <v>1</v>
      </c>
      <c r="FC190" t="b">
        <f>AND(DATA!P1398,"AAAAAD/pvp4=")</f>
        <v>1</v>
      </c>
      <c r="FD190" t="b">
        <f>AND(DATA!Q1398,"AAAAAD/pvp8=")</f>
        <v>1</v>
      </c>
      <c r="FE190" t="b">
        <f>AND(DATA!R1398,"AAAAAD/pvqA=")</f>
        <v>1</v>
      </c>
      <c r="FF190" t="b">
        <f>AND(DATA!S1398,"AAAAAD/pvqE=")</f>
        <v>1</v>
      </c>
      <c r="FG190" t="b">
        <f>AND(DATA!T1398,"AAAAAD/pvqI=")</f>
        <v>1</v>
      </c>
      <c r="FH190">
        <f>IF(DATA!1398:1398,"AAAAAD/pvqM=",0)</f>
        <v>0</v>
      </c>
      <c r="FI190" t="e">
        <f>AND(DATA!A1398,"AAAAAD/pvqQ=")</f>
        <v>#VALUE!</v>
      </c>
      <c r="FJ190" t="e">
        <f>AND(DATA!B1398,"AAAAAD/pvqU=")</f>
        <v>#VALUE!</v>
      </c>
      <c r="FK190" t="e">
        <f>AND(DATA!C1398,"AAAAAD/pvqY=")</f>
        <v>#VALUE!</v>
      </c>
      <c r="FL190" t="e">
        <f>AND(DATA!D1398,"AAAAAD/pvqc=")</f>
        <v>#VALUE!</v>
      </c>
      <c r="FM190" t="e">
        <f>AND(DATA!E1398,"AAAAAD/pvqg=")</f>
        <v>#VALUE!</v>
      </c>
      <c r="FN190" t="e">
        <f>AND(DATA!F1398,"AAAAAD/pvqk=")</f>
        <v>#VALUE!</v>
      </c>
      <c r="FO190" t="e">
        <f>AND(DATA!G1398,"AAAAAD/pvqo=")</f>
        <v>#VALUE!</v>
      </c>
      <c r="FP190" t="e">
        <f>AND(DATA!H1398,"AAAAAD/pvqs=")</f>
        <v>#VALUE!</v>
      </c>
      <c r="FQ190" t="e">
        <f>AND(DATA!I1398,"AAAAAD/pvqw=")</f>
        <v>#VALUE!</v>
      </c>
      <c r="FR190" t="e">
        <f>AND(DATA!J1398,"AAAAAD/pvq0=")</f>
        <v>#VALUE!</v>
      </c>
      <c r="FS190" t="e">
        <f>AND(DATA!K1398,"AAAAAD/pvq4=")</f>
        <v>#VALUE!</v>
      </c>
      <c r="FT190" t="b">
        <f>AND(DATA!L1399,"AAAAAD/pvq8=")</f>
        <v>1</v>
      </c>
      <c r="FU190" t="b">
        <f>AND(DATA!M1399,"AAAAAD/pvrA=")</f>
        <v>1</v>
      </c>
      <c r="FV190" t="b">
        <f>AND(DATA!N1399,"AAAAAD/pvrE=")</f>
        <v>1</v>
      </c>
      <c r="FW190" t="b">
        <f>AND(DATA!O1399,"AAAAAD/pvrI=")</f>
        <v>1</v>
      </c>
      <c r="FX190" t="b">
        <f>AND(DATA!P1399,"AAAAAD/pvrM=")</f>
        <v>1</v>
      </c>
      <c r="FY190" t="b">
        <f>AND(DATA!Q1399,"AAAAAD/pvrQ=")</f>
        <v>1</v>
      </c>
      <c r="FZ190" t="b">
        <f>AND(DATA!R1399,"AAAAAD/pvrU=")</f>
        <v>1</v>
      </c>
      <c r="GA190" t="b">
        <f>AND(DATA!S1399,"AAAAAD/pvrY=")</f>
        <v>1</v>
      </c>
      <c r="GB190" t="b">
        <f>AND(DATA!T1399,"AAAAAD/pvrc=")</f>
        <v>1</v>
      </c>
      <c r="GC190">
        <f>IF(DATA!1399:1399,"AAAAAD/pvrg=",0)</f>
        <v>0</v>
      </c>
      <c r="GD190" t="e">
        <f>AND(DATA!A1399,"AAAAAD/pvrk=")</f>
        <v>#VALUE!</v>
      </c>
      <c r="GE190" t="e">
        <f>AND(DATA!B1399,"AAAAAD/pvro=")</f>
        <v>#VALUE!</v>
      </c>
      <c r="GF190" t="e">
        <f>AND(DATA!C1399,"AAAAAD/pvrs=")</f>
        <v>#VALUE!</v>
      </c>
      <c r="GG190" t="e">
        <f>AND(DATA!D1399,"AAAAAD/pvrw=")</f>
        <v>#VALUE!</v>
      </c>
      <c r="GH190" t="e">
        <f>AND(DATA!E1399,"AAAAAD/pvr0=")</f>
        <v>#VALUE!</v>
      </c>
      <c r="GI190" t="e">
        <f>AND(DATA!F1399,"AAAAAD/pvr4=")</f>
        <v>#VALUE!</v>
      </c>
      <c r="GJ190" t="e">
        <f>AND(DATA!G1399,"AAAAAD/pvr8=")</f>
        <v>#VALUE!</v>
      </c>
      <c r="GK190" t="e">
        <f>AND(DATA!H1399,"AAAAAD/pvsA=")</f>
        <v>#VALUE!</v>
      </c>
      <c r="GL190" t="e">
        <f>AND(DATA!I1399,"AAAAAD/pvsE=")</f>
        <v>#VALUE!</v>
      </c>
      <c r="GM190" t="e">
        <f>AND(DATA!J1399,"AAAAAD/pvsI=")</f>
        <v>#VALUE!</v>
      </c>
      <c r="GN190" t="e">
        <f>AND(DATA!K1399,"AAAAAD/pvsM=")</f>
        <v>#VALUE!</v>
      </c>
      <c r="GO190" t="b">
        <f>AND(DATA!L1400,"AAAAAD/pvsQ=")</f>
        <v>1</v>
      </c>
      <c r="GP190" t="b">
        <f>AND(DATA!M1400,"AAAAAD/pvsU=")</f>
        <v>1</v>
      </c>
      <c r="GQ190" t="b">
        <f>AND(DATA!N1400,"AAAAAD/pvsY=")</f>
        <v>1</v>
      </c>
      <c r="GR190" t="b">
        <f>AND(DATA!O1400,"AAAAAD/pvsc=")</f>
        <v>1</v>
      </c>
      <c r="GS190" t="b">
        <f>AND(DATA!P1400,"AAAAAD/pvsg=")</f>
        <v>1</v>
      </c>
      <c r="GT190" t="b">
        <f>AND(DATA!Q1400,"AAAAAD/pvsk=")</f>
        <v>1</v>
      </c>
      <c r="GU190" t="b">
        <f>AND(DATA!R1400,"AAAAAD/pvso=")</f>
        <v>1</v>
      </c>
      <c r="GV190" t="b">
        <f>AND(DATA!S1400,"AAAAAD/pvss=")</f>
        <v>1</v>
      </c>
      <c r="GW190" t="b">
        <f>AND(DATA!T1400,"AAAAAD/pvsw=")</f>
        <v>1</v>
      </c>
      <c r="GX190">
        <f>IF(DATA!1400:1400,"AAAAAD/pvs0=",0)</f>
        <v>0</v>
      </c>
      <c r="GY190" t="e">
        <f>AND(DATA!A1400,"AAAAAD/pvs4=")</f>
        <v>#VALUE!</v>
      </c>
      <c r="GZ190" t="e">
        <f>AND(DATA!B1400,"AAAAAD/pvs8=")</f>
        <v>#VALUE!</v>
      </c>
      <c r="HA190" t="e">
        <f>AND(DATA!C1400,"AAAAAD/pvtA=")</f>
        <v>#VALUE!</v>
      </c>
      <c r="HB190" t="e">
        <f>AND(DATA!D1400,"AAAAAD/pvtE=")</f>
        <v>#VALUE!</v>
      </c>
      <c r="HC190" t="e">
        <f>AND(DATA!E1400,"AAAAAD/pvtI=")</f>
        <v>#VALUE!</v>
      </c>
      <c r="HD190" t="e">
        <f>AND(DATA!F1400,"AAAAAD/pvtM=")</f>
        <v>#VALUE!</v>
      </c>
      <c r="HE190" t="e">
        <f>AND(DATA!G1400,"AAAAAD/pvtQ=")</f>
        <v>#VALUE!</v>
      </c>
      <c r="HF190" t="e">
        <f>AND(DATA!H1400,"AAAAAD/pvtU=")</f>
        <v>#VALUE!</v>
      </c>
      <c r="HG190" t="e">
        <f>AND(DATA!I1400,"AAAAAD/pvtY=")</f>
        <v>#VALUE!</v>
      </c>
      <c r="HH190" t="e">
        <f>AND(DATA!J1400,"AAAAAD/pvtc=")</f>
        <v>#VALUE!</v>
      </c>
      <c r="HI190" t="e">
        <f>AND(DATA!K1400,"AAAAAD/pvtg=")</f>
        <v>#VALUE!</v>
      </c>
      <c r="HJ190" t="b">
        <f>AND(DATA!L1401,"AAAAAD/pvtk=")</f>
        <v>1</v>
      </c>
      <c r="HK190" t="b">
        <f>AND(DATA!M1401,"AAAAAD/pvto=")</f>
        <v>1</v>
      </c>
      <c r="HL190" t="b">
        <f>AND(DATA!N1401,"AAAAAD/pvts=")</f>
        <v>1</v>
      </c>
      <c r="HM190" t="b">
        <f>AND(DATA!O1401,"AAAAAD/pvtw=")</f>
        <v>1</v>
      </c>
      <c r="HN190" t="b">
        <f>AND(DATA!P1401,"AAAAAD/pvt0=")</f>
        <v>1</v>
      </c>
      <c r="HO190" t="b">
        <f>AND(DATA!Q1401,"AAAAAD/pvt4=")</f>
        <v>1</v>
      </c>
      <c r="HP190" t="b">
        <f>AND(DATA!R1401,"AAAAAD/pvt8=")</f>
        <v>1</v>
      </c>
      <c r="HQ190" t="b">
        <f>AND(DATA!S1401,"AAAAAD/pvuA=")</f>
        <v>1</v>
      </c>
      <c r="HR190" t="b">
        <f>AND(DATA!T1401,"AAAAAD/pvuE=")</f>
        <v>1</v>
      </c>
      <c r="HS190">
        <f>IF(DATA!1401:1401,"AAAAAD/pvuI=",0)</f>
        <v>0</v>
      </c>
      <c r="HT190" t="e">
        <f>AND(DATA!A1401,"AAAAAD/pvuM=")</f>
        <v>#VALUE!</v>
      </c>
      <c r="HU190" t="e">
        <f>AND(DATA!B1401,"AAAAAD/pvuQ=")</f>
        <v>#VALUE!</v>
      </c>
      <c r="HV190" t="e">
        <f>AND(DATA!C1401,"AAAAAD/pvuU=")</f>
        <v>#VALUE!</v>
      </c>
      <c r="HW190" t="e">
        <f>AND(DATA!D1401,"AAAAAD/pvuY=")</f>
        <v>#VALUE!</v>
      </c>
      <c r="HX190" t="e">
        <f>AND(DATA!E1401,"AAAAAD/pvuc=")</f>
        <v>#VALUE!</v>
      </c>
      <c r="HY190" t="e">
        <f>AND(DATA!F1401,"AAAAAD/pvug=")</f>
        <v>#VALUE!</v>
      </c>
      <c r="HZ190" t="e">
        <f>AND(DATA!G1401,"AAAAAD/pvuk=")</f>
        <v>#VALUE!</v>
      </c>
      <c r="IA190" t="e">
        <f>AND(DATA!H1401,"AAAAAD/pvuo=")</f>
        <v>#VALUE!</v>
      </c>
      <c r="IB190" t="e">
        <f>AND(DATA!I1401,"AAAAAD/pvus=")</f>
        <v>#VALUE!</v>
      </c>
      <c r="IC190" t="e">
        <f>AND(DATA!J1401,"AAAAAD/pvuw=")</f>
        <v>#VALUE!</v>
      </c>
      <c r="ID190" t="e">
        <f>AND(DATA!K1401,"AAAAAD/pvu0=")</f>
        <v>#VALUE!</v>
      </c>
      <c r="IE190" t="b">
        <f>AND(DATA!L1402,"AAAAAD/pvu4=")</f>
        <v>1</v>
      </c>
      <c r="IF190" t="b">
        <f>AND(DATA!M1402,"AAAAAD/pvu8=")</f>
        <v>1</v>
      </c>
      <c r="IG190" t="b">
        <f>AND(DATA!N1402,"AAAAAD/pvvA=")</f>
        <v>1</v>
      </c>
      <c r="IH190" t="b">
        <f>AND(DATA!O1402,"AAAAAD/pvvE=")</f>
        <v>1</v>
      </c>
      <c r="II190" t="b">
        <f>AND(DATA!P1402,"AAAAAD/pvvI=")</f>
        <v>1</v>
      </c>
      <c r="IJ190" t="b">
        <f>AND(DATA!Q1402,"AAAAAD/pvvM=")</f>
        <v>1</v>
      </c>
      <c r="IK190" t="b">
        <f>AND(DATA!R1402,"AAAAAD/pvvQ=")</f>
        <v>1</v>
      </c>
      <c r="IL190" t="b">
        <f>AND(DATA!S1402,"AAAAAD/pvvU=")</f>
        <v>1</v>
      </c>
      <c r="IM190" t="b">
        <f>AND(DATA!T1402,"AAAAAD/pvvY=")</f>
        <v>1</v>
      </c>
      <c r="IN190">
        <f>IF(DATA!1402:1402,"AAAAAD/pvvc=",0)</f>
        <v>0</v>
      </c>
      <c r="IO190" t="e">
        <f>AND(DATA!A1402,"AAAAAD/pvvg=")</f>
        <v>#VALUE!</v>
      </c>
      <c r="IP190" t="e">
        <f>AND(DATA!B1402,"AAAAAD/pvvk=")</f>
        <v>#VALUE!</v>
      </c>
      <c r="IQ190" t="e">
        <f>AND(DATA!C1402,"AAAAAD/pvvo=")</f>
        <v>#VALUE!</v>
      </c>
      <c r="IR190" t="e">
        <f>AND(DATA!D1402,"AAAAAD/pvvs=")</f>
        <v>#VALUE!</v>
      </c>
      <c r="IS190" t="e">
        <f>AND(DATA!E1402,"AAAAAD/pvvw=")</f>
        <v>#VALUE!</v>
      </c>
      <c r="IT190" t="e">
        <f>AND(DATA!F1402,"AAAAAD/pvv0=")</f>
        <v>#VALUE!</v>
      </c>
      <c r="IU190" t="e">
        <f>AND(DATA!G1402,"AAAAAD/pvv4=")</f>
        <v>#VALUE!</v>
      </c>
      <c r="IV190" t="e">
        <f>AND(DATA!H1402,"AAAAAD/pvv8=")</f>
        <v>#VALUE!</v>
      </c>
    </row>
    <row r="191" spans="1:256" x14ac:dyDescent="0.25">
      <c r="A191" t="e">
        <f>AND(DATA!I1402,"AAAAAH1d/wA=")</f>
        <v>#VALUE!</v>
      </c>
      <c r="B191" t="e">
        <f>AND(DATA!J1402,"AAAAAH1d/wE=")</f>
        <v>#VALUE!</v>
      </c>
      <c r="C191" t="e">
        <f>AND(DATA!K1402,"AAAAAH1d/wI=")</f>
        <v>#VALUE!</v>
      </c>
      <c r="D191" t="b">
        <f>AND(DATA!L1403,"AAAAAH1d/wM=")</f>
        <v>1</v>
      </c>
      <c r="E191" t="b">
        <f>AND(DATA!M1403,"AAAAAH1d/wQ=")</f>
        <v>1</v>
      </c>
      <c r="F191" t="b">
        <f>AND(DATA!N1403,"AAAAAH1d/wU=")</f>
        <v>1</v>
      </c>
      <c r="G191" t="b">
        <f>AND(DATA!O1403,"AAAAAH1d/wY=")</f>
        <v>1</v>
      </c>
      <c r="H191" t="b">
        <f>AND(DATA!P1403,"AAAAAH1d/wc=")</f>
        <v>1</v>
      </c>
      <c r="I191" t="b">
        <f>AND(DATA!Q1403,"AAAAAH1d/wg=")</f>
        <v>1</v>
      </c>
      <c r="J191" t="b">
        <f>AND(DATA!R1403,"AAAAAH1d/wk=")</f>
        <v>1</v>
      </c>
      <c r="K191" t="b">
        <f>AND(DATA!S1403,"AAAAAH1d/wo=")</f>
        <v>1</v>
      </c>
      <c r="L191" t="b">
        <f>AND(DATA!T1403,"AAAAAH1d/ws=")</f>
        <v>1</v>
      </c>
      <c r="M191" t="str">
        <f>IF(DATA!1403:1403,"AAAAAH1d/ww=",0)</f>
        <v>AAAAAH1d/ww=</v>
      </c>
      <c r="N191" t="e">
        <f>AND(DATA!A1403,"AAAAAH1d/w0=")</f>
        <v>#VALUE!</v>
      </c>
      <c r="O191" t="e">
        <f>AND(DATA!B1403,"AAAAAH1d/w4=")</f>
        <v>#VALUE!</v>
      </c>
      <c r="P191" t="e">
        <f>AND(DATA!C1403,"AAAAAH1d/w8=")</f>
        <v>#VALUE!</v>
      </c>
      <c r="Q191" t="e">
        <f>AND(DATA!D1403,"AAAAAH1d/xA=")</f>
        <v>#VALUE!</v>
      </c>
      <c r="R191" t="e">
        <f>AND(DATA!E1403,"AAAAAH1d/xE=")</f>
        <v>#VALUE!</v>
      </c>
      <c r="S191" t="e">
        <f>AND(DATA!F1403,"AAAAAH1d/xI=")</f>
        <v>#VALUE!</v>
      </c>
      <c r="T191" t="e">
        <f>AND(DATA!G1403,"AAAAAH1d/xM=")</f>
        <v>#VALUE!</v>
      </c>
      <c r="U191" t="e">
        <f>AND(DATA!H1403,"AAAAAH1d/xQ=")</f>
        <v>#VALUE!</v>
      </c>
      <c r="V191" t="e">
        <f>AND(DATA!I1403,"AAAAAH1d/xU=")</f>
        <v>#VALUE!</v>
      </c>
      <c r="W191" t="e">
        <f>AND(DATA!J1403,"AAAAAH1d/xY=")</f>
        <v>#VALUE!</v>
      </c>
      <c r="X191" t="e">
        <f>AND(DATA!K1403,"AAAAAH1d/xc=")</f>
        <v>#VALUE!</v>
      </c>
      <c r="Y191" t="b">
        <f>AND(DATA!L1404,"AAAAAH1d/xg=")</f>
        <v>1</v>
      </c>
      <c r="Z191" t="b">
        <f>AND(DATA!M1404,"AAAAAH1d/xk=")</f>
        <v>1</v>
      </c>
      <c r="AA191" t="b">
        <f>AND(DATA!N1404,"AAAAAH1d/xo=")</f>
        <v>1</v>
      </c>
      <c r="AB191" t="b">
        <f>AND(DATA!O1404,"AAAAAH1d/xs=")</f>
        <v>1</v>
      </c>
      <c r="AC191" t="b">
        <f>AND(DATA!P1404,"AAAAAH1d/xw=")</f>
        <v>1</v>
      </c>
      <c r="AD191" t="b">
        <f>AND(DATA!Q1404,"AAAAAH1d/x0=")</f>
        <v>1</v>
      </c>
      <c r="AE191" t="b">
        <f>AND(DATA!R1404,"AAAAAH1d/x4=")</f>
        <v>1</v>
      </c>
      <c r="AF191" t="b">
        <f>AND(DATA!S1404,"AAAAAH1d/x8=")</f>
        <v>1</v>
      </c>
      <c r="AG191" t="b">
        <f>AND(DATA!T1404,"AAAAAH1d/yA=")</f>
        <v>1</v>
      </c>
      <c r="AH191">
        <f>IF(DATA!1404:1404,"AAAAAH1d/yE=",0)</f>
        <v>0</v>
      </c>
      <c r="AI191" t="e">
        <f>AND(DATA!A1404,"AAAAAH1d/yI=")</f>
        <v>#VALUE!</v>
      </c>
      <c r="AJ191" t="e">
        <f>AND(DATA!B1404,"AAAAAH1d/yM=")</f>
        <v>#VALUE!</v>
      </c>
      <c r="AK191" t="e">
        <f>AND(DATA!C1404,"AAAAAH1d/yQ=")</f>
        <v>#VALUE!</v>
      </c>
      <c r="AL191" t="e">
        <f>AND(DATA!D1404,"AAAAAH1d/yU=")</f>
        <v>#VALUE!</v>
      </c>
      <c r="AM191" t="e">
        <f>AND(DATA!E1404,"AAAAAH1d/yY=")</f>
        <v>#VALUE!</v>
      </c>
      <c r="AN191" t="e">
        <f>AND(DATA!F1404,"AAAAAH1d/yc=")</f>
        <v>#VALUE!</v>
      </c>
      <c r="AO191" t="e">
        <f>AND(DATA!G1404,"AAAAAH1d/yg=")</f>
        <v>#VALUE!</v>
      </c>
      <c r="AP191" t="e">
        <f>AND(DATA!H1404,"AAAAAH1d/yk=")</f>
        <v>#VALUE!</v>
      </c>
      <c r="AQ191" t="e">
        <f>AND(DATA!I1404,"AAAAAH1d/yo=")</f>
        <v>#VALUE!</v>
      </c>
      <c r="AR191" t="e">
        <f>AND(DATA!J1404,"AAAAAH1d/ys=")</f>
        <v>#VALUE!</v>
      </c>
      <c r="AS191" t="e">
        <f>AND(DATA!K1404,"AAAAAH1d/yw=")</f>
        <v>#VALUE!</v>
      </c>
      <c r="AT191" t="b">
        <f>AND(DATA!L1405,"AAAAAH1d/y0=")</f>
        <v>1</v>
      </c>
      <c r="AU191" t="b">
        <f>AND(DATA!M1405,"AAAAAH1d/y4=")</f>
        <v>1</v>
      </c>
      <c r="AV191" t="b">
        <f>AND(DATA!N1405,"AAAAAH1d/y8=")</f>
        <v>1</v>
      </c>
      <c r="AW191" t="b">
        <f>AND(DATA!O1405,"AAAAAH1d/zA=")</f>
        <v>1</v>
      </c>
      <c r="AX191" t="b">
        <f>AND(DATA!P1405,"AAAAAH1d/zE=")</f>
        <v>1</v>
      </c>
      <c r="AY191" t="b">
        <f>AND(DATA!Q1405,"AAAAAH1d/zI=")</f>
        <v>1</v>
      </c>
      <c r="AZ191" t="b">
        <f>AND(DATA!R1405,"AAAAAH1d/zM=")</f>
        <v>1</v>
      </c>
      <c r="BA191" t="b">
        <f>AND(DATA!S1405,"AAAAAH1d/zQ=")</f>
        <v>1</v>
      </c>
      <c r="BB191" t="b">
        <f>AND(DATA!T1405,"AAAAAH1d/zU=")</f>
        <v>1</v>
      </c>
      <c r="BC191">
        <f>IF(DATA!1405:1405,"AAAAAH1d/zY=",0)</f>
        <v>0</v>
      </c>
      <c r="BD191" t="e">
        <f>AND(DATA!A1405,"AAAAAH1d/zc=")</f>
        <v>#VALUE!</v>
      </c>
      <c r="BE191" t="e">
        <f>AND(DATA!B1405,"AAAAAH1d/zg=")</f>
        <v>#VALUE!</v>
      </c>
      <c r="BF191" t="e">
        <f>AND(DATA!C1405,"AAAAAH1d/zk=")</f>
        <v>#VALUE!</v>
      </c>
      <c r="BG191" t="e">
        <f>AND(DATA!D1405,"AAAAAH1d/zo=")</f>
        <v>#VALUE!</v>
      </c>
      <c r="BH191" t="e">
        <f>AND(DATA!E1405,"AAAAAH1d/zs=")</f>
        <v>#VALUE!</v>
      </c>
      <c r="BI191" t="e">
        <f>AND(DATA!F1405,"AAAAAH1d/zw=")</f>
        <v>#VALUE!</v>
      </c>
      <c r="BJ191" t="e">
        <f>AND(DATA!G1405,"AAAAAH1d/z0=")</f>
        <v>#VALUE!</v>
      </c>
      <c r="BK191" t="e">
        <f>AND(DATA!H1405,"AAAAAH1d/z4=")</f>
        <v>#VALUE!</v>
      </c>
      <c r="BL191" t="e">
        <f>AND(DATA!I1405,"AAAAAH1d/z8=")</f>
        <v>#VALUE!</v>
      </c>
      <c r="BM191" t="e">
        <f>AND(DATA!J1405,"AAAAAH1d/0A=")</f>
        <v>#VALUE!</v>
      </c>
      <c r="BN191" t="e">
        <f>AND(DATA!K1405,"AAAAAH1d/0E=")</f>
        <v>#VALUE!</v>
      </c>
      <c r="BO191" t="b">
        <f>AND(DATA!L1406,"AAAAAH1d/0I=")</f>
        <v>1</v>
      </c>
      <c r="BP191" t="b">
        <f>AND(DATA!M1406,"AAAAAH1d/0M=")</f>
        <v>1</v>
      </c>
      <c r="BQ191" t="b">
        <f>AND(DATA!N1406,"AAAAAH1d/0Q=")</f>
        <v>1</v>
      </c>
      <c r="BR191" t="b">
        <f>AND(DATA!O1406,"AAAAAH1d/0U=")</f>
        <v>1</v>
      </c>
      <c r="BS191" t="b">
        <f>AND(DATA!P1406,"AAAAAH1d/0Y=")</f>
        <v>1</v>
      </c>
      <c r="BT191" t="b">
        <f>AND(DATA!Q1406,"AAAAAH1d/0c=")</f>
        <v>1</v>
      </c>
      <c r="BU191" t="b">
        <f>AND(DATA!R1406,"AAAAAH1d/0g=")</f>
        <v>1</v>
      </c>
      <c r="BV191" t="b">
        <f>AND(DATA!S1406,"AAAAAH1d/0k=")</f>
        <v>1</v>
      </c>
      <c r="BW191" t="b">
        <f>AND(DATA!T1406,"AAAAAH1d/0o=")</f>
        <v>1</v>
      </c>
      <c r="BX191">
        <f>IF(DATA!1406:1406,"AAAAAH1d/0s=",0)</f>
        <v>0</v>
      </c>
      <c r="BY191" t="e">
        <f>AND(DATA!A1406,"AAAAAH1d/0w=")</f>
        <v>#VALUE!</v>
      </c>
      <c r="BZ191" t="e">
        <f>AND(DATA!B1406,"AAAAAH1d/00=")</f>
        <v>#VALUE!</v>
      </c>
      <c r="CA191" t="e">
        <f>AND(DATA!C1406,"AAAAAH1d/04=")</f>
        <v>#VALUE!</v>
      </c>
      <c r="CB191" t="e">
        <f>AND(DATA!D1406,"AAAAAH1d/08=")</f>
        <v>#VALUE!</v>
      </c>
      <c r="CC191" t="e">
        <f>AND(DATA!E1406,"AAAAAH1d/1A=")</f>
        <v>#VALUE!</v>
      </c>
      <c r="CD191" t="e">
        <f>AND(DATA!F1406,"AAAAAH1d/1E=")</f>
        <v>#VALUE!</v>
      </c>
      <c r="CE191" t="e">
        <f>AND(DATA!G1406,"AAAAAH1d/1I=")</f>
        <v>#VALUE!</v>
      </c>
      <c r="CF191" t="e">
        <f>AND(DATA!H1406,"AAAAAH1d/1M=")</f>
        <v>#VALUE!</v>
      </c>
      <c r="CG191" t="e">
        <f>AND(DATA!I1406,"AAAAAH1d/1Q=")</f>
        <v>#VALUE!</v>
      </c>
      <c r="CH191" t="e">
        <f>AND(DATA!J1406,"AAAAAH1d/1U=")</f>
        <v>#VALUE!</v>
      </c>
      <c r="CI191" t="e">
        <f>AND(DATA!K1406,"AAAAAH1d/1Y=")</f>
        <v>#VALUE!</v>
      </c>
      <c r="CJ191" t="b">
        <f>AND(DATA!L1407,"AAAAAH1d/1c=")</f>
        <v>1</v>
      </c>
      <c r="CK191" t="b">
        <f>AND(DATA!M1407,"AAAAAH1d/1g=")</f>
        <v>1</v>
      </c>
      <c r="CL191" t="b">
        <f>AND(DATA!N1407,"AAAAAH1d/1k=")</f>
        <v>1</v>
      </c>
      <c r="CM191" t="b">
        <f>AND(DATA!O1407,"AAAAAH1d/1o=")</f>
        <v>1</v>
      </c>
      <c r="CN191" t="b">
        <f>AND(DATA!P1407,"AAAAAH1d/1s=")</f>
        <v>1</v>
      </c>
      <c r="CO191" t="b">
        <f>AND(DATA!Q1407,"AAAAAH1d/1w=")</f>
        <v>1</v>
      </c>
      <c r="CP191" t="b">
        <f>AND(DATA!R1407,"AAAAAH1d/10=")</f>
        <v>1</v>
      </c>
      <c r="CQ191" t="b">
        <f>AND(DATA!S1407,"AAAAAH1d/14=")</f>
        <v>1</v>
      </c>
      <c r="CR191" t="b">
        <f>AND(DATA!T1407,"AAAAAH1d/18=")</f>
        <v>1</v>
      </c>
      <c r="CS191">
        <f>IF(DATA!1407:1407,"AAAAAH1d/2A=",0)</f>
        <v>0</v>
      </c>
      <c r="CT191" t="e">
        <f>AND(DATA!A1407,"AAAAAH1d/2E=")</f>
        <v>#VALUE!</v>
      </c>
      <c r="CU191" t="e">
        <f>AND(DATA!B1407,"AAAAAH1d/2I=")</f>
        <v>#VALUE!</v>
      </c>
      <c r="CV191" t="e">
        <f>AND(DATA!C1407,"AAAAAH1d/2M=")</f>
        <v>#VALUE!</v>
      </c>
      <c r="CW191" t="e">
        <f>AND(DATA!D1407,"AAAAAH1d/2Q=")</f>
        <v>#VALUE!</v>
      </c>
      <c r="CX191" t="e">
        <f>AND(DATA!E1407,"AAAAAH1d/2U=")</f>
        <v>#VALUE!</v>
      </c>
      <c r="CY191" t="e">
        <f>AND(DATA!F1407,"AAAAAH1d/2Y=")</f>
        <v>#VALUE!</v>
      </c>
      <c r="CZ191" t="e">
        <f>AND(DATA!G1407,"AAAAAH1d/2c=")</f>
        <v>#VALUE!</v>
      </c>
      <c r="DA191" t="e">
        <f>AND(DATA!H1407,"AAAAAH1d/2g=")</f>
        <v>#VALUE!</v>
      </c>
      <c r="DB191" t="e">
        <f>AND(DATA!I1407,"AAAAAH1d/2k=")</f>
        <v>#VALUE!</v>
      </c>
      <c r="DC191" t="e">
        <f>AND(DATA!J1407,"AAAAAH1d/2o=")</f>
        <v>#VALUE!</v>
      </c>
      <c r="DD191" t="e">
        <f>AND(DATA!K1407,"AAAAAH1d/2s=")</f>
        <v>#VALUE!</v>
      </c>
      <c r="DE191" t="b">
        <f>AND(DATA!L1408,"AAAAAH1d/2w=")</f>
        <v>1</v>
      </c>
      <c r="DF191" t="b">
        <f>AND(DATA!M1408,"AAAAAH1d/20=")</f>
        <v>1</v>
      </c>
      <c r="DG191" t="b">
        <f>AND(DATA!N1408,"AAAAAH1d/24=")</f>
        <v>1</v>
      </c>
      <c r="DH191" t="b">
        <f>AND(DATA!O1408,"AAAAAH1d/28=")</f>
        <v>1</v>
      </c>
      <c r="DI191" t="b">
        <f>AND(DATA!P1408,"AAAAAH1d/3A=")</f>
        <v>1</v>
      </c>
      <c r="DJ191" t="b">
        <f>AND(DATA!Q1408,"AAAAAH1d/3E=")</f>
        <v>1</v>
      </c>
      <c r="DK191" t="b">
        <f>AND(DATA!R1408,"AAAAAH1d/3I=")</f>
        <v>1</v>
      </c>
      <c r="DL191" t="b">
        <f>AND(DATA!S1408,"AAAAAH1d/3M=")</f>
        <v>1</v>
      </c>
      <c r="DM191" t="b">
        <f>AND(DATA!T1408,"AAAAAH1d/3Q=")</f>
        <v>1</v>
      </c>
      <c r="DN191">
        <f>IF(DATA!1408:1408,"AAAAAH1d/3U=",0)</f>
        <v>0</v>
      </c>
      <c r="DO191" t="e">
        <f>AND(DATA!A1408,"AAAAAH1d/3Y=")</f>
        <v>#VALUE!</v>
      </c>
      <c r="DP191" t="e">
        <f>AND(DATA!B1408,"AAAAAH1d/3c=")</f>
        <v>#VALUE!</v>
      </c>
      <c r="DQ191" t="e">
        <f>AND(DATA!C1408,"AAAAAH1d/3g=")</f>
        <v>#VALUE!</v>
      </c>
      <c r="DR191" t="e">
        <f>AND(DATA!D1408,"AAAAAH1d/3k=")</f>
        <v>#VALUE!</v>
      </c>
      <c r="DS191" t="e">
        <f>AND(DATA!E1408,"AAAAAH1d/3o=")</f>
        <v>#VALUE!</v>
      </c>
      <c r="DT191" t="e">
        <f>AND(DATA!F1408,"AAAAAH1d/3s=")</f>
        <v>#VALUE!</v>
      </c>
      <c r="DU191" t="e">
        <f>AND(DATA!G1408,"AAAAAH1d/3w=")</f>
        <v>#VALUE!</v>
      </c>
      <c r="DV191" t="e">
        <f>AND(DATA!H1408,"AAAAAH1d/30=")</f>
        <v>#VALUE!</v>
      </c>
      <c r="DW191" t="e">
        <f>AND(DATA!I1408,"AAAAAH1d/34=")</f>
        <v>#VALUE!</v>
      </c>
      <c r="DX191" t="e">
        <f>AND(DATA!J1408,"AAAAAH1d/38=")</f>
        <v>#VALUE!</v>
      </c>
      <c r="DY191" t="e">
        <f>AND(DATA!K1408,"AAAAAH1d/4A=")</f>
        <v>#VALUE!</v>
      </c>
      <c r="DZ191" t="b">
        <f>AND(DATA!L1409,"AAAAAH1d/4E=")</f>
        <v>1</v>
      </c>
      <c r="EA191" t="b">
        <f>AND(DATA!M1409,"AAAAAH1d/4I=")</f>
        <v>1</v>
      </c>
      <c r="EB191" t="b">
        <f>AND(DATA!N1409,"AAAAAH1d/4M=")</f>
        <v>1</v>
      </c>
      <c r="EC191" t="b">
        <f>AND(DATA!O1409,"AAAAAH1d/4Q=")</f>
        <v>1</v>
      </c>
      <c r="ED191" t="b">
        <f>AND(DATA!P1409,"AAAAAH1d/4U=")</f>
        <v>1</v>
      </c>
      <c r="EE191" t="b">
        <f>AND(DATA!Q1409,"AAAAAH1d/4Y=")</f>
        <v>1</v>
      </c>
      <c r="EF191" t="b">
        <f>AND(DATA!R1409,"AAAAAH1d/4c=")</f>
        <v>1</v>
      </c>
      <c r="EG191" t="b">
        <f>AND(DATA!S1409,"AAAAAH1d/4g=")</f>
        <v>1</v>
      </c>
      <c r="EH191" t="b">
        <f>AND(DATA!T1409,"AAAAAH1d/4k=")</f>
        <v>1</v>
      </c>
      <c r="EI191">
        <f>IF(DATA!1409:1409,"AAAAAH1d/4o=",0)</f>
        <v>0</v>
      </c>
      <c r="EJ191" t="e">
        <f>AND(DATA!A1409,"AAAAAH1d/4s=")</f>
        <v>#VALUE!</v>
      </c>
      <c r="EK191" t="e">
        <f>AND(DATA!B1409,"AAAAAH1d/4w=")</f>
        <v>#VALUE!</v>
      </c>
      <c r="EL191" t="e">
        <f>AND(DATA!C1409,"AAAAAH1d/40=")</f>
        <v>#VALUE!</v>
      </c>
      <c r="EM191" t="e">
        <f>AND(DATA!D1409,"AAAAAH1d/44=")</f>
        <v>#VALUE!</v>
      </c>
      <c r="EN191" t="e">
        <f>AND(DATA!E1409,"AAAAAH1d/48=")</f>
        <v>#VALUE!</v>
      </c>
      <c r="EO191" t="e">
        <f>AND(DATA!F1409,"AAAAAH1d/5A=")</f>
        <v>#VALUE!</v>
      </c>
      <c r="EP191" t="e">
        <f>AND(DATA!G1409,"AAAAAH1d/5E=")</f>
        <v>#VALUE!</v>
      </c>
      <c r="EQ191" t="e">
        <f>AND(DATA!H1409,"AAAAAH1d/5I=")</f>
        <v>#VALUE!</v>
      </c>
      <c r="ER191" t="e">
        <f>AND(DATA!I1409,"AAAAAH1d/5M=")</f>
        <v>#VALUE!</v>
      </c>
      <c r="ES191" t="e">
        <f>AND(DATA!J1409,"AAAAAH1d/5Q=")</f>
        <v>#VALUE!</v>
      </c>
      <c r="ET191" t="e">
        <f>AND(DATA!K1409,"AAAAAH1d/5U=")</f>
        <v>#VALUE!</v>
      </c>
      <c r="EU191" t="b">
        <f>AND(DATA!L1410,"AAAAAH1d/5Y=")</f>
        <v>1</v>
      </c>
      <c r="EV191" t="b">
        <f>AND(DATA!M1410,"AAAAAH1d/5c=")</f>
        <v>1</v>
      </c>
      <c r="EW191" t="b">
        <f>AND(DATA!N1410,"AAAAAH1d/5g=")</f>
        <v>1</v>
      </c>
      <c r="EX191" t="b">
        <f>AND(DATA!O1410,"AAAAAH1d/5k=")</f>
        <v>1</v>
      </c>
      <c r="EY191" t="b">
        <f>AND(DATA!P1410,"AAAAAH1d/5o=")</f>
        <v>1</v>
      </c>
      <c r="EZ191" t="b">
        <f>AND(DATA!Q1410,"AAAAAH1d/5s=")</f>
        <v>1</v>
      </c>
      <c r="FA191" t="b">
        <f>AND(DATA!R1410,"AAAAAH1d/5w=")</f>
        <v>1</v>
      </c>
      <c r="FB191" t="b">
        <f>AND(DATA!S1410,"AAAAAH1d/50=")</f>
        <v>1</v>
      </c>
      <c r="FC191" t="b">
        <f>AND(DATA!T1410,"AAAAAH1d/54=")</f>
        <v>1</v>
      </c>
      <c r="FD191">
        <f>IF(DATA!1410:1410,"AAAAAH1d/58=",0)</f>
        <v>0</v>
      </c>
      <c r="FE191" t="e">
        <f>AND(DATA!A1410,"AAAAAH1d/6A=")</f>
        <v>#VALUE!</v>
      </c>
      <c r="FF191" t="e">
        <f>AND(DATA!B1410,"AAAAAH1d/6E=")</f>
        <v>#VALUE!</v>
      </c>
      <c r="FG191" t="e">
        <f>AND(DATA!C1410,"AAAAAH1d/6I=")</f>
        <v>#VALUE!</v>
      </c>
      <c r="FH191" t="e">
        <f>AND(DATA!D1410,"AAAAAH1d/6M=")</f>
        <v>#VALUE!</v>
      </c>
      <c r="FI191" t="e">
        <f>AND(DATA!E1410,"AAAAAH1d/6Q=")</f>
        <v>#VALUE!</v>
      </c>
      <c r="FJ191" t="e">
        <f>AND(DATA!F1410,"AAAAAH1d/6U=")</f>
        <v>#VALUE!</v>
      </c>
      <c r="FK191" t="e">
        <f>AND(DATA!G1410,"AAAAAH1d/6Y=")</f>
        <v>#VALUE!</v>
      </c>
      <c r="FL191" t="e">
        <f>AND(DATA!H1410,"AAAAAH1d/6c=")</f>
        <v>#VALUE!</v>
      </c>
      <c r="FM191" t="e">
        <f>AND(DATA!I1410,"AAAAAH1d/6g=")</f>
        <v>#VALUE!</v>
      </c>
      <c r="FN191" t="e">
        <f>AND(DATA!J1410,"AAAAAH1d/6k=")</f>
        <v>#VALUE!</v>
      </c>
      <c r="FO191" t="e">
        <f>AND(DATA!K1410,"AAAAAH1d/6o=")</f>
        <v>#VALUE!</v>
      </c>
      <c r="FP191" t="b">
        <f>AND(DATA!L1411,"AAAAAH1d/6s=")</f>
        <v>1</v>
      </c>
      <c r="FQ191" t="b">
        <f>AND(DATA!M1411,"AAAAAH1d/6w=")</f>
        <v>1</v>
      </c>
      <c r="FR191" t="b">
        <f>AND(DATA!N1411,"AAAAAH1d/60=")</f>
        <v>1</v>
      </c>
      <c r="FS191" t="b">
        <f>AND(DATA!O1411,"AAAAAH1d/64=")</f>
        <v>1</v>
      </c>
      <c r="FT191" t="b">
        <f>AND(DATA!P1411,"AAAAAH1d/68=")</f>
        <v>1</v>
      </c>
      <c r="FU191" t="b">
        <f>AND(DATA!Q1411,"AAAAAH1d/7A=")</f>
        <v>1</v>
      </c>
      <c r="FV191" t="b">
        <f>AND(DATA!R1411,"AAAAAH1d/7E=")</f>
        <v>1</v>
      </c>
      <c r="FW191" t="b">
        <f>AND(DATA!S1411,"AAAAAH1d/7I=")</f>
        <v>1</v>
      </c>
      <c r="FX191" t="b">
        <f>AND(DATA!T1411,"AAAAAH1d/7M=")</f>
        <v>1</v>
      </c>
      <c r="FY191">
        <f>IF(DATA!1411:1411,"AAAAAH1d/7Q=",0)</f>
        <v>0</v>
      </c>
      <c r="FZ191" t="e">
        <f>AND(DATA!A1411,"AAAAAH1d/7U=")</f>
        <v>#VALUE!</v>
      </c>
      <c r="GA191" t="e">
        <f>AND(DATA!B1411,"AAAAAH1d/7Y=")</f>
        <v>#VALUE!</v>
      </c>
      <c r="GB191" t="e">
        <f>AND(DATA!C1411,"AAAAAH1d/7c=")</f>
        <v>#VALUE!</v>
      </c>
      <c r="GC191" t="e">
        <f>AND(DATA!D1411,"AAAAAH1d/7g=")</f>
        <v>#VALUE!</v>
      </c>
      <c r="GD191" t="e">
        <f>AND(DATA!E1411,"AAAAAH1d/7k=")</f>
        <v>#VALUE!</v>
      </c>
      <c r="GE191" t="e">
        <f>AND(DATA!F1411,"AAAAAH1d/7o=")</f>
        <v>#VALUE!</v>
      </c>
      <c r="GF191" t="e">
        <f>AND(DATA!G1411,"AAAAAH1d/7s=")</f>
        <v>#VALUE!</v>
      </c>
      <c r="GG191" t="e">
        <f>AND(DATA!H1411,"AAAAAH1d/7w=")</f>
        <v>#VALUE!</v>
      </c>
      <c r="GH191" t="e">
        <f>AND(DATA!I1411,"AAAAAH1d/70=")</f>
        <v>#VALUE!</v>
      </c>
      <c r="GI191" t="e">
        <f>AND(DATA!J1411,"AAAAAH1d/74=")</f>
        <v>#VALUE!</v>
      </c>
      <c r="GJ191" t="e">
        <f>AND(DATA!K1411,"AAAAAH1d/78=")</f>
        <v>#VALUE!</v>
      </c>
      <c r="GK191" t="b">
        <f>AND(DATA!L1412,"AAAAAH1d/8A=")</f>
        <v>1</v>
      </c>
      <c r="GL191" t="b">
        <f>AND(DATA!M1412,"AAAAAH1d/8E=")</f>
        <v>1</v>
      </c>
      <c r="GM191" t="b">
        <f>AND(DATA!N1412,"AAAAAH1d/8I=")</f>
        <v>1</v>
      </c>
      <c r="GN191" t="b">
        <f>AND(DATA!O1412,"AAAAAH1d/8M=")</f>
        <v>1</v>
      </c>
      <c r="GO191" t="b">
        <f>AND(DATA!P1412,"AAAAAH1d/8Q=")</f>
        <v>1</v>
      </c>
      <c r="GP191" t="b">
        <f>AND(DATA!Q1412,"AAAAAH1d/8U=")</f>
        <v>1</v>
      </c>
      <c r="GQ191" t="b">
        <f>AND(DATA!R1412,"AAAAAH1d/8Y=")</f>
        <v>1</v>
      </c>
      <c r="GR191" t="b">
        <f>AND(DATA!S1412,"AAAAAH1d/8c=")</f>
        <v>1</v>
      </c>
      <c r="GS191" t="b">
        <f>AND(DATA!T1412,"AAAAAH1d/8g=")</f>
        <v>1</v>
      </c>
      <c r="GT191">
        <f>IF(DATA!1412:1412,"AAAAAH1d/8k=",0)</f>
        <v>0</v>
      </c>
      <c r="GU191" t="e">
        <f>AND(DATA!A1412,"AAAAAH1d/8o=")</f>
        <v>#VALUE!</v>
      </c>
      <c r="GV191" t="e">
        <f>AND(DATA!B1412,"AAAAAH1d/8s=")</f>
        <v>#VALUE!</v>
      </c>
      <c r="GW191" t="e">
        <f>AND(DATA!C1412,"AAAAAH1d/8w=")</f>
        <v>#VALUE!</v>
      </c>
      <c r="GX191" t="e">
        <f>AND(DATA!D1412,"AAAAAH1d/80=")</f>
        <v>#VALUE!</v>
      </c>
      <c r="GY191" t="e">
        <f>AND(DATA!E1412,"AAAAAH1d/84=")</f>
        <v>#VALUE!</v>
      </c>
      <c r="GZ191" t="e">
        <f>AND(DATA!F1412,"AAAAAH1d/88=")</f>
        <v>#VALUE!</v>
      </c>
      <c r="HA191" t="e">
        <f>AND(DATA!G1412,"AAAAAH1d/9A=")</f>
        <v>#VALUE!</v>
      </c>
      <c r="HB191" t="e">
        <f>AND(DATA!H1412,"AAAAAH1d/9E=")</f>
        <v>#VALUE!</v>
      </c>
      <c r="HC191" t="e">
        <f>AND(DATA!I1412,"AAAAAH1d/9I=")</f>
        <v>#VALUE!</v>
      </c>
      <c r="HD191" t="e">
        <f>AND(DATA!J1412,"AAAAAH1d/9M=")</f>
        <v>#VALUE!</v>
      </c>
      <c r="HE191" t="e">
        <f>AND(DATA!K1412,"AAAAAH1d/9Q=")</f>
        <v>#VALUE!</v>
      </c>
      <c r="HF191" t="b">
        <f>AND(DATA!L1413,"AAAAAH1d/9U=")</f>
        <v>1</v>
      </c>
      <c r="HG191" t="b">
        <f>AND(DATA!M1413,"AAAAAH1d/9Y=")</f>
        <v>1</v>
      </c>
      <c r="HH191" t="b">
        <f>AND(DATA!N1413,"AAAAAH1d/9c=")</f>
        <v>1</v>
      </c>
      <c r="HI191" t="b">
        <f>AND(DATA!O1413,"AAAAAH1d/9g=")</f>
        <v>1</v>
      </c>
      <c r="HJ191" t="b">
        <f>AND(DATA!P1413,"AAAAAH1d/9k=")</f>
        <v>1</v>
      </c>
      <c r="HK191" t="b">
        <f>AND(DATA!Q1413,"AAAAAH1d/9o=")</f>
        <v>1</v>
      </c>
      <c r="HL191" t="b">
        <f>AND(DATA!R1413,"AAAAAH1d/9s=")</f>
        <v>1</v>
      </c>
      <c r="HM191" t="b">
        <f>AND(DATA!S1413,"AAAAAH1d/9w=")</f>
        <v>1</v>
      </c>
      <c r="HN191" t="b">
        <f>AND(DATA!T1413,"AAAAAH1d/90=")</f>
        <v>1</v>
      </c>
      <c r="HO191">
        <f>IF(DATA!1413:1413,"AAAAAH1d/94=",0)</f>
        <v>0</v>
      </c>
      <c r="HP191" t="e">
        <f>AND(DATA!A1413,"AAAAAH1d/98=")</f>
        <v>#VALUE!</v>
      </c>
      <c r="HQ191" t="e">
        <f>AND(DATA!B1413,"AAAAAH1d/+A=")</f>
        <v>#VALUE!</v>
      </c>
      <c r="HR191" t="e">
        <f>AND(DATA!C1413,"AAAAAH1d/+E=")</f>
        <v>#VALUE!</v>
      </c>
      <c r="HS191" t="e">
        <f>AND(DATA!D1413,"AAAAAH1d/+I=")</f>
        <v>#VALUE!</v>
      </c>
      <c r="HT191" t="e">
        <f>AND(DATA!E1413,"AAAAAH1d/+M=")</f>
        <v>#VALUE!</v>
      </c>
      <c r="HU191" t="e">
        <f>AND(DATA!F1413,"AAAAAH1d/+Q=")</f>
        <v>#VALUE!</v>
      </c>
      <c r="HV191" t="e">
        <f>AND(DATA!G1413,"AAAAAH1d/+U=")</f>
        <v>#VALUE!</v>
      </c>
      <c r="HW191" t="e">
        <f>AND(DATA!H1413,"AAAAAH1d/+Y=")</f>
        <v>#VALUE!</v>
      </c>
      <c r="HX191" t="e">
        <f>AND(DATA!I1413,"AAAAAH1d/+c=")</f>
        <v>#VALUE!</v>
      </c>
      <c r="HY191" t="e">
        <f>AND(DATA!J1413,"AAAAAH1d/+g=")</f>
        <v>#VALUE!</v>
      </c>
      <c r="HZ191" t="e">
        <f>AND(DATA!K1413,"AAAAAH1d/+k=")</f>
        <v>#VALUE!</v>
      </c>
      <c r="IA191" t="b">
        <f>AND(DATA!L1414,"AAAAAH1d/+o=")</f>
        <v>1</v>
      </c>
      <c r="IB191" t="b">
        <f>AND(DATA!M1414,"AAAAAH1d/+s=")</f>
        <v>1</v>
      </c>
      <c r="IC191" t="b">
        <f>AND(DATA!N1414,"AAAAAH1d/+w=")</f>
        <v>1</v>
      </c>
      <c r="ID191" t="b">
        <f>AND(DATA!O1414,"AAAAAH1d/+0=")</f>
        <v>1</v>
      </c>
      <c r="IE191" t="b">
        <f>AND(DATA!P1414,"AAAAAH1d/+4=")</f>
        <v>1</v>
      </c>
      <c r="IF191" t="b">
        <f>AND(DATA!Q1414,"AAAAAH1d/+8=")</f>
        <v>1</v>
      </c>
      <c r="IG191" t="b">
        <f>AND(DATA!R1414,"AAAAAH1d//A=")</f>
        <v>1</v>
      </c>
      <c r="IH191" t="b">
        <f>AND(DATA!S1414,"AAAAAH1d//E=")</f>
        <v>1</v>
      </c>
      <c r="II191" t="b">
        <f>AND(DATA!T1414,"AAAAAH1d//I=")</f>
        <v>1</v>
      </c>
      <c r="IJ191">
        <f>IF(DATA!1414:1414,"AAAAAH1d//M=",0)</f>
        <v>0</v>
      </c>
      <c r="IK191" t="e">
        <f>AND(DATA!A1414,"AAAAAH1d//Q=")</f>
        <v>#VALUE!</v>
      </c>
      <c r="IL191" t="e">
        <f>AND(DATA!B1414,"AAAAAH1d//U=")</f>
        <v>#VALUE!</v>
      </c>
      <c r="IM191" t="e">
        <f>AND(DATA!C1414,"AAAAAH1d//Y=")</f>
        <v>#VALUE!</v>
      </c>
      <c r="IN191" t="e">
        <f>AND(DATA!D1414,"AAAAAH1d//c=")</f>
        <v>#VALUE!</v>
      </c>
      <c r="IO191" t="e">
        <f>AND(DATA!E1414,"AAAAAH1d//g=")</f>
        <v>#VALUE!</v>
      </c>
      <c r="IP191" t="e">
        <f>AND(DATA!F1414,"AAAAAH1d//k=")</f>
        <v>#VALUE!</v>
      </c>
      <c r="IQ191" t="e">
        <f>AND(DATA!G1414,"AAAAAH1d//o=")</f>
        <v>#VALUE!</v>
      </c>
      <c r="IR191" t="e">
        <f>AND(DATA!H1414,"AAAAAH1d//s=")</f>
        <v>#VALUE!</v>
      </c>
      <c r="IS191" t="e">
        <f>AND(DATA!I1414,"AAAAAH1d//w=")</f>
        <v>#VALUE!</v>
      </c>
      <c r="IT191" t="e">
        <f>AND(DATA!J1414,"AAAAAH1d//0=")</f>
        <v>#VALUE!</v>
      </c>
      <c r="IU191" t="e">
        <f>AND(DATA!K1414,"AAAAAH1d//4=")</f>
        <v>#VALUE!</v>
      </c>
      <c r="IV191" t="b">
        <f>AND(DATA!L1415,"AAAAAH1d//8=")</f>
        <v>1</v>
      </c>
    </row>
    <row r="192" spans="1:256" x14ac:dyDescent="0.25">
      <c r="A192" t="b">
        <f>AND(DATA!M1415,"AAAAAEff/wA=")</f>
        <v>1</v>
      </c>
      <c r="B192" t="b">
        <f>AND(DATA!N1415,"AAAAAEff/wE=")</f>
        <v>1</v>
      </c>
      <c r="C192" t="b">
        <f>AND(DATA!O1415,"AAAAAEff/wI=")</f>
        <v>1</v>
      </c>
      <c r="D192" t="b">
        <f>AND(DATA!P1415,"AAAAAEff/wM=")</f>
        <v>1</v>
      </c>
      <c r="E192" t="b">
        <f>AND(DATA!Q1415,"AAAAAEff/wQ=")</f>
        <v>1</v>
      </c>
      <c r="F192" t="b">
        <f>AND(DATA!R1415,"AAAAAEff/wU=")</f>
        <v>1</v>
      </c>
      <c r="G192" t="b">
        <f>AND(DATA!S1415,"AAAAAEff/wY=")</f>
        <v>1</v>
      </c>
      <c r="H192" t="b">
        <f>AND(DATA!T1415,"AAAAAEff/wc=")</f>
        <v>1</v>
      </c>
      <c r="I192">
        <f>IF(DATA!1415:1415,"AAAAAEff/wg=",0)</f>
        <v>0</v>
      </c>
      <c r="J192" t="e">
        <f>AND(DATA!A1415,"AAAAAEff/wk=")</f>
        <v>#VALUE!</v>
      </c>
      <c r="K192" t="e">
        <f>AND(DATA!B1415,"AAAAAEff/wo=")</f>
        <v>#VALUE!</v>
      </c>
      <c r="L192" t="e">
        <f>AND(DATA!C1415,"AAAAAEff/ws=")</f>
        <v>#VALUE!</v>
      </c>
      <c r="M192" t="e">
        <f>AND(DATA!D1415,"AAAAAEff/ww=")</f>
        <v>#VALUE!</v>
      </c>
      <c r="N192" t="e">
        <f>AND(DATA!E1415,"AAAAAEff/w0=")</f>
        <v>#VALUE!</v>
      </c>
      <c r="O192" t="e">
        <f>AND(DATA!F1415,"AAAAAEff/w4=")</f>
        <v>#VALUE!</v>
      </c>
      <c r="P192" t="e">
        <f>AND(DATA!G1415,"AAAAAEff/w8=")</f>
        <v>#VALUE!</v>
      </c>
      <c r="Q192" t="e">
        <f>AND(DATA!H1415,"AAAAAEff/xA=")</f>
        <v>#VALUE!</v>
      </c>
      <c r="R192" t="e">
        <f>AND(DATA!I1415,"AAAAAEff/xE=")</f>
        <v>#VALUE!</v>
      </c>
      <c r="S192" t="e">
        <f>AND(DATA!J1415,"AAAAAEff/xI=")</f>
        <v>#VALUE!</v>
      </c>
      <c r="T192" t="e">
        <f>AND(DATA!K1415,"AAAAAEff/xM=")</f>
        <v>#VALUE!</v>
      </c>
      <c r="U192" t="b">
        <f>AND(DATA!L1416,"AAAAAEff/xQ=")</f>
        <v>1</v>
      </c>
      <c r="V192" t="b">
        <f>AND(DATA!M1416,"AAAAAEff/xU=")</f>
        <v>1</v>
      </c>
      <c r="W192" t="b">
        <f>AND(DATA!N1416,"AAAAAEff/xY=")</f>
        <v>1</v>
      </c>
      <c r="X192" t="b">
        <f>AND(DATA!O1416,"AAAAAEff/xc=")</f>
        <v>1</v>
      </c>
      <c r="Y192" t="b">
        <f>AND(DATA!P1416,"AAAAAEff/xg=")</f>
        <v>1</v>
      </c>
      <c r="Z192" t="b">
        <f>AND(DATA!Q1416,"AAAAAEff/xk=")</f>
        <v>1</v>
      </c>
      <c r="AA192" t="b">
        <f>AND(DATA!R1416,"AAAAAEff/xo=")</f>
        <v>1</v>
      </c>
      <c r="AB192" t="b">
        <f>AND(DATA!S1416,"AAAAAEff/xs=")</f>
        <v>1</v>
      </c>
      <c r="AC192" t="b">
        <f>AND(DATA!T1416,"AAAAAEff/xw=")</f>
        <v>1</v>
      </c>
      <c r="AD192">
        <f>IF(DATA!1416:1416,"AAAAAEff/x0=",0)</f>
        <v>0</v>
      </c>
      <c r="AE192" t="e">
        <f>AND(DATA!A1416,"AAAAAEff/x4=")</f>
        <v>#VALUE!</v>
      </c>
      <c r="AF192" t="e">
        <f>AND(DATA!B1416,"AAAAAEff/x8=")</f>
        <v>#VALUE!</v>
      </c>
      <c r="AG192" t="e">
        <f>AND(DATA!C1416,"AAAAAEff/yA=")</f>
        <v>#VALUE!</v>
      </c>
      <c r="AH192" t="e">
        <f>AND(DATA!D1416,"AAAAAEff/yE=")</f>
        <v>#VALUE!</v>
      </c>
      <c r="AI192" t="e">
        <f>AND(DATA!E1416,"AAAAAEff/yI=")</f>
        <v>#VALUE!</v>
      </c>
      <c r="AJ192" t="e">
        <f>AND(DATA!F1416,"AAAAAEff/yM=")</f>
        <v>#VALUE!</v>
      </c>
      <c r="AK192" t="e">
        <f>AND(DATA!G1416,"AAAAAEff/yQ=")</f>
        <v>#VALUE!</v>
      </c>
      <c r="AL192" t="e">
        <f>AND(DATA!H1416,"AAAAAEff/yU=")</f>
        <v>#VALUE!</v>
      </c>
      <c r="AM192" t="e">
        <f>AND(DATA!I1416,"AAAAAEff/yY=")</f>
        <v>#VALUE!</v>
      </c>
      <c r="AN192" t="e">
        <f>AND(DATA!J1416,"AAAAAEff/yc=")</f>
        <v>#VALUE!</v>
      </c>
      <c r="AO192" t="e">
        <f>AND(DATA!K1416,"AAAAAEff/yg=")</f>
        <v>#VALUE!</v>
      </c>
      <c r="AP192" t="b">
        <f>AND(DATA!L1417,"AAAAAEff/yk=")</f>
        <v>1</v>
      </c>
      <c r="AQ192" t="b">
        <f>AND(DATA!M1417,"AAAAAEff/yo=")</f>
        <v>1</v>
      </c>
      <c r="AR192" t="b">
        <f>AND(DATA!N1417,"AAAAAEff/ys=")</f>
        <v>1</v>
      </c>
      <c r="AS192" t="b">
        <f>AND(DATA!O1417,"AAAAAEff/yw=")</f>
        <v>1</v>
      </c>
      <c r="AT192" t="b">
        <f>AND(DATA!P1417,"AAAAAEff/y0=")</f>
        <v>1</v>
      </c>
      <c r="AU192" t="b">
        <f>AND(DATA!Q1417,"AAAAAEff/y4=")</f>
        <v>1</v>
      </c>
      <c r="AV192" t="b">
        <f>AND(DATA!R1417,"AAAAAEff/y8=")</f>
        <v>1</v>
      </c>
      <c r="AW192" t="b">
        <f>AND(DATA!S1417,"AAAAAEff/zA=")</f>
        <v>1</v>
      </c>
      <c r="AX192" t="b">
        <f>AND(DATA!T1417,"AAAAAEff/zE=")</f>
        <v>1</v>
      </c>
      <c r="AY192">
        <f>IF(DATA!1417:1417,"AAAAAEff/zI=",0)</f>
        <v>0</v>
      </c>
      <c r="AZ192" t="e">
        <f>AND(DATA!A1417,"AAAAAEff/zM=")</f>
        <v>#VALUE!</v>
      </c>
      <c r="BA192" t="e">
        <f>AND(DATA!B1417,"AAAAAEff/zQ=")</f>
        <v>#VALUE!</v>
      </c>
      <c r="BB192" t="e">
        <f>AND(DATA!C1417,"AAAAAEff/zU=")</f>
        <v>#VALUE!</v>
      </c>
      <c r="BC192" t="e">
        <f>AND(DATA!D1417,"AAAAAEff/zY=")</f>
        <v>#VALUE!</v>
      </c>
      <c r="BD192" t="e">
        <f>AND(DATA!E1417,"AAAAAEff/zc=")</f>
        <v>#VALUE!</v>
      </c>
      <c r="BE192" t="e">
        <f>AND(DATA!F1417,"AAAAAEff/zg=")</f>
        <v>#VALUE!</v>
      </c>
      <c r="BF192" t="e">
        <f>AND(DATA!G1417,"AAAAAEff/zk=")</f>
        <v>#VALUE!</v>
      </c>
      <c r="BG192" t="e">
        <f>AND(DATA!H1417,"AAAAAEff/zo=")</f>
        <v>#VALUE!</v>
      </c>
      <c r="BH192" t="e">
        <f>AND(DATA!I1417,"AAAAAEff/zs=")</f>
        <v>#VALUE!</v>
      </c>
      <c r="BI192" t="e">
        <f>AND(DATA!J1417,"AAAAAEff/zw=")</f>
        <v>#VALUE!</v>
      </c>
      <c r="BJ192" t="e">
        <f>AND(DATA!K1417,"AAAAAEff/z0=")</f>
        <v>#VALUE!</v>
      </c>
      <c r="BK192" t="b">
        <f>AND(DATA!L1418,"AAAAAEff/z4=")</f>
        <v>1</v>
      </c>
      <c r="BL192" t="b">
        <f>AND(DATA!M1418,"AAAAAEff/z8=")</f>
        <v>1</v>
      </c>
      <c r="BM192" t="b">
        <f>AND(DATA!N1418,"AAAAAEff/0A=")</f>
        <v>1</v>
      </c>
      <c r="BN192" t="b">
        <f>AND(DATA!O1418,"AAAAAEff/0E=")</f>
        <v>1</v>
      </c>
      <c r="BO192" t="b">
        <f>AND(DATA!P1418,"AAAAAEff/0I=")</f>
        <v>1</v>
      </c>
      <c r="BP192" t="b">
        <f>AND(DATA!Q1418,"AAAAAEff/0M=")</f>
        <v>1</v>
      </c>
      <c r="BQ192" t="b">
        <f>AND(DATA!R1418,"AAAAAEff/0Q=")</f>
        <v>1</v>
      </c>
      <c r="BR192" t="b">
        <f>AND(DATA!S1418,"AAAAAEff/0U=")</f>
        <v>1</v>
      </c>
      <c r="BS192" t="b">
        <f>AND(DATA!T1418,"AAAAAEff/0Y=")</f>
        <v>1</v>
      </c>
      <c r="BT192">
        <f>IF(DATA!1418:1418,"AAAAAEff/0c=",0)</f>
        <v>0</v>
      </c>
      <c r="BU192" t="e">
        <f>AND(DATA!A1418,"AAAAAEff/0g=")</f>
        <v>#VALUE!</v>
      </c>
      <c r="BV192" t="e">
        <f>AND(DATA!B1418,"AAAAAEff/0k=")</f>
        <v>#VALUE!</v>
      </c>
      <c r="BW192" t="e">
        <f>AND(DATA!C1418,"AAAAAEff/0o=")</f>
        <v>#VALUE!</v>
      </c>
      <c r="BX192" t="e">
        <f>AND(DATA!D1418,"AAAAAEff/0s=")</f>
        <v>#VALUE!</v>
      </c>
      <c r="BY192" t="e">
        <f>AND(DATA!E1418,"AAAAAEff/0w=")</f>
        <v>#VALUE!</v>
      </c>
      <c r="BZ192" t="e">
        <f>AND(DATA!F1418,"AAAAAEff/00=")</f>
        <v>#VALUE!</v>
      </c>
      <c r="CA192" t="e">
        <f>AND(DATA!G1418,"AAAAAEff/04=")</f>
        <v>#VALUE!</v>
      </c>
      <c r="CB192" t="e">
        <f>AND(DATA!H1418,"AAAAAEff/08=")</f>
        <v>#VALUE!</v>
      </c>
      <c r="CC192" t="e">
        <f>AND(DATA!I1418,"AAAAAEff/1A=")</f>
        <v>#VALUE!</v>
      </c>
      <c r="CD192" t="e">
        <f>AND(DATA!J1418,"AAAAAEff/1E=")</f>
        <v>#VALUE!</v>
      </c>
      <c r="CE192" t="e">
        <f>AND(DATA!K1418,"AAAAAEff/1I=")</f>
        <v>#VALUE!</v>
      </c>
      <c r="CF192" t="b">
        <f>AND(DATA!L1419,"AAAAAEff/1M=")</f>
        <v>1</v>
      </c>
      <c r="CG192" t="b">
        <f>AND(DATA!M1419,"AAAAAEff/1Q=")</f>
        <v>1</v>
      </c>
      <c r="CH192" t="b">
        <f>AND(DATA!N1419,"AAAAAEff/1U=")</f>
        <v>1</v>
      </c>
      <c r="CI192" t="b">
        <f>AND(DATA!O1419,"AAAAAEff/1Y=")</f>
        <v>1</v>
      </c>
      <c r="CJ192" t="b">
        <f>AND(DATA!P1419,"AAAAAEff/1c=")</f>
        <v>1</v>
      </c>
      <c r="CK192" t="b">
        <f>AND(DATA!Q1419,"AAAAAEff/1g=")</f>
        <v>1</v>
      </c>
      <c r="CL192" t="b">
        <f>AND(DATA!R1419,"AAAAAEff/1k=")</f>
        <v>1</v>
      </c>
      <c r="CM192" t="b">
        <f>AND(DATA!S1419,"AAAAAEff/1o=")</f>
        <v>1</v>
      </c>
      <c r="CN192" t="b">
        <f>AND(DATA!T1419,"AAAAAEff/1s=")</f>
        <v>1</v>
      </c>
      <c r="CO192">
        <f>IF(DATA!1419:1419,"AAAAAEff/1w=",0)</f>
        <v>0</v>
      </c>
      <c r="CP192" t="e">
        <f>AND(DATA!A1419,"AAAAAEff/10=")</f>
        <v>#VALUE!</v>
      </c>
      <c r="CQ192" t="e">
        <f>AND(DATA!B1419,"AAAAAEff/14=")</f>
        <v>#VALUE!</v>
      </c>
      <c r="CR192" t="e">
        <f>AND(DATA!C1419,"AAAAAEff/18=")</f>
        <v>#VALUE!</v>
      </c>
      <c r="CS192" t="e">
        <f>AND(DATA!D1419,"AAAAAEff/2A=")</f>
        <v>#VALUE!</v>
      </c>
      <c r="CT192" t="e">
        <f>AND(DATA!E1419,"AAAAAEff/2E=")</f>
        <v>#VALUE!</v>
      </c>
      <c r="CU192" t="e">
        <f>AND(DATA!F1419,"AAAAAEff/2I=")</f>
        <v>#VALUE!</v>
      </c>
      <c r="CV192" t="e">
        <f>AND(DATA!G1419,"AAAAAEff/2M=")</f>
        <v>#VALUE!</v>
      </c>
      <c r="CW192" t="e">
        <f>AND(DATA!H1419,"AAAAAEff/2Q=")</f>
        <v>#VALUE!</v>
      </c>
      <c r="CX192" t="e">
        <f>AND(DATA!I1419,"AAAAAEff/2U=")</f>
        <v>#VALUE!</v>
      </c>
      <c r="CY192" t="e">
        <f>AND(DATA!J1419,"AAAAAEff/2Y=")</f>
        <v>#VALUE!</v>
      </c>
      <c r="CZ192" t="e">
        <f>AND(DATA!K1419,"AAAAAEff/2c=")</f>
        <v>#VALUE!</v>
      </c>
      <c r="DA192" t="b">
        <f>AND(DATA!L1420,"AAAAAEff/2g=")</f>
        <v>1</v>
      </c>
      <c r="DB192" t="b">
        <f>AND(DATA!M1420,"AAAAAEff/2k=")</f>
        <v>1</v>
      </c>
      <c r="DC192" t="b">
        <f>AND(DATA!N1420,"AAAAAEff/2o=")</f>
        <v>1</v>
      </c>
      <c r="DD192" t="b">
        <f>AND(DATA!O1420,"AAAAAEff/2s=")</f>
        <v>1</v>
      </c>
      <c r="DE192" t="b">
        <f>AND(DATA!P1420,"AAAAAEff/2w=")</f>
        <v>1</v>
      </c>
      <c r="DF192" t="b">
        <f>AND(DATA!Q1420,"AAAAAEff/20=")</f>
        <v>1</v>
      </c>
      <c r="DG192" t="b">
        <f>AND(DATA!R1420,"AAAAAEff/24=")</f>
        <v>1</v>
      </c>
      <c r="DH192" t="b">
        <f>AND(DATA!S1420,"AAAAAEff/28=")</f>
        <v>1</v>
      </c>
      <c r="DI192" t="b">
        <f>AND(DATA!T1420,"AAAAAEff/3A=")</f>
        <v>1</v>
      </c>
      <c r="DJ192">
        <f>IF(DATA!1420:1420,"AAAAAEff/3E=",0)</f>
        <v>0</v>
      </c>
      <c r="DK192" t="e">
        <f>AND(DATA!A1420,"AAAAAEff/3I=")</f>
        <v>#VALUE!</v>
      </c>
      <c r="DL192" t="e">
        <f>AND(DATA!B1420,"AAAAAEff/3M=")</f>
        <v>#VALUE!</v>
      </c>
      <c r="DM192" t="e">
        <f>AND(DATA!C1420,"AAAAAEff/3Q=")</f>
        <v>#VALUE!</v>
      </c>
      <c r="DN192" t="e">
        <f>AND(DATA!D1420,"AAAAAEff/3U=")</f>
        <v>#VALUE!</v>
      </c>
      <c r="DO192" t="e">
        <f>AND(DATA!E1420,"AAAAAEff/3Y=")</f>
        <v>#VALUE!</v>
      </c>
      <c r="DP192" t="e">
        <f>AND(DATA!F1420,"AAAAAEff/3c=")</f>
        <v>#VALUE!</v>
      </c>
      <c r="DQ192" t="e">
        <f>AND(DATA!G1420,"AAAAAEff/3g=")</f>
        <v>#VALUE!</v>
      </c>
      <c r="DR192" t="e">
        <f>AND(DATA!H1420,"AAAAAEff/3k=")</f>
        <v>#VALUE!</v>
      </c>
      <c r="DS192" t="e">
        <f>AND(DATA!I1420,"AAAAAEff/3o=")</f>
        <v>#VALUE!</v>
      </c>
      <c r="DT192" t="e">
        <f>AND(DATA!J1420,"AAAAAEff/3s=")</f>
        <v>#VALUE!</v>
      </c>
      <c r="DU192" t="e">
        <f>AND(DATA!K1420,"AAAAAEff/3w=")</f>
        <v>#VALUE!</v>
      </c>
      <c r="DV192" t="b">
        <f>AND(DATA!L1421,"AAAAAEff/30=")</f>
        <v>1</v>
      </c>
      <c r="DW192" t="b">
        <f>AND(DATA!M1421,"AAAAAEff/34=")</f>
        <v>1</v>
      </c>
      <c r="DX192" t="b">
        <f>AND(DATA!N1421,"AAAAAEff/38=")</f>
        <v>1</v>
      </c>
      <c r="DY192" t="b">
        <f>AND(DATA!O1421,"AAAAAEff/4A=")</f>
        <v>1</v>
      </c>
      <c r="DZ192" t="b">
        <f>AND(DATA!P1421,"AAAAAEff/4E=")</f>
        <v>1</v>
      </c>
      <c r="EA192" t="b">
        <f>AND(DATA!Q1421,"AAAAAEff/4I=")</f>
        <v>1</v>
      </c>
      <c r="EB192" t="b">
        <f>AND(DATA!R1421,"AAAAAEff/4M=")</f>
        <v>1</v>
      </c>
      <c r="EC192" t="b">
        <f>AND(DATA!S1421,"AAAAAEff/4Q=")</f>
        <v>1</v>
      </c>
      <c r="ED192" t="b">
        <f>AND(DATA!T1421,"AAAAAEff/4U=")</f>
        <v>1</v>
      </c>
      <c r="EE192">
        <f>IF(DATA!1421:1421,"AAAAAEff/4Y=",0)</f>
        <v>0</v>
      </c>
      <c r="EF192" t="e">
        <f>AND(DATA!A1421,"AAAAAEff/4c=")</f>
        <v>#VALUE!</v>
      </c>
      <c r="EG192" t="e">
        <f>AND(DATA!B1421,"AAAAAEff/4g=")</f>
        <v>#VALUE!</v>
      </c>
      <c r="EH192" t="e">
        <f>AND(DATA!C1421,"AAAAAEff/4k=")</f>
        <v>#VALUE!</v>
      </c>
      <c r="EI192" t="e">
        <f>AND(DATA!D1421,"AAAAAEff/4o=")</f>
        <v>#VALUE!</v>
      </c>
      <c r="EJ192" t="e">
        <f>AND(DATA!E1421,"AAAAAEff/4s=")</f>
        <v>#VALUE!</v>
      </c>
      <c r="EK192" t="e">
        <f>AND(DATA!F1421,"AAAAAEff/4w=")</f>
        <v>#VALUE!</v>
      </c>
      <c r="EL192" t="e">
        <f>AND(DATA!G1421,"AAAAAEff/40=")</f>
        <v>#VALUE!</v>
      </c>
      <c r="EM192" t="e">
        <f>AND(DATA!H1421,"AAAAAEff/44=")</f>
        <v>#VALUE!</v>
      </c>
      <c r="EN192" t="e">
        <f>AND(DATA!I1421,"AAAAAEff/48=")</f>
        <v>#VALUE!</v>
      </c>
      <c r="EO192" t="e">
        <f>AND(DATA!J1421,"AAAAAEff/5A=")</f>
        <v>#VALUE!</v>
      </c>
      <c r="EP192" t="e">
        <f>AND(DATA!K1421,"AAAAAEff/5E=")</f>
        <v>#VALUE!</v>
      </c>
      <c r="EQ192" t="b">
        <f>AND(DATA!L1422,"AAAAAEff/5I=")</f>
        <v>1</v>
      </c>
      <c r="ER192" t="b">
        <f>AND(DATA!M1422,"AAAAAEff/5M=")</f>
        <v>1</v>
      </c>
      <c r="ES192" t="b">
        <f>AND(DATA!N1422,"AAAAAEff/5Q=")</f>
        <v>1</v>
      </c>
      <c r="ET192" t="b">
        <f>AND(DATA!O1422,"AAAAAEff/5U=")</f>
        <v>1</v>
      </c>
      <c r="EU192" t="b">
        <f>AND(DATA!P1422,"AAAAAEff/5Y=")</f>
        <v>1</v>
      </c>
      <c r="EV192" t="b">
        <f>AND(DATA!Q1422,"AAAAAEff/5c=")</f>
        <v>1</v>
      </c>
      <c r="EW192" t="b">
        <f>AND(DATA!R1422,"AAAAAEff/5g=")</f>
        <v>1</v>
      </c>
      <c r="EX192" t="b">
        <f>AND(DATA!S1422,"AAAAAEff/5k=")</f>
        <v>1</v>
      </c>
      <c r="EY192" t="b">
        <f>AND(DATA!T1422,"AAAAAEff/5o=")</f>
        <v>1</v>
      </c>
      <c r="EZ192">
        <f>IF(DATA!1422:1422,"AAAAAEff/5s=",0)</f>
        <v>0</v>
      </c>
      <c r="FA192" t="e">
        <f>AND(DATA!A1422,"AAAAAEff/5w=")</f>
        <v>#VALUE!</v>
      </c>
      <c r="FB192" t="e">
        <f>AND(DATA!B1422,"AAAAAEff/50=")</f>
        <v>#VALUE!</v>
      </c>
      <c r="FC192" t="e">
        <f>AND(DATA!C1422,"AAAAAEff/54=")</f>
        <v>#VALUE!</v>
      </c>
      <c r="FD192" t="e">
        <f>AND(DATA!D1422,"AAAAAEff/58=")</f>
        <v>#VALUE!</v>
      </c>
      <c r="FE192" t="e">
        <f>AND(DATA!E1422,"AAAAAEff/6A=")</f>
        <v>#VALUE!</v>
      </c>
      <c r="FF192" t="e">
        <f>AND(DATA!F1422,"AAAAAEff/6E=")</f>
        <v>#VALUE!</v>
      </c>
      <c r="FG192" t="e">
        <f>AND(DATA!G1422,"AAAAAEff/6I=")</f>
        <v>#VALUE!</v>
      </c>
      <c r="FH192" t="e">
        <f>AND(DATA!H1422,"AAAAAEff/6M=")</f>
        <v>#VALUE!</v>
      </c>
      <c r="FI192" t="e">
        <f>AND(DATA!I1422,"AAAAAEff/6Q=")</f>
        <v>#VALUE!</v>
      </c>
      <c r="FJ192" t="e">
        <f>AND(DATA!J1422,"AAAAAEff/6U=")</f>
        <v>#VALUE!</v>
      </c>
      <c r="FK192" t="e">
        <f>AND(DATA!K1422,"AAAAAEff/6Y=")</f>
        <v>#VALUE!</v>
      </c>
      <c r="FL192" t="b">
        <f>AND(DATA!L1423,"AAAAAEff/6c=")</f>
        <v>1</v>
      </c>
      <c r="FM192" t="b">
        <f>AND(DATA!M1423,"AAAAAEff/6g=")</f>
        <v>1</v>
      </c>
      <c r="FN192" t="b">
        <f>AND(DATA!N1423,"AAAAAEff/6k=")</f>
        <v>1</v>
      </c>
      <c r="FO192" t="b">
        <f>AND(DATA!O1423,"AAAAAEff/6o=")</f>
        <v>1</v>
      </c>
      <c r="FP192" t="b">
        <f>AND(DATA!P1423,"AAAAAEff/6s=")</f>
        <v>1</v>
      </c>
      <c r="FQ192" t="b">
        <f>AND(DATA!Q1423,"AAAAAEff/6w=")</f>
        <v>1</v>
      </c>
      <c r="FR192" t="b">
        <f>AND(DATA!R1423,"AAAAAEff/60=")</f>
        <v>1</v>
      </c>
      <c r="FS192" t="b">
        <f>AND(DATA!S1423,"AAAAAEff/64=")</f>
        <v>1</v>
      </c>
      <c r="FT192" t="b">
        <f>AND(DATA!T1423,"AAAAAEff/68=")</f>
        <v>1</v>
      </c>
      <c r="FU192">
        <f>IF(DATA!1423:1423,"AAAAAEff/7A=",0)</f>
        <v>0</v>
      </c>
      <c r="FV192" t="e">
        <f>AND(DATA!A1423,"AAAAAEff/7E=")</f>
        <v>#VALUE!</v>
      </c>
      <c r="FW192" t="e">
        <f>AND(DATA!B1423,"AAAAAEff/7I=")</f>
        <v>#VALUE!</v>
      </c>
      <c r="FX192" t="e">
        <f>AND(DATA!C1423,"AAAAAEff/7M=")</f>
        <v>#VALUE!</v>
      </c>
      <c r="FY192" t="e">
        <f>AND(DATA!D1423,"AAAAAEff/7Q=")</f>
        <v>#VALUE!</v>
      </c>
      <c r="FZ192" t="e">
        <f>AND(DATA!E1423,"AAAAAEff/7U=")</f>
        <v>#VALUE!</v>
      </c>
      <c r="GA192" t="e">
        <f>AND(DATA!F1423,"AAAAAEff/7Y=")</f>
        <v>#VALUE!</v>
      </c>
      <c r="GB192" t="e">
        <f>AND(DATA!G1423,"AAAAAEff/7c=")</f>
        <v>#VALUE!</v>
      </c>
      <c r="GC192" t="e">
        <f>AND(DATA!H1423,"AAAAAEff/7g=")</f>
        <v>#VALUE!</v>
      </c>
      <c r="GD192" t="e">
        <f>AND(DATA!I1423,"AAAAAEff/7k=")</f>
        <v>#VALUE!</v>
      </c>
      <c r="GE192" t="e">
        <f>AND(DATA!J1423,"AAAAAEff/7o=")</f>
        <v>#VALUE!</v>
      </c>
      <c r="GF192" t="e">
        <f>AND(DATA!K1423,"AAAAAEff/7s=")</f>
        <v>#VALUE!</v>
      </c>
      <c r="GG192" t="b">
        <f>AND(DATA!L1424,"AAAAAEff/7w=")</f>
        <v>1</v>
      </c>
      <c r="GH192" t="b">
        <f>AND(DATA!M1424,"AAAAAEff/70=")</f>
        <v>1</v>
      </c>
      <c r="GI192" t="b">
        <f>AND(DATA!N1424,"AAAAAEff/74=")</f>
        <v>1</v>
      </c>
      <c r="GJ192" t="b">
        <f>AND(DATA!O1424,"AAAAAEff/78=")</f>
        <v>1</v>
      </c>
      <c r="GK192" t="b">
        <f>AND(DATA!P1424,"AAAAAEff/8A=")</f>
        <v>1</v>
      </c>
      <c r="GL192" t="b">
        <f>AND(DATA!Q1424,"AAAAAEff/8E=")</f>
        <v>1</v>
      </c>
      <c r="GM192" t="b">
        <f>AND(DATA!R1424,"AAAAAEff/8I=")</f>
        <v>1</v>
      </c>
      <c r="GN192" t="b">
        <f>AND(DATA!S1424,"AAAAAEff/8M=")</f>
        <v>1</v>
      </c>
      <c r="GO192" t="b">
        <f>AND(DATA!T1424,"AAAAAEff/8Q=")</f>
        <v>1</v>
      </c>
      <c r="GP192">
        <f>IF(DATA!1424:1424,"AAAAAEff/8U=",0)</f>
        <v>0</v>
      </c>
      <c r="GQ192" t="e">
        <f>AND(DATA!A1424,"AAAAAEff/8Y=")</f>
        <v>#VALUE!</v>
      </c>
      <c r="GR192" t="e">
        <f>AND(DATA!B1424,"AAAAAEff/8c=")</f>
        <v>#VALUE!</v>
      </c>
      <c r="GS192" t="e">
        <f>AND(DATA!C1424,"AAAAAEff/8g=")</f>
        <v>#VALUE!</v>
      </c>
      <c r="GT192" t="e">
        <f>AND(DATA!D1424,"AAAAAEff/8k=")</f>
        <v>#VALUE!</v>
      </c>
      <c r="GU192" t="e">
        <f>AND(DATA!E1424,"AAAAAEff/8o=")</f>
        <v>#VALUE!</v>
      </c>
      <c r="GV192" t="e">
        <f>AND(DATA!F1424,"AAAAAEff/8s=")</f>
        <v>#VALUE!</v>
      </c>
      <c r="GW192" t="e">
        <f>AND(DATA!G1424,"AAAAAEff/8w=")</f>
        <v>#VALUE!</v>
      </c>
      <c r="GX192" t="e">
        <f>AND(DATA!H1424,"AAAAAEff/80=")</f>
        <v>#VALUE!</v>
      </c>
      <c r="GY192" t="e">
        <f>AND(DATA!I1424,"AAAAAEff/84=")</f>
        <v>#VALUE!</v>
      </c>
      <c r="GZ192" t="e">
        <f>AND(DATA!J1424,"AAAAAEff/88=")</f>
        <v>#VALUE!</v>
      </c>
      <c r="HA192" t="e">
        <f>AND(DATA!K1424,"AAAAAEff/9A=")</f>
        <v>#VALUE!</v>
      </c>
      <c r="HB192" t="b">
        <f>AND(DATA!L1425,"AAAAAEff/9E=")</f>
        <v>1</v>
      </c>
      <c r="HC192" t="b">
        <f>AND(DATA!M1425,"AAAAAEff/9I=")</f>
        <v>1</v>
      </c>
      <c r="HD192" t="b">
        <f>AND(DATA!N1425,"AAAAAEff/9M=")</f>
        <v>1</v>
      </c>
      <c r="HE192" t="b">
        <f>AND(DATA!O1425,"AAAAAEff/9Q=")</f>
        <v>1</v>
      </c>
      <c r="HF192" t="b">
        <f>AND(DATA!P1425,"AAAAAEff/9U=")</f>
        <v>1</v>
      </c>
      <c r="HG192" t="b">
        <f>AND(DATA!Q1425,"AAAAAEff/9Y=")</f>
        <v>1</v>
      </c>
      <c r="HH192" t="b">
        <f>AND(DATA!R1425,"AAAAAEff/9c=")</f>
        <v>1</v>
      </c>
      <c r="HI192" t="b">
        <f>AND(DATA!S1425,"AAAAAEff/9g=")</f>
        <v>1</v>
      </c>
      <c r="HJ192" t="b">
        <f>AND(DATA!T1425,"AAAAAEff/9k=")</f>
        <v>1</v>
      </c>
      <c r="HK192">
        <f>IF(DATA!1425:1425,"AAAAAEff/9o=",0)</f>
        <v>0</v>
      </c>
      <c r="HL192" t="e">
        <f>AND(DATA!A1425,"AAAAAEff/9s=")</f>
        <v>#VALUE!</v>
      </c>
      <c r="HM192" t="e">
        <f>AND(DATA!B1425,"AAAAAEff/9w=")</f>
        <v>#VALUE!</v>
      </c>
      <c r="HN192" t="e">
        <f>AND(DATA!C1425,"AAAAAEff/90=")</f>
        <v>#VALUE!</v>
      </c>
      <c r="HO192" t="e">
        <f>AND(DATA!D1425,"AAAAAEff/94=")</f>
        <v>#VALUE!</v>
      </c>
      <c r="HP192" t="e">
        <f>AND(DATA!E1425,"AAAAAEff/98=")</f>
        <v>#VALUE!</v>
      </c>
      <c r="HQ192" t="e">
        <f>AND(DATA!F1425,"AAAAAEff/+A=")</f>
        <v>#VALUE!</v>
      </c>
      <c r="HR192" t="e">
        <f>AND(DATA!G1425,"AAAAAEff/+E=")</f>
        <v>#VALUE!</v>
      </c>
      <c r="HS192" t="e">
        <f>AND(DATA!H1425,"AAAAAEff/+I=")</f>
        <v>#VALUE!</v>
      </c>
      <c r="HT192" t="e">
        <f>AND(DATA!I1425,"AAAAAEff/+M=")</f>
        <v>#VALUE!</v>
      </c>
      <c r="HU192" t="e">
        <f>AND(DATA!J1425,"AAAAAEff/+Q=")</f>
        <v>#VALUE!</v>
      </c>
      <c r="HV192" t="e">
        <f>AND(DATA!K1425,"AAAAAEff/+U=")</f>
        <v>#VALUE!</v>
      </c>
      <c r="HW192" t="b">
        <f>AND(DATA!L1426,"AAAAAEff/+Y=")</f>
        <v>1</v>
      </c>
      <c r="HX192" t="b">
        <f>AND(DATA!M1426,"AAAAAEff/+c=")</f>
        <v>1</v>
      </c>
      <c r="HY192" t="b">
        <f>AND(DATA!N1426,"AAAAAEff/+g=")</f>
        <v>1</v>
      </c>
      <c r="HZ192" t="b">
        <f>AND(DATA!O1426,"AAAAAEff/+k=")</f>
        <v>1</v>
      </c>
      <c r="IA192" t="b">
        <f>AND(DATA!P1426,"AAAAAEff/+o=")</f>
        <v>1</v>
      </c>
      <c r="IB192" t="b">
        <f>AND(DATA!Q1426,"AAAAAEff/+s=")</f>
        <v>1</v>
      </c>
      <c r="IC192" t="b">
        <f>AND(DATA!R1426,"AAAAAEff/+w=")</f>
        <v>1</v>
      </c>
      <c r="ID192" t="b">
        <f>AND(DATA!S1426,"AAAAAEff/+0=")</f>
        <v>1</v>
      </c>
      <c r="IE192" t="b">
        <f>AND(DATA!T1426,"AAAAAEff/+4=")</f>
        <v>1</v>
      </c>
      <c r="IF192">
        <f>IF(DATA!1426:1426,"AAAAAEff/+8=",0)</f>
        <v>0</v>
      </c>
      <c r="IG192" t="e">
        <f>AND(DATA!A1426,"AAAAAEff//A=")</f>
        <v>#VALUE!</v>
      </c>
      <c r="IH192" t="e">
        <f>AND(DATA!B1426,"AAAAAEff//E=")</f>
        <v>#VALUE!</v>
      </c>
      <c r="II192" t="e">
        <f>AND(DATA!C1426,"AAAAAEff//I=")</f>
        <v>#VALUE!</v>
      </c>
      <c r="IJ192" t="e">
        <f>AND(DATA!D1426,"AAAAAEff//M=")</f>
        <v>#VALUE!</v>
      </c>
      <c r="IK192" t="e">
        <f>AND(DATA!E1426,"AAAAAEff//Q=")</f>
        <v>#VALUE!</v>
      </c>
      <c r="IL192" t="e">
        <f>AND(DATA!F1426,"AAAAAEff//U=")</f>
        <v>#VALUE!</v>
      </c>
      <c r="IM192" t="e">
        <f>AND(DATA!G1426,"AAAAAEff//Y=")</f>
        <v>#VALUE!</v>
      </c>
      <c r="IN192" t="e">
        <f>AND(DATA!H1426,"AAAAAEff//c=")</f>
        <v>#VALUE!</v>
      </c>
      <c r="IO192" t="e">
        <f>AND(DATA!I1426,"AAAAAEff//g=")</f>
        <v>#VALUE!</v>
      </c>
      <c r="IP192" t="e">
        <f>AND(DATA!J1426,"AAAAAEff//k=")</f>
        <v>#VALUE!</v>
      </c>
      <c r="IQ192" t="e">
        <f>AND(DATA!K1426,"AAAAAEff//o=")</f>
        <v>#VALUE!</v>
      </c>
      <c r="IR192" t="b">
        <f>AND(DATA!L1427,"AAAAAEff//s=")</f>
        <v>1</v>
      </c>
      <c r="IS192" t="b">
        <f>AND(DATA!M1427,"AAAAAEff//w=")</f>
        <v>1</v>
      </c>
      <c r="IT192" t="b">
        <f>AND(DATA!N1427,"AAAAAEff//0=")</f>
        <v>1</v>
      </c>
      <c r="IU192" t="b">
        <f>AND(DATA!O1427,"AAAAAEff//4=")</f>
        <v>1</v>
      </c>
      <c r="IV192" t="b">
        <f>AND(DATA!P1427,"AAAAAEff//8=")</f>
        <v>1</v>
      </c>
    </row>
    <row r="193" spans="1:256" x14ac:dyDescent="0.25">
      <c r="A193" t="b">
        <f>AND(DATA!Q1427,"AAAAAH/r3QA=")</f>
        <v>1</v>
      </c>
      <c r="B193" t="b">
        <f>AND(DATA!R1427,"AAAAAH/r3QE=")</f>
        <v>1</v>
      </c>
      <c r="C193" t="b">
        <f>AND(DATA!S1427,"AAAAAH/r3QI=")</f>
        <v>1</v>
      </c>
      <c r="D193" t="b">
        <f>AND(DATA!T1427,"AAAAAH/r3QM=")</f>
        <v>1</v>
      </c>
      <c r="E193">
        <f>IF(DATA!1427:1427,"AAAAAH/r3QQ=",0)</f>
        <v>0</v>
      </c>
      <c r="F193" t="e">
        <f>AND(DATA!A1427,"AAAAAH/r3QU=")</f>
        <v>#VALUE!</v>
      </c>
      <c r="G193" t="e">
        <f>AND(DATA!B1427,"AAAAAH/r3QY=")</f>
        <v>#VALUE!</v>
      </c>
      <c r="H193" t="e">
        <f>AND(DATA!C1427,"AAAAAH/r3Qc=")</f>
        <v>#VALUE!</v>
      </c>
      <c r="I193" t="e">
        <f>AND(DATA!D1427,"AAAAAH/r3Qg=")</f>
        <v>#VALUE!</v>
      </c>
      <c r="J193" t="e">
        <f>AND(DATA!E1427,"AAAAAH/r3Qk=")</f>
        <v>#VALUE!</v>
      </c>
      <c r="K193" t="e">
        <f>AND(DATA!F1427,"AAAAAH/r3Qo=")</f>
        <v>#VALUE!</v>
      </c>
      <c r="L193" t="e">
        <f>AND(DATA!G1427,"AAAAAH/r3Qs=")</f>
        <v>#VALUE!</v>
      </c>
      <c r="M193" t="e">
        <f>AND(DATA!H1427,"AAAAAH/r3Qw=")</f>
        <v>#VALUE!</v>
      </c>
      <c r="N193" t="e">
        <f>AND(DATA!I1427,"AAAAAH/r3Q0=")</f>
        <v>#VALUE!</v>
      </c>
      <c r="O193" t="e">
        <f>AND(DATA!J1427,"AAAAAH/r3Q4=")</f>
        <v>#VALUE!</v>
      </c>
      <c r="P193" t="e">
        <f>AND(DATA!K1427,"AAAAAH/r3Q8=")</f>
        <v>#VALUE!</v>
      </c>
      <c r="Q193" t="b">
        <f>AND(DATA!L1428,"AAAAAH/r3RA=")</f>
        <v>1</v>
      </c>
      <c r="R193" t="b">
        <f>AND(DATA!M1428,"AAAAAH/r3RE=")</f>
        <v>1</v>
      </c>
      <c r="S193" t="b">
        <f>AND(DATA!N1428,"AAAAAH/r3RI=")</f>
        <v>1</v>
      </c>
      <c r="T193" t="b">
        <f>AND(DATA!O1428,"AAAAAH/r3RM=")</f>
        <v>1</v>
      </c>
      <c r="U193" t="b">
        <f>AND(DATA!P1428,"AAAAAH/r3RQ=")</f>
        <v>1</v>
      </c>
      <c r="V193" t="b">
        <f>AND(DATA!Q1428,"AAAAAH/r3RU=")</f>
        <v>1</v>
      </c>
      <c r="W193" t="b">
        <f>AND(DATA!R1428,"AAAAAH/r3RY=")</f>
        <v>1</v>
      </c>
      <c r="X193" t="b">
        <f>AND(DATA!S1428,"AAAAAH/r3Rc=")</f>
        <v>1</v>
      </c>
      <c r="Y193" t="b">
        <f>AND(DATA!T1428,"AAAAAH/r3Rg=")</f>
        <v>1</v>
      </c>
      <c r="Z193">
        <f>IF(DATA!1428:1428,"AAAAAH/r3Rk=",0)</f>
        <v>0</v>
      </c>
      <c r="AA193" t="e">
        <f>AND(DATA!A1428,"AAAAAH/r3Ro=")</f>
        <v>#VALUE!</v>
      </c>
      <c r="AB193" t="e">
        <f>AND(DATA!B1428,"AAAAAH/r3Rs=")</f>
        <v>#VALUE!</v>
      </c>
      <c r="AC193" t="e">
        <f>AND(DATA!C1428,"AAAAAH/r3Rw=")</f>
        <v>#VALUE!</v>
      </c>
      <c r="AD193" t="e">
        <f>AND(DATA!D1428,"AAAAAH/r3R0=")</f>
        <v>#VALUE!</v>
      </c>
      <c r="AE193" t="e">
        <f>AND(DATA!E1428,"AAAAAH/r3R4=")</f>
        <v>#VALUE!</v>
      </c>
      <c r="AF193" t="e">
        <f>AND(DATA!F1428,"AAAAAH/r3R8=")</f>
        <v>#VALUE!</v>
      </c>
      <c r="AG193" t="e">
        <f>AND(DATA!G1428,"AAAAAH/r3SA=")</f>
        <v>#VALUE!</v>
      </c>
      <c r="AH193" t="e">
        <f>AND(DATA!H1428,"AAAAAH/r3SE=")</f>
        <v>#VALUE!</v>
      </c>
      <c r="AI193" t="e">
        <f>AND(DATA!I1428,"AAAAAH/r3SI=")</f>
        <v>#VALUE!</v>
      </c>
      <c r="AJ193" t="e">
        <f>AND(DATA!J1428,"AAAAAH/r3SM=")</f>
        <v>#VALUE!</v>
      </c>
      <c r="AK193" t="e">
        <f>AND(DATA!K1428,"AAAAAH/r3SQ=")</f>
        <v>#VALUE!</v>
      </c>
      <c r="AL193" t="b">
        <f>AND(DATA!L1429,"AAAAAH/r3SU=")</f>
        <v>1</v>
      </c>
      <c r="AM193" t="b">
        <f>AND(DATA!M1429,"AAAAAH/r3SY=")</f>
        <v>1</v>
      </c>
      <c r="AN193" t="b">
        <f>AND(DATA!N1429,"AAAAAH/r3Sc=")</f>
        <v>1</v>
      </c>
      <c r="AO193" t="b">
        <f>AND(DATA!O1429,"AAAAAH/r3Sg=")</f>
        <v>1</v>
      </c>
      <c r="AP193" t="b">
        <f>AND(DATA!P1429,"AAAAAH/r3Sk=")</f>
        <v>1</v>
      </c>
      <c r="AQ193" t="b">
        <f>AND(DATA!Q1429,"AAAAAH/r3So=")</f>
        <v>1</v>
      </c>
      <c r="AR193" t="b">
        <f>AND(DATA!R1429,"AAAAAH/r3Ss=")</f>
        <v>1</v>
      </c>
      <c r="AS193" t="b">
        <f>AND(DATA!S1429,"AAAAAH/r3Sw=")</f>
        <v>1</v>
      </c>
      <c r="AT193" t="b">
        <f>AND(DATA!T1429,"AAAAAH/r3S0=")</f>
        <v>1</v>
      </c>
      <c r="AU193">
        <f>IF(DATA!1429:1429,"AAAAAH/r3S4=",0)</f>
        <v>0</v>
      </c>
      <c r="AV193" t="e">
        <f>AND(DATA!A1429,"AAAAAH/r3S8=")</f>
        <v>#VALUE!</v>
      </c>
      <c r="AW193" t="e">
        <f>AND(DATA!B1429,"AAAAAH/r3TA=")</f>
        <v>#VALUE!</v>
      </c>
      <c r="AX193" t="e">
        <f>AND(DATA!C1429,"AAAAAH/r3TE=")</f>
        <v>#VALUE!</v>
      </c>
      <c r="AY193" t="e">
        <f>AND(DATA!D1429,"AAAAAH/r3TI=")</f>
        <v>#VALUE!</v>
      </c>
      <c r="AZ193" t="e">
        <f>AND(DATA!E1429,"AAAAAH/r3TM=")</f>
        <v>#VALUE!</v>
      </c>
      <c r="BA193" t="e">
        <f>AND(DATA!F1429,"AAAAAH/r3TQ=")</f>
        <v>#VALUE!</v>
      </c>
      <c r="BB193" t="e">
        <f>AND(DATA!G1429,"AAAAAH/r3TU=")</f>
        <v>#VALUE!</v>
      </c>
      <c r="BC193" t="e">
        <f>AND(DATA!H1429,"AAAAAH/r3TY=")</f>
        <v>#VALUE!</v>
      </c>
      <c r="BD193" t="e">
        <f>AND(DATA!I1429,"AAAAAH/r3Tc=")</f>
        <v>#VALUE!</v>
      </c>
      <c r="BE193" t="e">
        <f>AND(DATA!J1429,"AAAAAH/r3Tg=")</f>
        <v>#VALUE!</v>
      </c>
      <c r="BF193" t="e">
        <f>AND(DATA!K1429,"AAAAAH/r3Tk=")</f>
        <v>#VALUE!</v>
      </c>
      <c r="BG193" t="b">
        <f>AND(DATA!L1430,"AAAAAH/r3To=")</f>
        <v>1</v>
      </c>
      <c r="BH193" t="b">
        <f>AND(DATA!M1430,"AAAAAH/r3Ts=")</f>
        <v>1</v>
      </c>
      <c r="BI193" t="b">
        <f>AND(DATA!N1430,"AAAAAH/r3Tw=")</f>
        <v>1</v>
      </c>
      <c r="BJ193" t="b">
        <f>AND(DATA!O1430,"AAAAAH/r3T0=")</f>
        <v>1</v>
      </c>
      <c r="BK193" t="b">
        <f>AND(DATA!P1430,"AAAAAH/r3T4=")</f>
        <v>1</v>
      </c>
      <c r="BL193" t="b">
        <f>AND(DATA!Q1430,"AAAAAH/r3T8=")</f>
        <v>1</v>
      </c>
      <c r="BM193" t="b">
        <f>AND(DATA!R1430,"AAAAAH/r3UA=")</f>
        <v>1</v>
      </c>
      <c r="BN193" t="b">
        <f>AND(DATA!S1430,"AAAAAH/r3UE=")</f>
        <v>1</v>
      </c>
      <c r="BO193" t="b">
        <f>AND(DATA!T1430,"AAAAAH/r3UI=")</f>
        <v>1</v>
      </c>
      <c r="BP193">
        <f>IF(DATA!1430:1430,"AAAAAH/r3UM=",0)</f>
        <v>0</v>
      </c>
      <c r="BQ193" t="e">
        <f>AND(DATA!A1430,"AAAAAH/r3UQ=")</f>
        <v>#VALUE!</v>
      </c>
      <c r="BR193" t="e">
        <f>AND(DATA!B1430,"AAAAAH/r3UU=")</f>
        <v>#VALUE!</v>
      </c>
      <c r="BS193" t="e">
        <f>AND(DATA!C1430,"AAAAAH/r3UY=")</f>
        <v>#VALUE!</v>
      </c>
      <c r="BT193" t="e">
        <f>AND(DATA!D1430,"AAAAAH/r3Uc=")</f>
        <v>#VALUE!</v>
      </c>
      <c r="BU193" t="e">
        <f>AND(DATA!E1430,"AAAAAH/r3Ug=")</f>
        <v>#VALUE!</v>
      </c>
      <c r="BV193" t="e">
        <f>AND(DATA!F1430,"AAAAAH/r3Uk=")</f>
        <v>#VALUE!</v>
      </c>
      <c r="BW193" t="e">
        <f>AND(DATA!G1430,"AAAAAH/r3Uo=")</f>
        <v>#VALUE!</v>
      </c>
      <c r="BX193" t="e">
        <f>AND(DATA!H1430,"AAAAAH/r3Us=")</f>
        <v>#VALUE!</v>
      </c>
      <c r="BY193" t="e">
        <f>AND(DATA!I1430,"AAAAAH/r3Uw=")</f>
        <v>#VALUE!</v>
      </c>
      <c r="BZ193" t="e">
        <f>AND(DATA!J1430,"AAAAAH/r3U0=")</f>
        <v>#VALUE!</v>
      </c>
      <c r="CA193" t="e">
        <f>AND(DATA!K1430,"AAAAAH/r3U4=")</f>
        <v>#VALUE!</v>
      </c>
      <c r="CB193" t="b">
        <f>AND(DATA!L1431,"AAAAAH/r3U8=")</f>
        <v>1</v>
      </c>
      <c r="CC193" t="b">
        <f>AND(DATA!M1431,"AAAAAH/r3VA=")</f>
        <v>1</v>
      </c>
      <c r="CD193" t="b">
        <f>AND(DATA!N1431,"AAAAAH/r3VE=")</f>
        <v>1</v>
      </c>
      <c r="CE193" t="b">
        <f>AND(DATA!O1431,"AAAAAH/r3VI=")</f>
        <v>1</v>
      </c>
      <c r="CF193" t="b">
        <f>AND(DATA!P1431,"AAAAAH/r3VM=")</f>
        <v>1</v>
      </c>
      <c r="CG193" t="b">
        <f>AND(DATA!Q1431,"AAAAAH/r3VQ=")</f>
        <v>1</v>
      </c>
      <c r="CH193" t="b">
        <f>AND(DATA!R1431,"AAAAAH/r3VU=")</f>
        <v>1</v>
      </c>
      <c r="CI193" t="b">
        <f>AND(DATA!S1431,"AAAAAH/r3VY=")</f>
        <v>1</v>
      </c>
      <c r="CJ193" t="b">
        <f>AND(DATA!T1431,"AAAAAH/r3Vc=")</f>
        <v>1</v>
      </c>
      <c r="CK193">
        <f>IF(DATA!1431:1431,"AAAAAH/r3Vg=",0)</f>
        <v>0</v>
      </c>
      <c r="CL193" t="e">
        <f>AND(DATA!A1431,"AAAAAH/r3Vk=")</f>
        <v>#VALUE!</v>
      </c>
      <c r="CM193" t="e">
        <f>AND(DATA!B1431,"AAAAAH/r3Vo=")</f>
        <v>#VALUE!</v>
      </c>
      <c r="CN193" t="e">
        <f>AND(DATA!C1431,"AAAAAH/r3Vs=")</f>
        <v>#VALUE!</v>
      </c>
      <c r="CO193" t="e">
        <f>AND(DATA!D1431,"AAAAAH/r3Vw=")</f>
        <v>#VALUE!</v>
      </c>
      <c r="CP193" t="e">
        <f>AND(DATA!E1431,"AAAAAH/r3V0=")</f>
        <v>#VALUE!</v>
      </c>
      <c r="CQ193" t="e">
        <f>AND(DATA!F1431,"AAAAAH/r3V4=")</f>
        <v>#VALUE!</v>
      </c>
      <c r="CR193" t="e">
        <f>AND(DATA!G1431,"AAAAAH/r3V8=")</f>
        <v>#VALUE!</v>
      </c>
      <c r="CS193" t="e">
        <f>AND(DATA!H1431,"AAAAAH/r3WA=")</f>
        <v>#VALUE!</v>
      </c>
      <c r="CT193" t="e">
        <f>AND(DATA!I1431,"AAAAAH/r3WE=")</f>
        <v>#VALUE!</v>
      </c>
      <c r="CU193" t="e">
        <f>AND(DATA!J1431,"AAAAAH/r3WI=")</f>
        <v>#VALUE!</v>
      </c>
      <c r="CV193" t="e">
        <f>AND(DATA!K1431,"AAAAAH/r3WM=")</f>
        <v>#VALUE!</v>
      </c>
      <c r="CW193" t="b">
        <f>AND(DATA!L1432,"AAAAAH/r3WQ=")</f>
        <v>1</v>
      </c>
      <c r="CX193" t="b">
        <f>AND(DATA!M1432,"AAAAAH/r3WU=")</f>
        <v>1</v>
      </c>
      <c r="CY193" t="b">
        <f>AND(DATA!N1432,"AAAAAH/r3WY=")</f>
        <v>1</v>
      </c>
      <c r="CZ193" t="b">
        <f>AND(DATA!O1432,"AAAAAH/r3Wc=")</f>
        <v>1</v>
      </c>
      <c r="DA193" t="b">
        <f>AND(DATA!P1432,"AAAAAH/r3Wg=")</f>
        <v>1</v>
      </c>
      <c r="DB193" t="b">
        <f>AND(DATA!Q1432,"AAAAAH/r3Wk=")</f>
        <v>1</v>
      </c>
      <c r="DC193" t="b">
        <f>AND(DATA!R1432,"AAAAAH/r3Wo=")</f>
        <v>1</v>
      </c>
      <c r="DD193" t="b">
        <f>AND(DATA!S1432,"AAAAAH/r3Ws=")</f>
        <v>1</v>
      </c>
      <c r="DE193" t="b">
        <f>AND(DATA!T1432,"AAAAAH/r3Ww=")</f>
        <v>1</v>
      </c>
      <c r="DF193">
        <f>IF(DATA!1432:1432,"AAAAAH/r3W0=",0)</f>
        <v>0</v>
      </c>
      <c r="DG193" t="e">
        <f>AND(DATA!A1432,"AAAAAH/r3W4=")</f>
        <v>#VALUE!</v>
      </c>
      <c r="DH193" t="e">
        <f>AND(DATA!B1432,"AAAAAH/r3W8=")</f>
        <v>#VALUE!</v>
      </c>
      <c r="DI193" t="e">
        <f>AND(DATA!C1432,"AAAAAH/r3XA=")</f>
        <v>#VALUE!</v>
      </c>
      <c r="DJ193" t="e">
        <f>AND(DATA!D1432,"AAAAAH/r3XE=")</f>
        <v>#VALUE!</v>
      </c>
      <c r="DK193" t="e">
        <f>AND(DATA!E1432,"AAAAAH/r3XI=")</f>
        <v>#VALUE!</v>
      </c>
      <c r="DL193" t="e">
        <f>AND(DATA!F1432,"AAAAAH/r3XM=")</f>
        <v>#VALUE!</v>
      </c>
      <c r="DM193" t="e">
        <f>AND(DATA!G1432,"AAAAAH/r3XQ=")</f>
        <v>#VALUE!</v>
      </c>
      <c r="DN193" t="e">
        <f>AND(DATA!H1432,"AAAAAH/r3XU=")</f>
        <v>#VALUE!</v>
      </c>
      <c r="DO193" t="e">
        <f>AND(DATA!I1432,"AAAAAH/r3XY=")</f>
        <v>#VALUE!</v>
      </c>
      <c r="DP193" t="e">
        <f>AND(DATA!J1432,"AAAAAH/r3Xc=")</f>
        <v>#VALUE!</v>
      </c>
      <c r="DQ193" t="e">
        <f>AND(DATA!K1432,"AAAAAH/r3Xg=")</f>
        <v>#VALUE!</v>
      </c>
      <c r="DR193" t="b">
        <f>AND(DATA!L1433,"AAAAAH/r3Xk=")</f>
        <v>1</v>
      </c>
      <c r="DS193" t="b">
        <f>AND(DATA!M1433,"AAAAAH/r3Xo=")</f>
        <v>1</v>
      </c>
      <c r="DT193" t="b">
        <f>AND(DATA!N1433,"AAAAAH/r3Xs=")</f>
        <v>1</v>
      </c>
      <c r="DU193" t="b">
        <f>AND(DATA!O1433,"AAAAAH/r3Xw=")</f>
        <v>1</v>
      </c>
      <c r="DV193" t="b">
        <f>AND(DATA!P1433,"AAAAAH/r3X0=")</f>
        <v>1</v>
      </c>
      <c r="DW193" t="b">
        <f>AND(DATA!Q1433,"AAAAAH/r3X4=")</f>
        <v>1</v>
      </c>
      <c r="DX193" t="b">
        <f>AND(DATA!R1433,"AAAAAH/r3X8=")</f>
        <v>1</v>
      </c>
      <c r="DY193" t="b">
        <f>AND(DATA!S1433,"AAAAAH/r3YA=")</f>
        <v>1</v>
      </c>
      <c r="DZ193" t="b">
        <f>AND(DATA!T1433,"AAAAAH/r3YE=")</f>
        <v>1</v>
      </c>
      <c r="EA193">
        <f>IF(DATA!1433:1433,"AAAAAH/r3YI=",0)</f>
        <v>0</v>
      </c>
      <c r="EB193" t="e">
        <f>AND(DATA!A1433,"AAAAAH/r3YM=")</f>
        <v>#VALUE!</v>
      </c>
      <c r="EC193" t="e">
        <f>AND(DATA!B1433,"AAAAAH/r3YQ=")</f>
        <v>#VALUE!</v>
      </c>
      <c r="ED193" t="e">
        <f>AND(DATA!C1433,"AAAAAH/r3YU=")</f>
        <v>#VALUE!</v>
      </c>
      <c r="EE193" t="e">
        <f>AND(DATA!D1433,"AAAAAH/r3YY=")</f>
        <v>#VALUE!</v>
      </c>
      <c r="EF193" t="e">
        <f>AND(DATA!E1433,"AAAAAH/r3Yc=")</f>
        <v>#VALUE!</v>
      </c>
      <c r="EG193" t="e">
        <f>AND(DATA!F1433,"AAAAAH/r3Yg=")</f>
        <v>#VALUE!</v>
      </c>
      <c r="EH193" t="e">
        <f>AND(DATA!G1433,"AAAAAH/r3Yk=")</f>
        <v>#VALUE!</v>
      </c>
      <c r="EI193" t="e">
        <f>AND(DATA!H1433,"AAAAAH/r3Yo=")</f>
        <v>#VALUE!</v>
      </c>
      <c r="EJ193" t="e">
        <f>AND(DATA!I1433,"AAAAAH/r3Ys=")</f>
        <v>#VALUE!</v>
      </c>
      <c r="EK193" t="e">
        <f>AND(DATA!J1433,"AAAAAH/r3Yw=")</f>
        <v>#VALUE!</v>
      </c>
      <c r="EL193" t="e">
        <f>AND(DATA!K1433,"AAAAAH/r3Y0=")</f>
        <v>#VALUE!</v>
      </c>
      <c r="EM193" t="b">
        <f>AND(DATA!L1434,"AAAAAH/r3Y4=")</f>
        <v>1</v>
      </c>
      <c r="EN193" t="b">
        <f>AND(DATA!M1434,"AAAAAH/r3Y8=")</f>
        <v>1</v>
      </c>
      <c r="EO193" t="b">
        <f>AND(DATA!N1434,"AAAAAH/r3ZA=")</f>
        <v>1</v>
      </c>
      <c r="EP193" t="b">
        <f>AND(DATA!O1434,"AAAAAH/r3ZE=")</f>
        <v>1</v>
      </c>
      <c r="EQ193" t="b">
        <f>AND(DATA!P1434,"AAAAAH/r3ZI=")</f>
        <v>1</v>
      </c>
      <c r="ER193" t="b">
        <f>AND(DATA!Q1434,"AAAAAH/r3ZM=")</f>
        <v>1</v>
      </c>
      <c r="ES193" t="b">
        <f>AND(DATA!R1434,"AAAAAH/r3ZQ=")</f>
        <v>1</v>
      </c>
      <c r="ET193" t="b">
        <f>AND(DATA!S1434,"AAAAAH/r3ZU=")</f>
        <v>1</v>
      </c>
      <c r="EU193" t="b">
        <f>AND(DATA!T1434,"AAAAAH/r3ZY=")</f>
        <v>1</v>
      </c>
      <c r="EV193">
        <f>IF(DATA!1434:1434,"AAAAAH/r3Zc=",0)</f>
        <v>0</v>
      </c>
      <c r="EW193" t="e">
        <f>AND(DATA!A1434,"AAAAAH/r3Zg=")</f>
        <v>#VALUE!</v>
      </c>
      <c r="EX193" t="e">
        <f>AND(DATA!B1434,"AAAAAH/r3Zk=")</f>
        <v>#VALUE!</v>
      </c>
      <c r="EY193" t="e">
        <f>AND(DATA!C1434,"AAAAAH/r3Zo=")</f>
        <v>#VALUE!</v>
      </c>
      <c r="EZ193" t="e">
        <f>AND(DATA!D1434,"AAAAAH/r3Zs=")</f>
        <v>#VALUE!</v>
      </c>
      <c r="FA193" t="e">
        <f>AND(DATA!E1434,"AAAAAH/r3Zw=")</f>
        <v>#VALUE!</v>
      </c>
      <c r="FB193" t="e">
        <f>AND(DATA!F1434,"AAAAAH/r3Z0=")</f>
        <v>#VALUE!</v>
      </c>
      <c r="FC193" t="e">
        <f>AND(DATA!G1434,"AAAAAH/r3Z4=")</f>
        <v>#VALUE!</v>
      </c>
      <c r="FD193" t="e">
        <f>AND(DATA!H1434,"AAAAAH/r3Z8=")</f>
        <v>#VALUE!</v>
      </c>
      <c r="FE193" t="e">
        <f>AND(DATA!I1434,"AAAAAH/r3aA=")</f>
        <v>#VALUE!</v>
      </c>
      <c r="FF193" t="e">
        <f>AND(DATA!J1434,"AAAAAH/r3aE=")</f>
        <v>#VALUE!</v>
      </c>
      <c r="FG193" t="e">
        <f>AND(DATA!K1434,"AAAAAH/r3aI=")</f>
        <v>#VALUE!</v>
      </c>
      <c r="FH193" t="b">
        <f>AND(DATA!L1435,"AAAAAH/r3aM=")</f>
        <v>1</v>
      </c>
      <c r="FI193" t="b">
        <f>AND(DATA!M1435,"AAAAAH/r3aQ=")</f>
        <v>1</v>
      </c>
      <c r="FJ193" t="b">
        <f>AND(DATA!N1435,"AAAAAH/r3aU=")</f>
        <v>1</v>
      </c>
      <c r="FK193" t="b">
        <f>AND(DATA!O1435,"AAAAAH/r3aY=")</f>
        <v>1</v>
      </c>
      <c r="FL193" t="b">
        <f>AND(DATA!P1435,"AAAAAH/r3ac=")</f>
        <v>1</v>
      </c>
      <c r="FM193" t="b">
        <f>AND(DATA!Q1435,"AAAAAH/r3ag=")</f>
        <v>1</v>
      </c>
      <c r="FN193" t="b">
        <f>AND(DATA!R1435,"AAAAAH/r3ak=")</f>
        <v>1</v>
      </c>
      <c r="FO193" t="b">
        <f>AND(DATA!S1435,"AAAAAH/r3ao=")</f>
        <v>1</v>
      </c>
      <c r="FP193" t="b">
        <f>AND(DATA!T1435,"AAAAAH/r3as=")</f>
        <v>1</v>
      </c>
      <c r="FQ193">
        <f>IF(DATA!1435:1435,"AAAAAH/r3aw=",0)</f>
        <v>0</v>
      </c>
      <c r="FR193" t="e">
        <f>AND(DATA!A1435,"AAAAAH/r3a0=")</f>
        <v>#VALUE!</v>
      </c>
      <c r="FS193" t="e">
        <f>AND(DATA!B1435,"AAAAAH/r3a4=")</f>
        <v>#VALUE!</v>
      </c>
      <c r="FT193" t="e">
        <f>AND(DATA!C1435,"AAAAAH/r3a8=")</f>
        <v>#VALUE!</v>
      </c>
      <c r="FU193" t="e">
        <f>AND(DATA!D1435,"AAAAAH/r3bA=")</f>
        <v>#VALUE!</v>
      </c>
      <c r="FV193" t="e">
        <f>AND(DATA!E1435,"AAAAAH/r3bE=")</f>
        <v>#VALUE!</v>
      </c>
      <c r="FW193" t="e">
        <f>AND(DATA!F1435,"AAAAAH/r3bI=")</f>
        <v>#VALUE!</v>
      </c>
      <c r="FX193" t="e">
        <f>AND(DATA!G1435,"AAAAAH/r3bM=")</f>
        <v>#VALUE!</v>
      </c>
      <c r="FY193" t="e">
        <f>AND(DATA!H1435,"AAAAAH/r3bQ=")</f>
        <v>#VALUE!</v>
      </c>
      <c r="FZ193" t="e">
        <f>AND(DATA!I1435,"AAAAAH/r3bU=")</f>
        <v>#VALUE!</v>
      </c>
      <c r="GA193" t="e">
        <f>AND(DATA!J1435,"AAAAAH/r3bY=")</f>
        <v>#VALUE!</v>
      </c>
      <c r="GB193" t="e">
        <f>AND(DATA!K1435,"AAAAAH/r3bc=")</f>
        <v>#VALUE!</v>
      </c>
      <c r="GC193" t="b">
        <f>AND(DATA!L1436,"AAAAAH/r3bg=")</f>
        <v>1</v>
      </c>
      <c r="GD193" t="b">
        <f>AND(DATA!M1436,"AAAAAH/r3bk=")</f>
        <v>1</v>
      </c>
      <c r="GE193" t="b">
        <f>AND(DATA!N1436,"AAAAAH/r3bo=")</f>
        <v>1</v>
      </c>
      <c r="GF193" t="b">
        <f>AND(DATA!O1436,"AAAAAH/r3bs=")</f>
        <v>1</v>
      </c>
      <c r="GG193" t="b">
        <f>AND(DATA!P1436,"AAAAAH/r3bw=")</f>
        <v>1</v>
      </c>
      <c r="GH193" t="b">
        <f>AND(DATA!Q1436,"AAAAAH/r3b0=")</f>
        <v>1</v>
      </c>
      <c r="GI193" t="b">
        <f>AND(DATA!R1436,"AAAAAH/r3b4=")</f>
        <v>1</v>
      </c>
      <c r="GJ193" t="b">
        <f>AND(DATA!S1436,"AAAAAH/r3b8=")</f>
        <v>1</v>
      </c>
      <c r="GK193" t="b">
        <f>AND(DATA!T1436,"AAAAAH/r3cA=")</f>
        <v>1</v>
      </c>
      <c r="GL193">
        <f>IF(DATA!1436:1436,"AAAAAH/r3cE=",0)</f>
        <v>0</v>
      </c>
      <c r="GM193" t="e">
        <f>AND(DATA!A1436,"AAAAAH/r3cI=")</f>
        <v>#VALUE!</v>
      </c>
      <c r="GN193" t="e">
        <f>AND(DATA!B1436,"AAAAAH/r3cM=")</f>
        <v>#VALUE!</v>
      </c>
      <c r="GO193" t="e">
        <f>AND(DATA!C1436,"AAAAAH/r3cQ=")</f>
        <v>#VALUE!</v>
      </c>
      <c r="GP193" t="e">
        <f>AND(DATA!D1436,"AAAAAH/r3cU=")</f>
        <v>#VALUE!</v>
      </c>
      <c r="GQ193" t="e">
        <f>AND(DATA!E1436,"AAAAAH/r3cY=")</f>
        <v>#VALUE!</v>
      </c>
      <c r="GR193" t="e">
        <f>AND(DATA!F1436,"AAAAAH/r3cc=")</f>
        <v>#VALUE!</v>
      </c>
      <c r="GS193" t="e">
        <f>AND(DATA!G1436,"AAAAAH/r3cg=")</f>
        <v>#VALUE!</v>
      </c>
      <c r="GT193" t="e">
        <f>AND(DATA!H1436,"AAAAAH/r3ck=")</f>
        <v>#VALUE!</v>
      </c>
      <c r="GU193" t="e">
        <f>AND(DATA!I1436,"AAAAAH/r3co=")</f>
        <v>#VALUE!</v>
      </c>
      <c r="GV193" t="e">
        <f>AND(DATA!J1436,"AAAAAH/r3cs=")</f>
        <v>#VALUE!</v>
      </c>
      <c r="GW193" t="e">
        <f>AND(DATA!K1436,"AAAAAH/r3cw=")</f>
        <v>#VALUE!</v>
      </c>
      <c r="GX193" t="b">
        <f>AND(DATA!L1437,"AAAAAH/r3c0=")</f>
        <v>1</v>
      </c>
      <c r="GY193" t="b">
        <f>AND(DATA!M1437,"AAAAAH/r3c4=")</f>
        <v>1</v>
      </c>
      <c r="GZ193" t="b">
        <f>AND(DATA!N1437,"AAAAAH/r3c8=")</f>
        <v>1</v>
      </c>
      <c r="HA193" t="b">
        <f>AND(DATA!O1437,"AAAAAH/r3dA=")</f>
        <v>1</v>
      </c>
      <c r="HB193" t="b">
        <f>AND(DATA!P1437,"AAAAAH/r3dE=")</f>
        <v>1</v>
      </c>
      <c r="HC193" t="b">
        <f>AND(DATA!Q1437,"AAAAAH/r3dI=")</f>
        <v>1</v>
      </c>
      <c r="HD193" t="b">
        <f>AND(DATA!R1437,"AAAAAH/r3dM=")</f>
        <v>1</v>
      </c>
      <c r="HE193" t="b">
        <f>AND(DATA!S1437,"AAAAAH/r3dQ=")</f>
        <v>1</v>
      </c>
      <c r="HF193" t="b">
        <f>AND(DATA!T1437,"AAAAAH/r3dU=")</f>
        <v>1</v>
      </c>
      <c r="HG193">
        <f>IF(DATA!1437:1437,"AAAAAH/r3dY=",0)</f>
        <v>0</v>
      </c>
      <c r="HH193" t="e">
        <f>AND(DATA!A1437,"AAAAAH/r3dc=")</f>
        <v>#VALUE!</v>
      </c>
      <c r="HI193" t="e">
        <f>AND(DATA!B1437,"AAAAAH/r3dg=")</f>
        <v>#VALUE!</v>
      </c>
      <c r="HJ193" t="e">
        <f>AND(DATA!C1437,"AAAAAH/r3dk=")</f>
        <v>#VALUE!</v>
      </c>
      <c r="HK193" t="e">
        <f>AND(DATA!D1437,"AAAAAH/r3do=")</f>
        <v>#VALUE!</v>
      </c>
      <c r="HL193" t="e">
        <f>AND(DATA!E1437,"AAAAAH/r3ds=")</f>
        <v>#VALUE!</v>
      </c>
      <c r="HM193" t="e">
        <f>AND(DATA!F1437,"AAAAAH/r3dw=")</f>
        <v>#VALUE!</v>
      </c>
      <c r="HN193" t="e">
        <f>AND(DATA!G1437,"AAAAAH/r3d0=")</f>
        <v>#VALUE!</v>
      </c>
      <c r="HO193" t="e">
        <f>AND(DATA!H1437,"AAAAAH/r3d4=")</f>
        <v>#VALUE!</v>
      </c>
      <c r="HP193" t="e">
        <f>AND(DATA!I1437,"AAAAAH/r3d8=")</f>
        <v>#VALUE!</v>
      </c>
      <c r="HQ193" t="e">
        <f>AND(DATA!J1437,"AAAAAH/r3eA=")</f>
        <v>#VALUE!</v>
      </c>
      <c r="HR193" t="e">
        <f>AND(DATA!K1437,"AAAAAH/r3eE=")</f>
        <v>#VALUE!</v>
      </c>
      <c r="HS193" t="b">
        <f>AND(DATA!L1438,"AAAAAH/r3eI=")</f>
        <v>1</v>
      </c>
      <c r="HT193" t="b">
        <f>AND(DATA!M1438,"AAAAAH/r3eM=")</f>
        <v>1</v>
      </c>
      <c r="HU193" t="b">
        <f>AND(DATA!N1438,"AAAAAH/r3eQ=")</f>
        <v>1</v>
      </c>
      <c r="HV193" t="b">
        <f>AND(DATA!O1438,"AAAAAH/r3eU=")</f>
        <v>1</v>
      </c>
      <c r="HW193" t="b">
        <f>AND(DATA!P1438,"AAAAAH/r3eY=")</f>
        <v>1</v>
      </c>
      <c r="HX193" t="b">
        <f>AND(DATA!Q1438,"AAAAAH/r3ec=")</f>
        <v>1</v>
      </c>
      <c r="HY193" t="b">
        <f>AND(DATA!R1438,"AAAAAH/r3eg=")</f>
        <v>1</v>
      </c>
      <c r="HZ193" t="b">
        <f>AND(DATA!S1438,"AAAAAH/r3ek=")</f>
        <v>1</v>
      </c>
      <c r="IA193" t="b">
        <f>AND(DATA!T1438,"AAAAAH/r3eo=")</f>
        <v>1</v>
      </c>
      <c r="IB193">
        <f>IF(DATA!1438:1438,"AAAAAH/r3es=",0)</f>
        <v>0</v>
      </c>
      <c r="IC193" t="e">
        <f>AND(DATA!A1438,"AAAAAH/r3ew=")</f>
        <v>#VALUE!</v>
      </c>
      <c r="ID193" t="e">
        <f>AND(DATA!B1438,"AAAAAH/r3e0=")</f>
        <v>#VALUE!</v>
      </c>
      <c r="IE193" t="e">
        <f>AND(DATA!C1438,"AAAAAH/r3e4=")</f>
        <v>#VALUE!</v>
      </c>
      <c r="IF193" t="e">
        <f>AND(DATA!D1438,"AAAAAH/r3e8=")</f>
        <v>#VALUE!</v>
      </c>
      <c r="IG193" t="e">
        <f>AND(DATA!E1438,"AAAAAH/r3fA=")</f>
        <v>#VALUE!</v>
      </c>
      <c r="IH193" t="e">
        <f>AND(DATA!F1438,"AAAAAH/r3fE=")</f>
        <v>#VALUE!</v>
      </c>
      <c r="II193" t="e">
        <f>AND(DATA!G1438,"AAAAAH/r3fI=")</f>
        <v>#VALUE!</v>
      </c>
      <c r="IJ193" t="e">
        <f>AND(DATA!H1438,"AAAAAH/r3fM=")</f>
        <v>#VALUE!</v>
      </c>
      <c r="IK193" t="e">
        <f>AND(DATA!I1438,"AAAAAH/r3fQ=")</f>
        <v>#VALUE!</v>
      </c>
      <c r="IL193" t="e">
        <f>AND(DATA!J1438,"AAAAAH/r3fU=")</f>
        <v>#VALUE!</v>
      </c>
      <c r="IM193" t="e">
        <f>AND(DATA!K1438,"AAAAAH/r3fY=")</f>
        <v>#VALUE!</v>
      </c>
      <c r="IN193" t="b">
        <f>AND(DATA!L1439,"AAAAAH/r3fc=")</f>
        <v>1</v>
      </c>
      <c r="IO193" t="b">
        <f>AND(DATA!M1439,"AAAAAH/r3fg=")</f>
        <v>1</v>
      </c>
      <c r="IP193" t="b">
        <f>AND(DATA!N1439,"AAAAAH/r3fk=")</f>
        <v>1</v>
      </c>
      <c r="IQ193" t="b">
        <f>AND(DATA!O1439,"AAAAAH/r3fo=")</f>
        <v>1</v>
      </c>
      <c r="IR193" t="b">
        <f>AND(DATA!P1439,"AAAAAH/r3fs=")</f>
        <v>1</v>
      </c>
      <c r="IS193" t="b">
        <f>AND(DATA!Q1439,"AAAAAH/r3fw=")</f>
        <v>1</v>
      </c>
      <c r="IT193" t="b">
        <f>AND(DATA!R1439,"AAAAAH/r3f0=")</f>
        <v>1</v>
      </c>
      <c r="IU193" t="b">
        <f>AND(DATA!S1439,"AAAAAH/r3f4=")</f>
        <v>1</v>
      </c>
      <c r="IV193" t="b">
        <f>AND(DATA!T1439,"AAAAAH/r3f8=")</f>
        <v>1</v>
      </c>
    </row>
    <row r="194" spans="1:256" x14ac:dyDescent="0.25">
      <c r="A194">
        <f>IF(DATA!1439:1439,"AAAAAH8u8wA=",0)</f>
        <v>0</v>
      </c>
      <c r="B194" t="e">
        <f>AND(DATA!A1439,"AAAAAH8u8wE=")</f>
        <v>#VALUE!</v>
      </c>
      <c r="C194" t="e">
        <f>AND(DATA!B1439,"AAAAAH8u8wI=")</f>
        <v>#VALUE!</v>
      </c>
      <c r="D194" t="e">
        <f>AND(DATA!C1439,"AAAAAH8u8wM=")</f>
        <v>#VALUE!</v>
      </c>
      <c r="E194" t="e">
        <f>AND(DATA!D1439,"AAAAAH8u8wQ=")</f>
        <v>#VALUE!</v>
      </c>
      <c r="F194" t="e">
        <f>AND(DATA!E1439,"AAAAAH8u8wU=")</f>
        <v>#VALUE!</v>
      </c>
      <c r="G194" t="e">
        <f>AND(DATA!F1439,"AAAAAH8u8wY=")</f>
        <v>#VALUE!</v>
      </c>
      <c r="H194" t="e">
        <f>AND(DATA!G1439,"AAAAAH8u8wc=")</f>
        <v>#VALUE!</v>
      </c>
      <c r="I194" t="e">
        <f>AND(DATA!H1439,"AAAAAH8u8wg=")</f>
        <v>#VALUE!</v>
      </c>
      <c r="J194" t="e">
        <f>AND(DATA!I1439,"AAAAAH8u8wk=")</f>
        <v>#VALUE!</v>
      </c>
      <c r="K194" t="e">
        <f>AND(DATA!J1439,"AAAAAH8u8wo=")</f>
        <v>#VALUE!</v>
      </c>
      <c r="L194" t="e">
        <f>AND(DATA!K1439,"AAAAAH8u8ws=")</f>
        <v>#VALUE!</v>
      </c>
      <c r="M194" t="b">
        <f>AND(DATA!L1440,"AAAAAH8u8ww=")</f>
        <v>1</v>
      </c>
      <c r="N194" t="b">
        <f>AND(DATA!M1440,"AAAAAH8u8w0=")</f>
        <v>1</v>
      </c>
      <c r="O194" t="b">
        <f>AND(DATA!N1440,"AAAAAH8u8w4=")</f>
        <v>1</v>
      </c>
      <c r="P194" t="b">
        <f>AND(DATA!O1440,"AAAAAH8u8w8=")</f>
        <v>1</v>
      </c>
      <c r="Q194" t="b">
        <f>AND(DATA!P1440,"AAAAAH8u8xA=")</f>
        <v>1</v>
      </c>
      <c r="R194" t="b">
        <f>AND(DATA!Q1440,"AAAAAH8u8xE=")</f>
        <v>1</v>
      </c>
      <c r="S194" t="b">
        <f>AND(DATA!R1440,"AAAAAH8u8xI=")</f>
        <v>1</v>
      </c>
      <c r="T194" t="b">
        <f>AND(DATA!S1440,"AAAAAH8u8xM=")</f>
        <v>1</v>
      </c>
      <c r="U194" t="b">
        <f>AND(DATA!T1440,"AAAAAH8u8xQ=")</f>
        <v>1</v>
      </c>
      <c r="V194">
        <f>IF(DATA!1440:1440,"AAAAAH8u8xU=",0)</f>
        <v>0</v>
      </c>
      <c r="W194" t="e">
        <f>AND(DATA!A1440,"AAAAAH8u8xY=")</f>
        <v>#VALUE!</v>
      </c>
      <c r="X194" t="e">
        <f>AND(DATA!B1440,"AAAAAH8u8xc=")</f>
        <v>#VALUE!</v>
      </c>
      <c r="Y194" t="e">
        <f>AND(DATA!C1440,"AAAAAH8u8xg=")</f>
        <v>#VALUE!</v>
      </c>
      <c r="Z194" t="e">
        <f>AND(DATA!D1440,"AAAAAH8u8xk=")</f>
        <v>#VALUE!</v>
      </c>
      <c r="AA194" t="e">
        <f>AND(DATA!E1440,"AAAAAH8u8xo=")</f>
        <v>#VALUE!</v>
      </c>
      <c r="AB194" t="e">
        <f>AND(DATA!F1440,"AAAAAH8u8xs=")</f>
        <v>#VALUE!</v>
      </c>
      <c r="AC194" t="e">
        <f>AND(DATA!G1440,"AAAAAH8u8xw=")</f>
        <v>#VALUE!</v>
      </c>
      <c r="AD194" t="e">
        <f>AND(DATA!H1440,"AAAAAH8u8x0=")</f>
        <v>#VALUE!</v>
      </c>
      <c r="AE194" t="e">
        <f>AND(DATA!I1440,"AAAAAH8u8x4=")</f>
        <v>#VALUE!</v>
      </c>
      <c r="AF194" t="e">
        <f>AND(DATA!J1440,"AAAAAH8u8x8=")</f>
        <v>#VALUE!</v>
      </c>
      <c r="AG194" t="e">
        <f>AND(DATA!K1440,"AAAAAH8u8yA=")</f>
        <v>#VALUE!</v>
      </c>
      <c r="AH194" t="b">
        <f>AND(DATA!L1441,"AAAAAH8u8yE=")</f>
        <v>1</v>
      </c>
      <c r="AI194" t="b">
        <f>AND(DATA!M1441,"AAAAAH8u8yI=")</f>
        <v>1</v>
      </c>
      <c r="AJ194" t="b">
        <f>AND(DATA!N1441,"AAAAAH8u8yM=")</f>
        <v>1</v>
      </c>
      <c r="AK194" t="b">
        <f>AND(DATA!O1441,"AAAAAH8u8yQ=")</f>
        <v>1</v>
      </c>
      <c r="AL194" t="b">
        <f>AND(DATA!P1441,"AAAAAH8u8yU=")</f>
        <v>1</v>
      </c>
      <c r="AM194" t="b">
        <f>AND(DATA!Q1441,"AAAAAH8u8yY=")</f>
        <v>1</v>
      </c>
      <c r="AN194" t="b">
        <f>AND(DATA!R1441,"AAAAAH8u8yc=")</f>
        <v>1</v>
      </c>
      <c r="AO194" t="b">
        <f>AND(DATA!S1441,"AAAAAH8u8yg=")</f>
        <v>1</v>
      </c>
      <c r="AP194" t="b">
        <f>AND(DATA!T1441,"AAAAAH8u8yk=")</f>
        <v>1</v>
      </c>
      <c r="AQ194">
        <f>IF(DATA!1441:1441,"AAAAAH8u8yo=",0)</f>
        <v>0</v>
      </c>
      <c r="AR194" t="e">
        <f>AND(DATA!A1441,"AAAAAH8u8ys=")</f>
        <v>#VALUE!</v>
      </c>
      <c r="AS194" t="e">
        <f>AND(DATA!B1441,"AAAAAH8u8yw=")</f>
        <v>#VALUE!</v>
      </c>
      <c r="AT194" t="e">
        <f>AND(DATA!C1441,"AAAAAH8u8y0=")</f>
        <v>#VALUE!</v>
      </c>
      <c r="AU194" t="e">
        <f>AND(DATA!D1441,"AAAAAH8u8y4=")</f>
        <v>#VALUE!</v>
      </c>
      <c r="AV194" t="e">
        <f>AND(DATA!E1441,"AAAAAH8u8y8=")</f>
        <v>#VALUE!</v>
      </c>
      <c r="AW194" t="e">
        <f>AND(DATA!F1441,"AAAAAH8u8zA=")</f>
        <v>#VALUE!</v>
      </c>
      <c r="AX194" t="e">
        <f>AND(DATA!G1441,"AAAAAH8u8zE=")</f>
        <v>#VALUE!</v>
      </c>
      <c r="AY194" t="e">
        <f>AND(DATA!H1441,"AAAAAH8u8zI=")</f>
        <v>#VALUE!</v>
      </c>
      <c r="AZ194" t="e">
        <f>AND(DATA!I1441,"AAAAAH8u8zM=")</f>
        <v>#VALUE!</v>
      </c>
      <c r="BA194" t="e">
        <f>AND(DATA!J1441,"AAAAAH8u8zQ=")</f>
        <v>#VALUE!</v>
      </c>
      <c r="BB194" t="e">
        <f>AND(DATA!K1441,"AAAAAH8u8zU=")</f>
        <v>#VALUE!</v>
      </c>
      <c r="BC194" t="b">
        <f>AND(DATA!L1442,"AAAAAH8u8zY=")</f>
        <v>1</v>
      </c>
      <c r="BD194" t="b">
        <f>AND(DATA!M1442,"AAAAAH8u8zc=")</f>
        <v>1</v>
      </c>
      <c r="BE194" t="b">
        <f>AND(DATA!N1442,"AAAAAH8u8zg=")</f>
        <v>1</v>
      </c>
      <c r="BF194" t="b">
        <f>AND(DATA!O1442,"AAAAAH8u8zk=")</f>
        <v>1</v>
      </c>
      <c r="BG194" t="b">
        <f>AND(DATA!P1442,"AAAAAH8u8zo=")</f>
        <v>1</v>
      </c>
      <c r="BH194" t="b">
        <f>AND(DATA!Q1442,"AAAAAH8u8zs=")</f>
        <v>1</v>
      </c>
      <c r="BI194" t="b">
        <f>AND(DATA!R1442,"AAAAAH8u8zw=")</f>
        <v>1</v>
      </c>
      <c r="BJ194" t="b">
        <f>AND(DATA!S1442,"AAAAAH8u8z0=")</f>
        <v>1</v>
      </c>
      <c r="BK194" t="b">
        <f>AND(DATA!T1442,"AAAAAH8u8z4=")</f>
        <v>1</v>
      </c>
      <c r="BL194">
        <f>IF(DATA!1442:1442,"AAAAAH8u8z8=",0)</f>
        <v>0</v>
      </c>
      <c r="BM194" t="e">
        <f>AND(DATA!A1442,"AAAAAH8u80A=")</f>
        <v>#VALUE!</v>
      </c>
      <c r="BN194" t="e">
        <f>AND(DATA!B1442,"AAAAAH8u80E=")</f>
        <v>#VALUE!</v>
      </c>
      <c r="BO194" t="e">
        <f>AND(DATA!C1442,"AAAAAH8u80I=")</f>
        <v>#VALUE!</v>
      </c>
      <c r="BP194" t="e">
        <f>AND(DATA!D1442,"AAAAAH8u80M=")</f>
        <v>#VALUE!</v>
      </c>
      <c r="BQ194" t="e">
        <f>AND(DATA!E1442,"AAAAAH8u80Q=")</f>
        <v>#VALUE!</v>
      </c>
      <c r="BR194" t="e">
        <f>AND(DATA!F1442,"AAAAAH8u80U=")</f>
        <v>#VALUE!</v>
      </c>
      <c r="BS194" t="e">
        <f>AND(DATA!G1442,"AAAAAH8u80Y=")</f>
        <v>#VALUE!</v>
      </c>
      <c r="BT194" t="e">
        <f>AND(DATA!H1442,"AAAAAH8u80c=")</f>
        <v>#VALUE!</v>
      </c>
      <c r="BU194" t="e">
        <f>AND(DATA!I1442,"AAAAAH8u80g=")</f>
        <v>#VALUE!</v>
      </c>
      <c r="BV194" t="e">
        <f>AND(DATA!J1442,"AAAAAH8u80k=")</f>
        <v>#VALUE!</v>
      </c>
      <c r="BW194" t="e">
        <f>AND(DATA!K1442,"AAAAAH8u80o=")</f>
        <v>#VALUE!</v>
      </c>
      <c r="BX194" t="b">
        <f>AND(DATA!L1443,"AAAAAH8u80s=")</f>
        <v>1</v>
      </c>
      <c r="BY194" t="b">
        <f>AND(DATA!M1443,"AAAAAH8u80w=")</f>
        <v>1</v>
      </c>
      <c r="BZ194" t="b">
        <f>AND(DATA!N1443,"AAAAAH8u800=")</f>
        <v>1</v>
      </c>
      <c r="CA194" t="b">
        <f>AND(DATA!O1443,"AAAAAH8u804=")</f>
        <v>1</v>
      </c>
      <c r="CB194" t="b">
        <f>AND(DATA!P1443,"AAAAAH8u808=")</f>
        <v>1</v>
      </c>
      <c r="CC194" t="b">
        <f>AND(DATA!Q1443,"AAAAAH8u81A=")</f>
        <v>1</v>
      </c>
      <c r="CD194" t="b">
        <f>AND(DATA!R1443,"AAAAAH8u81E=")</f>
        <v>1</v>
      </c>
      <c r="CE194" t="b">
        <f>AND(DATA!S1443,"AAAAAH8u81I=")</f>
        <v>1</v>
      </c>
      <c r="CF194" t="b">
        <f>AND(DATA!T1443,"AAAAAH8u81M=")</f>
        <v>1</v>
      </c>
      <c r="CG194">
        <f>IF(DATA!1443:1443,"AAAAAH8u81Q=",0)</f>
        <v>0</v>
      </c>
      <c r="CH194" t="e">
        <f>AND(DATA!A1443,"AAAAAH8u81U=")</f>
        <v>#VALUE!</v>
      </c>
      <c r="CI194" t="e">
        <f>AND(DATA!B1443,"AAAAAH8u81Y=")</f>
        <v>#VALUE!</v>
      </c>
      <c r="CJ194" t="e">
        <f>AND(DATA!C1443,"AAAAAH8u81c=")</f>
        <v>#VALUE!</v>
      </c>
      <c r="CK194" t="e">
        <f>AND(DATA!D1443,"AAAAAH8u81g=")</f>
        <v>#VALUE!</v>
      </c>
      <c r="CL194" t="e">
        <f>AND(DATA!E1443,"AAAAAH8u81k=")</f>
        <v>#VALUE!</v>
      </c>
      <c r="CM194" t="e">
        <f>AND(DATA!F1443,"AAAAAH8u81o=")</f>
        <v>#VALUE!</v>
      </c>
      <c r="CN194" t="e">
        <f>AND(DATA!G1443,"AAAAAH8u81s=")</f>
        <v>#VALUE!</v>
      </c>
      <c r="CO194" t="e">
        <f>AND(DATA!H1443,"AAAAAH8u81w=")</f>
        <v>#VALUE!</v>
      </c>
      <c r="CP194" t="e">
        <f>AND(DATA!I1443,"AAAAAH8u810=")</f>
        <v>#VALUE!</v>
      </c>
      <c r="CQ194" t="e">
        <f>AND(DATA!J1443,"AAAAAH8u814=")</f>
        <v>#VALUE!</v>
      </c>
      <c r="CR194" t="e">
        <f>AND(DATA!K1443,"AAAAAH8u818=")</f>
        <v>#VALUE!</v>
      </c>
      <c r="CS194" t="b">
        <f>AND(DATA!L1444,"AAAAAH8u82A=")</f>
        <v>1</v>
      </c>
      <c r="CT194" t="b">
        <f>AND(DATA!M1444,"AAAAAH8u82E=")</f>
        <v>1</v>
      </c>
      <c r="CU194" t="b">
        <f>AND(DATA!N1444,"AAAAAH8u82I=")</f>
        <v>1</v>
      </c>
      <c r="CV194" t="b">
        <f>AND(DATA!O1444,"AAAAAH8u82M=")</f>
        <v>1</v>
      </c>
      <c r="CW194" t="b">
        <f>AND(DATA!P1444,"AAAAAH8u82Q=")</f>
        <v>1</v>
      </c>
      <c r="CX194" t="b">
        <f>AND(DATA!Q1444,"AAAAAH8u82U=")</f>
        <v>1</v>
      </c>
      <c r="CY194" t="b">
        <f>AND(DATA!R1444,"AAAAAH8u82Y=")</f>
        <v>1</v>
      </c>
      <c r="CZ194" t="b">
        <f>AND(DATA!S1444,"AAAAAH8u82c=")</f>
        <v>1</v>
      </c>
      <c r="DA194" t="b">
        <f>AND(DATA!T1444,"AAAAAH8u82g=")</f>
        <v>1</v>
      </c>
      <c r="DB194">
        <f>IF(DATA!1444:1444,"AAAAAH8u82k=",0)</f>
        <v>0</v>
      </c>
      <c r="DC194" t="e">
        <f>AND(DATA!A1444,"AAAAAH8u82o=")</f>
        <v>#VALUE!</v>
      </c>
      <c r="DD194" t="e">
        <f>AND(DATA!B1444,"AAAAAH8u82s=")</f>
        <v>#VALUE!</v>
      </c>
      <c r="DE194" t="e">
        <f>AND(DATA!C1444,"AAAAAH8u82w=")</f>
        <v>#VALUE!</v>
      </c>
      <c r="DF194" t="e">
        <f>AND(DATA!D1444,"AAAAAH8u820=")</f>
        <v>#VALUE!</v>
      </c>
      <c r="DG194" t="e">
        <f>AND(DATA!E1444,"AAAAAH8u824=")</f>
        <v>#VALUE!</v>
      </c>
      <c r="DH194" t="e">
        <f>AND(DATA!F1444,"AAAAAH8u828=")</f>
        <v>#VALUE!</v>
      </c>
      <c r="DI194" t="e">
        <f>AND(DATA!G1444,"AAAAAH8u83A=")</f>
        <v>#VALUE!</v>
      </c>
      <c r="DJ194" t="e">
        <f>AND(DATA!H1444,"AAAAAH8u83E=")</f>
        <v>#VALUE!</v>
      </c>
      <c r="DK194" t="e">
        <f>AND(DATA!I1444,"AAAAAH8u83I=")</f>
        <v>#VALUE!</v>
      </c>
      <c r="DL194" t="e">
        <f>AND(DATA!J1444,"AAAAAH8u83M=")</f>
        <v>#VALUE!</v>
      </c>
      <c r="DM194" t="e">
        <f>AND(DATA!K1444,"AAAAAH8u83Q=")</f>
        <v>#VALUE!</v>
      </c>
      <c r="DN194" t="b">
        <f>AND(DATA!L1445,"AAAAAH8u83U=")</f>
        <v>1</v>
      </c>
      <c r="DO194" t="b">
        <f>AND(DATA!M1445,"AAAAAH8u83Y=")</f>
        <v>1</v>
      </c>
      <c r="DP194" t="b">
        <f>AND(DATA!N1445,"AAAAAH8u83c=")</f>
        <v>1</v>
      </c>
      <c r="DQ194" t="b">
        <f>AND(DATA!O1445,"AAAAAH8u83g=")</f>
        <v>1</v>
      </c>
      <c r="DR194" t="b">
        <f>AND(DATA!P1445,"AAAAAH8u83k=")</f>
        <v>1</v>
      </c>
      <c r="DS194" t="b">
        <f>AND(DATA!Q1445,"AAAAAH8u83o=")</f>
        <v>1</v>
      </c>
      <c r="DT194" t="b">
        <f>AND(DATA!R1445,"AAAAAH8u83s=")</f>
        <v>1</v>
      </c>
      <c r="DU194" t="b">
        <f>AND(DATA!S1445,"AAAAAH8u83w=")</f>
        <v>1</v>
      </c>
      <c r="DV194" t="b">
        <f>AND(DATA!T1445,"AAAAAH8u830=")</f>
        <v>1</v>
      </c>
      <c r="DW194">
        <f>IF(DATA!1445:1445,"AAAAAH8u834=",0)</f>
        <v>0</v>
      </c>
      <c r="DX194" t="e">
        <f>AND(DATA!A1445,"AAAAAH8u838=")</f>
        <v>#VALUE!</v>
      </c>
      <c r="DY194" t="e">
        <f>AND(DATA!B1445,"AAAAAH8u84A=")</f>
        <v>#VALUE!</v>
      </c>
      <c r="DZ194" t="e">
        <f>AND(DATA!C1445,"AAAAAH8u84E=")</f>
        <v>#VALUE!</v>
      </c>
      <c r="EA194" t="e">
        <f>AND(DATA!D1445,"AAAAAH8u84I=")</f>
        <v>#VALUE!</v>
      </c>
      <c r="EB194" t="e">
        <f>AND(DATA!E1445,"AAAAAH8u84M=")</f>
        <v>#VALUE!</v>
      </c>
      <c r="EC194" t="e">
        <f>AND(DATA!F1445,"AAAAAH8u84Q=")</f>
        <v>#VALUE!</v>
      </c>
      <c r="ED194" t="e">
        <f>AND(DATA!G1445,"AAAAAH8u84U=")</f>
        <v>#VALUE!</v>
      </c>
      <c r="EE194" t="e">
        <f>AND(DATA!H1445,"AAAAAH8u84Y=")</f>
        <v>#VALUE!</v>
      </c>
      <c r="EF194" t="e">
        <f>AND(DATA!I1445,"AAAAAH8u84c=")</f>
        <v>#VALUE!</v>
      </c>
      <c r="EG194" t="e">
        <f>AND(DATA!J1445,"AAAAAH8u84g=")</f>
        <v>#VALUE!</v>
      </c>
      <c r="EH194" t="e">
        <f>AND(DATA!K1445,"AAAAAH8u84k=")</f>
        <v>#VALUE!</v>
      </c>
      <c r="EI194" t="b">
        <f>AND(DATA!L1446,"AAAAAH8u84o=")</f>
        <v>1</v>
      </c>
      <c r="EJ194" t="b">
        <f>AND(DATA!M1446,"AAAAAH8u84s=")</f>
        <v>1</v>
      </c>
      <c r="EK194" t="b">
        <f>AND(DATA!N1446,"AAAAAH8u84w=")</f>
        <v>1</v>
      </c>
      <c r="EL194" t="b">
        <f>AND(DATA!O1446,"AAAAAH8u840=")</f>
        <v>1</v>
      </c>
      <c r="EM194" t="b">
        <f>AND(DATA!P1446,"AAAAAH8u844=")</f>
        <v>1</v>
      </c>
      <c r="EN194" t="b">
        <f>AND(DATA!Q1446,"AAAAAH8u848=")</f>
        <v>1</v>
      </c>
      <c r="EO194" t="b">
        <f>AND(DATA!R1446,"AAAAAH8u85A=")</f>
        <v>1</v>
      </c>
      <c r="EP194" t="b">
        <f>AND(DATA!S1446,"AAAAAH8u85E=")</f>
        <v>1</v>
      </c>
      <c r="EQ194" t="b">
        <f>AND(DATA!T1446,"AAAAAH8u85I=")</f>
        <v>1</v>
      </c>
      <c r="ER194">
        <f>IF(DATA!1446:1446,"AAAAAH8u85M=",0)</f>
        <v>0</v>
      </c>
      <c r="ES194" t="e">
        <f>AND(DATA!A1446,"AAAAAH8u85Q=")</f>
        <v>#VALUE!</v>
      </c>
      <c r="ET194" t="e">
        <f>AND(DATA!B1446,"AAAAAH8u85U=")</f>
        <v>#VALUE!</v>
      </c>
      <c r="EU194" t="e">
        <f>AND(DATA!C1446,"AAAAAH8u85Y=")</f>
        <v>#VALUE!</v>
      </c>
      <c r="EV194" t="e">
        <f>AND(DATA!D1446,"AAAAAH8u85c=")</f>
        <v>#VALUE!</v>
      </c>
      <c r="EW194" t="e">
        <f>AND(DATA!E1446,"AAAAAH8u85g=")</f>
        <v>#VALUE!</v>
      </c>
      <c r="EX194" t="e">
        <f>AND(DATA!F1446,"AAAAAH8u85k=")</f>
        <v>#VALUE!</v>
      </c>
      <c r="EY194" t="e">
        <f>AND(DATA!G1446,"AAAAAH8u85o=")</f>
        <v>#VALUE!</v>
      </c>
      <c r="EZ194" t="e">
        <f>AND(DATA!H1446,"AAAAAH8u85s=")</f>
        <v>#VALUE!</v>
      </c>
      <c r="FA194" t="e">
        <f>AND(DATA!I1446,"AAAAAH8u85w=")</f>
        <v>#VALUE!</v>
      </c>
      <c r="FB194" t="e">
        <f>AND(DATA!J1446,"AAAAAH8u850=")</f>
        <v>#VALUE!</v>
      </c>
      <c r="FC194" t="e">
        <f>AND(DATA!K1446,"AAAAAH8u854=")</f>
        <v>#VALUE!</v>
      </c>
      <c r="FD194" t="b">
        <f>AND(DATA!L1447,"AAAAAH8u858=")</f>
        <v>1</v>
      </c>
      <c r="FE194" t="b">
        <f>AND(DATA!M1447,"AAAAAH8u86A=")</f>
        <v>1</v>
      </c>
      <c r="FF194" t="b">
        <f>AND(DATA!N1447,"AAAAAH8u86E=")</f>
        <v>1</v>
      </c>
      <c r="FG194" t="b">
        <f>AND(DATA!O1447,"AAAAAH8u86I=")</f>
        <v>1</v>
      </c>
      <c r="FH194" t="b">
        <f>AND(DATA!P1447,"AAAAAH8u86M=")</f>
        <v>1</v>
      </c>
      <c r="FI194" t="b">
        <f>AND(DATA!Q1447,"AAAAAH8u86Q=")</f>
        <v>1</v>
      </c>
      <c r="FJ194" t="b">
        <f>AND(DATA!R1447,"AAAAAH8u86U=")</f>
        <v>1</v>
      </c>
      <c r="FK194" t="b">
        <f>AND(DATA!S1447,"AAAAAH8u86Y=")</f>
        <v>1</v>
      </c>
      <c r="FL194" t="b">
        <f>AND(DATA!T1447,"AAAAAH8u86c=")</f>
        <v>1</v>
      </c>
      <c r="FM194">
        <f>IF(DATA!1447:1447,"AAAAAH8u86g=",0)</f>
        <v>0</v>
      </c>
      <c r="FN194" t="e">
        <f>AND(DATA!A1447,"AAAAAH8u86k=")</f>
        <v>#VALUE!</v>
      </c>
      <c r="FO194" t="e">
        <f>AND(DATA!B1447,"AAAAAH8u86o=")</f>
        <v>#VALUE!</v>
      </c>
      <c r="FP194" t="e">
        <f>AND(DATA!C1447,"AAAAAH8u86s=")</f>
        <v>#VALUE!</v>
      </c>
      <c r="FQ194" t="e">
        <f>AND(DATA!D1447,"AAAAAH8u86w=")</f>
        <v>#VALUE!</v>
      </c>
      <c r="FR194" t="e">
        <f>AND(DATA!E1447,"AAAAAH8u860=")</f>
        <v>#VALUE!</v>
      </c>
      <c r="FS194" t="e">
        <f>AND(DATA!F1447,"AAAAAH8u864=")</f>
        <v>#VALUE!</v>
      </c>
      <c r="FT194" t="e">
        <f>AND(DATA!G1447,"AAAAAH8u868=")</f>
        <v>#VALUE!</v>
      </c>
      <c r="FU194" t="e">
        <f>AND(DATA!H1447,"AAAAAH8u87A=")</f>
        <v>#VALUE!</v>
      </c>
      <c r="FV194" t="e">
        <f>AND(DATA!I1447,"AAAAAH8u87E=")</f>
        <v>#VALUE!</v>
      </c>
      <c r="FW194" t="e">
        <f>AND(DATA!J1447,"AAAAAH8u87I=")</f>
        <v>#VALUE!</v>
      </c>
      <c r="FX194" t="e">
        <f>AND(DATA!K1447,"AAAAAH8u87M=")</f>
        <v>#VALUE!</v>
      </c>
      <c r="FY194" t="b">
        <f>AND(DATA!L1448,"AAAAAH8u87Q=")</f>
        <v>1</v>
      </c>
      <c r="FZ194" t="b">
        <f>AND(DATA!M1448,"AAAAAH8u87U=")</f>
        <v>1</v>
      </c>
      <c r="GA194" t="b">
        <f>AND(DATA!N1448,"AAAAAH8u87Y=")</f>
        <v>1</v>
      </c>
      <c r="GB194" t="b">
        <f>AND(DATA!O1448,"AAAAAH8u87c=")</f>
        <v>1</v>
      </c>
      <c r="GC194" t="b">
        <f>AND(DATA!P1448,"AAAAAH8u87g=")</f>
        <v>1</v>
      </c>
      <c r="GD194" t="b">
        <f>AND(DATA!Q1448,"AAAAAH8u87k=")</f>
        <v>1</v>
      </c>
      <c r="GE194" t="b">
        <f>AND(DATA!R1448,"AAAAAH8u87o=")</f>
        <v>1</v>
      </c>
      <c r="GF194" t="b">
        <f>AND(DATA!S1448,"AAAAAH8u87s=")</f>
        <v>1</v>
      </c>
      <c r="GG194" t="b">
        <f>AND(DATA!T1448,"AAAAAH8u87w=")</f>
        <v>1</v>
      </c>
      <c r="GH194">
        <f>IF(DATA!1448:1448,"AAAAAH8u870=",0)</f>
        <v>0</v>
      </c>
      <c r="GI194" t="e">
        <f>AND(DATA!A1448,"AAAAAH8u874=")</f>
        <v>#VALUE!</v>
      </c>
      <c r="GJ194" t="e">
        <f>AND(DATA!B1448,"AAAAAH8u878=")</f>
        <v>#VALUE!</v>
      </c>
      <c r="GK194" t="e">
        <f>AND(DATA!C1448,"AAAAAH8u88A=")</f>
        <v>#VALUE!</v>
      </c>
      <c r="GL194" t="e">
        <f>AND(DATA!D1448,"AAAAAH8u88E=")</f>
        <v>#VALUE!</v>
      </c>
      <c r="GM194" t="e">
        <f>AND(DATA!E1448,"AAAAAH8u88I=")</f>
        <v>#VALUE!</v>
      </c>
      <c r="GN194" t="e">
        <f>AND(DATA!F1448,"AAAAAH8u88M=")</f>
        <v>#VALUE!</v>
      </c>
      <c r="GO194" t="e">
        <f>AND(DATA!G1448,"AAAAAH8u88Q=")</f>
        <v>#VALUE!</v>
      </c>
      <c r="GP194" t="e">
        <f>AND(DATA!H1448,"AAAAAH8u88U=")</f>
        <v>#VALUE!</v>
      </c>
      <c r="GQ194" t="e">
        <f>AND(DATA!I1448,"AAAAAH8u88Y=")</f>
        <v>#VALUE!</v>
      </c>
      <c r="GR194" t="e">
        <f>AND(DATA!J1448,"AAAAAH8u88c=")</f>
        <v>#VALUE!</v>
      </c>
      <c r="GS194" t="e">
        <f>AND(DATA!K1448,"AAAAAH8u88g=")</f>
        <v>#VALUE!</v>
      </c>
      <c r="GT194" t="b">
        <f>AND(DATA!L1449,"AAAAAH8u88k=")</f>
        <v>1</v>
      </c>
      <c r="GU194" t="b">
        <f>AND(DATA!M1449,"AAAAAH8u88o=")</f>
        <v>1</v>
      </c>
      <c r="GV194" t="b">
        <f>AND(DATA!N1449,"AAAAAH8u88s=")</f>
        <v>1</v>
      </c>
      <c r="GW194" t="b">
        <f>AND(DATA!O1449,"AAAAAH8u88w=")</f>
        <v>1</v>
      </c>
      <c r="GX194" t="b">
        <f>AND(DATA!P1449,"AAAAAH8u880=")</f>
        <v>1</v>
      </c>
      <c r="GY194" t="b">
        <f>AND(DATA!Q1449,"AAAAAH8u884=")</f>
        <v>1</v>
      </c>
      <c r="GZ194" t="b">
        <f>AND(DATA!R1449,"AAAAAH8u888=")</f>
        <v>1</v>
      </c>
      <c r="HA194" t="b">
        <f>AND(DATA!S1449,"AAAAAH8u89A=")</f>
        <v>1</v>
      </c>
      <c r="HB194" t="b">
        <f>AND(DATA!T1449,"AAAAAH8u89E=")</f>
        <v>1</v>
      </c>
      <c r="HC194">
        <f>IF(DATA!1449:1449,"AAAAAH8u89I=",0)</f>
        <v>0</v>
      </c>
      <c r="HD194" t="e">
        <f>AND(DATA!A1449,"AAAAAH8u89M=")</f>
        <v>#VALUE!</v>
      </c>
      <c r="HE194" t="e">
        <f>AND(DATA!B1449,"AAAAAH8u89Q=")</f>
        <v>#VALUE!</v>
      </c>
      <c r="HF194" t="e">
        <f>AND(DATA!C1449,"AAAAAH8u89U=")</f>
        <v>#VALUE!</v>
      </c>
      <c r="HG194" t="e">
        <f>AND(DATA!D1449,"AAAAAH8u89Y=")</f>
        <v>#VALUE!</v>
      </c>
      <c r="HH194" t="e">
        <f>AND(DATA!E1449,"AAAAAH8u89c=")</f>
        <v>#VALUE!</v>
      </c>
      <c r="HI194" t="e">
        <f>AND(DATA!F1449,"AAAAAH8u89g=")</f>
        <v>#VALUE!</v>
      </c>
      <c r="HJ194" t="e">
        <f>AND(DATA!G1449,"AAAAAH8u89k=")</f>
        <v>#VALUE!</v>
      </c>
      <c r="HK194" t="e">
        <f>AND(DATA!H1449,"AAAAAH8u89o=")</f>
        <v>#VALUE!</v>
      </c>
      <c r="HL194" t="e">
        <f>AND(DATA!I1449,"AAAAAH8u89s=")</f>
        <v>#VALUE!</v>
      </c>
      <c r="HM194" t="e">
        <f>AND(DATA!J1449,"AAAAAH8u89w=")</f>
        <v>#VALUE!</v>
      </c>
      <c r="HN194" t="e">
        <f>AND(DATA!K1449,"AAAAAH8u890=")</f>
        <v>#VALUE!</v>
      </c>
      <c r="HO194" t="b">
        <f>AND(DATA!L1450,"AAAAAH8u894=")</f>
        <v>1</v>
      </c>
      <c r="HP194" t="b">
        <f>AND(DATA!M1450,"AAAAAH8u898=")</f>
        <v>1</v>
      </c>
      <c r="HQ194" t="b">
        <f>AND(DATA!N1450,"AAAAAH8u8+A=")</f>
        <v>1</v>
      </c>
      <c r="HR194" t="b">
        <f>AND(DATA!O1450,"AAAAAH8u8+E=")</f>
        <v>1</v>
      </c>
      <c r="HS194" t="b">
        <f>AND(DATA!P1450,"AAAAAH8u8+I=")</f>
        <v>1</v>
      </c>
      <c r="HT194" t="b">
        <f>AND(DATA!Q1450,"AAAAAH8u8+M=")</f>
        <v>1</v>
      </c>
      <c r="HU194" t="b">
        <f>AND(DATA!R1450,"AAAAAH8u8+Q=")</f>
        <v>1</v>
      </c>
      <c r="HV194" t="b">
        <f>AND(DATA!S1450,"AAAAAH8u8+U=")</f>
        <v>1</v>
      </c>
      <c r="HW194" t="b">
        <f>AND(DATA!T1450,"AAAAAH8u8+Y=")</f>
        <v>1</v>
      </c>
      <c r="HX194">
        <f>IF(DATA!1450:1450,"AAAAAH8u8+c=",0)</f>
        <v>0</v>
      </c>
      <c r="HY194" t="e">
        <f>AND(DATA!A1450,"AAAAAH8u8+g=")</f>
        <v>#VALUE!</v>
      </c>
      <c r="HZ194" t="e">
        <f>AND(DATA!B1450,"AAAAAH8u8+k=")</f>
        <v>#VALUE!</v>
      </c>
      <c r="IA194" t="e">
        <f>AND(DATA!C1450,"AAAAAH8u8+o=")</f>
        <v>#VALUE!</v>
      </c>
      <c r="IB194" t="e">
        <f>AND(DATA!D1450,"AAAAAH8u8+s=")</f>
        <v>#VALUE!</v>
      </c>
      <c r="IC194" t="e">
        <f>AND(DATA!E1450,"AAAAAH8u8+w=")</f>
        <v>#VALUE!</v>
      </c>
      <c r="ID194" t="e">
        <f>AND(DATA!F1450,"AAAAAH8u8+0=")</f>
        <v>#VALUE!</v>
      </c>
      <c r="IE194" t="e">
        <f>AND(DATA!G1450,"AAAAAH8u8+4=")</f>
        <v>#VALUE!</v>
      </c>
      <c r="IF194" t="e">
        <f>AND(DATA!H1450,"AAAAAH8u8+8=")</f>
        <v>#VALUE!</v>
      </c>
      <c r="IG194" t="e">
        <f>AND(DATA!I1450,"AAAAAH8u8/A=")</f>
        <v>#VALUE!</v>
      </c>
      <c r="IH194" t="e">
        <f>AND(DATA!J1450,"AAAAAH8u8/E=")</f>
        <v>#VALUE!</v>
      </c>
      <c r="II194" t="e">
        <f>AND(DATA!K1450,"AAAAAH8u8/I=")</f>
        <v>#VALUE!</v>
      </c>
      <c r="IJ194" t="b">
        <f>AND(DATA!L1451,"AAAAAH8u8/M=")</f>
        <v>1</v>
      </c>
      <c r="IK194" t="b">
        <f>AND(DATA!M1451,"AAAAAH8u8/Q=")</f>
        <v>1</v>
      </c>
      <c r="IL194" t="b">
        <f>AND(DATA!N1451,"AAAAAH8u8/U=")</f>
        <v>1</v>
      </c>
      <c r="IM194" t="b">
        <f>AND(DATA!O1451,"AAAAAH8u8/Y=")</f>
        <v>1</v>
      </c>
      <c r="IN194" t="b">
        <f>AND(DATA!P1451,"AAAAAH8u8/c=")</f>
        <v>1</v>
      </c>
      <c r="IO194" t="b">
        <f>AND(DATA!Q1451,"AAAAAH8u8/g=")</f>
        <v>1</v>
      </c>
      <c r="IP194" t="b">
        <f>AND(DATA!R1451,"AAAAAH8u8/k=")</f>
        <v>1</v>
      </c>
      <c r="IQ194" t="b">
        <f>AND(DATA!S1451,"AAAAAH8u8/o=")</f>
        <v>1</v>
      </c>
      <c r="IR194" t="b">
        <f>AND(DATA!T1451,"AAAAAH8u8/s=")</f>
        <v>1</v>
      </c>
      <c r="IS194">
        <f>IF(DATA!1451:1451,"AAAAAH8u8/w=",0)</f>
        <v>0</v>
      </c>
      <c r="IT194" t="e">
        <f>AND(DATA!A1451,"AAAAAH8u8/0=")</f>
        <v>#VALUE!</v>
      </c>
      <c r="IU194" t="e">
        <f>AND(DATA!B1451,"AAAAAH8u8/4=")</f>
        <v>#VALUE!</v>
      </c>
      <c r="IV194" t="e">
        <f>AND(DATA!C1451,"AAAAAH8u8/8=")</f>
        <v>#VALUE!</v>
      </c>
    </row>
    <row r="195" spans="1:256" x14ac:dyDescent="0.25">
      <c r="A195" t="e">
        <f>AND(DATA!D1451,"AAAAAHz1vwA=")</f>
        <v>#VALUE!</v>
      </c>
      <c r="B195" t="e">
        <f>AND(DATA!E1451,"AAAAAHz1vwE=")</f>
        <v>#VALUE!</v>
      </c>
      <c r="C195" t="e">
        <f>AND(DATA!F1451,"AAAAAHz1vwI=")</f>
        <v>#VALUE!</v>
      </c>
      <c r="D195" t="e">
        <f>AND(DATA!G1451,"AAAAAHz1vwM=")</f>
        <v>#VALUE!</v>
      </c>
      <c r="E195" t="e">
        <f>AND(DATA!H1451,"AAAAAHz1vwQ=")</f>
        <v>#VALUE!</v>
      </c>
      <c r="F195" t="e">
        <f>AND(DATA!I1451,"AAAAAHz1vwU=")</f>
        <v>#VALUE!</v>
      </c>
      <c r="G195" t="e">
        <f>AND(DATA!J1451,"AAAAAHz1vwY=")</f>
        <v>#VALUE!</v>
      </c>
      <c r="H195" t="e">
        <f>AND(DATA!K1451,"AAAAAHz1vwc=")</f>
        <v>#VALUE!</v>
      </c>
      <c r="I195" t="b">
        <f>AND(DATA!L1452,"AAAAAHz1vwg=")</f>
        <v>1</v>
      </c>
      <c r="J195" t="b">
        <f>AND(DATA!M1452,"AAAAAHz1vwk=")</f>
        <v>1</v>
      </c>
      <c r="K195" t="b">
        <f>AND(DATA!N1452,"AAAAAHz1vwo=")</f>
        <v>1</v>
      </c>
      <c r="L195" t="b">
        <f>AND(DATA!O1452,"AAAAAHz1vws=")</f>
        <v>1</v>
      </c>
      <c r="M195" t="b">
        <f>AND(DATA!P1452,"AAAAAHz1vww=")</f>
        <v>1</v>
      </c>
      <c r="N195" t="b">
        <f>AND(DATA!Q1452,"AAAAAHz1vw0=")</f>
        <v>1</v>
      </c>
      <c r="O195" t="b">
        <f>AND(DATA!R1452,"AAAAAHz1vw4=")</f>
        <v>1</v>
      </c>
      <c r="P195" t="b">
        <f>AND(DATA!S1452,"AAAAAHz1vw8=")</f>
        <v>1</v>
      </c>
      <c r="Q195" t="b">
        <f>AND(DATA!T1452,"AAAAAHz1vxA=")</f>
        <v>1</v>
      </c>
      <c r="R195" t="str">
        <f>IF(DATA!1452:1452,"AAAAAHz1vxE=",0)</f>
        <v>AAAAAHz1vxE=</v>
      </c>
      <c r="S195" t="e">
        <f>AND(DATA!A1452,"AAAAAHz1vxI=")</f>
        <v>#VALUE!</v>
      </c>
      <c r="T195" t="e">
        <f>AND(DATA!B1452,"AAAAAHz1vxM=")</f>
        <v>#VALUE!</v>
      </c>
      <c r="U195" t="e">
        <f>AND(DATA!C1452,"AAAAAHz1vxQ=")</f>
        <v>#VALUE!</v>
      </c>
      <c r="V195" t="e">
        <f>AND(DATA!D1452,"AAAAAHz1vxU=")</f>
        <v>#VALUE!</v>
      </c>
      <c r="W195" t="e">
        <f>AND(DATA!E1452,"AAAAAHz1vxY=")</f>
        <v>#VALUE!</v>
      </c>
      <c r="X195" t="e">
        <f>AND(DATA!F1452,"AAAAAHz1vxc=")</f>
        <v>#VALUE!</v>
      </c>
      <c r="Y195" t="e">
        <f>AND(DATA!G1452,"AAAAAHz1vxg=")</f>
        <v>#VALUE!</v>
      </c>
      <c r="Z195" t="e">
        <f>AND(DATA!H1452,"AAAAAHz1vxk=")</f>
        <v>#VALUE!</v>
      </c>
      <c r="AA195" t="e">
        <f>AND(DATA!I1452,"AAAAAHz1vxo=")</f>
        <v>#VALUE!</v>
      </c>
      <c r="AB195" t="e">
        <f>AND(DATA!J1452,"AAAAAHz1vxs=")</f>
        <v>#VALUE!</v>
      </c>
      <c r="AC195" t="e">
        <f>AND(DATA!K1452,"AAAAAHz1vxw=")</f>
        <v>#VALUE!</v>
      </c>
      <c r="AD195" t="b">
        <f>AND(DATA!L1453,"AAAAAHz1vx0=")</f>
        <v>1</v>
      </c>
      <c r="AE195" t="b">
        <f>AND(DATA!M1453,"AAAAAHz1vx4=")</f>
        <v>1</v>
      </c>
      <c r="AF195" t="b">
        <f>AND(DATA!N1453,"AAAAAHz1vx8=")</f>
        <v>1</v>
      </c>
      <c r="AG195" t="b">
        <f>AND(DATA!O1453,"AAAAAHz1vyA=")</f>
        <v>1</v>
      </c>
      <c r="AH195" t="b">
        <f>AND(DATA!P1453,"AAAAAHz1vyE=")</f>
        <v>1</v>
      </c>
      <c r="AI195" t="b">
        <f>AND(DATA!Q1453,"AAAAAHz1vyI=")</f>
        <v>1</v>
      </c>
      <c r="AJ195" t="b">
        <f>AND(DATA!R1453,"AAAAAHz1vyM=")</f>
        <v>1</v>
      </c>
      <c r="AK195" t="b">
        <f>AND(DATA!S1453,"AAAAAHz1vyQ=")</f>
        <v>1</v>
      </c>
      <c r="AL195" t="b">
        <f>AND(DATA!T1453,"AAAAAHz1vyU=")</f>
        <v>1</v>
      </c>
      <c r="AM195">
        <f>IF(DATA!1453:1453,"AAAAAHz1vyY=",0)</f>
        <v>0</v>
      </c>
      <c r="AN195" t="e">
        <f>AND(DATA!A1453,"AAAAAHz1vyc=")</f>
        <v>#VALUE!</v>
      </c>
      <c r="AO195" t="e">
        <f>AND(DATA!B1453,"AAAAAHz1vyg=")</f>
        <v>#VALUE!</v>
      </c>
      <c r="AP195" t="e">
        <f>AND(DATA!C1453,"AAAAAHz1vyk=")</f>
        <v>#VALUE!</v>
      </c>
      <c r="AQ195" t="e">
        <f>AND(DATA!D1453,"AAAAAHz1vyo=")</f>
        <v>#VALUE!</v>
      </c>
      <c r="AR195" t="e">
        <f>AND(DATA!E1453,"AAAAAHz1vys=")</f>
        <v>#VALUE!</v>
      </c>
      <c r="AS195" t="e">
        <f>AND(DATA!F1453,"AAAAAHz1vyw=")</f>
        <v>#VALUE!</v>
      </c>
      <c r="AT195" t="e">
        <f>AND(DATA!G1453,"AAAAAHz1vy0=")</f>
        <v>#VALUE!</v>
      </c>
      <c r="AU195" t="e">
        <f>AND(DATA!H1453,"AAAAAHz1vy4=")</f>
        <v>#VALUE!</v>
      </c>
      <c r="AV195" t="e">
        <f>AND(DATA!I1453,"AAAAAHz1vy8=")</f>
        <v>#VALUE!</v>
      </c>
      <c r="AW195" t="e">
        <f>AND(DATA!J1453,"AAAAAHz1vzA=")</f>
        <v>#VALUE!</v>
      </c>
      <c r="AX195" t="e">
        <f>AND(DATA!K1453,"AAAAAHz1vzE=")</f>
        <v>#VALUE!</v>
      </c>
      <c r="AY195" t="b">
        <f>AND(DATA!L1454,"AAAAAHz1vzI=")</f>
        <v>1</v>
      </c>
      <c r="AZ195" t="b">
        <f>AND(DATA!M1454,"AAAAAHz1vzM=")</f>
        <v>1</v>
      </c>
      <c r="BA195" t="b">
        <f>AND(DATA!N1454,"AAAAAHz1vzQ=")</f>
        <v>1</v>
      </c>
      <c r="BB195" t="b">
        <f>AND(DATA!O1454,"AAAAAHz1vzU=")</f>
        <v>1</v>
      </c>
      <c r="BC195" t="b">
        <f>AND(DATA!P1454,"AAAAAHz1vzY=")</f>
        <v>1</v>
      </c>
      <c r="BD195" t="b">
        <f>AND(DATA!Q1454,"AAAAAHz1vzc=")</f>
        <v>1</v>
      </c>
      <c r="BE195" t="b">
        <f>AND(DATA!R1454,"AAAAAHz1vzg=")</f>
        <v>1</v>
      </c>
      <c r="BF195" t="b">
        <f>AND(DATA!S1454,"AAAAAHz1vzk=")</f>
        <v>1</v>
      </c>
      <c r="BG195" t="b">
        <f>AND(DATA!T1454,"AAAAAHz1vzo=")</f>
        <v>1</v>
      </c>
      <c r="BH195">
        <f>IF(DATA!1454:1454,"AAAAAHz1vzs=",0)</f>
        <v>0</v>
      </c>
      <c r="BI195" t="e">
        <f>AND(DATA!A1454,"AAAAAHz1vzw=")</f>
        <v>#VALUE!</v>
      </c>
      <c r="BJ195" t="e">
        <f>AND(DATA!B1454,"AAAAAHz1vz0=")</f>
        <v>#VALUE!</v>
      </c>
      <c r="BK195" t="e">
        <f>AND(DATA!C1454,"AAAAAHz1vz4=")</f>
        <v>#VALUE!</v>
      </c>
      <c r="BL195" t="e">
        <f>AND(DATA!D1454,"AAAAAHz1vz8=")</f>
        <v>#VALUE!</v>
      </c>
      <c r="BM195" t="e">
        <f>AND(DATA!E1454,"AAAAAHz1v0A=")</f>
        <v>#VALUE!</v>
      </c>
      <c r="BN195" t="e">
        <f>AND(DATA!F1454,"AAAAAHz1v0E=")</f>
        <v>#VALUE!</v>
      </c>
      <c r="BO195" t="e">
        <f>AND(DATA!G1454,"AAAAAHz1v0I=")</f>
        <v>#VALUE!</v>
      </c>
      <c r="BP195" t="e">
        <f>AND(DATA!H1454,"AAAAAHz1v0M=")</f>
        <v>#VALUE!</v>
      </c>
      <c r="BQ195" t="e">
        <f>AND(DATA!I1454,"AAAAAHz1v0Q=")</f>
        <v>#VALUE!</v>
      </c>
      <c r="BR195" t="e">
        <f>AND(DATA!J1454,"AAAAAHz1v0U=")</f>
        <v>#VALUE!</v>
      </c>
      <c r="BS195" t="e">
        <f>AND(DATA!K1454,"AAAAAHz1v0Y=")</f>
        <v>#VALUE!</v>
      </c>
      <c r="BT195" t="b">
        <f>AND(DATA!L1455,"AAAAAHz1v0c=")</f>
        <v>1</v>
      </c>
      <c r="BU195" t="b">
        <f>AND(DATA!M1455,"AAAAAHz1v0g=")</f>
        <v>1</v>
      </c>
      <c r="BV195" t="b">
        <f>AND(DATA!N1455,"AAAAAHz1v0k=")</f>
        <v>1</v>
      </c>
      <c r="BW195" t="b">
        <f>AND(DATA!O1455,"AAAAAHz1v0o=")</f>
        <v>1</v>
      </c>
      <c r="BX195" t="b">
        <f>AND(DATA!P1455,"AAAAAHz1v0s=")</f>
        <v>1</v>
      </c>
      <c r="BY195" t="b">
        <f>AND(DATA!Q1455,"AAAAAHz1v0w=")</f>
        <v>1</v>
      </c>
      <c r="BZ195" t="b">
        <f>AND(DATA!R1455,"AAAAAHz1v00=")</f>
        <v>1</v>
      </c>
      <c r="CA195" t="b">
        <f>AND(DATA!S1455,"AAAAAHz1v04=")</f>
        <v>1</v>
      </c>
      <c r="CB195" t="b">
        <f>AND(DATA!T1455,"AAAAAHz1v08=")</f>
        <v>1</v>
      </c>
      <c r="CC195">
        <f>IF(DATA!1455:1455,"AAAAAHz1v1A=",0)</f>
        <v>0</v>
      </c>
      <c r="CD195" t="e">
        <f>AND(DATA!A1455,"AAAAAHz1v1E=")</f>
        <v>#VALUE!</v>
      </c>
      <c r="CE195" t="e">
        <f>AND(DATA!B1455,"AAAAAHz1v1I=")</f>
        <v>#VALUE!</v>
      </c>
      <c r="CF195" t="e">
        <f>AND(DATA!C1455,"AAAAAHz1v1M=")</f>
        <v>#VALUE!</v>
      </c>
      <c r="CG195" t="e">
        <f>AND(DATA!D1455,"AAAAAHz1v1Q=")</f>
        <v>#VALUE!</v>
      </c>
      <c r="CH195" t="e">
        <f>AND(DATA!E1455,"AAAAAHz1v1U=")</f>
        <v>#VALUE!</v>
      </c>
      <c r="CI195" t="e">
        <f>AND(DATA!F1455,"AAAAAHz1v1Y=")</f>
        <v>#VALUE!</v>
      </c>
      <c r="CJ195" t="e">
        <f>AND(DATA!G1455,"AAAAAHz1v1c=")</f>
        <v>#VALUE!</v>
      </c>
      <c r="CK195" t="e">
        <f>AND(DATA!H1455,"AAAAAHz1v1g=")</f>
        <v>#VALUE!</v>
      </c>
      <c r="CL195" t="e">
        <f>AND(DATA!I1455,"AAAAAHz1v1k=")</f>
        <v>#VALUE!</v>
      </c>
      <c r="CM195" t="e">
        <f>AND(DATA!J1455,"AAAAAHz1v1o=")</f>
        <v>#VALUE!</v>
      </c>
      <c r="CN195" t="e">
        <f>AND(DATA!K1455,"AAAAAHz1v1s=")</f>
        <v>#VALUE!</v>
      </c>
      <c r="CO195" t="b">
        <f>AND(DATA!L1456,"AAAAAHz1v1w=")</f>
        <v>1</v>
      </c>
      <c r="CP195" t="b">
        <f>AND(DATA!M1456,"AAAAAHz1v10=")</f>
        <v>1</v>
      </c>
      <c r="CQ195" t="b">
        <f>AND(DATA!N1456,"AAAAAHz1v14=")</f>
        <v>1</v>
      </c>
      <c r="CR195" t="b">
        <f>AND(DATA!O1456,"AAAAAHz1v18=")</f>
        <v>1</v>
      </c>
      <c r="CS195" t="b">
        <f>AND(DATA!P1456,"AAAAAHz1v2A=")</f>
        <v>1</v>
      </c>
      <c r="CT195" t="b">
        <f>AND(DATA!Q1456,"AAAAAHz1v2E=")</f>
        <v>1</v>
      </c>
      <c r="CU195" t="b">
        <f>AND(DATA!R1456,"AAAAAHz1v2I=")</f>
        <v>1</v>
      </c>
      <c r="CV195" t="b">
        <f>AND(DATA!S1456,"AAAAAHz1v2M=")</f>
        <v>1</v>
      </c>
      <c r="CW195" t="b">
        <f>AND(DATA!T1456,"AAAAAHz1v2Q=")</f>
        <v>1</v>
      </c>
      <c r="CX195">
        <f>IF(DATA!1456:1456,"AAAAAHz1v2U=",0)</f>
        <v>0</v>
      </c>
      <c r="CY195" t="e">
        <f>AND(DATA!A1456,"AAAAAHz1v2Y=")</f>
        <v>#VALUE!</v>
      </c>
      <c r="CZ195" t="e">
        <f>AND(DATA!B1456,"AAAAAHz1v2c=")</f>
        <v>#VALUE!</v>
      </c>
      <c r="DA195" t="e">
        <f>AND(DATA!C1456,"AAAAAHz1v2g=")</f>
        <v>#VALUE!</v>
      </c>
      <c r="DB195" t="e">
        <f>AND(DATA!D1456,"AAAAAHz1v2k=")</f>
        <v>#VALUE!</v>
      </c>
      <c r="DC195" t="e">
        <f>AND(DATA!E1456,"AAAAAHz1v2o=")</f>
        <v>#VALUE!</v>
      </c>
      <c r="DD195" t="e">
        <f>AND(DATA!F1456,"AAAAAHz1v2s=")</f>
        <v>#VALUE!</v>
      </c>
      <c r="DE195" t="e">
        <f>AND(DATA!G1456,"AAAAAHz1v2w=")</f>
        <v>#VALUE!</v>
      </c>
      <c r="DF195" t="e">
        <f>AND(DATA!H1456,"AAAAAHz1v20=")</f>
        <v>#VALUE!</v>
      </c>
      <c r="DG195" t="e">
        <f>AND(DATA!I1456,"AAAAAHz1v24=")</f>
        <v>#VALUE!</v>
      </c>
      <c r="DH195" t="e">
        <f>AND(DATA!J1456,"AAAAAHz1v28=")</f>
        <v>#VALUE!</v>
      </c>
      <c r="DI195" t="e">
        <f>AND(DATA!K1456,"AAAAAHz1v3A=")</f>
        <v>#VALUE!</v>
      </c>
      <c r="DJ195" t="b">
        <f>AND(DATA!L1457,"AAAAAHz1v3E=")</f>
        <v>1</v>
      </c>
      <c r="DK195" t="b">
        <f>AND(DATA!M1457,"AAAAAHz1v3I=")</f>
        <v>1</v>
      </c>
      <c r="DL195" t="b">
        <f>AND(DATA!N1457,"AAAAAHz1v3M=")</f>
        <v>1</v>
      </c>
      <c r="DM195" t="b">
        <f>AND(DATA!O1457,"AAAAAHz1v3Q=")</f>
        <v>1</v>
      </c>
      <c r="DN195" t="b">
        <f>AND(DATA!P1457,"AAAAAHz1v3U=")</f>
        <v>1</v>
      </c>
      <c r="DO195" t="b">
        <f>AND(DATA!Q1457,"AAAAAHz1v3Y=")</f>
        <v>1</v>
      </c>
      <c r="DP195" t="b">
        <f>AND(DATA!R1457,"AAAAAHz1v3c=")</f>
        <v>1</v>
      </c>
      <c r="DQ195" t="b">
        <f>AND(DATA!S1457,"AAAAAHz1v3g=")</f>
        <v>1</v>
      </c>
      <c r="DR195" t="b">
        <f>AND(DATA!T1457,"AAAAAHz1v3k=")</f>
        <v>1</v>
      </c>
      <c r="DS195">
        <f>IF(DATA!1457:1457,"AAAAAHz1v3o=",0)</f>
        <v>0</v>
      </c>
      <c r="DT195" t="e">
        <f>AND(DATA!A1457,"AAAAAHz1v3s=")</f>
        <v>#VALUE!</v>
      </c>
      <c r="DU195" t="e">
        <f>AND(DATA!B1457,"AAAAAHz1v3w=")</f>
        <v>#VALUE!</v>
      </c>
      <c r="DV195" t="e">
        <f>AND(DATA!C1457,"AAAAAHz1v30=")</f>
        <v>#VALUE!</v>
      </c>
      <c r="DW195" t="e">
        <f>AND(DATA!D1457,"AAAAAHz1v34=")</f>
        <v>#VALUE!</v>
      </c>
      <c r="DX195" t="e">
        <f>AND(DATA!E1457,"AAAAAHz1v38=")</f>
        <v>#VALUE!</v>
      </c>
      <c r="DY195" t="e">
        <f>AND(DATA!F1457,"AAAAAHz1v4A=")</f>
        <v>#VALUE!</v>
      </c>
      <c r="DZ195" t="e">
        <f>AND(DATA!G1457,"AAAAAHz1v4E=")</f>
        <v>#VALUE!</v>
      </c>
      <c r="EA195" t="e">
        <f>AND(DATA!H1457,"AAAAAHz1v4I=")</f>
        <v>#VALUE!</v>
      </c>
      <c r="EB195" t="e">
        <f>AND(DATA!I1457,"AAAAAHz1v4M=")</f>
        <v>#VALUE!</v>
      </c>
      <c r="EC195" t="e">
        <f>AND(DATA!J1457,"AAAAAHz1v4Q=")</f>
        <v>#VALUE!</v>
      </c>
      <c r="ED195" t="e">
        <f>AND(DATA!K1457,"AAAAAHz1v4U=")</f>
        <v>#VALUE!</v>
      </c>
      <c r="EE195" t="b">
        <f>AND(DATA!L1458,"AAAAAHz1v4Y=")</f>
        <v>1</v>
      </c>
      <c r="EF195" t="b">
        <f>AND(DATA!M1458,"AAAAAHz1v4c=")</f>
        <v>1</v>
      </c>
      <c r="EG195" t="b">
        <f>AND(DATA!N1458,"AAAAAHz1v4g=")</f>
        <v>1</v>
      </c>
      <c r="EH195" t="b">
        <f>AND(DATA!O1458,"AAAAAHz1v4k=")</f>
        <v>1</v>
      </c>
      <c r="EI195" t="b">
        <f>AND(DATA!P1458,"AAAAAHz1v4o=")</f>
        <v>1</v>
      </c>
      <c r="EJ195" t="b">
        <f>AND(DATA!Q1458,"AAAAAHz1v4s=")</f>
        <v>1</v>
      </c>
      <c r="EK195" t="b">
        <f>AND(DATA!R1458,"AAAAAHz1v4w=")</f>
        <v>1</v>
      </c>
      <c r="EL195" t="b">
        <f>AND(DATA!S1458,"AAAAAHz1v40=")</f>
        <v>1</v>
      </c>
      <c r="EM195" t="b">
        <f>AND(DATA!T1458,"AAAAAHz1v44=")</f>
        <v>1</v>
      </c>
      <c r="EN195">
        <f>IF(DATA!1458:1458,"AAAAAHz1v48=",0)</f>
        <v>0</v>
      </c>
      <c r="EO195" t="e">
        <f>AND(DATA!A1458,"AAAAAHz1v5A=")</f>
        <v>#VALUE!</v>
      </c>
      <c r="EP195" t="e">
        <f>AND(DATA!B1458,"AAAAAHz1v5E=")</f>
        <v>#VALUE!</v>
      </c>
      <c r="EQ195" t="e">
        <f>AND(DATA!C1458,"AAAAAHz1v5I=")</f>
        <v>#VALUE!</v>
      </c>
      <c r="ER195" t="e">
        <f>AND(DATA!D1458,"AAAAAHz1v5M=")</f>
        <v>#VALUE!</v>
      </c>
      <c r="ES195" t="e">
        <f>AND(DATA!E1458,"AAAAAHz1v5Q=")</f>
        <v>#VALUE!</v>
      </c>
      <c r="ET195" t="e">
        <f>AND(DATA!F1458,"AAAAAHz1v5U=")</f>
        <v>#VALUE!</v>
      </c>
      <c r="EU195" t="e">
        <f>AND(DATA!G1458,"AAAAAHz1v5Y=")</f>
        <v>#VALUE!</v>
      </c>
      <c r="EV195" t="e">
        <f>AND(DATA!H1458,"AAAAAHz1v5c=")</f>
        <v>#VALUE!</v>
      </c>
      <c r="EW195" t="e">
        <f>AND(DATA!I1458,"AAAAAHz1v5g=")</f>
        <v>#VALUE!</v>
      </c>
      <c r="EX195" t="e">
        <f>AND(DATA!J1458,"AAAAAHz1v5k=")</f>
        <v>#VALUE!</v>
      </c>
      <c r="EY195" t="e">
        <f>AND(DATA!K1458,"AAAAAHz1v5o=")</f>
        <v>#VALUE!</v>
      </c>
      <c r="EZ195" t="b">
        <f>AND(DATA!L1459,"AAAAAHz1v5s=")</f>
        <v>1</v>
      </c>
      <c r="FA195" t="b">
        <f>AND(DATA!M1459,"AAAAAHz1v5w=")</f>
        <v>1</v>
      </c>
      <c r="FB195" t="b">
        <f>AND(DATA!N1459,"AAAAAHz1v50=")</f>
        <v>1</v>
      </c>
      <c r="FC195" t="b">
        <f>AND(DATA!O1459,"AAAAAHz1v54=")</f>
        <v>1</v>
      </c>
      <c r="FD195" t="b">
        <f>AND(DATA!P1459,"AAAAAHz1v58=")</f>
        <v>1</v>
      </c>
      <c r="FE195" t="b">
        <f>AND(DATA!Q1459,"AAAAAHz1v6A=")</f>
        <v>1</v>
      </c>
      <c r="FF195" t="b">
        <f>AND(DATA!R1459,"AAAAAHz1v6E=")</f>
        <v>1</v>
      </c>
      <c r="FG195" t="b">
        <f>AND(DATA!S1459,"AAAAAHz1v6I=")</f>
        <v>1</v>
      </c>
      <c r="FH195" t="b">
        <f>AND(DATA!T1459,"AAAAAHz1v6M=")</f>
        <v>1</v>
      </c>
      <c r="FI195">
        <f>IF(DATA!1459:1459,"AAAAAHz1v6Q=",0)</f>
        <v>0</v>
      </c>
      <c r="FJ195" t="e">
        <f>AND(DATA!A1459,"AAAAAHz1v6U=")</f>
        <v>#VALUE!</v>
      </c>
      <c r="FK195" t="e">
        <f>AND(DATA!B1459,"AAAAAHz1v6Y=")</f>
        <v>#VALUE!</v>
      </c>
      <c r="FL195" t="e">
        <f>AND(DATA!C1459,"AAAAAHz1v6c=")</f>
        <v>#VALUE!</v>
      </c>
      <c r="FM195" t="e">
        <f>AND(DATA!D1459,"AAAAAHz1v6g=")</f>
        <v>#VALUE!</v>
      </c>
      <c r="FN195" t="e">
        <f>AND(DATA!E1459,"AAAAAHz1v6k=")</f>
        <v>#VALUE!</v>
      </c>
      <c r="FO195" t="e">
        <f>AND(DATA!F1459,"AAAAAHz1v6o=")</f>
        <v>#VALUE!</v>
      </c>
      <c r="FP195" t="e">
        <f>AND(DATA!G1459,"AAAAAHz1v6s=")</f>
        <v>#VALUE!</v>
      </c>
      <c r="FQ195" t="e">
        <f>AND(DATA!H1459,"AAAAAHz1v6w=")</f>
        <v>#VALUE!</v>
      </c>
      <c r="FR195" t="e">
        <f>AND(DATA!I1459,"AAAAAHz1v60=")</f>
        <v>#VALUE!</v>
      </c>
      <c r="FS195" t="e">
        <f>AND(DATA!J1459,"AAAAAHz1v64=")</f>
        <v>#VALUE!</v>
      </c>
      <c r="FT195" t="e">
        <f>AND(DATA!K1459,"AAAAAHz1v68=")</f>
        <v>#VALUE!</v>
      </c>
      <c r="FU195" t="b">
        <f>AND(DATA!L1460,"AAAAAHz1v7A=")</f>
        <v>1</v>
      </c>
      <c r="FV195" t="b">
        <f>AND(DATA!M1460,"AAAAAHz1v7E=")</f>
        <v>1</v>
      </c>
      <c r="FW195" t="b">
        <f>AND(DATA!N1460,"AAAAAHz1v7I=")</f>
        <v>1</v>
      </c>
      <c r="FX195" t="b">
        <f>AND(DATA!O1460,"AAAAAHz1v7M=")</f>
        <v>1</v>
      </c>
      <c r="FY195" t="b">
        <f>AND(DATA!P1460,"AAAAAHz1v7Q=")</f>
        <v>1</v>
      </c>
      <c r="FZ195" t="b">
        <f>AND(DATA!Q1460,"AAAAAHz1v7U=")</f>
        <v>1</v>
      </c>
      <c r="GA195" t="b">
        <f>AND(DATA!R1460,"AAAAAHz1v7Y=")</f>
        <v>1</v>
      </c>
      <c r="GB195" t="b">
        <f>AND(DATA!S1460,"AAAAAHz1v7c=")</f>
        <v>1</v>
      </c>
      <c r="GC195" t="b">
        <f>AND(DATA!T1460,"AAAAAHz1v7g=")</f>
        <v>1</v>
      </c>
      <c r="GD195">
        <f>IF(DATA!1460:1460,"AAAAAHz1v7k=",0)</f>
        <v>0</v>
      </c>
      <c r="GE195" t="e">
        <f>AND(DATA!A1460,"AAAAAHz1v7o=")</f>
        <v>#VALUE!</v>
      </c>
      <c r="GF195" t="e">
        <f>AND(DATA!B1460,"AAAAAHz1v7s=")</f>
        <v>#VALUE!</v>
      </c>
      <c r="GG195" t="e">
        <f>AND(DATA!C1460,"AAAAAHz1v7w=")</f>
        <v>#VALUE!</v>
      </c>
      <c r="GH195" t="e">
        <f>AND(DATA!D1460,"AAAAAHz1v70=")</f>
        <v>#VALUE!</v>
      </c>
      <c r="GI195" t="e">
        <f>AND(DATA!E1460,"AAAAAHz1v74=")</f>
        <v>#VALUE!</v>
      </c>
      <c r="GJ195" t="e">
        <f>AND(DATA!F1460,"AAAAAHz1v78=")</f>
        <v>#VALUE!</v>
      </c>
      <c r="GK195" t="e">
        <f>AND(DATA!G1460,"AAAAAHz1v8A=")</f>
        <v>#VALUE!</v>
      </c>
      <c r="GL195" t="e">
        <f>AND(DATA!H1460,"AAAAAHz1v8E=")</f>
        <v>#VALUE!</v>
      </c>
      <c r="GM195" t="e">
        <f>AND(DATA!I1460,"AAAAAHz1v8I=")</f>
        <v>#VALUE!</v>
      </c>
      <c r="GN195" t="e">
        <f>AND(DATA!J1460,"AAAAAHz1v8M=")</f>
        <v>#VALUE!</v>
      </c>
      <c r="GO195" t="e">
        <f>AND(DATA!K1460,"AAAAAHz1v8Q=")</f>
        <v>#VALUE!</v>
      </c>
      <c r="GP195" t="b">
        <f>AND(DATA!L1461,"AAAAAHz1v8U=")</f>
        <v>1</v>
      </c>
      <c r="GQ195" t="b">
        <f>AND(DATA!M1461,"AAAAAHz1v8Y=")</f>
        <v>1</v>
      </c>
      <c r="GR195" t="b">
        <f>AND(DATA!N1461,"AAAAAHz1v8c=")</f>
        <v>1</v>
      </c>
      <c r="GS195" t="b">
        <f>AND(DATA!O1461,"AAAAAHz1v8g=")</f>
        <v>1</v>
      </c>
      <c r="GT195" t="b">
        <f>AND(DATA!P1461,"AAAAAHz1v8k=")</f>
        <v>1</v>
      </c>
      <c r="GU195" t="b">
        <f>AND(DATA!Q1461,"AAAAAHz1v8o=")</f>
        <v>1</v>
      </c>
      <c r="GV195" t="b">
        <f>AND(DATA!R1461,"AAAAAHz1v8s=")</f>
        <v>1</v>
      </c>
      <c r="GW195" t="b">
        <f>AND(DATA!S1461,"AAAAAHz1v8w=")</f>
        <v>1</v>
      </c>
      <c r="GX195" t="b">
        <f>AND(DATA!T1461,"AAAAAHz1v80=")</f>
        <v>1</v>
      </c>
      <c r="GY195">
        <f>IF(DATA!1461:1461,"AAAAAHz1v84=",0)</f>
        <v>0</v>
      </c>
      <c r="GZ195" t="e">
        <f>AND(DATA!A1461,"AAAAAHz1v88=")</f>
        <v>#VALUE!</v>
      </c>
      <c r="HA195" t="e">
        <f>AND(DATA!B1461,"AAAAAHz1v9A=")</f>
        <v>#VALUE!</v>
      </c>
      <c r="HB195" t="e">
        <f>AND(DATA!C1461,"AAAAAHz1v9E=")</f>
        <v>#VALUE!</v>
      </c>
      <c r="HC195" t="e">
        <f>AND(DATA!D1461,"AAAAAHz1v9I=")</f>
        <v>#VALUE!</v>
      </c>
      <c r="HD195" t="e">
        <f>AND(DATA!E1461,"AAAAAHz1v9M=")</f>
        <v>#VALUE!</v>
      </c>
      <c r="HE195" t="e">
        <f>AND(DATA!F1461,"AAAAAHz1v9Q=")</f>
        <v>#VALUE!</v>
      </c>
      <c r="HF195" t="e">
        <f>AND(DATA!G1461,"AAAAAHz1v9U=")</f>
        <v>#VALUE!</v>
      </c>
      <c r="HG195" t="e">
        <f>AND(DATA!H1461,"AAAAAHz1v9Y=")</f>
        <v>#VALUE!</v>
      </c>
      <c r="HH195" t="e">
        <f>AND(DATA!I1461,"AAAAAHz1v9c=")</f>
        <v>#VALUE!</v>
      </c>
      <c r="HI195" t="e">
        <f>AND(DATA!J1461,"AAAAAHz1v9g=")</f>
        <v>#VALUE!</v>
      </c>
      <c r="HJ195" t="e">
        <f>AND(DATA!K1461,"AAAAAHz1v9k=")</f>
        <v>#VALUE!</v>
      </c>
      <c r="HK195" t="b">
        <f>AND(DATA!L1462,"AAAAAHz1v9o=")</f>
        <v>1</v>
      </c>
      <c r="HL195" t="b">
        <f>AND(DATA!M1462,"AAAAAHz1v9s=")</f>
        <v>1</v>
      </c>
      <c r="HM195" t="b">
        <f>AND(DATA!N1462,"AAAAAHz1v9w=")</f>
        <v>1</v>
      </c>
      <c r="HN195" t="b">
        <f>AND(DATA!O1462,"AAAAAHz1v90=")</f>
        <v>1</v>
      </c>
      <c r="HO195" t="b">
        <f>AND(DATA!P1462,"AAAAAHz1v94=")</f>
        <v>1</v>
      </c>
      <c r="HP195" t="b">
        <f>AND(DATA!Q1462,"AAAAAHz1v98=")</f>
        <v>1</v>
      </c>
      <c r="HQ195" t="b">
        <f>AND(DATA!R1462,"AAAAAHz1v+A=")</f>
        <v>1</v>
      </c>
      <c r="HR195" t="b">
        <f>AND(DATA!S1462,"AAAAAHz1v+E=")</f>
        <v>1</v>
      </c>
      <c r="HS195" t="b">
        <f>AND(DATA!T1462,"AAAAAHz1v+I=")</f>
        <v>1</v>
      </c>
      <c r="HT195">
        <f>IF(DATA!1462:1462,"AAAAAHz1v+M=",0)</f>
        <v>0</v>
      </c>
      <c r="HU195" t="e">
        <f>AND(DATA!A1462,"AAAAAHz1v+Q=")</f>
        <v>#VALUE!</v>
      </c>
      <c r="HV195" t="e">
        <f>AND(DATA!B1462,"AAAAAHz1v+U=")</f>
        <v>#VALUE!</v>
      </c>
      <c r="HW195" t="e">
        <f>AND(DATA!C1462,"AAAAAHz1v+Y=")</f>
        <v>#VALUE!</v>
      </c>
      <c r="HX195" t="e">
        <f>AND(DATA!D1462,"AAAAAHz1v+c=")</f>
        <v>#VALUE!</v>
      </c>
      <c r="HY195" t="e">
        <f>AND(DATA!E1462,"AAAAAHz1v+g=")</f>
        <v>#VALUE!</v>
      </c>
      <c r="HZ195" t="e">
        <f>AND(DATA!F1462,"AAAAAHz1v+k=")</f>
        <v>#VALUE!</v>
      </c>
      <c r="IA195" t="e">
        <f>AND(DATA!G1462,"AAAAAHz1v+o=")</f>
        <v>#VALUE!</v>
      </c>
      <c r="IB195" t="e">
        <f>AND(DATA!H1462,"AAAAAHz1v+s=")</f>
        <v>#VALUE!</v>
      </c>
      <c r="IC195" t="e">
        <f>AND(DATA!I1462,"AAAAAHz1v+w=")</f>
        <v>#VALUE!</v>
      </c>
      <c r="ID195" t="e">
        <f>AND(DATA!J1462,"AAAAAHz1v+0=")</f>
        <v>#VALUE!</v>
      </c>
      <c r="IE195" t="e">
        <f>AND(DATA!K1462,"AAAAAHz1v+4=")</f>
        <v>#VALUE!</v>
      </c>
      <c r="IF195" t="b">
        <f>AND(DATA!L1463,"AAAAAHz1v+8=")</f>
        <v>1</v>
      </c>
      <c r="IG195" t="b">
        <f>AND(DATA!M1463,"AAAAAHz1v/A=")</f>
        <v>1</v>
      </c>
      <c r="IH195" t="b">
        <f>AND(DATA!N1463,"AAAAAHz1v/E=")</f>
        <v>1</v>
      </c>
      <c r="II195" t="b">
        <f>AND(DATA!O1463,"AAAAAHz1v/I=")</f>
        <v>1</v>
      </c>
      <c r="IJ195" t="b">
        <f>AND(DATA!P1463,"AAAAAHz1v/M=")</f>
        <v>1</v>
      </c>
      <c r="IK195" t="b">
        <f>AND(DATA!Q1463,"AAAAAHz1v/Q=")</f>
        <v>1</v>
      </c>
      <c r="IL195" t="b">
        <f>AND(DATA!R1463,"AAAAAHz1v/U=")</f>
        <v>1</v>
      </c>
      <c r="IM195" t="b">
        <f>AND(DATA!S1463,"AAAAAHz1v/Y=")</f>
        <v>1</v>
      </c>
      <c r="IN195" t="b">
        <f>AND(DATA!T1463,"AAAAAHz1v/c=")</f>
        <v>1</v>
      </c>
      <c r="IO195">
        <f>IF(DATA!1463:1463,"AAAAAHz1v/g=",0)</f>
        <v>0</v>
      </c>
      <c r="IP195" t="e">
        <f>AND(DATA!A1463,"AAAAAHz1v/k=")</f>
        <v>#VALUE!</v>
      </c>
      <c r="IQ195" t="e">
        <f>AND(DATA!B1463,"AAAAAHz1v/o=")</f>
        <v>#VALUE!</v>
      </c>
      <c r="IR195" t="e">
        <f>AND(DATA!C1463,"AAAAAHz1v/s=")</f>
        <v>#VALUE!</v>
      </c>
      <c r="IS195" t="e">
        <f>AND(DATA!D1463,"AAAAAHz1v/w=")</f>
        <v>#VALUE!</v>
      </c>
      <c r="IT195" t="e">
        <f>AND(DATA!E1463,"AAAAAHz1v/0=")</f>
        <v>#VALUE!</v>
      </c>
      <c r="IU195" t="e">
        <f>AND(DATA!F1463,"AAAAAHz1v/4=")</f>
        <v>#VALUE!</v>
      </c>
      <c r="IV195" t="e">
        <f>AND(DATA!G1463,"AAAAAHz1v/8=")</f>
        <v>#VALUE!</v>
      </c>
    </row>
    <row r="196" spans="1:256" x14ac:dyDescent="0.25">
      <c r="A196" t="e">
        <f>AND(DATA!H1463,"AAAAAFu9/wA=")</f>
        <v>#VALUE!</v>
      </c>
      <c r="B196" t="e">
        <f>AND(DATA!I1463,"AAAAAFu9/wE=")</f>
        <v>#VALUE!</v>
      </c>
      <c r="C196" t="e">
        <f>AND(DATA!J1463,"AAAAAFu9/wI=")</f>
        <v>#VALUE!</v>
      </c>
      <c r="D196" t="e">
        <f>AND(DATA!K1463,"AAAAAFu9/wM=")</f>
        <v>#VALUE!</v>
      </c>
      <c r="E196" t="b">
        <f>AND(DATA!L1464,"AAAAAFu9/wQ=")</f>
        <v>1</v>
      </c>
      <c r="F196" t="b">
        <f>AND(DATA!M1464,"AAAAAFu9/wU=")</f>
        <v>1</v>
      </c>
      <c r="G196" t="b">
        <f>AND(DATA!N1464,"AAAAAFu9/wY=")</f>
        <v>1</v>
      </c>
      <c r="H196" t="b">
        <f>AND(DATA!O1464,"AAAAAFu9/wc=")</f>
        <v>1</v>
      </c>
      <c r="I196" t="b">
        <f>AND(DATA!P1464,"AAAAAFu9/wg=")</f>
        <v>1</v>
      </c>
      <c r="J196" t="b">
        <f>AND(DATA!Q1464,"AAAAAFu9/wk=")</f>
        <v>1</v>
      </c>
      <c r="K196" t="b">
        <f>AND(DATA!R1464,"AAAAAFu9/wo=")</f>
        <v>1</v>
      </c>
      <c r="L196" t="b">
        <f>AND(DATA!S1464,"AAAAAFu9/ws=")</f>
        <v>1</v>
      </c>
      <c r="M196" t="b">
        <f>AND(DATA!T1464,"AAAAAFu9/ww=")</f>
        <v>1</v>
      </c>
      <c r="N196" t="str">
        <f>IF(DATA!1464:1464,"AAAAAFu9/w0=",0)</f>
        <v>AAAAAFu9/w0=</v>
      </c>
      <c r="O196" t="e">
        <f>AND(DATA!A1464,"AAAAAFu9/w4=")</f>
        <v>#VALUE!</v>
      </c>
      <c r="P196" t="e">
        <f>AND(DATA!B1464,"AAAAAFu9/w8=")</f>
        <v>#VALUE!</v>
      </c>
      <c r="Q196" t="e">
        <f>AND(DATA!C1464,"AAAAAFu9/xA=")</f>
        <v>#VALUE!</v>
      </c>
      <c r="R196" t="e">
        <f>AND(DATA!D1464,"AAAAAFu9/xE=")</f>
        <v>#VALUE!</v>
      </c>
      <c r="S196" t="e">
        <f>AND(DATA!E1464,"AAAAAFu9/xI=")</f>
        <v>#VALUE!</v>
      </c>
      <c r="T196" t="e">
        <f>AND(DATA!F1464,"AAAAAFu9/xM=")</f>
        <v>#VALUE!</v>
      </c>
      <c r="U196" t="e">
        <f>AND(DATA!G1464,"AAAAAFu9/xQ=")</f>
        <v>#VALUE!</v>
      </c>
      <c r="V196" t="e">
        <f>AND(DATA!H1464,"AAAAAFu9/xU=")</f>
        <v>#VALUE!</v>
      </c>
      <c r="W196" t="e">
        <f>AND(DATA!I1464,"AAAAAFu9/xY=")</f>
        <v>#VALUE!</v>
      </c>
      <c r="X196" t="e">
        <f>AND(DATA!J1464,"AAAAAFu9/xc=")</f>
        <v>#VALUE!</v>
      </c>
      <c r="Y196" t="e">
        <f>AND(DATA!K1464,"AAAAAFu9/xg=")</f>
        <v>#VALUE!</v>
      </c>
      <c r="Z196" t="b">
        <f>AND(DATA!L1465,"AAAAAFu9/xk=")</f>
        <v>1</v>
      </c>
      <c r="AA196" t="b">
        <f>AND(DATA!M1465,"AAAAAFu9/xo=")</f>
        <v>1</v>
      </c>
      <c r="AB196" t="b">
        <f>AND(DATA!N1465,"AAAAAFu9/xs=")</f>
        <v>1</v>
      </c>
      <c r="AC196" t="b">
        <f>AND(DATA!O1465,"AAAAAFu9/xw=")</f>
        <v>1</v>
      </c>
      <c r="AD196" t="b">
        <f>AND(DATA!P1465,"AAAAAFu9/x0=")</f>
        <v>1</v>
      </c>
      <c r="AE196" t="b">
        <f>AND(DATA!Q1465,"AAAAAFu9/x4=")</f>
        <v>1</v>
      </c>
      <c r="AF196" t="b">
        <f>AND(DATA!R1465,"AAAAAFu9/x8=")</f>
        <v>1</v>
      </c>
      <c r="AG196" t="b">
        <f>AND(DATA!S1465,"AAAAAFu9/yA=")</f>
        <v>1</v>
      </c>
      <c r="AH196" t="b">
        <f>AND(DATA!T1465,"AAAAAFu9/yE=")</f>
        <v>1</v>
      </c>
      <c r="AI196">
        <f>IF(DATA!1465:1465,"AAAAAFu9/yI=",0)</f>
        <v>0</v>
      </c>
      <c r="AJ196" t="e">
        <f>AND(DATA!A1465,"AAAAAFu9/yM=")</f>
        <v>#VALUE!</v>
      </c>
      <c r="AK196" t="e">
        <f>AND(DATA!B1465,"AAAAAFu9/yQ=")</f>
        <v>#VALUE!</v>
      </c>
      <c r="AL196" t="e">
        <f>AND(DATA!C1465,"AAAAAFu9/yU=")</f>
        <v>#VALUE!</v>
      </c>
      <c r="AM196" t="e">
        <f>AND(DATA!D1465,"AAAAAFu9/yY=")</f>
        <v>#VALUE!</v>
      </c>
      <c r="AN196" t="e">
        <f>AND(DATA!E1465,"AAAAAFu9/yc=")</f>
        <v>#VALUE!</v>
      </c>
      <c r="AO196" t="e">
        <f>AND(DATA!F1465,"AAAAAFu9/yg=")</f>
        <v>#VALUE!</v>
      </c>
      <c r="AP196" t="e">
        <f>AND(DATA!G1465,"AAAAAFu9/yk=")</f>
        <v>#VALUE!</v>
      </c>
      <c r="AQ196" t="e">
        <f>AND(DATA!H1465,"AAAAAFu9/yo=")</f>
        <v>#VALUE!</v>
      </c>
      <c r="AR196" t="e">
        <f>AND(DATA!I1465,"AAAAAFu9/ys=")</f>
        <v>#VALUE!</v>
      </c>
      <c r="AS196" t="e">
        <f>AND(DATA!J1465,"AAAAAFu9/yw=")</f>
        <v>#VALUE!</v>
      </c>
      <c r="AT196" t="e">
        <f>AND(DATA!K1465,"AAAAAFu9/y0=")</f>
        <v>#VALUE!</v>
      </c>
      <c r="AU196" t="b">
        <f>AND(DATA!L1466,"AAAAAFu9/y4=")</f>
        <v>1</v>
      </c>
      <c r="AV196" t="b">
        <f>AND(DATA!M1466,"AAAAAFu9/y8=")</f>
        <v>1</v>
      </c>
      <c r="AW196" t="b">
        <f>AND(DATA!N1466,"AAAAAFu9/zA=")</f>
        <v>1</v>
      </c>
      <c r="AX196" t="b">
        <f>AND(DATA!O1466,"AAAAAFu9/zE=")</f>
        <v>1</v>
      </c>
      <c r="AY196" t="b">
        <f>AND(DATA!P1466,"AAAAAFu9/zI=")</f>
        <v>1</v>
      </c>
      <c r="AZ196" t="b">
        <f>AND(DATA!Q1466,"AAAAAFu9/zM=")</f>
        <v>1</v>
      </c>
      <c r="BA196" t="b">
        <f>AND(DATA!R1466,"AAAAAFu9/zQ=")</f>
        <v>1</v>
      </c>
      <c r="BB196" t="b">
        <f>AND(DATA!S1466,"AAAAAFu9/zU=")</f>
        <v>1</v>
      </c>
      <c r="BC196" t="b">
        <f>AND(DATA!T1466,"AAAAAFu9/zY=")</f>
        <v>1</v>
      </c>
      <c r="BD196">
        <f>IF(DATA!1466:1466,"AAAAAFu9/zc=",0)</f>
        <v>0</v>
      </c>
      <c r="BE196" t="e">
        <f>AND(DATA!A1466,"AAAAAFu9/zg=")</f>
        <v>#VALUE!</v>
      </c>
      <c r="BF196" t="e">
        <f>AND(DATA!B1466,"AAAAAFu9/zk=")</f>
        <v>#VALUE!</v>
      </c>
      <c r="BG196" t="e">
        <f>AND(DATA!C1466,"AAAAAFu9/zo=")</f>
        <v>#VALUE!</v>
      </c>
      <c r="BH196" t="e">
        <f>AND(DATA!D1466,"AAAAAFu9/zs=")</f>
        <v>#VALUE!</v>
      </c>
      <c r="BI196" t="e">
        <f>AND(DATA!E1466,"AAAAAFu9/zw=")</f>
        <v>#VALUE!</v>
      </c>
      <c r="BJ196" t="e">
        <f>AND(DATA!F1466,"AAAAAFu9/z0=")</f>
        <v>#VALUE!</v>
      </c>
      <c r="BK196" t="e">
        <f>AND(DATA!G1466,"AAAAAFu9/z4=")</f>
        <v>#VALUE!</v>
      </c>
      <c r="BL196" t="e">
        <f>AND(DATA!H1466,"AAAAAFu9/z8=")</f>
        <v>#VALUE!</v>
      </c>
      <c r="BM196" t="e">
        <f>AND(DATA!I1466,"AAAAAFu9/0A=")</f>
        <v>#VALUE!</v>
      </c>
      <c r="BN196" t="e">
        <f>AND(DATA!J1466,"AAAAAFu9/0E=")</f>
        <v>#VALUE!</v>
      </c>
      <c r="BO196" t="e">
        <f>AND(DATA!K1466,"AAAAAFu9/0I=")</f>
        <v>#VALUE!</v>
      </c>
      <c r="BP196" t="b">
        <f>AND(DATA!L1467,"AAAAAFu9/0M=")</f>
        <v>1</v>
      </c>
      <c r="BQ196" t="b">
        <f>AND(DATA!M1467,"AAAAAFu9/0Q=")</f>
        <v>1</v>
      </c>
      <c r="BR196" t="b">
        <f>AND(DATA!N1467,"AAAAAFu9/0U=")</f>
        <v>1</v>
      </c>
      <c r="BS196" t="b">
        <f>AND(DATA!O1467,"AAAAAFu9/0Y=")</f>
        <v>1</v>
      </c>
      <c r="BT196" t="b">
        <f>AND(DATA!P1467,"AAAAAFu9/0c=")</f>
        <v>1</v>
      </c>
      <c r="BU196" t="b">
        <f>AND(DATA!Q1467,"AAAAAFu9/0g=")</f>
        <v>1</v>
      </c>
      <c r="BV196" t="b">
        <f>AND(DATA!R1467,"AAAAAFu9/0k=")</f>
        <v>1</v>
      </c>
      <c r="BW196" t="b">
        <f>AND(DATA!S1467,"AAAAAFu9/0o=")</f>
        <v>1</v>
      </c>
      <c r="BX196" t="b">
        <f>AND(DATA!T1467,"AAAAAFu9/0s=")</f>
        <v>1</v>
      </c>
      <c r="BY196">
        <f>IF(DATA!1467:1467,"AAAAAFu9/0w=",0)</f>
        <v>0</v>
      </c>
      <c r="BZ196" t="e">
        <f>AND(DATA!A1467,"AAAAAFu9/00=")</f>
        <v>#VALUE!</v>
      </c>
      <c r="CA196" t="e">
        <f>AND(DATA!B1467,"AAAAAFu9/04=")</f>
        <v>#VALUE!</v>
      </c>
      <c r="CB196" t="e">
        <f>AND(DATA!C1467,"AAAAAFu9/08=")</f>
        <v>#VALUE!</v>
      </c>
      <c r="CC196" t="e">
        <f>AND(DATA!D1467,"AAAAAFu9/1A=")</f>
        <v>#VALUE!</v>
      </c>
      <c r="CD196" t="e">
        <f>AND(DATA!E1467,"AAAAAFu9/1E=")</f>
        <v>#VALUE!</v>
      </c>
      <c r="CE196" t="e">
        <f>AND(DATA!F1467,"AAAAAFu9/1I=")</f>
        <v>#VALUE!</v>
      </c>
      <c r="CF196" t="e">
        <f>AND(DATA!G1467,"AAAAAFu9/1M=")</f>
        <v>#VALUE!</v>
      </c>
      <c r="CG196" t="e">
        <f>AND(DATA!H1467,"AAAAAFu9/1Q=")</f>
        <v>#VALUE!</v>
      </c>
      <c r="CH196" t="e">
        <f>AND(DATA!I1467,"AAAAAFu9/1U=")</f>
        <v>#VALUE!</v>
      </c>
      <c r="CI196" t="e">
        <f>AND(DATA!J1467,"AAAAAFu9/1Y=")</f>
        <v>#VALUE!</v>
      </c>
      <c r="CJ196" t="e">
        <f>AND(DATA!K1467,"AAAAAFu9/1c=")</f>
        <v>#VALUE!</v>
      </c>
      <c r="CK196" t="b">
        <f>AND(DATA!L1468,"AAAAAFu9/1g=")</f>
        <v>1</v>
      </c>
      <c r="CL196" t="b">
        <f>AND(DATA!M1468,"AAAAAFu9/1k=")</f>
        <v>1</v>
      </c>
      <c r="CM196" t="b">
        <f>AND(DATA!N1468,"AAAAAFu9/1o=")</f>
        <v>1</v>
      </c>
      <c r="CN196" t="b">
        <f>AND(DATA!O1468,"AAAAAFu9/1s=")</f>
        <v>1</v>
      </c>
      <c r="CO196" t="b">
        <f>AND(DATA!P1468,"AAAAAFu9/1w=")</f>
        <v>1</v>
      </c>
      <c r="CP196" t="b">
        <f>AND(DATA!Q1468,"AAAAAFu9/10=")</f>
        <v>1</v>
      </c>
      <c r="CQ196" t="b">
        <f>AND(DATA!R1468,"AAAAAFu9/14=")</f>
        <v>1</v>
      </c>
      <c r="CR196" t="b">
        <f>AND(DATA!S1468,"AAAAAFu9/18=")</f>
        <v>1</v>
      </c>
      <c r="CS196" t="b">
        <f>AND(DATA!T1468,"AAAAAFu9/2A=")</f>
        <v>1</v>
      </c>
      <c r="CT196">
        <f>IF(DATA!1468:1468,"AAAAAFu9/2E=",0)</f>
        <v>0</v>
      </c>
      <c r="CU196" t="e">
        <f>AND(DATA!A1468,"AAAAAFu9/2I=")</f>
        <v>#VALUE!</v>
      </c>
      <c r="CV196" t="e">
        <f>AND(DATA!B1468,"AAAAAFu9/2M=")</f>
        <v>#VALUE!</v>
      </c>
      <c r="CW196" t="e">
        <f>AND(DATA!C1468,"AAAAAFu9/2Q=")</f>
        <v>#VALUE!</v>
      </c>
      <c r="CX196" t="e">
        <f>AND(DATA!D1468,"AAAAAFu9/2U=")</f>
        <v>#VALUE!</v>
      </c>
      <c r="CY196" t="e">
        <f>AND(DATA!E1468,"AAAAAFu9/2Y=")</f>
        <v>#VALUE!</v>
      </c>
      <c r="CZ196" t="e">
        <f>AND(DATA!F1468,"AAAAAFu9/2c=")</f>
        <v>#VALUE!</v>
      </c>
      <c r="DA196" t="e">
        <f>AND(DATA!G1468,"AAAAAFu9/2g=")</f>
        <v>#VALUE!</v>
      </c>
      <c r="DB196" t="e">
        <f>AND(DATA!H1468,"AAAAAFu9/2k=")</f>
        <v>#VALUE!</v>
      </c>
      <c r="DC196" t="e">
        <f>AND(DATA!I1468,"AAAAAFu9/2o=")</f>
        <v>#VALUE!</v>
      </c>
      <c r="DD196" t="e">
        <f>AND(DATA!J1468,"AAAAAFu9/2s=")</f>
        <v>#VALUE!</v>
      </c>
      <c r="DE196" t="e">
        <f>AND(DATA!K1468,"AAAAAFu9/2w=")</f>
        <v>#VALUE!</v>
      </c>
      <c r="DF196" t="b">
        <f>AND(DATA!L1469,"AAAAAFu9/20=")</f>
        <v>1</v>
      </c>
      <c r="DG196" t="b">
        <f>AND(DATA!M1469,"AAAAAFu9/24=")</f>
        <v>1</v>
      </c>
      <c r="DH196" t="b">
        <f>AND(DATA!N1469,"AAAAAFu9/28=")</f>
        <v>1</v>
      </c>
      <c r="DI196" t="b">
        <f>AND(DATA!O1469,"AAAAAFu9/3A=")</f>
        <v>1</v>
      </c>
      <c r="DJ196" t="b">
        <f>AND(DATA!P1469,"AAAAAFu9/3E=")</f>
        <v>1</v>
      </c>
      <c r="DK196" t="b">
        <f>AND(DATA!Q1469,"AAAAAFu9/3I=")</f>
        <v>1</v>
      </c>
      <c r="DL196" t="b">
        <f>AND(DATA!R1469,"AAAAAFu9/3M=")</f>
        <v>1</v>
      </c>
      <c r="DM196" t="b">
        <f>AND(DATA!S1469,"AAAAAFu9/3Q=")</f>
        <v>1</v>
      </c>
      <c r="DN196" t="b">
        <f>AND(DATA!T1469,"AAAAAFu9/3U=")</f>
        <v>1</v>
      </c>
      <c r="DO196">
        <f>IF(DATA!1469:1469,"AAAAAFu9/3Y=",0)</f>
        <v>0</v>
      </c>
      <c r="DP196" t="e">
        <f>AND(DATA!A1469,"AAAAAFu9/3c=")</f>
        <v>#VALUE!</v>
      </c>
      <c r="DQ196" t="e">
        <f>AND(DATA!B1469,"AAAAAFu9/3g=")</f>
        <v>#VALUE!</v>
      </c>
      <c r="DR196" t="e">
        <f>AND(DATA!C1469,"AAAAAFu9/3k=")</f>
        <v>#VALUE!</v>
      </c>
      <c r="DS196" t="e">
        <f>AND(DATA!D1469,"AAAAAFu9/3o=")</f>
        <v>#VALUE!</v>
      </c>
      <c r="DT196" t="e">
        <f>AND(DATA!E1469,"AAAAAFu9/3s=")</f>
        <v>#VALUE!</v>
      </c>
      <c r="DU196" t="e">
        <f>AND(DATA!F1469,"AAAAAFu9/3w=")</f>
        <v>#VALUE!</v>
      </c>
      <c r="DV196" t="e">
        <f>AND(DATA!G1469,"AAAAAFu9/30=")</f>
        <v>#VALUE!</v>
      </c>
      <c r="DW196" t="e">
        <f>AND(DATA!H1469,"AAAAAFu9/34=")</f>
        <v>#VALUE!</v>
      </c>
      <c r="DX196" t="e">
        <f>AND(DATA!I1469,"AAAAAFu9/38=")</f>
        <v>#VALUE!</v>
      </c>
      <c r="DY196" t="e">
        <f>AND(DATA!J1469,"AAAAAFu9/4A=")</f>
        <v>#VALUE!</v>
      </c>
      <c r="DZ196" t="e">
        <f>AND(DATA!K1469,"AAAAAFu9/4E=")</f>
        <v>#VALUE!</v>
      </c>
      <c r="EA196" t="b">
        <f>AND(DATA!L1470,"AAAAAFu9/4I=")</f>
        <v>1</v>
      </c>
      <c r="EB196" t="b">
        <f>AND(DATA!M1470,"AAAAAFu9/4M=")</f>
        <v>1</v>
      </c>
      <c r="EC196" t="b">
        <f>AND(DATA!N1470,"AAAAAFu9/4Q=")</f>
        <v>1</v>
      </c>
      <c r="ED196" t="b">
        <f>AND(DATA!O1470,"AAAAAFu9/4U=")</f>
        <v>1</v>
      </c>
      <c r="EE196" t="b">
        <f>AND(DATA!P1470,"AAAAAFu9/4Y=")</f>
        <v>1</v>
      </c>
      <c r="EF196" t="b">
        <f>AND(DATA!Q1470,"AAAAAFu9/4c=")</f>
        <v>1</v>
      </c>
      <c r="EG196" t="b">
        <f>AND(DATA!R1470,"AAAAAFu9/4g=")</f>
        <v>1</v>
      </c>
      <c r="EH196" t="b">
        <f>AND(DATA!S1470,"AAAAAFu9/4k=")</f>
        <v>1</v>
      </c>
      <c r="EI196" t="b">
        <f>AND(DATA!T1470,"AAAAAFu9/4o=")</f>
        <v>1</v>
      </c>
      <c r="EJ196">
        <f>IF(DATA!1470:1470,"AAAAAFu9/4s=",0)</f>
        <v>0</v>
      </c>
      <c r="EK196" t="e">
        <f>AND(DATA!A1470,"AAAAAFu9/4w=")</f>
        <v>#VALUE!</v>
      </c>
      <c r="EL196" t="e">
        <f>AND(DATA!B1470,"AAAAAFu9/40=")</f>
        <v>#VALUE!</v>
      </c>
      <c r="EM196" t="e">
        <f>AND(DATA!C1470,"AAAAAFu9/44=")</f>
        <v>#VALUE!</v>
      </c>
      <c r="EN196" t="e">
        <f>AND(DATA!D1470,"AAAAAFu9/48=")</f>
        <v>#VALUE!</v>
      </c>
      <c r="EO196" t="e">
        <f>AND(DATA!E1470,"AAAAAFu9/5A=")</f>
        <v>#VALUE!</v>
      </c>
      <c r="EP196" t="e">
        <f>AND(DATA!F1470,"AAAAAFu9/5E=")</f>
        <v>#VALUE!</v>
      </c>
      <c r="EQ196" t="e">
        <f>AND(DATA!G1470,"AAAAAFu9/5I=")</f>
        <v>#VALUE!</v>
      </c>
      <c r="ER196" t="e">
        <f>AND(DATA!H1470,"AAAAAFu9/5M=")</f>
        <v>#VALUE!</v>
      </c>
      <c r="ES196" t="e">
        <f>AND(DATA!I1470,"AAAAAFu9/5Q=")</f>
        <v>#VALUE!</v>
      </c>
      <c r="ET196" t="e">
        <f>AND(DATA!J1470,"AAAAAFu9/5U=")</f>
        <v>#VALUE!</v>
      </c>
      <c r="EU196" t="e">
        <f>AND(DATA!K1470,"AAAAAFu9/5Y=")</f>
        <v>#VALUE!</v>
      </c>
      <c r="EV196" t="b">
        <f>AND(DATA!L1471,"AAAAAFu9/5c=")</f>
        <v>1</v>
      </c>
      <c r="EW196" t="b">
        <f>AND(DATA!M1471,"AAAAAFu9/5g=")</f>
        <v>1</v>
      </c>
      <c r="EX196" t="b">
        <f>AND(DATA!N1471,"AAAAAFu9/5k=")</f>
        <v>1</v>
      </c>
      <c r="EY196" t="b">
        <f>AND(DATA!O1471,"AAAAAFu9/5o=")</f>
        <v>1</v>
      </c>
      <c r="EZ196" t="b">
        <f>AND(DATA!P1471,"AAAAAFu9/5s=")</f>
        <v>1</v>
      </c>
      <c r="FA196" t="b">
        <f>AND(DATA!Q1471,"AAAAAFu9/5w=")</f>
        <v>1</v>
      </c>
      <c r="FB196" t="b">
        <f>AND(DATA!R1471,"AAAAAFu9/50=")</f>
        <v>1</v>
      </c>
      <c r="FC196" t="b">
        <f>AND(DATA!S1471,"AAAAAFu9/54=")</f>
        <v>1</v>
      </c>
      <c r="FD196" t="b">
        <f>AND(DATA!T1471,"AAAAAFu9/58=")</f>
        <v>1</v>
      </c>
      <c r="FE196">
        <f>IF(DATA!1471:1471,"AAAAAFu9/6A=",0)</f>
        <v>0</v>
      </c>
      <c r="FF196" t="e">
        <f>AND(DATA!A1471,"AAAAAFu9/6E=")</f>
        <v>#VALUE!</v>
      </c>
      <c r="FG196" t="e">
        <f>AND(DATA!B1471,"AAAAAFu9/6I=")</f>
        <v>#VALUE!</v>
      </c>
      <c r="FH196" t="e">
        <f>AND(DATA!C1471,"AAAAAFu9/6M=")</f>
        <v>#VALUE!</v>
      </c>
      <c r="FI196" t="e">
        <f>AND(DATA!D1471,"AAAAAFu9/6Q=")</f>
        <v>#VALUE!</v>
      </c>
      <c r="FJ196" t="e">
        <f>AND(DATA!E1471,"AAAAAFu9/6U=")</f>
        <v>#VALUE!</v>
      </c>
      <c r="FK196" t="e">
        <f>AND(DATA!F1471,"AAAAAFu9/6Y=")</f>
        <v>#VALUE!</v>
      </c>
      <c r="FL196" t="e">
        <f>AND(DATA!G1471,"AAAAAFu9/6c=")</f>
        <v>#VALUE!</v>
      </c>
      <c r="FM196" t="e">
        <f>AND(DATA!H1471,"AAAAAFu9/6g=")</f>
        <v>#VALUE!</v>
      </c>
      <c r="FN196" t="e">
        <f>AND(DATA!I1471,"AAAAAFu9/6k=")</f>
        <v>#VALUE!</v>
      </c>
      <c r="FO196" t="e">
        <f>AND(DATA!J1471,"AAAAAFu9/6o=")</f>
        <v>#VALUE!</v>
      </c>
      <c r="FP196" t="e">
        <f>AND(DATA!K1471,"AAAAAFu9/6s=")</f>
        <v>#VALUE!</v>
      </c>
      <c r="FQ196" t="b">
        <f>AND(DATA!L1472,"AAAAAFu9/6w=")</f>
        <v>1</v>
      </c>
      <c r="FR196" t="b">
        <f>AND(DATA!M1472,"AAAAAFu9/60=")</f>
        <v>1</v>
      </c>
      <c r="FS196" t="b">
        <f>AND(DATA!N1472,"AAAAAFu9/64=")</f>
        <v>1</v>
      </c>
      <c r="FT196" t="b">
        <f>AND(DATA!O1472,"AAAAAFu9/68=")</f>
        <v>1</v>
      </c>
      <c r="FU196" t="b">
        <f>AND(DATA!P1472,"AAAAAFu9/7A=")</f>
        <v>1</v>
      </c>
      <c r="FV196" t="b">
        <f>AND(DATA!Q1472,"AAAAAFu9/7E=")</f>
        <v>1</v>
      </c>
      <c r="FW196" t="b">
        <f>AND(DATA!R1472,"AAAAAFu9/7I=")</f>
        <v>1</v>
      </c>
      <c r="FX196" t="b">
        <f>AND(DATA!S1472,"AAAAAFu9/7M=")</f>
        <v>1</v>
      </c>
      <c r="FY196" t="b">
        <f>AND(DATA!T1472,"AAAAAFu9/7Q=")</f>
        <v>1</v>
      </c>
      <c r="FZ196">
        <f>IF(DATA!1472:1472,"AAAAAFu9/7U=",0)</f>
        <v>0</v>
      </c>
      <c r="GA196" t="e">
        <f>AND(DATA!A1472,"AAAAAFu9/7Y=")</f>
        <v>#VALUE!</v>
      </c>
      <c r="GB196" t="e">
        <f>AND(DATA!B1472,"AAAAAFu9/7c=")</f>
        <v>#VALUE!</v>
      </c>
      <c r="GC196" t="e">
        <f>AND(DATA!C1472,"AAAAAFu9/7g=")</f>
        <v>#VALUE!</v>
      </c>
      <c r="GD196" t="e">
        <f>AND(DATA!D1472,"AAAAAFu9/7k=")</f>
        <v>#VALUE!</v>
      </c>
      <c r="GE196" t="e">
        <f>AND(DATA!E1472,"AAAAAFu9/7o=")</f>
        <v>#VALUE!</v>
      </c>
      <c r="GF196" t="e">
        <f>AND(DATA!F1472,"AAAAAFu9/7s=")</f>
        <v>#VALUE!</v>
      </c>
      <c r="GG196" t="e">
        <f>AND(DATA!G1472,"AAAAAFu9/7w=")</f>
        <v>#VALUE!</v>
      </c>
      <c r="GH196" t="e">
        <f>AND(DATA!H1472,"AAAAAFu9/70=")</f>
        <v>#VALUE!</v>
      </c>
      <c r="GI196" t="e">
        <f>AND(DATA!I1472,"AAAAAFu9/74=")</f>
        <v>#VALUE!</v>
      </c>
      <c r="GJ196" t="e">
        <f>AND(DATA!J1472,"AAAAAFu9/78=")</f>
        <v>#VALUE!</v>
      </c>
      <c r="GK196" t="e">
        <f>AND(DATA!K1472,"AAAAAFu9/8A=")</f>
        <v>#VALUE!</v>
      </c>
      <c r="GL196" t="b">
        <f>AND(DATA!L1473,"AAAAAFu9/8E=")</f>
        <v>1</v>
      </c>
      <c r="GM196" t="b">
        <f>AND(DATA!M1473,"AAAAAFu9/8I=")</f>
        <v>1</v>
      </c>
      <c r="GN196" t="b">
        <f>AND(DATA!N1473,"AAAAAFu9/8M=")</f>
        <v>1</v>
      </c>
      <c r="GO196" t="b">
        <f>AND(DATA!O1473,"AAAAAFu9/8Q=")</f>
        <v>1</v>
      </c>
      <c r="GP196" t="b">
        <f>AND(DATA!P1473,"AAAAAFu9/8U=")</f>
        <v>1</v>
      </c>
      <c r="GQ196" t="b">
        <f>AND(DATA!Q1473,"AAAAAFu9/8Y=")</f>
        <v>1</v>
      </c>
      <c r="GR196" t="b">
        <f>AND(DATA!R1473,"AAAAAFu9/8c=")</f>
        <v>1</v>
      </c>
      <c r="GS196" t="b">
        <f>AND(DATA!S1473,"AAAAAFu9/8g=")</f>
        <v>1</v>
      </c>
      <c r="GT196" t="b">
        <f>AND(DATA!T1473,"AAAAAFu9/8k=")</f>
        <v>1</v>
      </c>
      <c r="GU196">
        <f>IF(DATA!1473:1473,"AAAAAFu9/8o=",0)</f>
        <v>0</v>
      </c>
      <c r="GV196" t="e">
        <f>AND(DATA!A1473,"AAAAAFu9/8s=")</f>
        <v>#VALUE!</v>
      </c>
      <c r="GW196" t="e">
        <f>AND(DATA!B1473,"AAAAAFu9/8w=")</f>
        <v>#VALUE!</v>
      </c>
      <c r="GX196" t="e">
        <f>AND(DATA!C1473,"AAAAAFu9/80=")</f>
        <v>#VALUE!</v>
      </c>
      <c r="GY196" t="e">
        <f>AND(DATA!D1473,"AAAAAFu9/84=")</f>
        <v>#VALUE!</v>
      </c>
      <c r="GZ196" t="e">
        <f>AND(DATA!E1473,"AAAAAFu9/88=")</f>
        <v>#VALUE!</v>
      </c>
      <c r="HA196" t="e">
        <f>AND(DATA!F1473,"AAAAAFu9/9A=")</f>
        <v>#VALUE!</v>
      </c>
      <c r="HB196" t="e">
        <f>AND(DATA!G1473,"AAAAAFu9/9E=")</f>
        <v>#VALUE!</v>
      </c>
      <c r="HC196" t="e">
        <f>AND(DATA!H1473,"AAAAAFu9/9I=")</f>
        <v>#VALUE!</v>
      </c>
      <c r="HD196" t="e">
        <f>AND(DATA!I1473,"AAAAAFu9/9M=")</f>
        <v>#VALUE!</v>
      </c>
      <c r="HE196" t="e">
        <f>AND(DATA!J1473,"AAAAAFu9/9Q=")</f>
        <v>#VALUE!</v>
      </c>
      <c r="HF196" t="e">
        <f>AND(DATA!K1473,"AAAAAFu9/9U=")</f>
        <v>#VALUE!</v>
      </c>
      <c r="HG196" t="b">
        <f>AND(DATA!L1474,"AAAAAFu9/9Y=")</f>
        <v>1</v>
      </c>
      <c r="HH196" t="b">
        <f>AND(DATA!M1474,"AAAAAFu9/9c=")</f>
        <v>1</v>
      </c>
      <c r="HI196" t="b">
        <f>AND(DATA!N1474,"AAAAAFu9/9g=")</f>
        <v>1</v>
      </c>
      <c r="HJ196" t="b">
        <f>AND(DATA!O1474,"AAAAAFu9/9k=")</f>
        <v>1</v>
      </c>
      <c r="HK196" t="b">
        <f>AND(DATA!P1474,"AAAAAFu9/9o=")</f>
        <v>1</v>
      </c>
      <c r="HL196" t="b">
        <f>AND(DATA!Q1474,"AAAAAFu9/9s=")</f>
        <v>1</v>
      </c>
      <c r="HM196" t="b">
        <f>AND(DATA!R1474,"AAAAAFu9/9w=")</f>
        <v>1</v>
      </c>
      <c r="HN196" t="b">
        <f>AND(DATA!S1474,"AAAAAFu9/90=")</f>
        <v>1</v>
      </c>
      <c r="HO196" t="b">
        <f>AND(DATA!T1474,"AAAAAFu9/94=")</f>
        <v>1</v>
      </c>
      <c r="HP196">
        <f>IF(DATA!1474:1474,"AAAAAFu9/98=",0)</f>
        <v>0</v>
      </c>
      <c r="HQ196" t="e">
        <f>AND(DATA!A1474,"AAAAAFu9/+A=")</f>
        <v>#VALUE!</v>
      </c>
      <c r="HR196" t="e">
        <f>AND(DATA!B1474,"AAAAAFu9/+E=")</f>
        <v>#VALUE!</v>
      </c>
      <c r="HS196" t="e">
        <f>AND(DATA!C1474,"AAAAAFu9/+I=")</f>
        <v>#VALUE!</v>
      </c>
      <c r="HT196" t="e">
        <f>AND(DATA!D1474,"AAAAAFu9/+M=")</f>
        <v>#VALUE!</v>
      </c>
      <c r="HU196" t="e">
        <f>AND(DATA!E1474,"AAAAAFu9/+Q=")</f>
        <v>#VALUE!</v>
      </c>
      <c r="HV196" t="e">
        <f>AND(DATA!F1474,"AAAAAFu9/+U=")</f>
        <v>#VALUE!</v>
      </c>
      <c r="HW196" t="e">
        <f>AND(DATA!G1474,"AAAAAFu9/+Y=")</f>
        <v>#VALUE!</v>
      </c>
      <c r="HX196" t="e">
        <f>AND(DATA!H1474,"AAAAAFu9/+c=")</f>
        <v>#VALUE!</v>
      </c>
      <c r="HY196" t="e">
        <f>AND(DATA!I1474,"AAAAAFu9/+g=")</f>
        <v>#VALUE!</v>
      </c>
      <c r="HZ196" t="e">
        <f>AND(DATA!J1474,"AAAAAFu9/+k=")</f>
        <v>#VALUE!</v>
      </c>
      <c r="IA196" t="e">
        <f>AND(DATA!K1474,"AAAAAFu9/+o=")</f>
        <v>#VALUE!</v>
      </c>
      <c r="IB196" t="b">
        <f>AND(DATA!L1475,"AAAAAFu9/+s=")</f>
        <v>1</v>
      </c>
      <c r="IC196" t="b">
        <f>AND(DATA!M1475,"AAAAAFu9/+w=")</f>
        <v>1</v>
      </c>
      <c r="ID196" t="b">
        <f>AND(DATA!N1475,"AAAAAFu9/+0=")</f>
        <v>1</v>
      </c>
      <c r="IE196" t="b">
        <f>AND(DATA!O1475,"AAAAAFu9/+4=")</f>
        <v>1</v>
      </c>
      <c r="IF196" t="b">
        <f>AND(DATA!P1475,"AAAAAFu9/+8=")</f>
        <v>1</v>
      </c>
      <c r="IG196" t="b">
        <f>AND(DATA!Q1475,"AAAAAFu9//A=")</f>
        <v>1</v>
      </c>
      <c r="IH196" t="b">
        <f>AND(DATA!R1475,"AAAAAFu9//E=")</f>
        <v>1</v>
      </c>
      <c r="II196" t="b">
        <f>AND(DATA!S1475,"AAAAAFu9//I=")</f>
        <v>1</v>
      </c>
      <c r="IJ196" t="b">
        <f>AND(DATA!T1475,"AAAAAFu9//M=")</f>
        <v>1</v>
      </c>
      <c r="IK196">
        <f>IF(DATA!1475:1475,"AAAAAFu9//Q=",0)</f>
        <v>0</v>
      </c>
      <c r="IL196" t="e">
        <f>AND(DATA!A1475,"AAAAAFu9//U=")</f>
        <v>#VALUE!</v>
      </c>
      <c r="IM196" t="e">
        <f>AND(DATA!B1475,"AAAAAFu9//Y=")</f>
        <v>#VALUE!</v>
      </c>
      <c r="IN196" t="e">
        <f>AND(DATA!C1475,"AAAAAFu9//c=")</f>
        <v>#VALUE!</v>
      </c>
      <c r="IO196" t="e">
        <f>AND(DATA!D1475,"AAAAAFu9//g=")</f>
        <v>#VALUE!</v>
      </c>
      <c r="IP196" t="e">
        <f>AND(DATA!E1475,"AAAAAFu9//k=")</f>
        <v>#VALUE!</v>
      </c>
      <c r="IQ196" t="e">
        <f>AND(DATA!F1475,"AAAAAFu9//o=")</f>
        <v>#VALUE!</v>
      </c>
      <c r="IR196" t="e">
        <f>AND(DATA!G1475,"AAAAAFu9//s=")</f>
        <v>#VALUE!</v>
      </c>
      <c r="IS196" t="e">
        <f>AND(DATA!H1475,"AAAAAFu9//w=")</f>
        <v>#VALUE!</v>
      </c>
      <c r="IT196" t="e">
        <f>AND(DATA!I1475,"AAAAAFu9//0=")</f>
        <v>#VALUE!</v>
      </c>
      <c r="IU196" t="e">
        <f>AND(DATA!J1475,"AAAAAFu9//4=")</f>
        <v>#VALUE!</v>
      </c>
      <c r="IV196" t="e">
        <f>AND(DATA!K1475,"AAAAAFu9//8=")</f>
        <v>#VALUE!</v>
      </c>
    </row>
    <row r="197" spans="1:256" x14ac:dyDescent="0.25">
      <c r="A197" t="b">
        <f>AND(DATA!L1476,"AAAAACdXewA=")</f>
        <v>1</v>
      </c>
      <c r="B197" t="b">
        <f>AND(DATA!M1476,"AAAAACdXewE=")</f>
        <v>1</v>
      </c>
      <c r="C197" t="b">
        <f>AND(DATA!N1476,"AAAAACdXewI=")</f>
        <v>1</v>
      </c>
      <c r="D197" t="b">
        <f>AND(DATA!O1476,"AAAAACdXewM=")</f>
        <v>1</v>
      </c>
      <c r="E197" t="b">
        <f>AND(DATA!P1476,"AAAAACdXewQ=")</f>
        <v>1</v>
      </c>
      <c r="F197" t="b">
        <f>AND(DATA!Q1476,"AAAAACdXewU=")</f>
        <v>1</v>
      </c>
      <c r="G197" t="b">
        <f>AND(DATA!R1476,"AAAAACdXewY=")</f>
        <v>1</v>
      </c>
      <c r="H197" t="b">
        <f>AND(DATA!S1476,"AAAAACdXewc=")</f>
        <v>1</v>
      </c>
      <c r="I197" t="b">
        <f>AND(DATA!T1476,"AAAAACdXewg=")</f>
        <v>1</v>
      </c>
      <c r="J197">
        <f>IF(DATA!1476:1476,"AAAAACdXewk=",0)</f>
        <v>0</v>
      </c>
      <c r="K197" t="e">
        <f>AND(DATA!A1476,"AAAAACdXewo=")</f>
        <v>#VALUE!</v>
      </c>
      <c r="L197" t="e">
        <f>AND(DATA!B1476,"AAAAACdXews=")</f>
        <v>#VALUE!</v>
      </c>
      <c r="M197" t="e">
        <f>AND(DATA!C1476,"AAAAACdXeww=")</f>
        <v>#VALUE!</v>
      </c>
      <c r="N197" t="e">
        <f>AND(DATA!D1476,"AAAAACdXew0=")</f>
        <v>#VALUE!</v>
      </c>
      <c r="O197" t="e">
        <f>AND(DATA!E1476,"AAAAACdXew4=")</f>
        <v>#VALUE!</v>
      </c>
      <c r="P197" t="e">
        <f>AND(DATA!F1476,"AAAAACdXew8=")</f>
        <v>#VALUE!</v>
      </c>
      <c r="Q197" t="e">
        <f>AND(DATA!G1476,"AAAAACdXexA=")</f>
        <v>#VALUE!</v>
      </c>
      <c r="R197" t="e">
        <f>AND(DATA!H1476,"AAAAACdXexE=")</f>
        <v>#VALUE!</v>
      </c>
      <c r="S197" t="e">
        <f>AND(DATA!I1476,"AAAAACdXexI=")</f>
        <v>#VALUE!</v>
      </c>
      <c r="T197" t="e">
        <f>AND(DATA!J1476,"AAAAACdXexM=")</f>
        <v>#VALUE!</v>
      </c>
      <c r="U197" t="e">
        <f>AND(DATA!K1476,"AAAAACdXexQ=")</f>
        <v>#VALUE!</v>
      </c>
      <c r="V197" t="b">
        <f>AND(DATA!L1477,"AAAAACdXexU=")</f>
        <v>1</v>
      </c>
      <c r="W197" t="b">
        <f>AND(DATA!M1477,"AAAAACdXexY=")</f>
        <v>1</v>
      </c>
      <c r="X197" t="b">
        <f>AND(DATA!N1477,"AAAAACdXexc=")</f>
        <v>1</v>
      </c>
      <c r="Y197" t="b">
        <f>AND(DATA!O1477,"AAAAACdXexg=")</f>
        <v>1</v>
      </c>
      <c r="Z197" t="b">
        <f>AND(DATA!P1477,"AAAAACdXexk=")</f>
        <v>1</v>
      </c>
      <c r="AA197" t="b">
        <f>AND(DATA!Q1477,"AAAAACdXexo=")</f>
        <v>1</v>
      </c>
      <c r="AB197" t="b">
        <f>AND(DATA!R1477,"AAAAACdXexs=")</f>
        <v>1</v>
      </c>
      <c r="AC197" t="b">
        <f>AND(DATA!S1477,"AAAAACdXexw=")</f>
        <v>1</v>
      </c>
      <c r="AD197" t="b">
        <f>AND(DATA!T1477,"AAAAACdXex0=")</f>
        <v>1</v>
      </c>
      <c r="AE197">
        <f>IF(DATA!1477:1477,"AAAAACdXex4=",0)</f>
        <v>0</v>
      </c>
      <c r="AF197" t="e">
        <f>AND(DATA!A1477,"AAAAACdXex8=")</f>
        <v>#VALUE!</v>
      </c>
      <c r="AG197" t="e">
        <f>AND(DATA!B1477,"AAAAACdXeyA=")</f>
        <v>#VALUE!</v>
      </c>
      <c r="AH197" t="e">
        <f>AND(DATA!C1477,"AAAAACdXeyE=")</f>
        <v>#VALUE!</v>
      </c>
      <c r="AI197" t="e">
        <f>AND(DATA!D1477,"AAAAACdXeyI=")</f>
        <v>#VALUE!</v>
      </c>
      <c r="AJ197" t="e">
        <f>AND(DATA!E1477,"AAAAACdXeyM=")</f>
        <v>#VALUE!</v>
      </c>
      <c r="AK197" t="e">
        <f>AND(DATA!F1477,"AAAAACdXeyQ=")</f>
        <v>#VALUE!</v>
      </c>
      <c r="AL197" t="e">
        <f>AND(DATA!G1477,"AAAAACdXeyU=")</f>
        <v>#VALUE!</v>
      </c>
      <c r="AM197" t="e">
        <f>AND(DATA!H1477,"AAAAACdXeyY=")</f>
        <v>#VALUE!</v>
      </c>
      <c r="AN197" t="e">
        <f>AND(DATA!I1477,"AAAAACdXeyc=")</f>
        <v>#VALUE!</v>
      </c>
      <c r="AO197" t="e">
        <f>AND(DATA!J1477,"AAAAACdXeyg=")</f>
        <v>#VALUE!</v>
      </c>
      <c r="AP197" t="e">
        <f>AND(DATA!K1477,"AAAAACdXeyk=")</f>
        <v>#VALUE!</v>
      </c>
      <c r="AQ197" t="b">
        <f>AND(DATA!L1478,"AAAAACdXeyo=")</f>
        <v>1</v>
      </c>
      <c r="AR197" t="b">
        <f>AND(DATA!M1478,"AAAAACdXeys=")</f>
        <v>1</v>
      </c>
      <c r="AS197" t="b">
        <f>AND(DATA!N1478,"AAAAACdXeyw=")</f>
        <v>1</v>
      </c>
      <c r="AT197" t="b">
        <f>AND(DATA!O1478,"AAAAACdXey0=")</f>
        <v>1</v>
      </c>
      <c r="AU197" t="b">
        <f>AND(DATA!P1478,"AAAAACdXey4=")</f>
        <v>1</v>
      </c>
      <c r="AV197" t="b">
        <f>AND(DATA!Q1478,"AAAAACdXey8=")</f>
        <v>1</v>
      </c>
      <c r="AW197" t="b">
        <f>AND(DATA!R1478,"AAAAACdXezA=")</f>
        <v>1</v>
      </c>
      <c r="AX197" t="b">
        <f>AND(DATA!S1478,"AAAAACdXezE=")</f>
        <v>1</v>
      </c>
      <c r="AY197" t="b">
        <f>AND(DATA!T1478,"AAAAACdXezI=")</f>
        <v>1</v>
      </c>
      <c r="AZ197">
        <f>IF(DATA!1478:1478,"AAAAACdXezM=",0)</f>
        <v>0</v>
      </c>
      <c r="BA197" t="e">
        <f>AND(DATA!A1478,"AAAAACdXezQ=")</f>
        <v>#VALUE!</v>
      </c>
      <c r="BB197" t="e">
        <f>AND(DATA!B1478,"AAAAACdXezU=")</f>
        <v>#VALUE!</v>
      </c>
      <c r="BC197" t="e">
        <f>AND(DATA!C1478,"AAAAACdXezY=")</f>
        <v>#VALUE!</v>
      </c>
      <c r="BD197" t="e">
        <f>AND(DATA!D1478,"AAAAACdXezc=")</f>
        <v>#VALUE!</v>
      </c>
      <c r="BE197" t="e">
        <f>AND(DATA!E1478,"AAAAACdXezg=")</f>
        <v>#VALUE!</v>
      </c>
      <c r="BF197" t="e">
        <f>AND(DATA!F1478,"AAAAACdXezk=")</f>
        <v>#VALUE!</v>
      </c>
      <c r="BG197" t="e">
        <f>AND(DATA!G1478,"AAAAACdXezo=")</f>
        <v>#VALUE!</v>
      </c>
      <c r="BH197" t="e">
        <f>AND(DATA!H1478,"AAAAACdXezs=")</f>
        <v>#VALUE!</v>
      </c>
      <c r="BI197" t="e">
        <f>AND(DATA!I1478,"AAAAACdXezw=")</f>
        <v>#VALUE!</v>
      </c>
      <c r="BJ197" t="e">
        <f>AND(DATA!J1478,"AAAAACdXez0=")</f>
        <v>#VALUE!</v>
      </c>
      <c r="BK197" t="e">
        <f>AND(DATA!K1478,"AAAAACdXez4=")</f>
        <v>#VALUE!</v>
      </c>
      <c r="BL197" t="b">
        <f>AND(DATA!L1479,"AAAAACdXez8=")</f>
        <v>1</v>
      </c>
      <c r="BM197" t="b">
        <f>AND(DATA!M1479,"AAAAACdXe0A=")</f>
        <v>1</v>
      </c>
      <c r="BN197" t="b">
        <f>AND(DATA!N1479,"AAAAACdXe0E=")</f>
        <v>1</v>
      </c>
      <c r="BO197" t="b">
        <f>AND(DATA!O1479,"AAAAACdXe0I=")</f>
        <v>1</v>
      </c>
      <c r="BP197" t="b">
        <f>AND(DATA!P1479,"AAAAACdXe0M=")</f>
        <v>1</v>
      </c>
      <c r="BQ197" t="b">
        <f>AND(DATA!Q1479,"AAAAACdXe0Q=")</f>
        <v>1</v>
      </c>
      <c r="BR197" t="b">
        <f>AND(DATA!R1479,"AAAAACdXe0U=")</f>
        <v>1</v>
      </c>
      <c r="BS197" t="b">
        <f>AND(DATA!S1479,"AAAAACdXe0Y=")</f>
        <v>1</v>
      </c>
      <c r="BT197" t="b">
        <f>AND(DATA!T1479,"AAAAACdXe0c=")</f>
        <v>1</v>
      </c>
      <c r="BU197">
        <f>IF(DATA!1479:1479,"AAAAACdXe0g=",0)</f>
        <v>0</v>
      </c>
      <c r="BV197" t="e">
        <f>AND(DATA!A1479,"AAAAACdXe0k=")</f>
        <v>#VALUE!</v>
      </c>
      <c r="BW197" t="e">
        <f>AND(DATA!B1479,"AAAAACdXe0o=")</f>
        <v>#VALUE!</v>
      </c>
      <c r="BX197" t="e">
        <f>AND(DATA!C1479,"AAAAACdXe0s=")</f>
        <v>#VALUE!</v>
      </c>
      <c r="BY197" t="e">
        <f>AND(DATA!D1479,"AAAAACdXe0w=")</f>
        <v>#VALUE!</v>
      </c>
      <c r="BZ197" t="e">
        <f>AND(DATA!E1479,"AAAAACdXe00=")</f>
        <v>#VALUE!</v>
      </c>
      <c r="CA197" t="e">
        <f>AND(DATA!F1479,"AAAAACdXe04=")</f>
        <v>#VALUE!</v>
      </c>
      <c r="CB197" t="e">
        <f>AND(DATA!G1479,"AAAAACdXe08=")</f>
        <v>#VALUE!</v>
      </c>
      <c r="CC197" t="e">
        <f>AND(DATA!H1479,"AAAAACdXe1A=")</f>
        <v>#VALUE!</v>
      </c>
      <c r="CD197" t="e">
        <f>AND(DATA!I1479,"AAAAACdXe1E=")</f>
        <v>#VALUE!</v>
      </c>
      <c r="CE197" t="e">
        <f>AND(DATA!J1479,"AAAAACdXe1I=")</f>
        <v>#VALUE!</v>
      </c>
      <c r="CF197" t="e">
        <f>AND(DATA!K1479,"AAAAACdXe1M=")</f>
        <v>#VALUE!</v>
      </c>
      <c r="CG197" t="b">
        <f>AND(DATA!L1480,"AAAAACdXe1Q=")</f>
        <v>1</v>
      </c>
      <c r="CH197" t="b">
        <f>AND(DATA!M1480,"AAAAACdXe1U=")</f>
        <v>1</v>
      </c>
      <c r="CI197" t="b">
        <f>AND(DATA!N1480,"AAAAACdXe1Y=")</f>
        <v>1</v>
      </c>
      <c r="CJ197" t="b">
        <f>AND(DATA!O1480,"AAAAACdXe1c=")</f>
        <v>1</v>
      </c>
      <c r="CK197" t="b">
        <f>AND(DATA!P1480,"AAAAACdXe1g=")</f>
        <v>1</v>
      </c>
      <c r="CL197" t="b">
        <f>AND(DATA!Q1480,"AAAAACdXe1k=")</f>
        <v>1</v>
      </c>
      <c r="CM197" t="b">
        <f>AND(DATA!R1480,"AAAAACdXe1o=")</f>
        <v>1</v>
      </c>
      <c r="CN197" t="b">
        <f>AND(DATA!S1480,"AAAAACdXe1s=")</f>
        <v>1</v>
      </c>
      <c r="CO197" t="b">
        <f>AND(DATA!T1480,"AAAAACdXe1w=")</f>
        <v>1</v>
      </c>
      <c r="CP197">
        <f>IF(DATA!1480:1480,"AAAAACdXe10=",0)</f>
        <v>0</v>
      </c>
      <c r="CQ197" t="e">
        <f>AND(DATA!A1480,"AAAAACdXe14=")</f>
        <v>#VALUE!</v>
      </c>
      <c r="CR197" t="e">
        <f>AND(DATA!B1480,"AAAAACdXe18=")</f>
        <v>#VALUE!</v>
      </c>
      <c r="CS197" t="e">
        <f>AND(DATA!C1480,"AAAAACdXe2A=")</f>
        <v>#VALUE!</v>
      </c>
      <c r="CT197" t="e">
        <f>AND(DATA!D1480,"AAAAACdXe2E=")</f>
        <v>#VALUE!</v>
      </c>
      <c r="CU197" t="e">
        <f>AND(DATA!E1480,"AAAAACdXe2I=")</f>
        <v>#VALUE!</v>
      </c>
      <c r="CV197" t="e">
        <f>AND(DATA!F1480,"AAAAACdXe2M=")</f>
        <v>#VALUE!</v>
      </c>
      <c r="CW197" t="e">
        <f>AND(DATA!G1480,"AAAAACdXe2Q=")</f>
        <v>#VALUE!</v>
      </c>
      <c r="CX197" t="e">
        <f>AND(DATA!H1480,"AAAAACdXe2U=")</f>
        <v>#VALUE!</v>
      </c>
      <c r="CY197" t="e">
        <f>AND(DATA!I1480,"AAAAACdXe2Y=")</f>
        <v>#VALUE!</v>
      </c>
      <c r="CZ197" t="e">
        <f>AND(DATA!J1480,"AAAAACdXe2c=")</f>
        <v>#VALUE!</v>
      </c>
      <c r="DA197" t="e">
        <f>AND(DATA!K1480,"AAAAACdXe2g=")</f>
        <v>#VALUE!</v>
      </c>
      <c r="DB197" t="b">
        <f>AND(DATA!L1481,"AAAAACdXe2k=")</f>
        <v>1</v>
      </c>
      <c r="DC197" t="b">
        <f>AND(DATA!M1481,"AAAAACdXe2o=")</f>
        <v>1</v>
      </c>
      <c r="DD197" t="b">
        <f>AND(DATA!N1481,"AAAAACdXe2s=")</f>
        <v>1</v>
      </c>
      <c r="DE197" t="b">
        <f>AND(DATA!O1481,"AAAAACdXe2w=")</f>
        <v>1</v>
      </c>
      <c r="DF197" t="b">
        <f>AND(DATA!P1481,"AAAAACdXe20=")</f>
        <v>1</v>
      </c>
      <c r="DG197" t="b">
        <f>AND(DATA!Q1481,"AAAAACdXe24=")</f>
        <v>1</v>
      </c>
      <c r="DH197" t="b">
        <f>AND(DATA!R1481,"AAAAACdXe28=")</f>
        <v>1</v>
      </c>
      <c r="DI197" t="b">
        <f>AND(DATA!S1481,"AAAAACdXe3A=")</f>
        <v>1</v>
      </c>
      <c r="DJ197" t="b">
        <f>AND(DATA!T1481,"AAAAACdXe3E=")</f>
        <v>1</v>
      </c>
      <c r="DK197">
        <f>IF(DATA!1481:1481,"AAAAACdXe3I=",0)</f>
        <v>0</v>
      </c>
      <c r="DL197" t="e">
        <f>AND(DATA!A1481,"AAAAACdXe3M=")</f>
        <v>#VALUE!</v>
      </c>
      <c r="DM197" t="e">
        <f>AND(DATA!B1481,"AAAAACdXe3Q=")</f>
        <v>#VALUE!</v>
      </c>
      <c r="DN197" t="e">
        <f>AND(DATA!C1481,"AAAAACdXe3U=")</f>
        <v>#VALUE!</v>
      </c>
      <c r="DO197" t="e">
        <f>AND(DATA!D1481,"AAAAACdXe3Y=")</f>
        <v>#VALUE!</v>
      </c>
      <c r="DP197" t="e">
        <f>AND(DATA!E1481,"AAAAACdXe3c=")</f>
        <v>#VALUE!</v>
      </c>
      <c r="DQ197" t="e">
        <f>AND(DATA!F1481,"AAAAACdXe3g=")</f>
        <v>#VALUE!</v>
      </c>
      <c r="DR197" t="e">
        <f>AND(DATA!G1481,"AAAAACdXe3k=")</f>
        <v>#VALUE!</v>
      </c>
      <c r="DS197" t="e">
        <f>AND(DATA!H1481,"AAAAACdXe3o=")</f>
        <v>#VALUE!</v>
      </c>
      <c r="DT197" t="e">
        <f>AND(DATA!I1481,"AAAAACdXe3s=")</f>
        <v>#VALUE!</v>
      </c>
      <c r="DU197" t="e">
        <f>AND(DATA!J1481,"AAAAACdXe3w=")</f>
        <v>#VALUE!</v>
      </c>
      <c r="DV197" t="e">
        <f>AND(DATA!K1481,"AAAAACdXe30=")</f>
        <v>#VALUE!</v>
      </c>
      <c r="DW197" t="b">
        <f>AND(DATA!L1482,"AAAAACdXe34=")</f>
        <v>1</v>
      </c>
      <c r="DX197" t="b">
        <f>AND(DATA!M1482,"AAAAACdXe38=")</f>
        <v>1</v>
      </c>
      <c r="DY197" t="b">
        <f>AND(DATA!N1482,"AAAAACdXe4A=")</f>
        <v>1</v>
      </c>
      <c r="DZ197" t="b">
        <f>AND(DATA!O1482,"AAAAACdXe4E=")</f>
        <v>1</v>
      </c>
      <c r="EA197" t="b">
        <f>AND(DATA!P1482,"AAAAACdXe4I=")</f>
        <v>1</v>
      </c>
      <c r="EB197" t="b">
        <f>AND(DATA!Q1482,"AAAAACdXe4M=")</f>
        <v>1</v>
      </c>
      <c r="EC197" t="b">
        <f>AND(DATA!R1482,"AAAAACdXe4Q=")</f>
        <v>1</v>
      </c>
      <c r="ED197" t="b">
        <f>AND(DATA!S1482,"AAAAACdXe4U=")</f>
        <v>1</v>
      </c>
      <c r="EE197" t="b">
        <f>AND(DATA!T1482,"AAAAACdXe4Y=")</f>
        <v>1</v>
      </c>
      <c r="EF197">
        <f>IF(DATA!1482:1482,"AAAAACdXe4c=",0)</f>
        <v>0</v>
      </c>
      <c r="EG197" t="e">
        <f>AND(DATA!A1482,"AAAAACdXe4g=")</f>
        <v>#VALUE!</v>
      </c>
      <c r="EH197" t="e">
        <f>AND(DATA!B1482,"AAAAACdXe4k=")</f>
        <v>#VALUE!</v>
      </c>
      <c r="EI197" t="e">
        <f>AND(DATA!C1482,"AAAAACdXe4o=")</f>
        <v>#VALUE!</v>
      </c>
      <c r="EJ197" t="e">
        <f>AND(DATA!D1482,"AAAAACdXe4s=")</f>
        <v>#VALUE!</v>
      </c>
      <c r="EK197" t="e">
        <f>AND(DATA!E1482,"AAAAACdXe4w=")</f>
        <v>#VALUE!</v>
      </c>
      <c r="EL197" t="e">
        <f>AND(DATA!F1482,"AAAAACdXe40=")</f>
        <v>#VALUE!</v>
      </c>
      <c r="EM197" t="e">
        <f>AND(DATA!G1482,"AAAAACdXe44=")</f>
        <v>#VALUE!</v>
      </c>
      <c r="EN197" t="e">
        <f>AND(DATA!H1482,"AAAAACdXe48=")</f>
        <v>#VALUE!</v>
      </c>
      <c r="EO197" t="e">
        <f>AND(DATA!I1482,"AAAAACdXe5A=")</f>
        <v>#VALUE!</v>
      </c>
      <c r="EP197" t="e">
        <f>AND(DATA!J1482,"AAAAACdXe5E=")</f>
        <v>#VALUE!</v>
      </c>
      <c r="EQ197" t="e">
        <f>AND(DATA!K1482,"AAAAACdXe5I=")</f>
        <v>#VALUE!</v>
      </c>
      <c r="ER197" t="b">
        <f>AND(DATA!L1483,"AAAAACdXe5M=")</f>
        <v>1</v>
      </c>
      <c r="ES197" t="b">
        <f>AND(DATA!M1483,"AAAAACdXe5Q=")</f>
        <v>1</v>
      </c>
      <c r="ET197" t="b">
        <f>AND(DATA!N1483,"AAAAACdXe5U=")</f>
        <v>1</v>
      </c>
      <c r="EU197" t="b">
        <f>AND(DATA!O1483,"AAAAACdXe5Y=")</f>
        <v>1</v>
      </c>
      <c r="EV197" t="b">
        <f>AND(DATA!P1483,"AAAAACdXe5c=")</f>
        <v>1</v>
      </c>
      <c r="EW197" t="b">
        <f>AND(DATA!Q1483,"AAAAACdXe5g=")</f>
        <v>1</v>
      </c>
      <c r="EX197" t="b">
        <f>AND(DATA!R1483,"AAAAACdXe5k=")</f>
        <v>1</v>
      </c>
      <c r="EY197" t="b">
        <f>AND(DATA!S1483,"AAAAACdXe5o=")</f>
        <v>1</v>
      </c>
      <c r="EZ197" t="b">
        <f>AND(DATA!T1483,"AAAAACdXe5s=")</f>
        <v>1</v>
      </c>
      <c r="FA197">
        <f>IF(DATA!1483:1483,"AAAAACdXe5w=",0)</f>
        <v>0</v>
      </c>
      <c r="FB197" t="e">
        <f>AND(DATA!A1483,"AAAAACdXe50=")</f>
        <v>#VALUE!</v>
      </c>
      <c r="FC197" t="e">
        <f>AND(DATA!B1483,"AAAAACdXe54=")</f>
        <v>#VALUE!</v>
      </c>
      <c r="FD197" t="e">
        <f>AND(DATA!C1483,"AAAAACdXe58=")</f>
        <v>#VALUE!</v>
      </c>
      <c r="FE197" t="e">
        <f>AND(DATA!D1483,"AAAAACdXe6A=")</f>
        <v>#VALUE!</v>
      </c>
      <c r="FF197" t="e">
        <f>AND(DATA!E1483,"AAAAACdXe6E=")</f>
        <v>#VALUE!</v>
      </c>
      <c r="FG197" t="e">
        <f>AND(DATA!F1483,"AAAAACdXe6I=")</f>
        <v>#VALUE!</v>
      </c>
      <c r="FH197" t="e">
        <f>AND(DATA!G1483,"AAAAACdXe6M=")</f>
        <v>#VALUE!</v>
      </c>
      <c r="FI197" t="e">
        <f>AND(DATA!H1483,"AAAAACdXe6Q=")</f>
        <v>#VALUE!</v>
      </c>
      <c r="FJ197" t="e">
        <f>AND(DATA!I1483,"AAAAACdXe6U=")</f>
        <v>#VALUE!</v>
      </c>
      <c r="FK197" t="e">
        <f>AND(DATA!J1483,"AAAAACdXe6Y=")</f>
        <v>#VALUE!</v>
      </c>
      <c r="FL197" t="e">
        <f>AND(DATA!K1483,"AAAAACdXe6c=")</f>
        <v>#VALUE!</v>
      </c>
      <c r="FM197" t="b">
        <f>AND(DATA!L1484,"AAAAACdXe6g=")</f>
        <v>1</v>
      </c>
      <c r="FN197" t="b">
        <f>AND(DATA!M1484,"AAAAACdXe6k=")</f>
        <v>1</v>
      </c>
      <c r="FO197" t="b">
        <f>AND(DATA!N1484,"AAAAACdXe6o=")</f>
        <v>1</v>
      </c>
      <c r="FP197" t="b">
        <f>AND(DATA!O1484,"AAAAACdXe6s=")</f>
        <v>1</v>
      </c>
      <c r="FQ197" t="b">
        <f>AND(DATA!P1484,"AAAAACdXe6w=")</f>
        <v>1</v>
      </c>
      <c r="FR197" t="b">
        <f>AND(DATA!Q1484,"AAAAACdXe60=")</f>
        <v>1</v>
      </c>
      <c r="FS197" t="b">
        <f>AND(DATA!R1484,"AAAAACdXe64=")</f>
        <v>1</v>
      </c>
      <c r="FT197" t="b">
        <f>AND(DATA!S1484,"AAAAACdXe68=")</f>
        <v>1</v>
      </c>
      <c r="FU197" t="b">
        <f>AND(DATA!T1484,"AAAAACdXe7A=")</f>
        <v>1</v>
      </c>
      <c r="FV197">
        <f>IF(DATA!1484:1484,"AAAAACdXe7E=",0)</f>
        <v>0</v>
      </c>
      <c r="FW197" t="e">
        <f>AND(DATA!A1484,"AAAAACdXe7I=")</f>
        <v>#VALUE!</v>
      </c>
      <c r="FX197" t="e">
        <f>AND(DATA!B1484,"AAAAACdXe7M=")</f>
        <v>#VALUE!</v>
      </c>
      <c r="FY197" t="e">
        <f>AND(DATA!C1484,"AAAAACdXe7Q=")</f>
        <v>#VALUE!</v>
      </c>
      <c r="FZ197" t="e">
        <f>AND(DATA!D1484,"AAAAACdXe7U=")</f>
        <v>#VALUE!</v>
      </c>
      <c r="GA197" t="e">
        <f>AND(DATA!E1484,"AAAAACdXe7Y=")</f>
        <v>#VALUE!</v>
      </c>
      <c r="GB197" t="e">
        <f>AND(DATA!F1484,"AAAAACdXe7c=")</f>
        <v>#VALUE!</v>
      </c>
      <c r="GC197" t="e">
        <f>AND(DATA!G1484,"AAAAACdXe7g=")</f>
        <v>#VALUE!</v>
      </c>
      <c r="GD197" t="e">
        <f>AND(DATA!H1484,"AAAAACdXe7k=")</f>
        <v>#VALUE!</v>
      </c>
      <c r="GE197" t="e">
        <f>AND(DATA!I1484,"AAAAACdXe7o=")</f>
        <v>#VALUE!</v>
      </c>
      <c r="GF197" t="e">
        <f>AND(DATA!J1484,"AAAAACdXe7s=")</f>
        <v>#VALUE!</v>
      </c>
      <c r="GG197" t="e">
        <f>AND(DATA!K1484,"AAAAACdXe7w=")</f>
        <v>#VALUE!</v>
      </c>
      <c r="GH197" t="b">
        <f>AND(DATA!L1485,"AAAAACdXe70=")</f>
        <v>1</v>
      </c>
      <c r="GI197" t="b">
        <f>AND(DATA!M1485,"AAAAACdXe74=")</f>
        <v>1</v>
      </c>
      <c r="GJ197" t="b">
        <f>AND(DATA!N1485,"AAAAACdXe78=")</f>
        <v>1</v>
      </c>
      <c r="GK197" t="b">
        <f>AND(DATA!O1485,"AAAAACdXe8A=")</f>
        <v>1</v>
      </c>
      <c r="GL197" t="b">
        <f>AND(DATA!P1485,"AAAAACdXe8E=")</f>
        <v>1</v>
      </c>
      <c r="GM197" t="b">
        <f>AND(DATA!Q1485,"AAAAACdXe8I=")</f>
        <v>1</v>
      </c>
      <c r="GN197" t="b">
        <f>AND(DATA!R1485,"AAAAACdXe8M=")</f>
        <v>1</v>
      </c>
      <c r="GO197" t="b">
        <f>AND(DATA!S1485,"AAAAACdXe8Q=")</f>
        <v>1</v>
      </c>
      <c r="GP197" t="b">
        <f>AND(DATA!T1485,"AAAAACdXe8U=")</f>
        <v>1</v>
      </c>
      <c r="GQ197">
        <f>IF(DATA!1485:1485,"AAAAACdXe8Y=",0)</f>
        <v>0</v>
      </c>
      <c r="GR197" t="e">
        <f>AND(DATA!A1485,"AAAAACdXe8c=")</f>
        <v>#VALUE!</v>
      </c>
      <c r="GS197" t="e">
        <f>AND(DATA!B1485,"AAAAACdXe8g=")</f>
        <v>#VALUE!</v>
      </c>
      <c r="GT197" t="e">
        <f>AND(DATA!C1485,"AAAAACdXe8k=")</f>
        <v>#VALUE!</v>
      </c>
      <c r="GU197" t="e">
        <f>AND(DATA!D1485,"AAAAACdXe8o=")</f>
        <v>#VALUE!</v>
      </c>
      <c r="GV197" t="e">
        <f>AND(DATA!E1485,"AAAAACdXe8s=")</f>
        <v>#VALUE!</v>
      </c>
      <c r="GW197" t="e">
        <f>AND(DATA!F1485,"AAAAACdXe8w=")</f>
        <v>#VALUE!</v>
      </c>
      <c r="GX197" t="e">
        <f>AND(DATA!G1485,"AAAAACdXe80=")</f>
        <v>#VALUE!</v>
      </c>
      <c r="GY197" t="e">
        <f>AND(DATA!H1485,"AAAAACdXe84=")</f>
        <v>#VALUE!</v>
      </c>
      <c r="GZ197" t="e">
        <f>AND(DATA!I1485,"AAAAACdXe88=")</f>
        <v>#VALUE!</v>
      </c>
      <c r="HA197" t="e">
        <f>AND(DATA!J1485,"AAAAACdXe9A=")</f>
        <v>#VALUE!</v>
      </c>
      <c r="HB197" t="e">
        <f>AND(DATA!K1485,"AAAAACdXe9E=")</f>
        <v>#VALUE!</v>
      </c>
      <c r="HC197" t="b">
        <f>AND(DATA!L1486,"AAAAACdXe9I=")</f>
        <v>1</v>
      </c>
      <c r="HD197" t="b">
        <f>AND(DATA!M1486,"AAAAACdXe9M=")</f>
        <v>1</v>
      </c>
      <c r="HE197" t="b">
        <f>AND(DATA!N1486,"AAAAACdXe9Q=")</f>
        <v>1</v>
      </c>
      <c r="HF197" t="b">
        <f>AND(DATA!O1486,"AAAAACdXe9U=")</f>
        <v>1</v>
      </c>
      <c r="HG197" t="b">
        <f>AND(DATA!P1486,"AAAAACdXe9Y=")</f>
        <v>1</v>
      </c>
      <c r="HH197" t="b">
        <f>AND(DATA!Q1486,"AAAAACdXe9c=")</f>
        <v>1</v>
      </c>
      <c r="HI197" t="b">
        <f>AND(DATA!R1486,"AAAAACdXe9g=")</f>
        <v>1</v>
      </c>
      <c r="HJ197" t="b">
        <f>AND(DATA!S1486,"AAAAACdXe9k=")</f>
        <v>1</v>
      </c>
      <c r="HK197" t="b">
        <f>AND(DATA!T1486,"AAAAACdXe9o=")</f>
        <v>1</v>
      </c>
      <c r="HL197">
        <f>IF(DATA!1486:1486,"AAAAACdXe9s=",0)</f>
        <v>0</v>
      </c>
      <c r="HM197" t="e">
        <f>AND(DATA!A1486,"AAAAACdXe9w=")</f>
        <v>#VALUE!</v>
      </c>
      <c r="HN197" t="e">
        <f>AND(DATA!B1486,"AAAAACdXe90=")</f>
        <v>#VALUE!</v>
      </c>
      <c r="HO197" t="e">
        <f>AND(DATA!C1486,"AAAAACdXe94=")</f>
        <v>#VALUE!</v>
      </c>
      <c r="HP197" t="e">
        <f>AND(DATA!D1486,"AAAAACdXe98=")</f>
        <v>#VALUE!</v>
      </c>
      <c r="HQ197" t="e">
        <f>AND(DATA!E1486,"AAAAACdXe+A=")</f>
        <v>#VALUE!</v>
      </c>
      <c r="HR197" t="e">
        <f>AND(DATA!F1486,"AAAAACdXe+E=")</f>
        <v>#VALUE!</v>
      </c>
      <c r="HS197" t="e">
        <f>AND(DATA!G1486,"AAAAACdXe+I=")</f>
        <v>#VALUE!</v>
      </c>
      <c r="HT197" t="e">
        <f>AND(DATA!H1486,"AAAAACdXe+M=")</f>
        <v>#VALUE!</v>
      </c>
      <c r="HU197" t="e">
        <f>AND(DATA!I1486,"AAAAACdXe+Q=")</f>
        <v>#VALUE!</v>
      </c>
      <c r="HV197" t="e">
        <f>AND(DATA!J1486,"AAAAACdXe+U=")</f>
        <v>#VALUE!</v>
      </c>
      <c r="HW197" t="e">
        <f>AND(DATA!K1486,"AAAAACdXe+Y=")</f>
        <v>#VALUE!</v>
      </c>
      <c r="HX197" t="b">
        <f>AND(DATA!L1487,"AAAAACdXe+c=")</f>
        <v>1</v>
      </c>
      <c r="HY197" t="b">
        <f>AND(DATA!M1487,"AAAAACdXe+g=")</f>
        <v>1</v>
      </c>
      <c r="HZ197" t="b">
        <f>AND(DATA!N1487,"AAAAACdXe+k=")</f>
        <v>1</v>
      </c>
      <c r="IA197" t="b">
        <f>AND(DATA!O1487,"AAAAACdXe+o=")</f>
        <v>1</v>
      </c>
      <c r="IB197" t="b">
        <f>AND(DATA!P1487,"AAAAACdXe+s=")</f>
        <v>1</v>
      </c>
      <c r="IC197" t="b">
        <f>AND(DATA!Q1487,"AAAAACdXe+w=")</f>
        <v>1</v>
      </c>
      <c r="ID197" t="b">
        <f>AND(DATA!R1487,"AAAAACdXe+0=")</f>
        <v>1</v>
      </c>
      <c r="IE197" t="b">
        <f>AND(DATA!S1487,"AAAAACdXe+4=")</f>
        <v>1</v>
      </c>
      <c r="IF197" t="b">
        <f>AND(DATA!T1487,"AAAAACdXe+8=")</f>
        <v>1</v>
      </c>
      <c r="IG197">
        <f>IF(DATA!1487:1487,"AAAAACdXe/A=",0)</f>
        <v>0</v>
      </c>
      <c r="IH197" t="e">
        <f>AND(DATA!A1487,"AAAAACdXe/E=")</f>
        <v>#VALUE!</v>
      </c>
      <c r="II197" t="e">
        <f>AND(DATA!B1487,"AAAAACdXe/I=")</f>
        <v>#VALUE!</v>
      </c>
      <c r="IJ197" t="e">
        <f>AND(DATA!C1487,"AAAAACdXe/M=")</f>
        <v>#VALUE!</v>
      </c>
      <c r="IK197" t="e">
        <f>AND(DATA!D1487,"AAAAACdXe/Q=")</f>
        <v>#VALUE!</v>
      </c>
      <c r="IL197" t="e">
        <f>AND(DATA!E1487,"AAAAACdXe/U=")</f>
        <v>#VALUE!</v>
      </c>
      <c r="IM197" t="e">
        <f>AND(DATA!F1487,"AAAAACdXe/Y=")</f>
        <v>#VALUE!</v>
      </c>
      <c r="IN197" t="e">
        <f>AND(DATA!G1487,"AAAAACdXe/c=")</f>
        <v>#VALUE!</v>
      </c>
      <c r="IO197" t="e">
        <f>AND(DATA!H1487,"AAAAACdXe/g=")</f>
        <v>#VALUE!</v>
      </c>
      <c r="IP197" t="e">
        <f>AND(DATA!I1487,"AAAAACdXe/k=")</f>
        <v>#VALUE!</v>
      </c>
      <c r="IQ197" t="e">
        <f>AND(DATA!J1487,"AAAAACdXe/o=")</f>
        <v>#VALUE!</v>
      </c>
      <c r="IR197" t="e">
        <f>AND(DATA!K1487,"AAAAACdXe/s=")</f>
        <v>#VALUE!</v>
      </c>
      <c r="IS197" t="b">
        <f>AND(DATA!L1488,"AAAAACdXe/w=")</f>
        <v>1</v>
      </c>
      <c r="IT197" t="b">
        <f>AND(DATA!M1488,"AAAAACdXe/0=")</f>
        <v>1</v>
      </c>
      <c r="IU197" t="b">
        <f>AND(DATA!N1488,"AAAAACdXe/4=")</f>
        <v>1</v>
      </c>
      <c r="IV197" t="b">
        <f>AND(DATA!O1488,"AAAAACdXe/8=")</f>
        <v>1</v>
      </c>
    </row>
    <row r="198" spans="1:256" x14ac:dyDescent="0.25">
      <c r="A198" t="b">
        <f>AND(DATA!P1488,"AAAAAF7WrwA=")</f>
        <v>1</v>
      </c>
      <c r="B198" t="b">
        <f>AND(DATA!Q1488,"AAAAAF7WrwE=")</f>
        <v>1</v>
      </c>
      <c r="C198" t="b">
        <f>AND(DATA!R1488,"AAAAAF7WrwI=")</f>
        <v>1</v>
      </c>
      <c r="D198" t="b">
        <f>AND(DATA!S1488,"AAAAAF7WrwM=")</f>
        <v>1</v>
      </c>
      <c r="E198" t="b">
        <f>AND(DATA!T1488,"AAAAAF7WrwQ=")</f>
        <v>1</v>
      </c>
      <c r="F198">
        <f>IF(DATA!1488:1488,"AAAAAF7WrwU=",0)</f>
        <v>0</v>
      </c>
      <c r="G198" t="e">
        <f>AND(DATA!A1488,"AAAAAF7WrwY=")</f>
        <v>#VALUE!</v>
      </c>
      <c r="H198" t="e">
        <f>AND(DATA!B1488,"AAAAAF7Wrwc=")</f>
        <v>#VALUE!</v>
      </c>
      <c r="I198" t="e">
        <f>AND(DATA!C1488,"AAAAAF7Wrwg=")</f>
        <v>#VALUE!</v>
      </c>
      <c r="J198" t="e">
        <f>AND(DATA!D1488,"AAAAAF7Wrwk=")</f>
        <v>#VALUE!</v>
      </c>
      <c r="K198" t="e">
        <f>AND(DATA!E1488,"AAAAAF7Wrwo=")</f>
        <v>#VALUE!</v>
      </c>
      <c r="L198" t="e">
        <f>AND(DATA!F1488,"AAAAAF7Wrws=")</f>
        <v>#VALUE!</v>
      </c>
      <c r="M198" t="e">
        <f>AND(DATA!G1488,"AAAAAF7Wrww=")</f>
        <v>#VALUE!</v>
      </c>
      <c r="N198" t="e">
        <f>AND(DATA!H1488,"AAAAAF7Wrw0=")</f>
        <v>#VALUE!</v>
      </c>
      <c r="O198" t="e">
        <f>AND(DATA!I1488,"AAAAAF7Wrw4=")</f>
        <v>#VALUE!</v>
      </c>
      <c r="P198" t="e">
        <f>AND(DATA!J1488,"AAAAAF7Wrw8=")</f>
        <v>#VALUE!</v>
      </c>
      <c r="Q198" t="e">
        <f>AND(DATA!K1488,"AAAAAF7WrxA=")</f>
        <v>#VALUE!</v>
      </c>
      <c r="R198" t="b">
        <f>AND(DATA!L1489,"AAAAAF7WrxE=")</f>
        <v>1</v>
      </c>
      <c r="S198" t="b">
        <f>AND(DATA!M1489,"AAAAAF7WrxI=")</f>
        <v>1</v>
      </c>
      <c r="T198" t="b">
        <f>AND(DATA!N1489,"AAAAAF7WrxM=")</f>
        <v>1</v>
      </c>
      <c r="U198" t="b">
        <f>AND(DATA!O1489,"AAAAAF7WrxQ=")</f>
        <v>1</v>
      </c>
      <c r="V198" t="b">
        <f>AND(DATA!P1489,"AAAAAF7WrxU=")</f>
        <v>1</v>
      </c>
      <c r="W198" t="b">
        <f>AND(DATA!Q1489,"AAAAAF7WrxY=")</f>
        <v>1</v>
      </c>
      <c r="X198" t="b">
        <f>AND(DATA!R1489,"AAAAAF7Wrxc=")</f>
        <v>1</v>
      </c>
      <c r="Y198" t="b">
        <f>AND(DATA!S1489,"AAAAAF7Wrxg=")</f>
        <v>1</v>
      </c>
      <c r="Z198" t="b">
        <f>AND(DATA!T1489,"AAAAAF7Wrxk=")</f>
        <v>1</v>
      </c>
      <c r="AA198">
        <f>IF(DATA!1489:1489,"AAAAAF7Wrxo=",0)</f>
        <v>0</v>
      </c>
      <c r="AB198" t="e">
        <f>AND(DATA!A1489,"AAAAAF7Wrxs=")</f>
        <v>#VALUE!</v>
      </c>
      <c r="AC198" t="e">
        <f>AND(DATA!B1489,"AAAAAF7Wrxw=")</f>
        <v>#VALUE!</v>
      </c>
      <c r="AD198" t="e">
        <f>AND(DATA!C1489,"AAAAAF7Wrx0=")</f>
        <v>#VALUE!</v>
      </c>
      <c r="AE198" t="e">
        <f>AND(DATA!D1489,"AAAAAF7Wrx4=")</f>
        <v>#VALUE!</v>
      </c>
      <c r="AF198" t="e">
        <f>AND(DATA!E1489,"AAAAAF7Wrx8=")</f>
        <v>#VALUE!</v>
      </c>
      <c r="AG198" t="e">
        <f>AND(DATA!F1489,"AAAAAF7WryA=")</f>
        <v>#VALUE!</v>
      </c>
      <c r="AH198" t="e">
        <f>AND(DATA!G1489,"AAAAAF7WryE=")</f>
        <v>#VALUE!</v>
      </c>
      <c r="AI198" t="e">
        <f>AND(DATA!H1489,"AAAAAF7WryI=")</f>
        <v>#VALUE!</v>
      </c>
      <c r="AJ198" t="e">
        <f>AND(DATA!I1489,"AAAAAF7WryM=")</f>
        <v>#VALUE!</v>
      </c>
      <c r="AK198" t="e">
        <f>AND(DATA!J1489,"AAAAAF7WryQ=")</f>
        <v>#VALUE!</v>
      </c>
      <c r="AL198" t="e">
        <f>AND(DATA!K1489,"AAAAAF7WryU=")</f>
        <v>#VALUE!</v>
      </c>
      <c r="AM198" t="b">
        <f>AND(DATA!L1490,"AAAAAF7WryY=")</f>
        <v>1</v>
      </c>
      <c r="AN198" t="b">
        <f>AND(DATA!M1490,"AAAAAF7Wryc=")</f>
        <v>1</v>
      </c>
      <c r="AO198" t="b">
        <f>AND(DATA!N1490,"AAAAAF7Wryg=")</f>
        <v>1</v>
      </c>
      <c r="AP198" t="b">
        <f>AND(DATA!O1490,"AAAAAF7Wryk=")</f>
        <v>1</v>
      </c>
      <c r="AQ198" t="b">
        <f>AND(DATA!P1490,"AAAAAF7Wryo=")</f>
        <v>1</v>
      </c>
      <c r="AR198" t="b">
        <f>AND(DATA!Q1490,"AAAAAF7Wrys=")</f>
        <v>1</v>
      </c>
      <c r="AS198" t="b">
        <f>AND(DATA!R1490,"AAAAAF7Wryw=")</f>
        <v>1</v>
      </c>
      <c r="AT198" t="b">
        <f>AND(DATA!S1490,"AAAAAF7Wry0=")</f>
        <v>1</v>
      </c>
      <c r="AU198" t="b">
        <f>AND(DATA!T1490,"AAAAAF7Wry4=")</f>
        <v>1</v>
      </c>
      <c r="AV198">
        <f>IF(DATA!1490:1490,"AAAAAF7Wry8=",0)</f>
        <v>0</v>
      </c>
      <c r="AW198" t="e">
        <f>AND(DATA!A1490,"AAAAAF7WrzA=")</f>
        <v>#VALUE!</v>
      </c>
      <c r="AX198" t="e">
        <f>AND(DATA!B1490,"AAAAAF7WrzE=")</f>
        <v>#VALUE!</v>
      </c>
      <c r="AY198" t="e">
        <f>AND(DATA!C1490,"AAAAAF7WrzI=")</f>
        <v>#VALUE!</v>
      </c>
      <c r="AZ198" t="e">
        <f>AND(DATA!D1490,"AAAAAF7WrzM=")</f>
        <v>#VALUE!</v>
      </c>
      <c r="BA198" t="e">
        <f>AND(DATA!E1490,"AAAAAF7WrzQ=")</f>
        <v>#VALUE!</v>
      </c>
      <c r="BB198" t="e">
        <f>AND(DATA!F1490,"AAAAAF7WrzU=")</f>
        <v>#VALUE!</v>
      </c>
      <c r="BC198" t="e">
        <f>AND(DATA!G1490,"AAAAAF7WrzY=")</f>
        <v>#VALUE!</v>
      </c>
      <c r="BD198" t="e">
        <f>AND(DATA!H1490,"AAAAAF7Wrzc=")</f>
        <v>#VALUE!</v>
      </c>
      <c r="BE198" t="e">
        <f>AND(DATA!I1490,"AAAAAF7Wrzg=")</f>
        <v>#VALUE!</v>
      </c>
      <c r="BF198" t="e">
        <f>AND(DATA!J1490,"AAAAAF7Wrzk=")</f>
        <v>#VALUE!</v>
      </c>
      <c r="BG198" t="e">
        <f>AND(DATA!K1490,"AAAAAF7Wrzo=")</f>
        <v>#VALUE!</v>
      </c>
      <c r="BH198" t="b">
        <f>AND(DATA!L1491,"AAAAAF7Wrzs=")</f>
        <v>1</v>
      </c>
      <c r="BI198" t="b">
        <f>AND(DATA!M1491,"AAAAAF7Wrzw=")</f>
        <v>1</v>
      </c>
      <c r="BJ198" t="b">
        <f>AND(DATA!N1491,"AAAAAF7Wrz0=")</f>
        <v>1</v>
      </c>
      <c r="BK198" t="b">
        <f>AND(DATA!O1491,"AAAAAF7Wrz4=")</f>
        <v>1</v>
      </c>
      <c r="BL198" t="b">
        <f>AND(DATA!P1491,"AAAAAF7Wrz8=")</f>
        <v>1</v>
      </c>
      <c r="BM198" t="b">
        <f>AND(DATA!Q1491,"AAAAAF7Wr0A=")</f>
        <v>1</v>
      </c>
      <c r="BN198" t="b">
        <f>AND(DATA!R1491,"AAAAAF7Wr0E=")</f>
        <v>1</v>
      </c>
      <c r="BO198" t="b">
        <f>AND(DATA!S1491,"AAAAAF7Wr0I=")</f>
        <v>1</v>
      </c>
      <c r="BP198" t="b">
        <f>AND(DATA!T1491,"AAAAAF7Wr0M=")</f>
        <v>1</v>
      </c>
      <c r="BQ198">
        <f>IF(DATA!1491:1491,"AAAAAF7Wr0Q=",0)</f>
        <v>0</v>
      </c>
      <c r="BR198" t="e">
        <f>AND(DATA!A1491,"AAAAAF7Wr0U=")</f>
        <v>#VALUE!</v>
      </c>
      <c r="BS198" t="e">
        <f>AND(DATA!B1491,"AAAAAF7Wr0Y=")</f>
        <v>#VALUE!</v>
      </c>
      <c r="BT198" t="e">
        <f>AND(DATA!C1491,"AAAAAF7Wr0c=")</f>
        <v>#VALUE!</v>
      </c>
      <c r="BU198" t="e">
        <f>AND(DATA!D1491,"AAAAAF7Wr0g=")</f>
        <v>#VALUE!</v>
      </c>
      <c r="BV198" t="e">
        <f>AND(DATA!E1491,"AAAAAF7Wr0k=")</f>
        <v>#VALUE!</v>
      </c>
      <c r="BW198" t="e">
        <f>AND(DATA!F1491,"AAAAAF7Wr0o=")</f>
        <v>#VALUE!</v>
      </c>
      <c r="BX198" t="e">
        <f>AND(DATA!G1491,"AAAAAF7Wr0s=")</f>
        <v>#VALUE!</v>
      </c>
      <c r="BY198" t="e">
        <f>AND(DATA!H1491,"AAAAAF7Wr0w=")</f>
        <v>#VALUE!</v>
      </c>
      <c r="BZ198" t="e">
        <f>AND(DATA!I1491,"AAAAAF7Wr00=")</f>
        <v>#VALUE!</v>
      </c>
      <c r="CA198" t="e">
        <f>AND(DATA!J1491,"AAAAAF7Wr04=")</f>
        <v>#VALUE!</v>
      </c>
      <c r="CB198" t="e">
        <f>AND(DATA!K1491,"AAAAAF7Wr08=")</f>
        <v>#VALUE!</v>
      </c>
      <c r="CC198" t="b">
        <f>AND(DATA!L1492,"AAAAAF7Wr1A=")</f>
        <v>1</v>
      </c>
      <c r="CD198" t="b">
        <f>AND(DATA!M1492,"AAAAAF7Wr1E=")</f>
        <v>1</v>
      </c>
      <c r="CE198" t="b">
        <f>AND(DATA!N1492,"AAAAAF7Wr1I=")</f>
        <v>1</v>
      </c>
      <c r="CF198" t="b">
        <f>AND(DATA!O1492,"AAAAAF7Wr1M=")</f>
        <v>1</v>
      </c>
      <c r="CG198" t="b">
        <f>AND(DATA!P1492,"AAAAAF7Wr1Q=")</f>
        <v>1</v>
      </c>
      <c r="CH198" t="b">
        <f>AND(DATA!Q1492,"AAAAAF7Wr1U=")</f>
        <v>1</v>
      </c>
      <c r="CI198" t="b">
        <f>AND(DATA!R1492,"AAAAAF7Wr1Y=")</f>
        <v>1</v>
      </c>
      <c r="CJ198" t="b">
        <f>AND(DATA!S1492,"AAAAAF7Wr1c=")</f>
        <v>1</v>
      </c>
      <c r="CK198" t="b">
        <f>AND(DATA!T1492,"AAAAAF7Wr1g=")</f>
        <v>1</v>
      </c>
      <c r="CL198">
        <f>IF(DATA!1492:1492,"AAAAAF7Wr1k=",0)</f>
        <v>0</v>
      </c>
      <c r="CM198" t="e">
        <f>AND(DATA!A1492,"AAAAAF7Wr1o=")</f>
        <v>#VALUE!</v>
      </c>
      <c r="CN198" t="e">
        <f>AND(DATA!B1492,"AAAAAF7Wr1s=")</f>
        <v>#VALUE!</v>
      </c>
      <c r="CO198" t="e">
        <f>AND(DATA!C1492,"AAAAAF7Wr1w=")</f>
        <v>#VALUE!</v>
      </c>
      <c r="CP198" t="e">
        <f>AND(DATA!D1492,"AAAAAF7Wr10=")</f>
        <v>#VALUE!</v>
      </c>
      <c r="CQ198" t="e">
        <f>AND(DATA!E1492,"AAAAAF7Wr14=")</f>
        <v>#VALUE!</v>
      </c>
      <c r="CR198" t="e">
        <f>AND(DATA!F1492,"AAAAAF7Wr18=")</f>
        <v>#VALUE!</v>
      </c>
      <c r="CS198" t="e">
        <f>AND(DATA!G1492,"AAAAAF7Wr2A=")</f>
        <v>#VALUE!</v>
      </c>
      <c r="CT198" t="e">
        <f>AND(DATA!H1492,"AAAAAF7Wr2E=")</f>
        <v>#VALUE!</v>
      </c>
      <c r="CU198" t="e">
        <f>AND(DATA!I1492,"AAAAAF7Wr2I=")</f>
        <v>#VALUE!</v>
      </c>
      <c r="CV198" t="e">
        <f>AND(DATA!J1492,"AAAAAF7Wr2M=")</f>
        <v>#VALUE!</v>
      </c>
      <c r="CW198" t="e">
        <f>AND(DATA!K1492,"AAAAAF7Wr2Q=")</f>
        <v>#VALUE!</v>
      </c>
      <c r="CX198" t="b">
        <f>AND(DATA!L1493,"AAAAAF7Wr2U=")</f>
        <v>1</v>
      </c>
      <c r="CY198" t="b">
        <f>AND(DATA!M1493,"AAAAAF7Wr2Y=")</f>
        <v>1</v>
      </c>
      <c r="CZ198" t="b">
        <f>AND(DATA!N1493,"AAAAAF7Wr2c=")</f>
        <v>1</v>
      </c>
      <c r="DA198" t="b">
        <f>AND(DATA!O1493,"AAAAAF7Wr2g=")</f>
        <v>1</v>
      </c>
      <c r="DB198" t="b">
        <f>AND(DATA!P1493,"AAAAAF7Wr2k=")</f>
        <v>1</v>
      </c>
      <c r="DC198" t="b">
        <f>AND(DATA!Q1493,"AAAAAF7Wr2o=")</f>
        <v>1</v>
      </c>
      <c r="DD198" t="b">
        <f>AND(DATA!R1493,"AAAAAF7Wr2s=")</f>
        <v>1</v>
      </c>
      <c r="DE198" t="b">
        <f>AND(DATA!S1493,"AAAAAF7Wr2w=")</f>
        <v>1</v>
      </c>
      <c r="DF198" t="b">
        <f>AND(DATA!T1493,"AAAAAF7Wr20=")</f>
        <v>1</v>
      </c>
      <c r="DG198">
        <f>IF(DATA!1493:1493,"AAAAAF7Wr24=",0)</f>
        <v>0</v>
      </c>
      <c r="DH198" t="e">
        <f>AND(DATA!A1493,"AAAAAF7Wr28=")</f>
        <v>#VALUE!</v>
      </c>
      <c r="DI198" t="e">
        <f>AND(DATA!B1493,"AAAAAF7Wr3A=")</f>
        <v>#VALUE!</v>
      </c>
      <c r="DJ198" t="e">
        <f>AND(DATA!C1493,"AAAAAF7Wr3E=")</f>
        <v>#VALUE!</v>
      </c>
      <c r="DK198" t="e">
        <f>AND(DATA!D1493,"AAAAAF7Wr3I=")</f>
        <v>#VALUE!</v>
      </c>
      <c r="DL198" t="e">
        <f>AND(DATA!E1493,"AAAAAF7Wr3M=")</f>
        <v>#VALUE!</v>
      </c>
      <c r="DM198" t="e">
        <f>AND(DATA!F1493,"AAAAAF7Wr3Q=")</f>
        <v>#VALUE!</v>
      </c>
      <c r="DN198" t="e">
        <f>AND(DATA!G1493,"AAAAAF7Wr3U=")</f>
        <v>#VALUE!</v>
      </c>
      <c r="DO198" t="e">
        <f>AND(DATA!H1493,"AAAAAF7Wr3Y=")</f>
        <v>#VALUE!</v>
      </c>
      <c r="DP198" t="e">
        <f>AND(DATA!I1493,"AAAAAF7Wr3c=")</f>
        <v>#VALUE!</v>
      </c>
      <c r="DQ198" t="e">
        <f>AND(DATA!J1493,"AAAAAF7Wr3g=")</f>
        <v>#VALUE!</v>
      </c>
      <c r="DR198" t="e">
        <f>AND(DATA!K1493,"AAAAAF7Wr3k=")</f>
        <v>#VALUE!</v>
      </c>
      <c r="DS198" t="b">
        <f>AND(DATA!L1494,"AAAAAF7Wr3o=")</f>
        <v>1</v>
      </c>
      <c r="DT198" t="b">
        <f>AND(DATA!M1494,"AAAAAF7Wr3s=")</f>
        <v>1</v>
      </c>
      <c r="DU198" t="b">
        <f>AND(DATA!N1494,"AAAAAF7Wr3w=")</f>
        <v>1</v>
      </c>
      <c r="DV198" t="b">
        <f>AND(DATA!O1494,"AAAAAF7Wr30=")</f>
        <v>1</v>
      </c>
      <c r="DW198" t="b">
        <f>AND(DATA!P1494,"AAAAAF7Wr34=")</f>
        <v>1</v>
      </c>
      <c r="DX198" t="b">
        <f>AND(DATA!Q1494,"AAAAAF7Wr38=")</f>
        <v>1</v>
      </c>
      <c r="DY198" t="b">
        <f>AND(DATA!R1494,"AAAAAF7Wr4A=")</f>
        <v>1</v>
      </c>
      <c r="DZ198" t="b">
        <f>AND(DATA!S1494,"AAAAAF7Wr4E=")</f>
        <v>1</v>
      </c>
      <c r="EA198" t="b">
        <f>AND(DATA!T1494,"AAAAAF7Wr4I=")</f>
        <v>1</v>
      </c>
      <c r="EB198">
        <f>IF(DATA!1494:1494,"AAAAAF7Wr4M=",0)</f>
        <v>0</v>
      </c>
      <c r="EC198" t="e">
        <f>AND(DATA!A1494,"AAAAAF7Wr4Q=")</f>
        <v>#VALUE!</v>
      </c>
      <c r="ED198" t="e">
        <f>AND(DATA!B1494,"AAAAAF7Wr4U=")</f>
        <v>#VALUE!</v>
      </c>
      <c r="EE198" t="e">
        <f>AND(DATA!C1494,"AAAAAF7Wr4Y=")</f>
        <v>#VALUE!</v>
      </c>
      <c r="EF198" t="e">
        <f>AND(DATA!D1494,"AAAAAF7Wr4c=")</f>
        <v>#VALUE!</v>
      </c>
      <c r="EG198" t="e">
        <f>AND(DATA!E1494,"AAAAAF7Wr4g=")</f>
        <v>#VALUE!</v>
      </c>
      <c r="EH198" t="e">
        <f>AND(DATA!F1494,"AAAAAF7Wr4k=")</f>
        <v>#VALUE!</v>
      </c>
      <c r="EI198" t="e">
        <f>AND(DATA!G1494,"AAAAAF7Wr4o=")</f>
        <v>#VALUE!</v>
      </c>
      <c r="EJ198" t="e">
        <f>AND(DATA!H1494,"AAAAAF7Wr4s=")</f>
        <v>#VALUE!</v>
      </c>
      <c r="EK198" t="e">
        <f>AND(DATA!I1494,"AAAAAF7Wr4w=")</f>
        <v>#VALUE!</v>
      </c>
      <c r="EL198" t="e">
        <f>AND(DATA!J1494,"AAAAAF7Wr40=")</f>
        <v>#VALUE!</v>
      </c>
      <c r="EM198" t="e">
        <f>AND(DATA!K1494,"AAAAAF7Wr44=")</f>
        <v>#VALUE!</v>
      </c>
      <c r="EN198" t="b">
        <f>AND(DATA!L1495,"AAAAAF7Wr48=")</f>
        <v>1</v>
      </c>
      <c r="EO198" t="b">
        <f>AND(DATA!M1495,"AAAAAF7Wr5A=")</f>
        <v>1</v>
      </c>
      <c r="EP198" t="b">
        <f>AND(DATA!N1495,"AAAAAF7Wr5E=")</f>
        <v>1</v>
      </c>
      <c r="EQ198" t="b">
        <f>AND(DATA!O1495,"AAAAAF7Wr5I=")</f>
        <v>1</v>
      </c>
      <c r="ER198" t="b">
        <f>AND(DATA!P1495,"AAAAAF7Wr5M=")</f>
        <v>1</v>
      </c>
      <c r="ES198" t="b">
        <f>AND(DATA!Q1495,"AAAAAF7Wr5Q=")</f>
        <v>1</v>
      </c>
      <c r="ET198" t="b">
        <f>AND(DATA!R1495,"AAAAAF7Wr5U=")</f>
        <v>1</v>
      </c>
      <c r="EU198" t="b">
        <f>AND(DATA!S1495,"AAAAAF7Wr5Y=")</f>
        <v>1</v>
      </c>
      <c r="EV198" t="b">
        <f>AND(DATA!T1495,"AAAAAF7Wr5c=")</f>
        <v>1</v>
      </c>
      <c r="EW198">
        <f>IF(DATA!1495:1495,"AAAAAF7Wr5g=",0)</f>
        <v>0</v>
      </c>
      <c r="EX198" t="e">
        <f>AND(DATA!A1495,"AAAAAF7Wr5k=")</f>
        <v>#VALUE!</v>
      </c>
      <c r="EY198" t="e">
        <f>AND(DATA!B1495,"AAAAAF7Wr5o=")</f>
        <v>#VALUE!</v>
      </c>
      <c r="EZ198" t="e">
        <f>AND(DATA!C1495,"AAAAAF7Wr5s=")</f>
        <v>#VALUE!</v>
      </c>
      <c r="FA198" t="e">
        <f>AND(DATA!D1495,"AAAAAF7Wr5w=")</f>
        <v>#VALUE!</v>
      </c>
      <c r="FB198" t="e">
        <f>AND(DATA!E1495,"AAAAAF7Wr50=")</f>
        <v>#VALUE!</v>
      </c>
      <c r="FC198" t="e">
        <f>AND(DATA!F1495,"AAAAAF7Wr54=")</f>
        <v>#VALUE!</v>
      </c>
      <c r="FD198" t="e">
        <f>AND(DATA!G1495,"AAAAAF7Wr58=")</f>
        <v>#VALUE!</v>
      </c>
      <c r="FE198" t="e">
        <f>AND(DATA!H1495,"AAAAAF7Wr6A=")</f>
        <v>#VALUE!</v>
      </c>
      <c r="FF198" t="e">
        <f>AND(DATA!I1495,"AAAAAF7Wr6E=")</f>
        <v>#VALUE!</v>
      </c>
      <c r="FG198" t="e">
        <f>AND(DATA!J1495,"AAAAAF7Wr6I=")</f>
        <v>#VALUE!</v>
      </c>
      <c r="FH198" t="e">
        <f>AND(DATA!K1495,"AAAAAF7Wr6M=")</f>
        <v>#VALUE!</v>
      </c>
      <c r="FI198" t="b">
        <f>AND(DATA!L1496,"AAAAAF7Wr6Q=")</f>
        <v>1</v>
      </c>
      <c r="FJ198" t="b">
        <f>AND(DATA!M1496,"AAAAAF7Wr6U=")</f>
        <v>1</v>
      </c>
      <c r="FK198" t="b">
        <f>AND(DATA!N1496,"AAAAAF7Wr6Y=")</f>
        <v>1</v>
      </c>
      <c r="FL198" t="b">
        <f>AND(DATA!O1496,"AAAAAF7Wr6c=")</f>
        <v>1</v>
      </c>
      <c r="FM198" t="b">
        <f>AND(DATA!P1496,"AAAAAF7Wr6g=")</f>
        <v>1</v>
      </c>
      <c r="FN198" t="b">
        <f>AND(DATA!Q1496,"AAAAAF7Wr6k=")</f>
        <v>1</v>
      </c>
      <c r="FO198" t="b">
        <f>AND(DATA!R1496,"AAAAAF7Wr6o=")</f>
        <v>1</v>
      </c>
      <c r="FP198" t="b">
        <f>AND(DATA!S1496,"AAAAAF7Wr6s=")</f>
        <v>1</v>
      </c>
      <c r="FQ198" t="b">
        <f>AND(DATA!T1496,"AAAAAF7Wr6w=")</f>
        <v>1</v>
      </c>
      <c r="FR198">
        <f>IF(DATA!1496:1496,"AAAAAF7Wr60=",0)</f>
        <v>0</v>
      </c>
      <c r="FS198" t="e">
        <f>AND(DATA!A1496,"AAAAAF7Wr64=")</f>
        <v>#VALUE!</v>
      </c>
      <c r="FT198" t="e">
        <f>AND(DATA!B1496,"AAAAAF7Wr68=")</f>
        <v>#VALUE!</v>
      </c>
      <c r="FU198" t="e">
        <f>AND(DATA!C1496,"AAAAAF7Wr7A=")</f>
        <v>#VALUE!</v>
      </c>
      <c r="FV198" t="e">
        <f>AND(DATA!D1496,"AAAAAF7Wr7E=")</f>
        <v>#VALUE!</v>
      </c>
      <c r="FW198" t="e">
        <f>AND(DATA!E1496,"AAAAAF7Wr7I=")</f>
        <v>#VALUE!</v>
      </c>
      <c r="FX198" t="e">
        <f>AND(DATA!F1496,"AAAAAF7Wr7M=")</f>
        <v>#VALUE!</v>
      </c>
      <c r="FY198" t="e">
        <f>AND(DATA!G1496,"AAAAAF7Wr7Q=")</f>
        <v>#VALUE!</v>
      </c>
      <c r="FZ198" t="e">
        <f>AND(DATA!H1496,"AAAAAF7Wr7U=")</f>
        <v>#VALUE!</v>
      </c>
      <c r="GA198" t="e">
        <f>AND(DATA!I1496,"AAAAAF7Wr7Y=")</f>
        <v>#VALUE!</v>
      </c>
      <c r="GB198" t="e">
        <f>AND(DATA!J1496,"AAAAAF7Wr7c=")</f>
        <v>#VALUE!</v>
      </c>
      <c r="GC198" t="e">
        <f>AND(DATA!K1496,"AAAAAF7Wr7g=")</f>
        <v>#VALUE!</v>
      </c>
      <c r="GD198" t="b">
        <f>AND(DATA!L1497,"AAAAAF7Wr7k=")</f>
        <v>1</v>
      </c>
      <c r="GE198" t="b">
        <f>AND(DATA!M1497,"AAAAAF7Wr7o=")</f>
        <v>1</v>
      </c>
      <c r="GF198" t="b">
        <f>AND(DATA!N1497,"AAAAAF7Wr7s=")</f>
        <v>1</v>
      </c>
      <c r="GG198" t="b">
        <f>AND(DATA!O1497,"AAAAAF7Wr7w=")</f>
        <v>1</v>
      </c>
      <c r="GH198" t="b">
        <f>AND(DATA!P1497,"AAAAAF7Wr70=")</f>
        <v>1</v>
      </c>
      <c r="GI198" t="b">
        <f>AND(DATA!Q1497,"AAAAAF7Wr74=")</f>
        <v>1</v>
      </c>
      <c r="GJ198" t="b">
        <f>AND(DATA!R1497,"AAAAAF7Wr78=")</f>
        <v>1</v>
      </c>
      <c r="GK198" t="b">
        <f>AND(DATA!S1497,"AAAAAF7Wr8A=")</f>
        <v>1</v>
      </c>
      <c r="GL198" t="b">
        <f>AND(DATA!T1497,"AAAAAF7Wr8E=")</f>
        <v>1</v>
      </c>
      <c r="GM198">
        <f>IF(DATA!1497:1497,"AAAAAF7Wr8I=",0)</f>
        <v>0</v>
      </c>
      <c r="GN198" t="e">
        <f>AND(DATA!A1497,"AAAAAF7Wr8M=")</f>
        <v>#VALUE!</v>
      </c>
      <c r="GO198" t="e">
        <f>AND(DATA!B1497,"AAAAAF7Wr8Q=")</f>
        <v>#VALUE!</v>
      </c>
      <c r="GP198" t="e">
        <f>AND(DATA!C1497,"AAAAAF7Wr8U=")</f>
        <v>#VALUE!</v>
      </c>
      <c r="GQ198" t="e">
        <f>AND(DATA!D1497,"AAAAAF7Wr8Y=")</f>
        <v>#VALUE!</v>
      </c>
      <c r="GR198" t="e">
        <f>AND(DATA!E1497,"AAAAAF7Wr8c=")</f>
        <v>#VALUE!</v>
      </c>
      <c r="GS198" t="e">
        <f>AND(DATA!F1497,"AAAAAF7Wr8g=")</f>
        <v>#VALUE!</v>
      </c>
      <c r="GT198" t="e">
        <f>AND(DATA!G1497,"AAAAAF7Wr8k=")</f>
        <v>#VALUE!</v>
      </c>
      <c r="GU198" t="e">
        <f>AND(DATA!H1497,"AAAAAF7Wr8o=")</f>
        <v>#VALUE!</v>
      </c>
      <c r="GV198" t="e">
        <f>AND(DATA!I1497,"AAAAAF7Wr8s=")</f>
        <v>#VALUE!</v>
      </c>
      <c r="GW198" t="e">
        <f>AND(DATA!J1497,"AAAAAF7Wr8w=")</f>
        <v>#VALUE!</v>
      </c>
      <c r="GX198" t="e">
        <f>AND(DATA!K1497,"AAAAAF7Wr80=")</f>
        <v>#VALUE!</v>
      </c>
      <c r="GY198" t="b">
        <f>AND(DATA!L1498,"AAAAAF7Wr84=")</f>
        <v>1</v>
      </c>
      <c r="GZ198" t="b">
        <f>AND(DATA!M1498,"AAAAAF7Wr88=")</f>
        <v>1</v>
      </c>
      <c r="HA198" t="b">
        <f>AND(DATA!N1498,"AAAAAF7Wr9A=")</f>
        <v>1</v>
      </c>
      <c r="HB198" t="b">
        <f>AND(DATA!O1498,"AAAAAF7Wr9E=")</f>
        <v>1</v>
      </c>
      <c r="HC198" t="b">
        <f>AND(DATA!P1498,"AAAAAF7Wr9I=")</f>
        <v>1</v>
      </c>
      <c r="HD198" t="b">
        <f>AND(DATA!Q1498,"AAAAAF7Wr9M=")</f>
        <v>1</v>
      </c>
      <c r="HE198" t="b">
        <f>AND(DATA!R1498,"AAAAAF7Wr9Q=")</f>
        <v>1</v>
      </c>
      <c r="HF198" t="b">
        <f>AND(DATA!S1498,"AAAAAF7Wr9U=")</f>
        <v>1</v>
      </c>
      <c r="HG198" t="b">
        <f>AND(DATA!T1498,"AAAAAF7Wr9Y=")</f>
        <v>1</v>
      </c>
      <c r="HH198">
        <f>IF(DATA!1498:1498,"AAAAAF7Wr9c=",0)</f>
        <v>0</v>
      </c>
      <c r="HI198" t="e">
        <f>AND(DATA!A1498,"AAAAAF7Wr9g=")</f>
        <v>#VALUE!</v>
      </c>
      <c r="HJ198" t="e">
        <f>AND(DATA!B1498,"AAAAAF7Wr9k=")</f>
        <v>#VALUE!</v>
      </c>
      <c r="HK198" t="e">
        <f>AND(DATA!C1498,"AAAAAF7Wr9o=")</f>
        <v>#VALUE!</v>
      </c>
      <c r="HL198" t="e">
        <f>AND(DATA!D1498,"AAAAAF7Wr9s=")</f>
        <v>#VALUE!</v>
      </c>
      <c r="HM198" t="e">
        <f>AND(DATA!E1498,"AAAAAF7Wr9w=")</f>
        <v>#VALUE!</v>
      </c>
      <c r="HN198" t="e">
        <f>AND(DATA!F1498,"AAAAAF7Wr90=")</f>
        <v>#VALUE!</v>
      </c>
      <c r="HO198" t="e">
        <f>AND(DATA!G1498,"AAAAAF7Wr94=")</f>
        <v>#VALUE!</v>
      </c>
      <c r="HP198" t="e">
        <f>AND(DATA!H1498,"AAAAAF7Wr98=")</f>
        <v>#VALUE!</v>
      </c>
      <c r="HQ198" t="e">
        <f>AND(DATA!I1498,"AAAAAF7Wr+A=")</f>
        <v>#VALUE!</v>
      </c>
      <c r="HR198" t="e">
        <f>AND(DATA!J1498,"AAAAAF7Wr+E=")</f>
        <v>#VALUE!</v>
      </c>
      <c r="HS198" t="e">
        <f>AND(DATA!K1498,"AAAAAF7Wr+I=")</f>
        <v>#VALUE!</v>
      </c>
      <c r="HT198" t="b">
        <f>AND(DATA!L1499,"AAAAAF7Wr+M=")</f>
        <v>1</v>
      </c>
      <c r="HU198" t="b">
        <f>AND(DATA!M1499,"AAAAAF7Wr+Q=")</f>
        <v>1</v>
      </c>
      <c r="HV198" t="b">
        <f>AND(DATA!N1499,"AAAAAF7Wr+U=")</f>
        <v>1</v>
      </c>
      <c r="HW198" t="b">
        <f>AND(DATA!O1499,"AAAAAF7Wr+Y=")</f>
        <v>1</v>
      </c>
      <c r="HX198" t="b">
        <f>AND(DATA!P1499,"AAAAAF7Wr+c=")</f>
        <v>1</v>
      </c>
      <c r="HY198" t="b">
        <f>AND(DATA!Q1499,"AAAAAF7Wr+g=")</f>
        <v>1</v>
      </c>
      <c r="HZ198" t="b">
        <f>AND(DATA!R1499,"AAAAAF7Wr+k=")</f>
        <v>1</v>
      </c>
      <c r="IA198" t="b">
        <f>AND(DATA!S1499,"AAAAAF7Wr+o=")</f>
        <v>1</v>
      </c>
      <c r="IB198" t="b">
        <f>AND(DATA!T1499,"AAAAAF7Wr+s=")</f>
        <v>1</v>
      </c>
      <c r="IC198">
        <f>IF(DATA!1499:1499,"AAAAAF7Wr+w=",0)</f>
        <v>0</v>
      </c>
      <c r="ID198" t="e">
        <f>AND(DATA!A1499,"AAAAAF7Wr+0=")</f>
        <v>#VALUE!</v>
      </c>
      <c r="IE198" t="e">
        <f>AND(DATA!B1499,"AAAAAF7Wr+4=")</f>
        <v>#VALUE!</v>
      </c>
      <c r="IF198" t="e">
        <f>AND(DATA!C1499,"AAAAAF7Wr+8=")</f>
        <v>#VALUE!</v>
      </c>
      <c r="IG198" t="e">
        <f>AND(DATA!D1499,"AAAAAF7Wr/A=")</f>
        <v>#VALUE!</v>
      </c>
      <c r="IH198" t="e">
        <f>AND(DATA!E1499,"AAAAAF7Wr/E=")</f>
        <v>#VALUE!</v>
      </c>
      <c r="II198" t="e">
        <f>AND(DATA!F1499,"AAAAAF7Wr/I=")</f>
        <v>#VALUE!</v>
      </c>
      <c r="IJ198" t="e">
        <f>AND(DATA!G1499,"AAAAAF7Wr/M=")</f>
        <v>#VALUE!</v>
      </c>
      <c r="IK198" t="e">
        <f>AND(DATA!H1499,"AAAAAF7Wr/Q=")</f>
        <v>#VALUE!</v>
      </c>
      <c r="IL198" t="e">
        <f>AND(DATA!I1499,"AAAAAF7Wr/U=")</f>
        <v>#VALUE!</v>
      </c>
      <c r="IM198" t="e">
        <f>AND(DATA!J1499,"AAAAAF7Wr/Y=")</f>
        <v>#VALUE!</v>
      </c>
      <c r="IN198" t="e">
        <f>AND(DATA!K1499,"AAAAAF7Wr/c=")</f>
        <v>#VALUE!</v>
      </c>
      <c r="IO198" t="b">
        <f>AND(DATA!L1500,"AAAAAF7Wr/g=")</f>
        <v>1</v>
      </c>
      <c r="IP198" t="b">
        <f>AND(DATA!M1500,"AAAAAF7Wr/k=")</f>
        <v>1</v>
      </c>
      <c r="IQ198" t="b">
        <f>AND(DATA!N1500,"AAAAAF7Wr/o=")</f>
        <v>1</v>
      </c>
      <c r="IR198" t="b">
        <f>AND(DATA!O1500,"AAAAAF7Wr/s=")</f>
        <v>1</v>
      </c>
      <c r="IS198" t="b">
        <f>AND(DATA!P1500,"AAAAAF7Wr/w=")</f>
        <v>1</v>
      </c>
      <c r="IT198" t="b">
        <f>AND(DATA!Q1500,"AAAAAF7Wr/0=")</f>
        <v>1</v>
      </c>
      <c r="IU198" t="b">
        <f>AND(DATA!R1500,"AAAAAF7Wr/4=")</f>
        <v>1</v>
      </c>
      <c r="IV198" t="b">
        <f>AND(DATA!S1500,"AAAAAF7Wr/8=")</f>
        <v>1</v>
      </c>
    </row>
    <row r="199" spans="1:256" x14ac:dyDescent="0.25">
      <c r="A199" t="b">
        <f>AND(DATA!T1500,"AAAAAGvf/gA=")</f>
        <v>1</v>
      </c>
      <c r="B199">
        <f>IF(DATA!1500:1500,"AAAAAGvf/gE=",0)</f>
        <v>0</v>
      </c>
      <c r="C199" t="e">
        <f>AND(DATA!A1500,"AAAAAGvf/gI=")</f>
        <v>#VALUE!</v>
      </c>
      <c r="D199" t="e">
        <f>AND(DATA!B1500,"AAAAAGvf/gM=")</f>
        <v>#VALUE!</v>
      </c>
      <c r="E199" t="e">
        <f>AND(DATA!C1500,"AAAAAGvf/gQ=")</f>
        <v>#VALUE!</v>
      </c>
      <c r="F199" t="e">
        <f>AND(DATA!D1500,"AAAAAGvf/gU=")</f>
        <v>#VALUE!</v>
      </c>
      <c r="G199" t="e">
        <f>AND(DATA!E1500,"AAAAAGvf/gY=")</f>
        <v>#VALUE!</v>
      </c>
      <c r="H199" t="e">
        <f>AND(DATA!F1500,"AAAAAGvf/gc=")</f>
        <v>#VALUE!</v>
      </c>
      <c r="I199" t="e">
        <f>AND(DATA!G1500,"AAAAAGvf/gg=")</f>
        <v>#VALUE!</v>
      </c>
      <c r="J199" t="e">
        <f>AND(DATA!H1500,"AAAAAGvf/gk=")</f>
        <v>#VALUE!</v>
      </c>
      <c r="K199" t="e">
        <f>AND(DATA!I1500,"AAAAAGvf/go=")</f>
        <v>#VALUE!</v>
      </c>
      <c r="L199" t="e">
        <f>AND(DATA!J1500,"AAAAAGvf/gs=")</f>
        <v>#VALUE!</v>
      </c>
      <c r="M199" t="e">
        <f>AND(DATA!K1500,"AAAAAGvf/gw=")</f>
        <v>#VALUE!</v>
      </c>
      <c r="N199" t="b">
        <f>AND(DATA!L1501,"AAAAAGvf/g0=")</f>
        <v>1</v>
      </c>
      <c r="O199" t="b">
        <f>AND(DATA!M1501,"AAAAAGvf/g4=")</f>
        <v>1</v>
      </c>
      <c r="P199" t="b">
        <f>AND(DATA!N1501,"AAAAAGvf/g8=")</f>
        <v>1</v>
      </c>
      <c r="Q199" t="b">
        <f>AND(DATA!O1501,"AAAAAGvf/hA=")</f>
        <v>1</v>
      </c>
      <c r="R199" t="b">
        <f>AND(DATA!P1501,"AAAAAGvf/hE=")</f>
        <v>1</v>
      </c>
      <c r="S199" t="b">
        <f>AND(DATA!Q1501,"AAAAAGvf/hI=")</f>
        <v>1</v>
      </c>
      <c r="T199" t="b">
        <f>AND(DATA!R1501,"AAAAAGvf/hM=")</f>
        <v>1</v>
      </c>
      <c r="U199" t="b">
        <f>AND(DATA!S1501,"AAAAAGvf/hQ=")</f>
        <v>1</v>
      </c>
      <c r="V199" t="b">
        <f>AND(DATA!T1501,"AAAAAGvf/hU=")</f>
        <v>1</v>
      </c>
      <c r="W199">
        <f>IF(DATA!1501:1501,"AAAAAGvf/hY=",0)</f>
        <v>0</v>
      </c>
      <c r="X199" t="e">
        <f>AND(DATA!A1501,"AAAAAGvf/hc=")</f>
        <v>#VALUE!</v>
      </c>
      <c r="Y199" t="e">
        <f>AND(DATA!B1501,"AAAAAGvf/hg=")</f>
        <v>#VALUE!</v>
      </c>
      <c r="Z199" t="e">
        <f>AND(DATA!C1501,"AAAAAGvf/hk=")</f>
        <v>#VALUE!</v>
      </c>
      <c r="AA199" t="e">
        <f>AND(DATA!D1501,"AAAAAGvf/ho=")</f>
        <v>#VALUE!</v>
      </c>
      <c r="AB199" t="e">
        <f>AND(DATA!E1501,"AAAAAGvf/hs=")</f>
        <v>#VALUE!</v>
      </c>
      <c r="AC199" t="e">
        <f>AND(DATA!F1501,"AAAAAGvf/hw=")</f>
        <v>#VALUE!</v>
      </c>
      <c r="AD199" t="e">
        <f>AND(DATA!G1501,"AAAAAGvf/h0=")</f>
        <v>#VALUE!</v>
      </c>
      <c r="AE199" t="e">
        <f>AND(DATA!H1501,"AAAAAGvf/h4=")</f>
        <v>#VALUE!</v>
      </c>
      <c r="AF199" t="e">
        <f>AND(DATA!I1501,"AAAAAGvf/h8=")</f>
        <v>#VALUE!</v>
      </c>
      <c r="AG199" t="e">
        <f>AND(DATA!J1501,"AAAAAGvf/iA=")</f>
        <v>#VALUE!</v>
      </c>
      <c r="AH199" t="e">
        <f>AND(DATA!K1501,"AAAAAGvf/iE=")</f>
        <v>#VALUE!</v>
      </c>
      <c r="AI199" t="b">
        <f>AND(DATA!L1502,"AAAAAGvf/iI=")</f>
        <v>1</v>
      </c>
      <c r="AJ199" t="b">
        <f>AND(DATA!M1502,"AAAAAGvf/iM=")</f>
        <v>1</v>
      </c>
      <c r="AK199" t="b">
        <f>AND(DATA!N1502,"AAAAAGvf/iQ=")</f>
        <v>1</v>
      </c>
      <c r="AL199" t="b">
        <f>AND(DATA!O1502,"AAAAAGvf/iU=")</f>
        <v>1</v>
      </c>
      <c r="AM199" t="b">
        <f>AND(DATA!P1502,"AAAAAGvf/iY=")</f>
        <v>1</v>
      </c>
      <c r="AN199" t="b">
        <f>AND(DATA!Q1502,"AAAAAGvf/ic=")</f>
        <v>1</v>
      </c>
      <c r="AO199" t="b">
        <f>AND(DATA!R1502,"AAAAAGvf/ig=")</f>
        <v>1</v>
      </c>
      <c r="AP199" t="b">
        <f>AND(DATA!S1502,"AAAAAGvf/ik=")</f>
        <v>1</v>
      </c>
      <c r="AQ199" t="b">
        <f>AND(DATA!T1502,"AAAAAGvf/io=")</f>
        <v>1</v>
      </c>
      <c r="AR199">
        <f>IF(DATA!1502:1502,"AAAAAGvf/is=",0)</f>
        <v>0</v>
      </c>
      <c r="AS199" t="e">
        <f>AND(DATA!A1502,"AAAAAGvf/iw=")</f>
        <v>#VALUE!</v>
      </c>
      <c r="AT199" t="e">
        <f>AND(DATA!B1502,"AAAAAGvf/i0=")</f>
        <v>#VALUE!</v>
      </c>
      <c r="AU199" t="e">
        <f>AND(DATA!C1502,"AAAAAGvf/i4=")</f>
        <v>#VALUE!</v>
      </c>
      <c r="AV199" t="e">
        <f>AND(DATA!D1502,"AAAAAGvf/i8=")</f>
        <v>#VALUE!</v>
      </c>
      <c r="AW199" t="e">
        <f>AND(DATA!E1502,"AAAAAGvf/jA=")</f>
        <v>#VALUE!</v>
      </c>
      <c r="AX199" t="e">
        <f>AND(DATA!F1502,"AAAAAGvf/jE=")</f>
        <v>#VALUE!</v>
      </c>
      <c r="AY199" t="e">
        <f>AND(DATA!G1502,"AAAAAGvf/jI=")</f>
        <v>#VALUE!</v>
      </c>
      <c r="AZ199" t="e">
        <f>AND(DATA!H1502,"AAAAAGvf/jM=")</f>
        <v>#VALUE!</v>
      </c>
      <c r="BA199" t="e">
        <f>AND(DATA!I1502,"AAAAAGvf/jQ=")</f>
        <v>#VALUE!</v>
      </c>
      <c r="BB199" t="e">
        <f>AND(DATA!J1502,"AAAAAGvf/jU=")</f>
        <v>#VALUE!</v>
      </c>
      <c r="BC199" t="e">
        <f>AND(DATA!K1502,"AAAAAGvf/jY=")</f>
        <v>#VALUE!</v>
      </c>
      <c r="BD199" t="b">
        <f>AND(DATA!L1503,"AAAAAGvf/jc=")</f>
        <v>1</v>
      </c>
      <c r="BE199" t="b">
        <f>AND(DATA!M1503,"AAAAAGvf/jg=")</f>
        <v>1</v>
      </c>
      <c r="BF199" t="b">
        <f>AND(DATA!N1503,"AAAAAGvf/jk=")</f>
        <v>1</v>
      </c>
      <c r="BG199" t="b">
        <f>AND(DATA!O1503,"AAAAAGvf/jo=")</f>
        <v>1</v>
      </c>
      <c r="BH199" t="b">
        <f>AND(DATA!P1503,"AAAAAGvf/js=")</f>
        <v>1</v>
      </c>
      <c r="BI199" t="b">
        <f>AND(DATA!Q1503,"AAAAAGvf/jw=")</f>
        <v>1</v>
      </c>
      <c r="BJ199" t="b">
        <f>AND(DATA!R1503,"AAAAAGvf/j0=")</f>
        <v>1</v>
      </c>
      <c r="BK199" t="b">
        <f>AND(DATA!S1503,"AAAAAGvf/j4=")</f>
        <v>1</v>
      </c>
      <c r="BL199" t="b">
        <f>AND(DATA!T1503,"AAAAAGvf/j8=")</f>
        <v>1</v>
      </c>
      <c r="BM199">
        <f>IF(DATA!1503:1503,"AAAAAGvf/kA=",0)</f>
        <v>0</v>
      </c>
      <c r="BN199" t="e">
        <f>AND(DATA!A1503,"AAAAAGvf/kE=")</f>
        <v>#VALUE!</v>
      </c>
      <c r="BO199" t="e">
        <f>AND(DATA!B1503,"AAAAAGvf/kI=")</f>
        <v>#VALUE!</v>
      </c>
      <c r="BP199" t="e">
        <f>AND(DATA!C1503,"AAAAAGvf/kM=")</f>
        <v>#VALUE!</v>
      </c>
      <c r="BQ199" t="e">
        <f>AND(DATA!D1503,"AAAAAGvf/kQ=")</f>
        <v>#VALUE!</v>
      </c>
      <c r="BR199" t="e">
        <f>AND(DATA!E1503,"AAAAAGvf/kU=")</f>
        <v>#VALUE!</v>
      </c>
      <c r="BS199" t="e">
        <f>AND(DATA!F1503,"AAAAAGvf/kY=")</f>
        <v>#VALUE!</v>
      </c>
      <c r="BT199" t="e">
        <f>AND(DATA!G1503,"AAAAAGvf/kc=")</f>
        <v>#VALUE!</v>
      </c>
      <c r="BU199" t="e">
        <f>AND(DATA!H1503,"AAAAAGvf/kg=")</f>
        <v>#VALUE!</v>
      </c>
      <c r="BV199" t="e">
        <f>AND(DATA!I1503,"AAAAAGvf/kk=")</f>
        <v>#VALUE!</v>
      </c>
      <c r="BW199" t="e">
        <f>AND(DATA!J1503,"AAAAAGvf/ko=")</f>
        <v>#VALUE!</v>
      </c>
      <c r="BX199" t="e">
        <f>AND(DATA!K1503,"AAAAAGvf/ks=")</f>
        <v>#VALUE!</v>
      </c>
      <c r="BY199" t="b">
        <f>AND(DATA!L1504,"AAAAAGvf/kw=")</f>
        <v>1</v>
      </c>
      <c r="BZ199" t="b">
        <f>AND(DATA!M1504,"AAAAAGvf/k0=")</f>
        <v>1</v>
      </c>
      <c r="CA199" t="b">
        <f>AND(DATA!N1504,"AAAAAGvf/k4=")</f>
        <v>1</v>
      </c>
      <c r="CB199" t="b">
        <f>AND(DATA!O1504,"AAAAAGvf/k8=")</f>
        <v>1</v>
      </c>
      <c r="CC199" t="b">
        <f>AND(DATA!P1504,"AAAAAGvf/lA=")</f>
        <v>1</v>
      </c>
      <c r="CD199" t="b">
        <f>AND(DATA!Q1504,"AAAAAGvf/lE=")</f>
        <v>1</v>
      </c>
      <c r="CE199" t="b">
        <f>AND(DATA!R1504,"AAAAAGvf/lI=")</f>
        <v>1</v>
      </c>
      <c r="CF199" t="b">
        <f>AND(DATA!S1504,"AAAAAGvf/lM=")</f>
        <v>1</v>
      </c>
      <c r="CG199" t="b">
        <f>AND(DATA!T1504,"AAAAAGvf/lQ=")</f>
        <v>1</v>
      </c>
      <c r="CH199">
        <f>IF(DATA!1504:1504,"AAAAAGvf/lU=",0)</f>
        <v>0</v>
      </c>
      <c r="CI199" t="e">
        <f>AND(DATA!A1504,"AAAAAGvf/lY=")</f>
        <v>#VALUE!</v>
      </c>
      <c r="CJ199" t="e">
        <f>AND(DATA!B1504,"AAAAAGvf/lc=")</f>
        <v>#VALUE!</v>
      </c>
      <c r="CK199" t="e">
        <f>AND(DATA!C1504,"AAAAAGvf/lg=")</f>
        <v>#VALUE!</v>
      </c>
      <c r="CL199" t="e">
        <f>AND(DATA!D1504,"AAAAAGvf/lk=")</f>
        <v>#VALUE!</v>
      </c>
      <c r="CM199" t="e">
        <f>AND(DATA!E1504,"AAAAAGvf/lo=")</f>
        <v>#VALUE!</v>
      </c>
      <c r="CN199" t="e">
        <f>AND(DATA!F1504,"AAAAAGvf/ls=")</f>
        <v>#VALUE!</v>
      </c>
      <c r="CO199" t="e">
        <f>AND(DATA!G1504,"AAAAAGvf/lw=")</f>
        <v>#VALUE!</v>
      </c>
      <c r="CP199" t="e">
        <f>AND(DATA!H1504,"AAAAAGvf/l0=")</f>
        <v>#VALUE!</v>
      </c>
      <c r="CQ199" t="e">
        <f>AND(DATA!I1504,"AAAAAGvf/l4=")</f>
        <v>#VALUE!</v>
      </c>
      <c r="CR199" t="e">
        <f>AND(DATA!J1504,"AAAAAGvf/l8=")</f>
        <v>#VALUE!</v>
      </c>
      <c r="CS199" t="e">
        <f>AND(DATA!K1504,"AAAAAGvf/mA=")</f>
        <v>#VALUE!</v>
      </c>
      <c r="CT199" t="b">
        <f>AND(DATA!L1505,"AAAAAGvf/mE=")</f>
        <v>1</v>
      </c>
      <c r="CU199" t="b">
        <f>AND(DATA!M1505,"AAAAAGvf/mI=")</f>
        <v>1</v>
      </c>
      <c r="CV199" t="b">
        <f>AND(DATA!N1505,"AAAAAGvf/mM=")</f>
        <v>1</v>
      </c>
      <c r="CW199" t="b">
        <f>AND(DATA!O1505,"AAAAAGvf/mQ=")</f>
        <v>1</v>
      </c>
      <c r="CX199" t="b">
        <f>AND(DATA!P1505,"AAAAAGvf/mU=")</f>
        <v>1</v>
      </c>
      <c r="CY199" t="b">
        <f>AND(DATA!Q1505,"AAAAAGvf/mY=")</f>
        <v>1</v>
      </c>
      <c r="CZ199" t="b">
        <f>AND(DATA!R1505,"AAAAAGvf/mc=")</f>
        <v>1</v>
      </c>
      <c r="DA199" t="b">
        <f>AND(DATA!S1505,"AAAAAGvf/mg=")</f>
        <v>1</v>
      </c>
      <c r="DB199" t="b">
        <f>AND(DATA!T1505,"AAAAAGvf/mk=")</f>
        <v>1</v>
      </c>
      <c r="DC199">
        <f>IF(DATA!1505:1505,"AAAAAGvf/mo=",0)</f>
        <v>0</v>
      </c>
      <c r="DD199" t="e">
        <f>AND(DATA!A1505,"AAAAAGvf/ms=")</f>
        <v>#VALUE!</v>
      </c>
      <c r="DE199" t="e">
        <f>AND(DATA!B1505,"AAAAAGvf/mw=")</f>
        <v>#VALUE!</v>
      </c>
      <c r="DF199" t="e">
        <f>AND(DATA!C1505,"AAAAAGvf/m0=")</f>
        <v>#VALUE!</v>
      </c>
      <c r="DG199" t="e">
        <f>AND(DATA!D1505,"AAAAAGvf/m4=")</f>
        <v>#VALUE!</v>
      </c>
      <c r="DH199" t="e">
        <f>AND(DATA!E1505,"AAAAAGvf/m8=")</f>
        <v>#VALUE!</v>
      </c>
      <c r="DI199" t="e">
        <f>AND(DATA!F1505,"AAAAAGvf/nA=")</f>
        <v>#VALUE!</v>
      </c>
      <c r="DJ199" t="e">
        <f>AND(DATA!G1505,"AAAAAGvf/nE=")</f>
        <v>#VALUE!</v>
      </c>
      <c r="DK199" t="e">
        <f>AND(DATA!H1505,"AAAAAGvf/nI=")</f>
        <v>#VALUE!</v>
      </c>
      <c r="DL199" t="e">
        <f>AND(DATA!I1505,"AAAAAGvf/nM=")</f>
        <v>#VALUE!</v>
      </c>
      <c r="DM199" t="e">
        <f>AND(DATA!J1505,"AAAAAGvf/nQ=")</f>
        <v>#VALUE!</v>
      </c>
      <c r="DN199" t="e">
        <f>AND(DATA!K1505,"AAAAAGvf/nU=")</f>
        <v>#VALUE!</v>
      </c>
      <c r="DO199" t="b">
        <f>AND(DATA!L1506,"AAAAAGvf/nY=")</f>
        <v>1</v>
      </c>
      <c r="DP199" t="b">
        <f>AND(DATA!M1506,"AAAAAGvf/nc=")</f>
        <v>1</v>
      </c>
      <c r="DQ199" t="b">
        <f>AND(DATA!N1506,"AAAAAGvf/ng=")</f>
        <v>1</v>
      </c>
      <c r="DR199" t="b">
        <f>AND(DATA!O1506,"AAAAAGvf/nk=")</f>
        <v>1</v>
      </c>
      <c r="DS199" t="b">
        <f>AND(DATA!P1506,"AAAAAGvf/no=")</f>
        <v>1</v>
      </c>
      <c r="DT199" t="b">
        <f>AND(DATA!Q1506,"AAAAAGvf/ns=")</f>
        <v>1</v>
      </c>
      <c r="DU199" t="b">
        <f>AND(DATA!R1506,"AAAAAGvf/nw=")</f>
        <v>1</v>
      </c>
      <c r="DV199" t="b">
        <f>AND(DATA!S1506,"AAAAAGvf/n0=")</f>
        <v>1</v>
      </c>
      <c r="DW199" t="b">
        <f>AND(DATA!T1506,"AAAAAGvf/n4=")</f>
        <v>1</v>
      </c>
      <c r="DX199">
        <f>IF(DATA!1506:1506,"AAAAAGvf/n8=",0)</f>
        <v>0</v>
      </c>
      <c r="DY199" t="e">
        <f>AND(DATA!A1506,"AAAAAGvf/oA=")</f>
        <v>#VALUE!</v>
      </c>
      <c r="DZ199" t="e">
        <f>AND(DATA!B1506,"AAAAAGvf/oE=")</f>
        <v>#VALUE!</v>
      </c>
      <c r="EA199" t="e">
        <f>AND(DATA!C1506,"AAAAAGvf/oI=")</f>
        <v>#VALUE!</v>
      </c>
      <c r="EB199" t="e">
        <f>AND(DATA!D1506,"AAAAAGvf/oM=")</f>
        <v>#VALUE!</v>
      </c>
      <c r="EC199" t="e">
        <f>AND(DATA!E1506,"AAAAAGvf/oQ=")</f>
        <v>#VALUE!</v>
      </c>
      <c r="ED199" t="e">
        <f>AND(DATA!F1506,"AAAAAGvf/oU=")</f>
        <v>#VALUE!</v>
      </c>
      <c r="EE199" t="e">
        <f>AND(DATA!G1506,"AAAAAGvf/oY=")</f>
        <v>#VALUE!</v>
      </c>
      <c r="EF199" t="e">
        <f>AND(DATA!H1506,"AAAAAGvf/oc=")</f>
        <v>#VALUE!</v>
      </c>
      <c r="EG199" t="e">
        <f>AND(DATA!I1506,"AAAAAGvf/og=")</f>
        <v>#VALUE!</v>
      </c>
      <c r="EH199" t="e">
        <f>AND(DATA!J1506,"AAAAAGvf/ok=")</f>
        <v>#VALUE!</v>
      </c>
      <c r="EI199" t="e">
        <f>AND(DATA!K1506,"AAAAAGvf/oo=")</f>
        <v>#VALUE!</v>
      </c>
      <c r="EJ199" t="b">
        <f>AND(DATA!L1507,"AAAAAGvf/os=")</f>
        <v>1</v>
      </c>
      <c r="EK199" t="b">
        <f>AND(DATA!M1507,"AAAAAGvf/ow=")</f>
        <v>1</v>
      </c>
      <c r="EL199" t="b">
        <f>AND(DATA!N1507,"AAAAAGvf/o0=")</f>
        <v>1</v>
      </c>
      <c r="EM199" t="b">
        <f>AND(DATA!O1507,"AAAAAGvf/o4=")</f>
        <v>1</v>
      </c>
      <c r="EN199" t="b">
        <f>AND(DATA!P1507,"AAAAAGvf/o8=")</f>
        <v>1</v>
      </c>
      <c r="EO199" t="b">
        <f>AND(DATA!Q1507,"AAAAAGvf/pA=")</f>
        <v>1</v>
      </c>
      <c r="EP199" t="b">
        <f>AND(DATA!R1507,"AAAAAGvf/pE=")</f>
        <v>1</v>
      </c>
      <c r="EQ199" t="b">
        <f>AND(DATA!S1507,"AAAAAGvf/pI=")</f>
        <v>1</v>
      </c>
      <c r="ER199" t="b">
        <f>AND(DATA!T1507,"AAAAAGvf/pM=")</f>
        <v>1</v>
      </c>
      <c r="ES199">
        <f>IF(DATA!1507:1507,"AAAAAGvf/pQ=",0)</f>
        <v>0</v>
      </c>
      <c r="ET199" t="e">
        <f>AND(DATA!A1507,"AAAAAGvf/pU=")</f>
        <v>#VALUE!</v>
      </c>
      <c r="EU199" t="e">
        <f>AND(DATA!B1507,"AAAAAGvf/pY=")</f>
        <v>#VALUE!</v>
      </c>
      <c r="EV199" t="e">
        <f>AND(DATA!C1507,"AAAAAGvf/pc=")</f>
        <v>#VALUE!</v>
      </c>
      <c r="EW199" t="e">
        <f>AND(DATA!D1507,"AAAAAGvf/pg=")</f>
        <v>#VALUE!</v>
      </c>
      <c r="EX199" t="e">
        <f>AND(DATA!E1507,"AAAAAGvf/pk=")</f>
        <v>#VALUE!</v>
      </c>
      <c r="EY199" t="e">
        <f>AND(DATA!F1507,"AAAAAGvf/po=")</f>
        <v>#VALUE!</v>
      </c>
      <c r="EZ199" t="e">
        <f>AND(DATA!G1507,"AAAAAGvf/ps=")</f>
        <v>#VALUE!</v>
      </c>
      <c r="FA199" t="e">
        <f>AND(DATA!H1507,"AAAAAGvf/pw=")</f>
        <v>#VALUE!</v>
      </c>
      <c r="FB199" t="e">
        <f>AND(DATA!I1507,"AAAAAGvf/p0=")</f>
        <v>#VALUE!</v>
      </c>
      <c r="FC199" t="e">
        <f>AND(DATA!J1507,"AAAAAGvf/p4=")</f>
        <v>#VALUE!</v>
      </c>
      <c r="FD199" t="e">
        <f>AND(DATA!K1507,"AAAAAGvf/p8=")</f>
        <v>#VALUE!</v>
      </c>
      <c r="FE199" t="b">
        <f>AND(DATA!L1508,"AAAAAGvf/qA=")</f>
        <v>1</v>
      </c>
      <c r="FF199" t="b">
        <f>AND(DATA!M1508,"AAAAAGvf/qE=")</f>
        <v>1</v>
      </c>
      <c r="FG199" t="b">
        <f>AND(DATA!N1508,"AAAAAGvf/qI=")</f>
        <v>1</v>
      </c>
      <c r="FH199" t="b">
        <f>AND(DATA!O1508,"AAAAAGvf/qM=")</f>
        <v>1</v>
      </c>
      <c r="FI199" t="b">
        <f>AND(DATA!P1508,"AAAAAGvf/qQ=")</f>
        <v>1</v>
      </c>
      <c r="FJ199" t="b">
        <f>AND(DATA!Q1508,"AAAAAGvf/qU=")</f>
        <v>1</v>
      </c>
      <c r="FK199" t="b">
        <f>AND(DATA!R1508,"AAAAAGvf/qY=")</f>
        <v>1</v>
      </c>
      <c r="FL199" t="b">
        <f>AND(DATA!S1508,"AAAAAGvf/qc=")</f>
        <v>1</v>
      </c>
      <c r="FM199" t="b">
        <f>AND(DATA!T1508,"AAAAAGvf/qg=")</f>
        <v>1</v>
      </c>
      <c r="FN199">
        <f>IF(DATA!1508:1508,"AAAAAGvf/qk=",0)</f>
        <v>0</v>
      </c>
      <c r="FO199" t="e">
        <f>AND(DATA!A1508,"AAAAAGvf/qo=")</f>
        <v>#VALUE!</v>
      </c>
      <c r="FP199" t="e">
        <f>AND(DATA!B1508,"AAAAAGvf/qs=")</f>
        <v>#VALUE!</v>
      </c>
      <c r="FQ199" t="e">
        <f>AND(DATA!C1508,"AAAAAGvf/qw=")</f>
        <v>#VALUE!</v>
      </c>
      <c r="FR199" t="e">
        <f>AND(DATA!D1508,"AAAAAGvf/q0=")</f>
        <v>#VALUE!</v>
      </c>
      <c r="FS199" t="e">
        <f>AND(DATA!E1508,"AAAAAGvf/q4=")</f>
        <v>#VALUE!</v>
      </c>
      <c r="FT199" t="e">
        <f>AND(DATA!F1508,"AAAAAGvf/q8=")</f>
        <v>#VALUE!</v>
      </c>
      <c r="FU199" t="e">
        <f>AND(DATA!G1508,"AAAAAGvf/rA=")</f>
        <v>#VALUE!</v>
      </c>
      <c r="FV199" t="e">
        <f>AND(DATA!H1508,"AAAAAGvf/rE=")</f>
        <v>#VALUE!</v>
      </c>
      <c r="FW199" t="e">
        <f>AND(DATA!I1508,"AAAAAGvf/rI=")</f>
        <v>#VALUE!</v>
      </c>
      <c r="FX199" t="e">
        <f>AND(DATA!J1508,"AAAAAGvf/rM=")</f>
        <v>#VALUE!</v>
      </c>
      <c r="FY199" t="e">
        <f>AND(DATA!K1508,"AAAAAGvf/rQ=")</f>
        <v>#VALUE!</v>
      </c>
      <c r="FZ199" t="b">
        <f>AND(DATA!L1509,"AAAAAGvf/rU=")</f>
        <v>1</v>
      </c>
      <c r="GA199" t="b">
        <f>AND(DATA!M1509,"AAAAAGvf/rY=")</f>
        <v>1</v>
      </c>
      <c r="GB199" t="b">
        <f>AND(DATA!N1509,"AAAAAGvf/rc=")</f>
        <v>1</v>
      </c>
      <c r="GC199" t="b">
        <f>AND(DATA!O1509,"AAAAAGvf/rg=")</f>
        <v>1</v>
      </c>
      <c r="GD199" t="b">
        <f>AND(DATA!P1509,"AAAAAGvf/rk=")</f>
        <v>1</v>
      </c>
      <c r="GE199" t="b">
        <f>AND(DATA!Q1509,"AAAAAGvf/ro=")</f>
        <v>1</v>
      </c>
      <c r="GF199" t="b">
        <f>AND(DATA!R1509,"AAAAAGvf/rs=")</f>
        <v>1</v>
      </c>
      <c r="GG199" t="b">
        <f>AND(DATA!S1509,"AAAAAGvf/rw=")</f>
        <v>1</v>
      </c>
      <c r="GH199" t="b">
        <f>AND(DATA!T1509,"AAAAAGvf/r0=")</f>
        <v>1</v>
      </c>
      <c r="GI199">
        <f>IF(DATA!1509:1509,"AAAAAGvf/r4=",0)</f>
        <v>0</v>
      </c>
      <c r="GJ199" t="e">
        <f>AND(DATA!A1509,"AAAAAGvf/r8=")</f>
        <v>#VALUE!</v>
      </c>
      <c r="GK199" t="e">
        <f>AND(DATA!B1509,"AAAAAGvf/sA=")</f>
        <v>#VALUE!</v>
      </c>
      <c r="GL199" t="e">
        <f>AND(DATA!C1509,"AAAAAGvf/sE=")</f>
        <v>#VALUE!</v>
      </c>
      <c r="GM199" t="e">
        <f>AND(DATA!D1509,"AAAAAGvf/sI=")</f>
        <v>#VALUE!</v>
      </c>
      <c r="GN199" t="e">
        <f>AND(DATA!E1509,"AAAAAGvf/sM=")</f>
        <v>#VALUE!</v>
      </c>
      <c r="GO199" t="e">
        <f>AND(DATA!F1509,"AAAAAGvf/sQ=")</f>
        <v>#VALUE!</v>
      </c>
      <c r="GP199" t="e">
        <f>AND(DATA!G1509,"AAAAAGvf/sU=")</f>
        <v>#VALUE!</v>
      </c>
      <c r="GQ199" t="e">
        <f>AND(DATA!H1509,"AAAAAGvf/sY=")</f>
        <v>#VALUE!</v>
      </c>
      <c r="GR199" t="e">
        <f>AND(DATA!I1509,"AAAAAGvf/sc=")</f>
        <v>#VALUE!</v>
      </c>
      <c r="GS199" t="e">
        <f>AND(DATA!J1509,"AAAAAGvf/sg=")</f>
        <v>#VALUE!</v>
      </c>
      <c r="GT199" t="e">
        <f>AND(DATA!K1509,"AAAAAGvf/sk=")</f>
        <v>#VALUE!</v>
      </c>
      <c r="GU199" t="b">
        <f>AND(DATA!L1510,"AAAAAGvf/so=")</f>
        <v>1</v>
      </c>
      <c r="GV199" t="b">
        <f>AND(DATA!M1510,"AAAAAGvf/ss=")</f>
        <v>1</v>
      </c>
      <c r="GW199" t="b">
        <f>AND(DATA!N1510,"AAAAAGvf/sw=")</f>
        <v>1</v>
      </c>
      <c r="GX199" t="b">
        <f>AND(DATA!O1510,"AAAAAGvf/s0=")</f>
        <v>1</v>
      </c>
      <c r="GY199" t="b">
        <f>AND(DATA!P1510,"AAAAAGvf/s4=")</f>
        <v>1</v>
      </c>
      <c r="GZ199" t="b">
        <f>AND(DATA!Q1510,"AAAAAGvf/s8=")</f>
        <v>1</v>
      </c>
      <c r="HA199" t="b">
        <f>AND(DATA!R1510,"AAAAAGvf/tA=")</f>
        <v>1</v>
      </c>
      <c r="HB199" t="b">
        <f>AND(DATA!S1510,"AAAAAGvf/tE=")</f>
        <v>1</v>
      </c>
      <c r="HC199" t="b">
        <f>AND(DATA!T1510,"AAAAAGvf/tI=")</f>
        <v>1</v>
      </c>
      <c r="HD199">
        <f>IF(DATA!1510:1510,"AAAAAGvf/tM=",0)</f>
        <v>0</v>
      </c>
      <c r="HE199" t="e">
        <f>AND(DATA!A1510,"AAAAAGvf/tQ=")</f>
        <v>#VALUE!</v>
      </c>
      <c r="HF199" t="e">
        <f>AND(DATA!B1510,"AAAAAGvf/tU=")</f>
        <v>#VALUE!</v>
      </c>
      <c r="HG199" t="e">
        <f>AND(DATA!C1510,"AAAAAGvf/tY=")</f>
        <v>#VALUE!</v>
      </c>
      <c r="HH199" t="e">
        <f>AND(DATA!D1510,"AAAAAGvf/tc=")</f>
        <v>#VALUE!</v>
      </c>
      <c r="HI199" t="e">
        <f>AND(DATA!E1510,"AAAAAGvf/tg=")</f>
        <v>#VALUE!</v>
      </c>
      <c r="HJ199" t="e">
        <f>AND(DATA!F1510,"AAAAAGvf/tk=")</f>
        <v>#VALUE!</v>
      </c>
      <c r="HK199" t="e">
        <f>AND(DATA!G1510,"AAAAAGvf/to=")</f>
        <v>#VALUE!</v>
      </c>
      <c r="HL199" t="e">
        <f>AND(DATA!H1510,"AAAAAGvf/ts=")</f>
        <v>#VALUE!</v>
      </c>
      <c r="HM199" t="e">
        <f>AND(DATA!I1510,"AAAAAGvf/tw=")</f>
        <v>#VALUE!</v>
      </c>
      <c r="HN199" t="e">
        <f>AND(DATA!J1510,"AAAAAGvf/t0=")</f>
        <v>#VALUE!</v>
      </c>
      <c r="HO199" t="e">
        <f>AND(DATA!K1510,"AAAAAGvf/t4=")</f>
        <v>#VALUE!</v>
      </c>
      <c r="HP199" t="b">
        <f>AND(DATA!L1511,"AAAAAGvf/t8=")</f>
        <v>1</v>
      </c>
      <c r="HQ199" t="b">
        <f>AND(DATA!M1511,"AAAAAGvf/uA=")</f>
        <v>1</v>
      </c>
      <c r="HR199" t="b">
        <f>AND(DATA!N1511,"AAAAAGvf/uE=")</f>
        <v>1</v>
      </c>
      <c r="HS199" t="b">
        <f>AND(DATA!O1511,"AAAAAGvf/uI=")</f>
        <v>1</v>
      </c>
      <c r="HT199" t="b">
        <f>AND(DATA!P1511,"AAAAAGvf/uM=")</f>
        <v>1</v>
      </c>
      <c r="HU199" t="b">
        <f>AND(DATA!Q1511,"AAAAAGvf/uQ=")</f>
        <v>1</v>
      </c>
      <c r="HV199" t="b">
        <f>AND(DATA!R1511,"AAAAAGvf/uU=")</f>
        <v>1</v>
      </c>
      <c r="HW199" t="b">
        <f>AND(DATA!S1511,"AAAAAGvf/uY=")</f>
        <v>1</v>
      </c>
      <c r="HX199" t="b">
        <f>AND(DATA!T1511,"AAAAAGvf/uc=")</f>
        <v>1</v>
      </c>
      <c r="HY199">
        <f>IF(DATA!1511:1511,"AAAAAGvf/ug=",0)</f>
        <v>0</v>
      </c>
      <c r="HZ199" t="e">
        <f>AND(DATA!A1511,"AAAAAGvf/uk=")</f>
        <v>#VALUE!</v>
      </c>
      <c r="IA199" t="e">
        <f>AND(DATA!B1511,"AAAAAGvf/uo=")</f>
        <v>#VALUE!</v>
      </c>
      <c r="IB199" t="e">
        <f>AND(DATA!C1511,"AAAAAGvf/us=")</f>
        <v>#VALUE!</v>
      </c>
      <c r="IC199" t="e">
        <f>AND(DATA!D1511,"AAAAAGvf/uw=")</f>
        <v>#VALUE!</v>
      </c>
      <c r="ID199" t="e">
        <f>AND(DATA!E1511,"AAAAAGvf/u0=")</f>
        <v>#VALUE!</v>
      </c>
      <c r="IE199" t="e">
        <f>AND(DATA!F1511,"AAAAAGvf/u4=")</f>
        <v>#VALUE!</v>
      </c>
      <c r="IF199" t="e">
        <f>AND(DATA!G1511,"AAAAAGvf/u8=")</f>
        <v>#VALUE!</v>
      </c>
      <c r="IG199" t="e">
        <f>AND(DATA!H1511,"AAAAAGvf/vA=")</f>
        <v>#VALUE!</v>
      </c>
      <c r="IH199" t="e">
        <f>AND(DATA!I1511,"AAAAAGvf/vE=")</f>
        <v>#VALUE!</v>
      </c>
      <c r="II199" t="e">
        <f>AND(DATA!J1511,"AAAAAGvf/vI=")</f>
        <v>#VALUE!</v>
      </c>
      <c r="IJ199" t="e">
        <f>AND(DATA!K1511,"AAAAAGvf/vM=")</f>
        <v>#VALUE!</v>
      </c>
      <c r="IK199" t="b">
        <f>AND(DATA!L1512,"AAAAAGvf/vQ=")</f>
        <v>1</v>
      </c>
      <c r="IL199" t="b">
        <f>AND(DATA!M1512,"AAAAAGvf/vU=")</f>
        <v>1</v>
      </c>
      <c r="IM199" t="b">
        <f>AND(DATA!N1512,"AAAAAGvf/vY=")</f>
        <v>1</v>
      </c>
      <c r="IN199" t="b">
        <f>AND(DATA!O1512,"AAAAAGvf/vc=")</f>
        <v>1</v>
      </c>
      <c r="IO199" t="b">
        <f>AND(DATA!P1512,"AAAAAGvf/vg=")</f>
        <v>1</v>
      </c>
      <c r="IP199" t="b">
        <f>AND(DATA!Q1512,"AAAAAGvf/vk=")</f>
        <v>1</v>
      </c>
      <c r="IQ199" t="b">
        <f>AND(DATA!R1512,"AAAAAGvf/vo=")</f>
        <v>1</v>
      </c>
      <c r="IR199" t="b">
        <f>AND(DATA!S1512,"AAAAAGvf/vs=")</f>
        <v>1</v>
      </c>
      <c r="IS199" t="b">
        <f>AND(DATA!T1512,"AAAAAGvf/vw=")</f>
        <v>1</v>
      </c>
      <c r="IT199">
        <f>IF(DATA!1512:1512,"AAAAAGvf/v0=",0)</f>
        <v>0</v>
      </c>
      <c r="IU199" t="e">
        <f>AND(DATA!A1512,"AAAAAGvf/v4=")</f>
        <v>#VALUE!</v>
      </c>
      <c r="IV199" t="e">
        <f>AND(DATA!B1512,"AAAAAGvf/v8=")</f>
        <v>#VALUE!</v>
      </c>
    </row>
    <row r="200" spans="1:256" x14ac:dyDescent="0.25">
      <c r="A200" t="e">
        <f>AND(DATA!C1512,"AAAAAH9FpwA=")</f>
        <v>#VALUE!</v>
      </c>
      <c r="B200" t="e">
        <f>AND(DATA!D1512,"AAAAAH9FpwE=")</f>
        <v>#VALUE!</v>
      </c>
      <c r="C200" t="e">
        <f>AND(DATA!E1512,"AAAAAH9FpwI=")</f>
        <v>#VALUE!</v>
      </c>
      <c r="D200" t="e">
        <f>AND(DATA!F1512,"AAAAAH9FpwM=")</f>
        <v>#VALUE!</v>
      </c>
      <c r="E200" t="e">
        <f>AND(DATA!G1512,"AAAAAH9FpwQ=")</f>
        <v>#VALUE!</v>
      </c>
      <c r="F200" t="e">
        <f>AND(DATA!H1512,"AAAAAH9FpwU=")</f>
        <v>#VALUE!</v>
      </c>
      <c r="G200" t="e">
        <f>AND(DATA!I1512,"AAAAAH9FpwY=")</f>
        <v>#VALUE!</v>
      </c>
      <c r="H200" t="e">
        <f>AND(DATA!J1512,"AAAAAH9Fpwc=")</f>
        <v>#VALUE!</v>
      </c>
      <c r="I200" t="e">
        <f>AND(DATA!K1512,"AAAAAH9Fpwg=")</f>
        <v>#VALUE!</v>
      </c>
      <c r="J200" t="b">
        <f>AND(DATA!L1513,"AAAAAH9Fpwk=")</f>
        <v>1</v>
      </c>
      <c r="K200" t="b">
        <f>AND(DATA!M1513,"AAAAAH9Fpwo=")</f>
        <v>1</v>
      </c>
      <c r="L200" t="b">
        <f>AND(DATA!N1513,"AAAAAH9Fpws=")</f>
        <v>1</v>
      </c>
      <c r="M200" t="b">
        <f>AND(DATA!O1513,"AAAAAH9Fpww=")</f>
        <v>1</v>
      </c>
      <c r="N200" t="b">
        <f>AND(DATA!P1513,"AAAAAH9Fpw0=")</f>
        <v>1</v>
      </c>
      <c r="O200" t="b">
        <f>AND(DATA!Q1513,"AAAAAH9Fpw4=")</f>
        <v>1</v>
      </c>
      <c r="P200" t="b">
        <f>AND(DATA!R1513,"AAAAAH9Fpw8=")</f>
        <v>1</v>
      </c>
      <c r="Q200" t="b">
        <f>AND(DATA!S1513,"AAAAAH9FpxA=")</f>
        <v>1</v>
      </c>
      <c r="R200" t="b">
        <f>AND(DATA!T1513,"AAAAAH9FpxE=")</f>
        <v>1</v>
      </c>
      <c r="S200" t="str">
        <f>IF(DATA!1513:1513,"AAAAAH9FpxI=",0)</f>
        <v>AAAAAH9FpxI=</v>
      </c>
      <c r="T200" t="e">
        <f>AND(DATA!A1513,"AAAAAH9FpxM=")</f>
        <v>#VALUE!</v>
      </c>
      <c r="U200" t="e">
        <f>AND(DATA!B1513,"AAAAAH9FpxQ=")</f>
        <v>#VALUE!</v>
      </c>
      <c r="V200" t="e">
        <f>AND(DATA!C1513,"AAAAAH9FpxU=")</f>
        <v>#VALUE!</v>
      </c>
      <c r="W200" t="e">
        <f>AND(DATA!D1513,"AAAAAH9FpxY=")</f>
        <v>#VALUE!</v>
      </c>
      <c r="X200" t="e">
        <f>AND(DATA!E1513,"AAAAAH9Fpxc=")</f>
        <v>#VALUE!</v>
      </c>
      <c r="Y200" t="e">
        <f>AND(DATA!F1513,"AAAAAH9Fpxg=")</f>
        <v>#VALUE!</v>
      </c>
      <c r="Z200" t="e">
        <f>AND(DATA!G1513,"AAAAAH9Fpxk=")</f>
        <v>#VALUE!</v>
      </c>
      <c r="AA200" t="e">
        <f>AND(DATA!H1513,"AAAAAH9Fpxo=")</f>
        <v>#VALUE!</v>
      </c>
      <c r="AB200" t="e">
        <f>AND(DATA!I1513,"AAAAAH9Fpxs=")</f>
        <v>#VALUE!</v>
      </c>
      <c r="AC200" t="e">
        <f>AND(DATA!J1513,"AAAAAH9Fpxw=")</f>
        <v>#VALUE!</v>
      </c>
      <c r="AD200" t="e">
        <f>AND(DATA!K1513,"AAAAAH9Fpx0=")</f>
        <v>#VALUE!</v>
      </c>
      <c r="AE200" t="b">
        <f>AND(DATA!L1514,"AAAAAH9Fpx4=")</f>
        <v>1</v>
      </c>
      <c r="AF200" t="b">
        <f>AND(DATA!M1514,"AAAAAH9Fpx8=")</f>
        <v>1</v>
      </c>
      <c r="AG200" t="b">
        <f>AND(DATA!N1514,"AAAAAH9FpyA=")</f>
        <v>1</v>
      </c>
      <c r="AH200" t="b">
        <f>AND(DATA!O1514,"AAAAAH9FpyE=")</f>
        <v>1</v>
      </c>
      <c r="AI200" t="b">
        <f>AND(DATA!P1514,"AAAAAH9FpyI=")</f>
        <v>1</v>
      </c>
      <c r="AJ200" t="b">
        <f>AND(DATA!Q1514,"AAAAAH9FpyM=")</f>
        <v>1</v>
      </c>
      <c r="AK200" t="b">
        <f>AND(DATA!R1514,"AAAAAH9FpyQ=")</f>
        <v>1</v>
      </c>
      <c r="AL200" t="b">
        <f>AND(DATA!S1514,"AAAAAH9FpyU=")</f>
        <v>1</v>
      </c>
      <c r="AM200" t="b">
        <f>AND(DATA!T1514,"AAAAAH9FpyY=")</f>
        <v>1</v>
      </c>
      <c r="AN200">
        <f>IF(DATA!1514:1514,"AAAAAH9Fpyc=",0)</f>
        <v>0</v>
      </c>
      <c r="AO200" t="e">
        <f>AND(DATA!A1514,"AAAAAH9Fpyg=")</f>
        <v>#VALUE!</v>
      </c>
      <c r="AP200" t="e">
        <f>AND(DATA!B1514,"AAAAAH9Fpyk=")</f>
        <v>#VALUE!</v>
      </c>
      <c r="AQ200" t="e">
        <f>AND(DATA!C1514,"AAAAAH9Fpyo=")</f>
        <v>#VALUE!</v>
      </c>
      <c r="AR200" t="e">
        <f>AND(DATA!D1514,"AAAAAH9Fpys=")</f>
        <v>#VALUE!</v>
      </c>
      <c r="AS200" t="e">
        <f>AND(DATA!E1514,"AAAAAH9Fpyw=")</f>
        <v>#VALUE!</v>
      </c>
      <c r="AT200" t="e">
        <f>AND(DATA!F1514,"AAAAAH9Fpy0=")</f>
        <v>#VALUE!</v>
      </c>
      <c r="AU200" t="e">
        <f>AND(DATA!G1514,"AAAAAH9Fpy4=")</f>
        <v>#VALUE!</v>
      </c>
      <c r="AV200" t="e">
        <f>AND(DATA!H1514,"AAAAAH9Fpy8=")</f>
        <v>#VALUE!</v>
      </c>
      <c r="AW200" t="e">
        <f>AND(DATA!I1514,"AAAAAH9FpzA=")</f>
        <v>#VALUE!</v>
      </c>
      <c r="AX200" t="e">
        <f>AND(DATA!J1514,"AAAAAH9FpzE=")</f>
        <v>#VALUE!</v>
      </c>
      <c r="AY200" t="e">
        <f>AND(DATA!K1514,"AAAAAH9FpzI=")</f>
        <v>#VALUE!</v>
      </c>
      <c r="AZ200" t="b">
        <f>AND(DATA!L1515,"AAAAAH9FpzM=")</f>
        <v>1</v>
      </c>
      <c r="BA200" t="b">
        <f>AND(DATA!M1515,"AAAAAH9FpzQ=")</f>
        <v>1</v>
      </c>
      <c r="BB200" t="b">
        <f>AND(DATA!N1515,"AAAAAH9FpzU=")</f>
        <v>1</v>
      </c>
      <c r="BC200" t="b">
        <f>AND(DATA!O1515,"AAAAAH9FpzY=")</f>
        <v>1</v>
      </c>
      <c r="BD200" t="b">
        <f>AND(DATA!P1515,"AAAAAH9Fpzc=")</f>
        <v>1</v>
      </c>
      <c r="BE200" t="b">
        <f>AND(DATA!Q1515,"AAAAAH9Fpzg=")</f>
        <v>1</v>
      </c>
      <c r="BF200" t="b">
        <f>AND(DATA!R1515,"AAAAAH9Fpzk=")</f>
        <v>1</v>
      </c>
      <c r="BG200" t="b">
        <f>AND(DATA!S1515,"AAAAAH9Fpzo=")</f>
        <v>1</v>
      </c>
      <c r="BH200" t="b">
        <f>AND(DATA!T1515,"AAAAAH9Fpzs=")</f>
        <v>1</v>
      </c>
      <c r="BI200">
        <f>IF(DATA!1515:1515,"AAAAAH9Fpzw=",0)</f>
        <v>0</v>
      </c>
      <c r="BJ200" t="e">
        <f>AND(DATA!A1515,"AAAAAH9Fpz0=")</f>
        <v>#VALUE!</v>
      </c>
      <c r="BK200" t="e">
        <f>AND(DATA!B1515,"AAAAAH9Fpz4=")</f>
        <v>#VALUE!</v>
      </c>
      <c r="BL200" t="e">
        <f>AND(DATA!C1515,"AAAAAH9Fpz8=")</f>
        <v>#VALUE!</v>
      </c>
      <c r="BM200" t="e">
        <f>AND(DATA!D1515,"AAAAAH9Fp0A=")</f>
        <v>#VALUE!</v>
      </c>
      <c r="BN200" t="e">
        <f>AND(DATA!E1515,"AAAAAH9Fp0E=")</f>
        <v>#VALUE!</v>
      </c>
      <c r="BO200" t="e">
        <f>AND(DATA!F1515,"AAAAAH9Fp0I=")</f>
        <v>#VALUE!</v>
      </c>
      <c r="BP200" t="e">
        <f>AND(DATA!G1515,"AAAAAH9Fp0M=")</f>
        <v>#VALUE!</v>
      </c>
      <c r="BQ200" t="e">
        <f>AND(DATA!H1515,"AAAAAH9Fp0Q=")</f>
        <v>#VALUE!</v>
      </c>
      <c r="BR200" t="e">
        <f>AND(DATA!I1515,"AAAAAH9Fp0U=")</f>
        <v>#VALUE!</v>
      </c>
      <c r="BS200" t="e">
        <f>AND(DATA!J1515,"AAAAAH9Fp0Y=")</f>
        <v>#VALUE!</v>
      </c>
      <c r="BT200" t="e">
        <f>AND(DATA!K1515,"AAAAAH9Fp0c=")</f>
        <v>#VALUE!</v>
      </c>
      <c r="BU200" t="b">
        <f>AND(DATA!L1516,"AAAAAH9Fp0g=")</f>
        <v>1</v>
      </c>
      <c r="BV200" t="b">
        <f>AND(DATA!M1516,"AAAAAH9Fp0k=")</f>
        <v>1</v>
      </c>
      <c r="BW200" t="b">
        <f>AND(DATA!N1516,"AAAAAH9Fp0o=")</f>
        <v>1</v>
      </c>
      <c r="BX200" t="b">
        <f>AND(DATA!O1516,"AAAAAH9Fp0s=")</f>
        <v>1</v>
      </c>
      <c r="BY200" t="b">
        <f>AND(DATA!P1516,"AAAAAH9Fp0w=")</f>
        <v>1</v>
      </c>
      <c r="BZ200" t="b">
        <f>AND(DATA!Q1516,"AAAAAH9Fp00=")</f>
        <v>1</v>
      </c>
      <c r="CA200" t="b">
        <f>AND(DATA!R1516,"AAAAAH9Fp04=")</f>
        <v>1</v>
      </c>
      <c r="CB200" t="b">
        <f>AND(DATA!S1516,"AAAAAH9Fp08=")</f>
        <v>1</v>
      </c>
      <c r="CC200" t="b">
        <f>AND(DATA!T1516,"AAAAAH9Fp1A=")</f>
        <v>1</v>
      </c>
      <c r="CD200">
        <f>IF(DATA!1516:1516,"AAAAAH9Fp1E=",0)</f>
        <v>0</v>
      </c>
      <c r="CE200" t="e">
        <f>AND(DATA!A1516,"AAAAAH9Fp1I=")</f>
        <v>#VALUE!</v>
      </c>
      <c r="CF200" t="e">
        <f>AND(DATA!B1516,"AAAAAH9Fp1M=")</f>
        <v>#VALUE!</v>
      </c>
      <c r="CG200" t="e">
        <f>AND(DATA!C1516,"AAAAAH9Fp1Q=")</f>
        <v>#VALUE!</v>
      </c>
      <c r="CH200" t="e">
        <f>AND(DATA!D1516,"AAAAAH9Fp1U=")</f>
        <v>#VALUE!</v>
      </c>
      <c r="CI200" t="e">
        <f>AND(DATA!E1516,"AAAAAH9Fp1Y=")</f>
        <v>#VALUE!</v>
      </c>
      <c r="CJ200" t="e">
        <f>AND(DATA!F1516,"AAAAAH9Fp1c=")</f>
        <v>#VALUE!</v>
      </c>
      <c r="CK200" t="e">
        <f>AND(DATA!G1516,"AAAAAH9Fp1g=")</f>
        <v>#VALUE!</v>
      </c>
      <c r="CL200" t="e">
        <f>AND(DATA!H1516,"AAAAAH9Fp1k=")</f>
        <v>#VALUE!</v>
      </c>
      <c r="CM200" t="e">
        <f>AND(DATA!I1516,"AAAAAH9Fp1o=")</f>
        <v>#VALUE!</v>
      </c>
      <c r="CN200" t="e">
        <f>AND(DATA!J1516,"AAAAAH9Fp1s=")</f>
        <v>#VALUE!</v>
      </c>
      <c r="CO200" t="e">
        <f>AND(DATA!K1516,"AAAAAH9Fp1w=")</f>
        <v>#VALUE!</v>
      </c>
      <c r="CP200" t="b">
        <f>AND(DATA!L1517,"AAAAAH9Fp10=")</f>
        <v>1</v>
      </c>
      <c r="CQ200" t="b">
        <f>AND(DATA!M1517,"AAAAAH9Fp14=")</f>
        <v>1</v>
      </c>
      <c r="CR200" t="b">
        <f>AND(DATA!N1517,"AAAAAH9Fp18=")</f>
        <v>1</v>
      </c>
      <c r="CS200" t="b">
        <f>AND(DATA!O1517,"AAAAAH9Fp2A=")</f>
        <v>1</v>
      </c>
      <c r="CT200" t="b">
        <f>AND(DATA!P1517,"AAAAAH9Fp2E=")</f>
        <v>1</v>
      </c>
      <c r="CU200" t="b">
        <f>AND(DATA!Q1517,"AAAAAH9Fp2I=")</f>
        <v>1</v>
      </c>
      <c r="CV200" t="b">
        <f>AND(DATA!R1517,"AAAAAH9Fp2M=")</f>
        <v>1</v>
      </c>
      <c r="CW200" t="b">
        <f>AND(DATA!S1517,"AAAAAH9Fp2Q=")</f>
        <v>1</v>
      </c>
      <c r="CX200" t="b">
        <f>AND(DATA!T1517,"AAAAAH9Fp2U=")</f>
        <v>1</v>
      </c>
      <c r="CY200">
        <f>IF(DATA!1517:1517,"AAAAAH9Fp2Y=",0)</f>
        <v>0</v>
      </c>
      <c r="CZ200" t="e">
        <f>AND(DATA!A1517,"AAAAAH9Fp2c=")</f>
        <v>#VALUE!</v>
      </c>
      <c r="DA200" t="e">
        <f>AND(DATA!B1517,"AAAAAH9Fp2g=")</f>
        <v>#VALUE!</v>
      </c>
      <c r="DB200" t="e">
        <f>AND(DATA!C1517,"AAAAAH9Fp2k=")</f>
        <v>#VALUE!</v>
      </c>
      <c r="DC200" t="e">
        <f>AND(DATA!D1517,"AAAAAH9Fp2o=")</f>
        <v>#VALUE!</v>
      </c>
      <c r="DD200" t="e">
        <f>AND(DATA!E1517,"AAAAAH9Fp2s=")</f>
        <v>#VALUE!</v>
      </c>
      <c r="DE200" t="e">
        <f>AND(DATA!F1517,"AAAAAH9Fp2w=")</f>
        <v>#VALUE!</v>
      </c>
      <c r="DF200" t="e">
        <f>AND(DATA!G1517,"AAAAAH9Fp20=")</f>
        <v>#VALUE!</v>
      </c>
      <c r="DG200" t="e">
        <f>AND(DATA!H1517,"AAAAAH9Fp24=")</f>
        <v>#VALUE!</v>
      </c>
      <c r="DH200" t="e">
        <f>AND(DATA!I1517,"AAAAAH9Fp28=")</f>
        <v>#VALUE!</v>
      </c>
      <c r="DI200" t="e">
        <f>AND(DATA!J1517,"AAAAAH9Fp3A=")</f>
        <v>#VALUE!</v>
      </c>
      <c r="DJ200" t="e">
        <f>AND(DATA!K1517,"AAAAAH9Fp3E=")</f>
        <v>#VALUE!</v>
      </c>
      <c r="DK200" t="b">
        <f>AND(DATA!L1518,"AAAAAH9Fp3I=")</f>
        <v>1</v>
      </c>
      <c r="DL200" t="b">
        <f>AND(DATA!M1518,"AAAAAH9Fp3M=")</f>
        <v>1</v>
      </c>
      <c r="DM200" t="b">
        <f>AND(DATA!N1518,"AAAAAH9Fp3Q=")</f>
        <v>1</v>
      </c>
      <c r="DN200" t="b">
        <f>AND(DATA!O1518,"AAAAAH9Fp3U=")</f>
        <v>1</v>
      </c>
      <c r="DO200" t="b">
        <f>AND(DATA!P1518,"AAAAAH9Fp3Y=")</f>
        <v>1</v>
      </c>
      <c r="DP200" t="b">
        <f>AND(DATA!Q1518,"AAAAAH9Fp3c=")</f>
        <v>1</v>
      </c>
      <c r="DQ200" t="b">
        <f>AND(DATA!R1518,"AAAAAH9Fp3g=")</f>
        <v>1</v>
      </c>
      <c r="DR200" t="b">
        <f>AND(DATA!S1518,"AAAAAH9Fp3k=")</f>
        <v>1</v>
      </c>
      <c r="DS200" t="b">
        <f>AND(DATA!T1518,"AAAAAH9Fp3o=")</f>
        <v>1</v>
      </c>
      <c r="DT200">
        <f>IF(DATA!1518:1518,"AAAAAH9Fp3s=",0)</f>
        <v>0</v>
      </c>
      <c r="DU200" t="e">
        <f>AND(DATA!A1518,"AAAAAH9Fp3w=")</f>
        <v>#VALUE!</v>
      </c>
      <c r="DV200" t="e">
        <f>AND(DATA!B1518,"AAAAAH9Fp30=")</f>
        <v>#VALUE!</v>
      </c>
      <c r="DW200" t="e">
        <f>AND(DATA!C1518,"AAAAAH9Fp34=")</f>
        <v>#VALUE!</v>
      </c>
      <c r="DX200" t="e">
        <f>AND(DATA!D1518,"AAAAAH9Fp38=")</f>
        <v>#VALUE!</v>
      </c>
      <c r="DY200" t="e">
        <f>AND(DATA!E1518,"AAAAAH9Fp4A=")</f>
        <v>#VALUE!</v>
      </c>
      <c r="DZ200" t="e">
        <f>AND(DATA!F1518,"AAAAAH9Fp4E=")</f>
        <v>#VALUE!</v>
      </c>
      <c r="EA200" t="e">
        <f>AND(DATA!G1518,"AAAAAH9Fp4I=")</f>
        <v>#VALUE!</v>
      </c>
      <c r="EB200" t="e">
        <f>AND(DATA!H1518,"AAAAAH9Fp4M=")</f>
        <v>#VALUE!</v>
      </c>
      <c r="EC200" t="e">
        <f>AND(DATA!I1518,"AAAAAH9Fp4Q=")</f>
        <v>#VALUE!</v>
      </c>
      <c r="ED200" t="e">
        <f>AND(DATA!J1518,"AAAAAH9Fp4U=")</f>
        <v>#VALUE!</v>
      </c>
      <c r="EE200" t="e">
        <f>AND(DATA!K1518,"AAAAAH9Fp4Y=")</f>
        <v>#VALUE!</v>
      </c>
      <c r="EF200" t="b">
        <f>AND(DATA!L1519,"AAAAAH9Fp4c=")</f>
        <v>1</v>
      </c>
      <c r="EG200" t="b">
        <f>AND(DATA!M1519,"AAAAAH9Fp4g=")</f>
        <v>1</v>
      </c>
      <c r="EH200" t="b">
        <f>AND(DATA!N1519,"AAAAAH9Fp4k=")</f>
        <v>1</v>
      </c>
      <c r="EI200" t="b">
        <f>AND(DATA!O1519,"AAAAAH9Fp4o=")</f>
        <v>1</v>
      </c>
      <c r="EJ200" t="b">
        <f>AND(DATA!P1519,"AAAAAH9Fp4s=")</f>
        <v>1</v>
      </c>
      <c r="EK200" t="b">
        <f>AND(DATA!Q1519,"AAAAAH9Fp4w=")</f>
        <v>1</v>
      </c>
      <c r="EL200" t="b">
        <f>AND(DATA!R1519,"AAAAAH9Fp40=")</f>
        <v>1</v>
      </c>
      <c r="EM200" t="b">
        <f>AND(DATA!S1519,"AAAAAH9Fp44=")</f>
        <v>1</v>
      </c>
      <c r="EN200" t="b">
        <f>AND(DATA!T1519,"AAAAAH9Fp48=")</f>
        <v>1</v>
      </c>
      <c r="EO200">
        <f>IF(DATA!1519:1519,"AAAAAH9Fp5A=",0)</f>
        <v>0</v>
      </c>
      <c r="EP200" t="e">
        <f>AND(DATA!A1519,"AAAAAH9Fp5E=")</f>
        <v>#VALUE!</v>
      </c>
      <c r="EQ200" t="e">
        <f>AND(DATA!B1519,"AAAAAH9Fp5I=")</f>
        <v>#VALUE!</v>
      </c>
      <c r="ER200" t="e">
        <f>AND(DATA!C1519,"AAAAAH9Fp5M=")</f>
        <v>#VALUE!</v>
      </c>
      <c r="ES200" t="e">
        <f>AND(DATA!D1519,"AAAAAH9Fp5Q=")</f>
        <v>#VALUE!</v>
      </c>
      <c r="ET200" t="e">
        <f>AND(DATA!E1519,"AAAAAH9Fp5U=")</f>
        <v>#VALUE!</v>
      </c>
      <c r="EU200" t="e">
        <f>AND(DATA!F1519,"AAAAAH9Fp5Y=")</f>
        <v>#VALUE!</v>
      </c>
      <c r="EV200" t="e">
        <f>AND(DATA!G1519,"AAAAAH9Fp5c=")</f>
        <v>#VALUE!</v>
      </c>
      <c r="EW200" t="e">
        <f>AND(DATA!H1519,"AAAAAH9Fp5g=")</f>
        <v>#VALUE!</v>
      </c>
      <c r="EX200" t="e">
        <f>AND(DATA!I1519,"AAAAAH9Fp5k=")</f>
        <v>#VALUE!</v>
      </c>
      <c r="EY200" t="e">
        <f>AND(DATA!J1519,"AAAAAH9Fp5o=")</f>
        <v>#VALUE!</v>
      </c>
      <c r="EZ200" t="e">
        <f>AND(DATA!K1519,"AAAAAH9Fp5s=")</f>
        <v>#VALUE!</v>
      </c>
      <c r="FA200" t="b">
        <f>AND(DATA!L1520,"AAAAAH9Fp5w=")</f>
        <v>1</v>
      </c>
      <c r="FB200" t="b">
        <f>AND(DATA!M1520,"AAAAAH9Fp50=")</f>
        <v>1</v>
      </c>
      <c r="FC200" t="b">
        <f>AND(DATA!N1520,"AAAAAH9Fp54=")</f>
        <v>1</v>
      </c>
      <c r="FD200" t="b">
        <f>AND(DATA!O1520,"AAAAAH9Fp58=")</f>
        <v>1</v>
      </c>
      <c r="FE200" t="b">
        <f>AND(DATA!P1520,"AAAAAH9Fp6A=")</f>
        <v>1</v>
      </c>
      <c r="FF200" t="b">
        <f>AND(DATA!Q1520,"AAAAAH9Fp6E=")</f>
        <v>1</v>
      </c>
      <c r="FG200" t="b">
        <f>AND(DATA!R1520,"AAAAAH9Fp6I=")</f>
        <v>1</v>
      </c>
      <c r="FH200" t="b">
        <f>AND(DATA!S1520,"AAAAAH9Fp6M=")</f>
        <v>1</v>
      </c>
      <c r="FI200" t="b">
        <f>AND(DATA!T1520,"AAAAAH9Fp6Q=")</f>
        <v>1</v>
      </c>
      <c r="FJ200">
        <f>IF(DATA!1520:1520,"AAAAAH9Fp6U=",0)</f>
        <v>0</v>
      </c>
      <c r="FK200" t="e">
        <f>AND(DATA!A1520,"AAAAAH9Fp6Y=")</f>
        <v>#VALUE!</v>
      </c>
      <c r="FL200" t="e">
        <f>AND(DATA!B1520,"AAAAAH9Fp6c=")</f>
        <v>#VALUE!</v>
      </c>
      <c r="FM200" t="e">
        <f>AND(DATA!C1520,"AAAAAH9Fp6g=")</f>
        <v>#VALUE!</v>
      </c>
      <c r="FN200" t="e">
        <f>AND(DATA!D1520,"AAAAAH9Fp6k=")</f>
        <v>#VALUE!</v>
      </c>
      <c r="FO200" t="e">
        <f>AND(DATA!E1520,"AAAAAH9Fp6o=")</f>
        <v>#VALUE!</v>
      </c>
      <c r="FP200" t="e">
        <f>AND(DATA!F1520,"AAAAAH9Fp6s=")</f>
        <v>#VALUE!</v>
      </c>
      <c r="FQ200" t="e">
        <f>AND(DATA!G1520,"AAAAAH9Fp6w=")</f>
        <v>#VALUE!</v>
      </c>
      <c r="FR200" t="e">
        <f>AND(DATA!H1520,"AAAAAH9Fp60=")</f>
        <v>#VALUE!</v>
      </c>
      <c r="FS200" t="e">
        <f>AND(DATA!I1520,"AAAAAH9Fp64=")</f>
        <v>#VALUE!</v>
      </c>
      <c r="FT200" t="e">
        <f>AND(DATA!J1520,"AAAAAH9Fp68=")</f>
        <v>#VALUE!</v>
      </c>
      <c r="FU200" t="e">
        <f>AND(DATA!K1520,"AAAAAH9Fp7A=")</f>
        <v>#VALUE!</v>
      </c>
      <c r="FV200" t="b">
        <f>AND(DATA!L1521,"AAAAAH9Fp7E=")</f>
        <v>1</v>
      </c>
      <c r="FW200" t="b">
        <f>AND(DATA!M1521,"AAAAAH9Fp7I=")</f>
        <v>1</v>
      </c>
      <c r="FX200" t="b">
        <f>AND(DATA!N1521,"AAAAAH9Fp7M=")</f>
        <v>1</v>
      </c>
      <c r="FY200" t="b">
        <f>AND(DATA!O1521,"AAAAAH9Fp7Q=")</f>
        <v>1</v>
      </c>
      <c r="FZ200" t="b">
        <f>AND(DATA!P1521,"AAAAAH9Fp7U=")</f>
        <v>1</v>
      </c>
      <c r="GA200" t="b">
        <f>AND(DATA!Q1521,"AAAAAH9Fp7Y=")</f>
        <v>1</v>
      </c>
      <c r="GB200" t="b">
        <f>AND(DATA!R1521,"AAAAAH9Fp7c=")</f>
        <v>1</v>
      </c>
      <c r="GC200" t="b">
        <f>AND(DATA!S1521,"AAAAAH9Fp7g=")</f>
        <v>1</v>
      </c>
      <c r="GD200" t="b">
        <f>AND(DATA!T1521,"AAAAAH9Fp7k=")</f>
        <v>1</v>
      </c>
      <c r="GE200">
        <f>IF(DATA!1521:1521,"AAAAAH9Fp7o=",0)</f>
        <v>0</v>
      </c>
      <c r="GF200" t="e">
        <f>AND(DATA!A1521,"AAAAAH9Fp7s=")</f>
        <v>#VALUE!</v>
      </c>
      <c r="GG200" t="e">
        <f>AND(DATA!B1521,"AAAAAH9Fp7w=")</f>
        <v>#VALUE!</v>
      </c>
      <c r="GH200" t="e">
        <f>AND(DATA!C1521,"AAAAAH9Fp70=")</f>
        <v>#VALUE!</v>
      </c>
      <c r="GI200" t="e">
        <f>AND(DATA!D1521,"AAAAAH9Fp74=")</f>
        <v>#VALUE!</v>
      </c>
      <c r="GJ200" t="e">
        <f>AND(DATA!E1521,"AAAAAH9Fp78=")</f>
        <v>#VALUE!</v>
      </c>
      <c r="GK200" t="e">
        <f>AND(DATA!F1521,"AAAAAH9Fp8A=")</f>
        <v>#VALUE!</v>
      </c>
      <c r="GL200" t="e">
        <f>AND(DATA!G1521,"AAAAAH9Fp8E=")</f>
        <v>#VALUE!</v>
      </c>
      <c r="GM200" t="e">
        <f>AND(DATA!H1521,"AAAAAH9Fp8I=")</f>
        <v>#VALUE!</v>
      </c>
      <c r="GN200" t="e">
        <f>AND(DATA!I1521,"AAAAAH9Fp8M=")</f>
        <v>#VALUE!</v>
      </c>
      <c r="GO200" t="e">
        <f>AND(DATA!J1521,"AAAAAH9Fp8Q=")</f>
        <v>#VALUE!</v>
      </c>
      <c r="GP200" t="e">
        <f>AND(DATA!K1521,"AAAAAH9Fp8U=")</f>
        <v>#VALUE!</v>
      </c>
      <c r="GQ200" t="b">
        <f>AND(DATA!L1522,"AAAAAH9Fp8Y=")</f>
        <v>1</v>
      </c>
      <c r="GR200" t="b">
        <f>AND(DATA!M1522,"AAAAAH9Fp8c=")</f>
        <v>1</v>
      </c>
      <c r="GS200" t="b">
        <f>AND(DATA!N1522,"AAAAAH9Fp8g=")</f>
        <v>1</v>
      </c>
      <c r="GT200" t="b">
        <f>AND(DATA!O1522,"AAAAAH9Fp8k=")</f>
        <v>1</v>
      </c>
      <c r="GU200" t="b">
        <f>AND(DATA!P1522,"AAAAAH9Fp8o=")</f>
        <v>1</v>
      </c>
      <c r="GV200" t="b">
        <f>AND(DATA!Q1522,"AAAAAH9Fp8s=")</f>
        <v>1</v>
      </c>
      <c r="GW200" t="b">
        <f>AND(DATA!R1522,"AAAAAH9Fp8w=")</f>
        <v>1</v>
      </c>
      <c r="GX200" t="b">
        <f>AND(DATA!S1522,"AAAAAH9Fp80=")</f>
        <v>1</v>
      </c>
      <c r="GY200" t="b">
        <f>AND(DATA!T1522,"AAAAAH9Fp84=")</f>
        <v>1</v>
      </c>
      <c r="GZ200">
        <f>IF(DATA!1522:1522,"AAAAAH9Fp88=",0)</f>
        <v>0</v>
      </c>
      <c r="HA200" t="e">
        <f>AND(DATA!A1522,"AAAAAH9Fp9A=")</f>
        <v>#VALUE!</v>
      </c>
      <c r="HB200" t="e">
        <f>AND(DATA!B1522,"AAAAAH9Fp9E=")</f>
        <v>#VALUE!</v>
      </c>
      <c r="HC200" t="e">
        <f>AND(DATA!C1522,"AAAAAH9Fp9I=")</f>
        <v>#VALUE!</v>
      </c>
      <c r="HD200" t="e">
        <f>AND(DATA!D1522,"AAAAAH9Fp9M=")</f>
        <v>#VALUE!</v>
      </c>
      <c r="HE200" t="e">
        <f>AND(DATA!E1522,"AAAAAH9Fp9Q=")</f>
        <v>#VALUE!</v>
      </c>
      <c r="HF200" t="e">
        <f>AND(DATA!F1522,"AAAAAH9Fp9U=")</f>
        <v>#VALUE!</v>
      </c>
      <c r="HG200" t="e">
        <f>AND(DATA!G1522,"AAAAAH9Fp9Y=")</f>
        <v>#VALUE!</v>
      </c>
      <c r="HH200" t="e">
        <f>AND(DATA!H1522,"AAAAAH9Fp9c=")</f>
        <v>#VALUE!</v>
      </c>
      <c r="HI200" t="e">
        <f>AND(DATA!I1522,"AAAAAH9Fp9g=")</f>
        <v>#VALUE!</v>
      </c>
      <c r="HJ200" t="e">
        <f>AND(DATA!J1522,"AAAAAH9Fp9k=")</f>
        <v>#VALUE!</v>
      </c>
      <c r="HK200" t="e">
        <f>AND(DATA!K1522,"AAAAAH9Fp9o=")</f>
        <v>#VALUE!</v>
      </c>
      <c r="HL200" t="b">
        <f>AND(DATA!L1523,"AAAAAH9Fp9s=")</f>
        <v>1</v>
      </c>
      <c r="HM200" t="b">
        <f>AND(DATA!M1523,"AAAAAH9Fp9w=")</f>
        <v>1</v>
      </c>
      <c r="HN200" t="b">
        <f>AND(DATA!N1523,"AAAAAH9Fp90=")</f>
        <v>1</v>
      </c>
      <c r="HO200" t="b">
        <f>AND(DATA!O1523,"AAAAAH9Fp94=")</f>
        <v>1</v>
      </c>
      <c r="HP200" t="b">
        <f>AND(DATA!P1523,"AAAAAH9Fp98=")</f>
        <v>1</v>
      </c>
      <c r="HQ200" t="b">
        <f>AND(DATA!Q1523,"AAAAAH9Fp+A=")</f>
        <v>1</v>
      </c>
      <c r="HR200" t="b">
        <f>AND(DATA!R1523,"AAAAAH9Fp+E=")</f>
        <v>1</v>
      </c>
      <c r="HS200" t="b">
        <f>AND(DATA!S1523,"AAAAAH9Fp+I=")</f>
        <v>1</v>
      </c>
      <c r="HT200" t="b">
        <f>AND(DATA!T1523,"AAAAAH9Fp+M=")</f>
        <v>1</v>
      </c>
      <c r="HU200">
        <f>IF(DATA!1523:1523,"AAAAAH9Fp+Q=",0)</f>
        <v>0</v>
      </c>
      <c r="HV200" t="e">
        <f>AND(DATA!A1523,"AAAAAH9Fp+U=")</f>
        <v>#VALUE!</v>
      </c>
      <c r="HW200" t="e">
        <f>AND(DATA!B1523,"AAAAAH9Fp+Y=")</f>
        <v>#VALUE!</v>
      </c>
      <c r="HX200" t="e">
        <f>AND(DATA!C1523,"AAAAAH9Fp+c=")</f>
        <v>#VALUE!</v>
      </c>
      <c r="HY200" t="e">
        <f>AND(DATA!D1523,"AAAAAH9Fp+g=")</f>
        <v>#VALUE!</v>
      </c>
      <c r="HZ200" t="e">
        <f>AND(DATA!E1523,"AAAAAH9Fp+k=")</f>
        <v>#VALUE!</v>
      </c>
      <c r="IA200" t="e">
        <f>AND(DATA!F1523,"AAAAAH9Fp+o=")</f>
        <v>#VALUE!</v>
      </c>
      <c r="IB200" t="e">
        <f>AND(DATA!G1523,"AAAAAH9Fp+s=")</f>
        <v>#VALUE!</v>
      </c>
      <c r="IC200" t="e">
        <f>AND(DATA!H1523,"AAAAAH9Fp+w=")</f>
        <v>#VALUE!</v>
      </c>
      <c r="ID200" t="e">
        <f>AND(DATA!I1523,"AAAAAH9Fp+0=")</f>
        <v>#VALUE!</v>
      </c>
      <c r="IE200" t="e">
        <f>AND(DATA!J1523,"AAAAAH9Fp+4=")</f>
        <v>#VALUE!</v>
      </c>
      <c r="IF200" t="e">
        <f>AND(DATA!K1523,"AAAAAH9Fp+8=")</f>
        <v>#VALUE!</v>
      </c>
      <c r="IG200" t="b">
        <f>AND(DATA!L1524,"AAAAAH9Fp/A=")</f>
        <v>1</v>
      </c>
      <c r="IH200" t="b">
        <f>AND(DATA!M1524,"AAAAAH9Fp/E=")</f>
        <v>1</v>
      </c>
      <c r="II200" t="b">
        <f>AND(DATA!N1524,"AAAAAH9Fp/I=")</f>
        <v>1</v>
      </c>
      <c r="IJ200" t="b">
        <f>AND(DATA!O1524,"AAAAAH9Fp/M=")</f>
        <v>1</v>
      </c>
      <c r="IK200" t="b">
        <f>AND(DATA!P1524,"AAAAAH9Fp/Q=")</f>
        <v>1</v>
      </c>
      <c r="IL200" t="b">
        <f>AND(DATA!Q1524,"AAAAAH9Fp/U=")</f>
        <v>1</v>
      </c>
      <c r="IM200" t="b">
        <f>AND(DATA!R1524,"AAAAAH9Fp/Y=")</f>
        <v>1</v>
      </c>
      <c r="IN200" t="b">
        <f>AND(DATA!S1524,"AAAAAH9Fp/c=")</f>
        <v>1</v>
      </c>
      <c r="IO200" t="b">
        <f>AND(DATA!T1524,"AAAAAH9Fp/g=")</f>
        <v>1</v>
      </c>
      <c r="IP200">
        <f>IF(DATA!1524:1524,"AAAAAH9Fp/k=",0)</f>
        <v>0</v>
      </c>
      <c r="IQ200" t="e">
        <f>AND(DATA!A1524,"AAAAAH9Fp/o=")</f>
        <v>#VALUE!</v>
      </c>
      <c r="IR200" t="e">
        <f>AND(DATA!B1524,"AAAAAH9Fp/s=")</f>
        <v>#VALUE!</v>
      </c>
      <c r="IS200" t="e">
        <f>AND(DATA!C1524,"AAAAAH9Fp/w=")</f>
        <v>#VALUE!</v>
      </c>
      <c r="IT200" t="e">
        <f>AND(DATA!D1524,"AAAAAH9Fp/0=")</f>
        <v>#VALUE!</v>
      </c>
      <c r="IU200" t="e">
        <f>AND(DATA!E1524,"AAAAAH9Fp/4=")</f>
        <v>#VALUE!</v>
      </c>
      <c r="IV200" t="e">
        <f>AND(DATA!F1524,"AAAAAH9Fp/8=")</f>
        <v>#VALUE!</v>
      </c>
    </row>
    <row r="201" spans="1:256" x14ac:dyDescent="0.25">
      <c r="A201" t="e">
        <f>AND(DATA!G1524,"AAAAAH/z/wA=")</f>
        <v>#VALUE!</v>
      </c>
      <c r="B201" t="e">
        <f>AND(DATA!H1524,"AAAAAH/z/wE=")</f>
        <v>#VALUE!</v>
      </c>
      <c r="C201" t="e">
        <f>AND(DATA!I1524,"AAAAAH/z/wI=")</f>
        <v>#VALUE!</v>
      </c>
      <c r="D201" t="e">
        <f>AND(DATA!J1524,"AAAAAH/z/wM=")</f>
        <v>#VALUE!</v>
      </c>
      <c r="E201" t="e">
        <f>AND(DATA!K1524,"AAAAAH/z/wQ=")</f>
        <v>#VALUE!</v>
      </c>
      <c r="F201" t="b">
        <f>AND(DATA!L1525,"AAAAAH/z/wU=")</f>
        <v>1</v>
      </c>
      <c r="G201" t="b">
        <f>AND(DATA!M1525,"AAAAAH/z/wY=")</f>
        <v>1</v>
      </c>
      <c r="H201" t="b">
        <f>AND(DATA!N1525,"AAAAAH/z/wc=")</f>
        <v>1</v>
      </c>
      <c r="I201" t="b">
        <f>AND(DATA!O1525,"AAAAAH/z/wg=")</f>
        <v>1</v>
      </c>
      <c r="J201" t="b">
        <f>AND(DATA!P1525,"AAAAAH/z/wk=")</f>
        <v>1</v>
      </c>
      <c r="K201" t="b">
        <f>AND(DATA!Q1525,"AAAAAH/z/wo=")</f>
        <v>1</v>
      </c>
      <c r="L201" t="b">
        <f>AND(DATA!R1525,"AAAAAH/z/ws=")</f>
        <v>1</v>
      </c>
      <c r="M201" t="b">
        <f>AND(DATA!S1525,"AAAAAH/z/ww=")</f>
        <v>1</v>
      </c>
      <c r="N201" t="b">
        <f>AND(DATA!T1525,"AAAAAH/z/w0=")</f>
        <v>1</v>
      </c>
      <c r="O201" t="str">
        <f>IF(DATA!1525:1525,"AAAAAH/z/w4=",0)</f>
        <v>AAAAAH/z/w4=</v>
      </c>
      <c r="P201" t="e">
        <f>AND(DATA!A1525,"AAAAAH/z/w8=")</f>
        <v>#VALUE!</v>
      </c>
      <c r="Q201" t="e">
        <f>AND(DATA!B1525,"AAAAAH/z/xA=")</f>
        <v>#VALUE!</v>
      </c>
      <c r="R201" t="e">
        <f>AND(DATA!C1525,"AAAAAH/z/xE=")</f>
        <v>#VALUE!</v>
      </c>
      <c r="S201" t="e">
        <f>AND(DATA!D1525,"AAAAAH/z/xI=")</f>
        <v>#VALUE!</v>
      </c>
      <c r="T201" t="e">
        <f>AND(DATA!E1525,"AAAAAH/z/xM=")</f>
        <v>#VALUE!</v>
      </c>
      <c r="U201" t="e">
        <f>AND(DATA!F1525,"AAAAAH/z/xQ=")</f>
        <v>#VALUE!</v>
      </c>
      <c r="V201" t="e">
        <f>AND(DATA!G1525,"AAAAAH/z/xU=")</f>
        <v>#VALUE!</v>
      </c>
      <c r="W201" t="e">
        <f>AND(DATA!H1525,"AAAAAH/z/xY=")</f>
        <v>#VALUE!</v>
      </c>
      <c r="X201" t="e">
        <f>AND(DATA!I1525,"AAAAAH/z/xc=")</f>
        <v>#VALUE!</v>
      </c>
      <c r="Y201" t="e">
        <f>AND(DATA!J1525,"AAAAAH/z/xg=")</f>
        <v>#VALUE!</v>
      </c>
      <c r="Z201" t="e">
        <f>AND(DATA!K1525,"AAAAAH/z/xk=")</f>
        <v>#VALUE!</v>
      </c>
      <c r="AA201" t="b">
        <f>AND(DATA!L1526,"AAAAAH/z/xo=")</f>
        <v>1</v>
      </c>
      <c r="AB201" t="b">
        <f>AND(DATA!M1526,"AAAAAH/z/xs=")</f>
        <v>1</v>
      </c>
      <c r="AC201" t="b">
        <f>AND(DATA!N1526,"AAAAAH/z/xw=")</f>
        <v>1</v>
      </c>
      <c r="AD201" t="b">
        <f>AND(DATA!O1526,"AAAAAH/z/x0=")</f>
        <v>1</v>
      </c>
      <c r="AE201" t="b">
        <f>AND(DATA!P1526,"AAAAAH/z/x4=")</f>
        <v>1</v>
      </c>
      <c r="AF201" t="b">
        <f>AND(DATA!Q1526,"AAAAAH/z/x8=")</f>
        <v>1</v>
      </c>
      <c r="AG201" t="b">
        <f>AND(DATA!R1526,"AAAAAH/z/yA=")</f>
        <v>1</v>
      </c>
      <c r="AH201" t="b">
        <f>AND(DATA!S1526,"AAAAAH/z/yE=")</f>
        <v>1</v>
      </c>
      <c r="AI201" t="b">
        <f>AND(DATA!T1526,"AAAAAH/z/yI=")</f>
        <v>1</v>
      </c>
      <c r="AJ201">
        <f>IF(DATA!1526:1526,"AAAAAH/z/yM=",0)</f>
        <v>0</v>
      </c>
      <c r="AK201" t="e">
        <f>AND(DATA!A1526,"AAAAAH/z/yQ=")</f>
        <v>#VALUE!</v>
      </c>
      <c r="AL201" t="e">
        <f>AND(DATA!B1526,"AAAAAH/z/yU=")</f>
        <v>#VALUE!</v>
      </c>
      <c r="AM201" t="e">
        <f>AND(DATA!C1526,"AAAAAH/z/yY=")</f>
        <v>#VALUE!</v>
      </c>
      <c r="AN201" t="e">
        <f>AND(DATA!D1526,"AAAAAH/z/yc=")</f>
        <v>#VALUE!</v>
      </c>
      <c r="AO201" t="e">
        <f>AND(DATA!E1526,"AAAAAH/z/yg=")</f>
        <v>#VALUE!</v>
      </c>
      <c r="AP201" t="e">
        <f>AND(DATA!F1526,"AAAAAH/z/yk=")</f>
        <v>#VALUE!</v>
      </c>
      <c r="AQ201" t="e">
        <f>AND(DATA!G1526,"AAAAAH/z/yo=")</f>
        <v>#VALUE!</v>
      </c>
      <c r="AR201" t="e">
        <f>AND(DATA!H1526,"AAAAAH/z/ys=")</f>
        <v>#VALUE!</v>
      </c>
      <c r="AS201" t="e">
        <f>AND(DATA!I1526,"AAAAAH/z/yw=")</f>
        <v>#VALUE!</v>
      </c>
      <c r="AT201" t="e">
        <f>AND(DATA!J1526,"AAAAAH/z/y0=")</f>
        <v>#VALUE!</v>
      </c>
      <c r="AU201" t="e">
        <f>AND(DATA!K1526,"AAAAAH/z/y4=")</f>
        <v>#VALUE!</v>
      </c>
      <c r="AV201" t="b">
        <f>AND(DATA!L1527,"AAAAAH/z/y8=")</f>
        <v>1</v>
      </c>
      <c r="AW201" t="b">
        <f>AND(DATA!M1527,"AAAAAH/z/zA=")</f>
        <v>1</v>
      </c>
      <c r="AX201" t="b">
        <f>AND(DATA!N1527,"AAAAAH/z/zE=")</f>
        <v>1</v>
      </c>
      <c r="AY201" t="b">
        <f>AND(DATA!O1527,"AAAAAH/z/zI=")</f>
        <v>1</v>
      </c>
      <c r="AZ201" t="b">
        <f>AND(DATA!P1527,"AAAAAH/z/zM=")</f>
        <v>1</v>
      </c>
      <c r="BA201" t="b">
        <f>AND(DATA!Q1527,"AAAAAH/z/zQ=")</f>
        <v>1</v>
      </c>
      <c r="BB201" t="b">
        <f>AND(DATA!R1527,"AAAAAH/z/zU=")</f>
        <v>1</v>
      </c>
      <c r="BC201" t="b">
        <f>AND(DATA!S1527,"AAAAAH/z/zY=")</f>
        <v>1</v>
      </c>
      <c r="BD201" t="b">
        <f>AND(DATA!T1527,"AAAAAH/z/zc=")</f>
        <v>1</v>
      </c>
      <c r="BE201">
        <f>IF(DATA!1527:1527,"AAAAAH/z/zg=",0)</f>
        <v>0</v>
      </c>
      <c r="BF201" t="e">
        <f>AND(DATA!A1527,"AAAAAH/z/zk=")</f>
        <v>#VALUE!</v>
      </c>
      <c r="BG201" t="e">
        <f>AND(DATA!B1527,"AAAAAH/z/zo=")</f>
        <v>#VALUE!</v>
      </c>
      <c r="BH201" t="e">
        <f>AND(DATA!C1527,"AAAAAH/z/zs=")</f>
        <v>#VALUE!</v>
      </c>
      <c r="BI201" t="e">
        <f>AND(DATA!D1527,"AAAAAH/z/zw=")</f>
        <v>#VALUE!</v>
      </c>
      <c r="BJ201" t="e">
        <f>AND(DATA!E1527,"AAAAAH/z/z0=")</f>
        <v>#VALUE!</v>
      </c>
      <c r="BK201" t="e">
        <f>AND(DATA!F1527,"AAAAAH/z/z4=")</f>
        <v>#VALUE!</v>
      </c>
      <c r="BL201" t="e">
        <f>AND(DATA!G1527,"AAAAAH/z/z8=")</f>
        <v>#VALUE!</v>
      </c>
      <c r="BM201" t="e">
        <f>AND(DATA!H1527,"AAAAAH/z/0A=")</f>
        <v>#VALUE!</v>
      </c>
      <c r="BN201" t="e">
        <f>AND(DATA!I1527,"AAAAAH/z/0E=")</f>
        <v>#VALUE!</v>
      </c>
      <c r="BO201" t="e">
        <f>AND(DATA!J1527,"AAAAAH/z/0I=")</f>
        <v>#VALUE!</v>
      </c>
      <c r="BP201" t="e">
        <f>AND(DATA!K1527,"AAAAAH/z/0M=")</f>
        <v>#VALUE!</v>
      </c>
      <c r="BQ201" t="b">
        <f>AND(DATA!L1528,"AAAAAH/z/0Q=")</f>
        <v>1</v>
      </c>
      <c r="BR201" t="b">
        <f>AND(DATA!M1528,"AAAAAH/z/0U=")</f>
        <v>1</v>
      </c>
      <c r="BS201" t="b">
        <f>AND(DATA!N1528,"AAAAAH/z/0Y=")</f>
        <v>1</v>
      </c>
      <c r="BT201" t="b">
        <f>AND(DATA!O1528,"AAAAAH/z/0c=")</f>
        <v>1</v>
      </c>
      <c r="BU201" t="b">
        <f>AND(DATA!P1528,"AAAAAH/z/0g=")</f>
        <v>1</v>
      </c>
      <c r="BV201" t="b">
        <f>AND(DATA!Q1528,"AAAAAH/z/0k=")</f>
        <v>1</v>
      </c>
      <c r="BW201" t="b">
        <f>AND(DATA!R1528,"AAAAAH/z/0o=")</f>
        <v>1</v>
      </c>
      <c r="BX201" t="b">
        <f>AND(DATA!S1528,"AAAAAH/z/0s=")</f>
        <v>1</v>
      </c>
      <c r="BY201" t="b">
        <f>AND(DATA!T1528,"AAAAAH/z/0w=")</f>
        <v>1</v>
      </c>
      <c r="BZ201">
        <f>IF(DATA!1528:1528,"AAAAAH/z/00=",0)</f>
        <v>0</v>
      </c>
      <c r="CA201" t="e">
        <f>AND(DATA!A1528,"AAAAAH/z/04=")</f>
        <v>#VALUE!</v>
      </c>
      <c r="CB201" t="e">
        <f>AND(DATA!B1528,"AAAAAH/z/08=")</f>
        <v>#VALUE!</v>
      </c>
      <c r="CC201" t="e">
        <f>AND(DATA!C1528,"AAAAAH/z/1A=")</f>
        <v>#VALUE!</v>
      </c>
      <c r="CD201" t="e">
        <f>AND(DATA!D1528,"AAAAAH/z/1E=")</f>
        <v>#VALUE!</v>
      </c>
      <c r="CE201" t="e">
        <f>AND(DATA!E1528,"AAAAAH/z/1I=")</f>
        <v>#VALUE!</v>
      </c>
      <c r="CF201" t="e">
        <f>AND(DATA!F1528,"AAAAAH/z/1M=")</f>
        <v>#VALUE!</v>
      </c>
      <c r="CG201" t="e">
        <f>AND(DATA!G1528,"AAAAAH/z/1Q=")</f>
        <v>#VALUE!</v>
      </c>
      <c r="CH201" t="e">
        <f>AND(DATA!H1528,"AAAAAH/z/1U=")</f>
        <v>#VALUE!</v>
      </c>
      <c r="CI201" t="e">
        <f>AND(DATA!I1528,"AAAAAH/z/1Y=")</f>
        <v>#VALUE!</v>
      </c>
      <c r="CJ201" t="e">
        <f>AND(DATA!J1528,"AAAAAH/z/1c=")</f>
        <v>#VALUE!</v>
      </c>
      <c r="CK201" t="e">
        <f>AND(DATA!K1528,"AAAAAH/z/1g=")</f>
        <v>#VALUE!</v>
      </c>
      <c r="CL201" t="b">
        <f>AND(DATA!L1529,"AAAAAH/z/1k=")</f>
        <v>1</v>
      </c>
      <c r="CM201" t="b">
        <f>AND(DATA!M1529,"AAAAAH/z/1o=")</f>
        <v>1</v>
      </c>
      <c r="CN201" t="b">
        <f>AND(DATA!N1529,"AAAAAH/z/1s=")</f>
        <v>1</v>
      </c>
      <c r="CO201" t="b">
        <f>AND(DATA!O1529,"AAAAAH/z/1w=")</f>
        <v>1</v>
      </c>
      <c r="CP201" t="b">
        <f>AND(DATA!P1529,"AAAAAH/z/10=")</f>
        <v>1</v>
      </c>
      <c r="CQ201" t="b">
        <f>AND(DATA!Q1529,"AAAAAH/z/14=")</f>
        <v>1</v>
      </c>
      <c r="CR201" t="b">
        <f>AND(DATA!R1529,"AAAAAH/z/18=")</f>
        <v>1</v>
      </c>
      <c r="CS201" t="b">
        <f>AND(DATA!S1529,"AAAAAH/z/2A=")</f>
        <v>1</v>
      </c>
      <c r="CT201" t="b">
        <f>AND(DATA!T1529,"AAAAAH/z/2E=")</f>
        <v>1</v>
      </c>
      <c r="CU201">
        <f>IF(DATA!1529:1529,"AAAAAH/z/2I=",0)</f>
        <v>0</v>
      </c>
      <c r="CV201" t="e">
        <f>AND(DATA!A1529,"AAAAAH/z/2M=")</f>
        <v>#VALUE!</v>
      </c>
      <c r="CW201" t="e">
        <f>AND(DATA!B1529,"AAAAAH/z/2Q=")</f>
        <v>#VALUE!</v>
      </c>
      <c r="CX201" t="e">
        <f>AND(DATA!C1529,"AAAAAH/z/2U=")</f>
        <v>#VALUE!</v>
      </c>
      <c r="CY201" t="e">
        <f>AND(DATA!D1529,"AAAAAH/z/2Y=")</f>
        <v>#VALUE!</v>
      </c>
      <c r="CZ201" t="e">
        <f>AND(DATA!E1529,"AAAAAH/z/2c=")</f>
        <v>#VALUE!</v>
      </c>
      <c r="DA201" t="e">
        <f>AND(DATA!F1529,"AAAAAH/z/2g=")</f>
        <v>#VALUE!</v>
      </c>
      <c r="DB201" t="e">
        <f>AND(DATA!G1529,"AAAAAH/z/2k=")</f>
        <v>#VALUE!</v>
      </c>
      <c r="DC201" t="e">
        <f>AND(DATA!H1529,"AAAAAH/z/2o=")</f>
        <v>#VALUE!</v>
      </c>
      <c r="DD201" t="e">
        <f>AND(DATA!I1529,"AAAAAH/z/2s=")</f>
        <v>#VALUE!</v>
      </c>
      <c r="DE201" t="e">
        <f>AND(DATA!J1529,"AAAAAH/z/2w=")</f>
        <v>#VALUE!</v>
      </c>
      <c r="DF201" t="e">
        <f>AND(DATA!K1529,"AAAAAH/z/20=")</f>
        <v>#VALUE!</v>
      </c>
      <c r="DG201" t="b">
        <f>AND(DATA!L1530,"AAAAAH/z/24=")</f>
        <v>1</v>
      </c>
      <c r="DH201" t="b">
        <f>AND(DATA!M1530,"AAAAAH/z/28=")</f>
        <v>1</v>
      </c>
      <c r="DI201" t="b">
        <f>AND(DATA!N1530,"AAAAAH/z/3A=")</f>
        <v>1</v>
      </c>
      <c r="DJ201" t="b">
        <f>AND(DATA!O1530,"AAAAAH/z/3E=")</f>
        <v>1</v>
      </c>
      <c r="DK201" t="b">
        <f>AND(DATA!P1530,"AAAAAH/z/3I=")</f>
        <v>1</v>
      </c>
      <c r="DL201" t="b">
        <f>AND(DATA!Q1530,"AAAAAH/z/3M=")</f>
        <v>1</v>
      </c>
      <c r="DM201" t="b">
        <f>AND(DATA!R1530,"AAAAAH/z/3Q=")</f>
        <v>1</v>
      </c>
      <c r="DN201" t="b">
        <f>AND(DATA!S1530,"AAAAAH/z/3U=")</f>
        <v>1</v>
      </c>
      <c r="DO201" t="b">
        <f>AND(DATA!T1530,"AAAAAH/z/3Y=")</f>
        <v>1</v>
      </c>
      <c r="DP201">
        <f>IF(DATA!1530:1530,"AAAAAH/z/3c=",0)</f>
        <v>0</v>
      </c>
      <c r="DQ201" t="e">
        <f>AND(DATA!A1530,"AAAAAH/z/3g=")</f>
        <v>#VALUE!</v>
      </c>
      <c r="DR201" t="e">
        <f>AND(DATA!B1530,"AAAAAH/z/3k=")</f>
        <v>#VALUE!</v>
      </c>
      <c r="DS201" t="e">
        <f>AND(DATA!C1530,"AAAAAH/z/3o=")</f>
        <v>#VALUE!</v>
      </c>
      <c r="DT201" t="e">
        <f>AND(DATA!D1530,"AAAAAH/z/3s=")</f>
        <v>#VALUE!</v>
      </c>
      <c r="DU201" t="e">
        <f>AND(DATA!E1530,"AAAAAH/z/3w=")</f>
        <v>#VALUE!</v>
      </c>
      <c r="DV201" t="e">
        <f>AND(DATA!F1530,"AAAAAH/z/30=")</f>
        <v>#VALUE!</v>
      </c>
      <c r="DW201" t="e">
        <f>AND(DATA!G1530,"AAAAAH/z/34=")</f>
        <v>#VALUE!</v>
      </c>
      <c r="DX201" t="e">
        <f>AND(DATA!H1530,"AAAAAH/z/38=")</f>
        <v>#VALUE!</v>
      </c>
      <c r="DY201" t="e">
        <f>AND(DATA!I1530,"AAAAAH/z/4A=")</f>
        <v>#VALUE!</v>
      </c>
      <c r="DZ201" t="e">
        <f>AND(DATA!J1530,"AAAAAH/z/4E=")</f>
        <v>#VALUE!</v>
      </c>
      <c r="EA201" t="e">
        <f>AND(DATA!K1530,"AAAAAH/z/4I=")</f>
        <v>#VALUE!</v>
      </c>
      <c r="EB201" t="b">
        <f>AND(DATA!L1531,"AAAAAH/z/4M=")</f>
        <v>1</v>
      </c>
      <c r="EC201" t="b">
        <f>AND(DATA!M1531,"AAAAAH/z/4Q=")</f>
        <v>1</v>
      </c>
      <c r="ED201" t="b">
        <f>AND(DATA!N1531,"AAAAAH/z/4U=")</f>
        <v>1</v>
      </c>
      <c r="EE201" t="b">
        <f>AND(DATA!O1531,"AAAAAH/z/4Y=")</f>
        <v>1</v>
      </c>
      <c r="EF201" t="b">
        <f>AND(DATA!P1531,"AAAAAH/z/4c=")</f>
        <v>1</v>
      </c>
      <c r="EG201" t="b">
        <f>AND(DATA!Q1531,"AAAAAH/z/4g=")</f>
        <v>1</v>
      </c>
      <c r="EH201" t="b">
        <f>AND(DATA!R1531,"AAAAAH/z/4k=")</f>
        <v>1</v>
      </c>
      <c r="EI201" t="b">
        <f>AND(DATA!S1531,"AAAAAH/z/4o=")</f>
        <v>1</v>
      </c>
      <c r="EJ201" t="b">
        <f>AND(DATA!T1531,"AAAAAH/z/4s=")</f>
        <v>1</v>
      </c>
      <c r="EK201">
        <f>IF(DATA!1531:1531,"AAAAAH/z/4w=",0)</f>
        <v>0</v>
      </c>
      <c r="EL201" t="e">
        <f>AND(DATA!A1531,"AAAAAH/z/40=")</f>
        <v>#VALUE!</v>
      </c>
      <c r="EM201" t="e">
        <f>AND(DATA!B1531,"AAAAAH/z/44=")</f>
        <v>#VALUE!</v>
      </c>
      <c r="EN201" t="e">
        <f>AND(DATA!C1531,"AAAAAH/z/48=")</f>
        <v>#VALUE!</v>
      </c>
      <c r="EO201" t="e">
        <f>AND(DATA!D1531,"AAAAAH/z/5A=")</f>
        <v>#VALUE!</v>
      </c>
      <c r="EP201" t="e">
        <f>AND(DATA!E1531,"AAAAAH/z/5E=")</f>
        <v>#VALUE!</v>
      </c>
      <c r="EQ201" t="e">
        <f>AND(DATA!F1531,"AAAAAH/z/5I=")</f>
        <v>#VALUE!</v>
      </c>
      <c r="ER201" t="e">
        <f>AND(DATA!G1531,"AAAAAH/z/5M=")</f>
        <v>#VALUE!</v>
      </c>
      <c r="ES201" t="e">
        <f>AND(DATA!H1531,"AAAAAH/z/5Q=")</f>
        <v>#VALUE!</v>
      </c>
      <c r="ET201" t="e">
        <f>AND(DATA!I1531,"AAAAAH/z/5U=")</f>
        <v>#VALUE!</v>
      </c>
      <c r="EU201" t="e">
        <f>AND(DATA!J1531,"AAAAAH/z/5Y=")</f>
        <v>#VALUE!</v>
      </c>
      <c r="EV201" t="e">
        <f>AND(DATA!K1531,"AAAAAH/z/5c=")</f>
        <v>#VALUE!</v>
      </c>
      <c r="EW201" t="b">
        <f>AND(DATA!L1532,"AAAAAH/z/5g=")</f>
        <v>1</v>
      </c>
      <c r="EX201" t="b">
        <f>AND(DATA!M1532,"AAAAAH/z/5k=")</f>
        <v>1</v>
      </c>
      <c r="EY201" t="b">
        <f>AND(DATA!N1532,"AAAAAH/z/5o=")</f>
        <v>1</v>
      </c>
      <c r="EZ201" t="b">
        <f>AND(DATA!O1532,"AAAAAH/z/5s=")</f>
        <v>1</v>
      </c>
      <c r="FA201" t="b">
        <f>AND(DATA!P1532,"AAAAAH/z/5w=")</f>
        <v>1</v>
      </c>
      <c r="FB201" t="b">
        <f>AND(DATA!Q1532,"AAAAAH/z/50=")</f>
        <v>1</v>
      </c>
      <c r="FC201" t="b">
        <f>AND(DATA!R1532,"AAAAAH/z/54=")</f>
        <v>1</v>
      </c>
      <c r="FD201" t="b">
        <f>AND(DATA!S1532,"AAAAAH/z/58=")</f>
        <v>1</v>
      </c>
      <c r="FE201" t="b">
        <f>AND(DATA!T1532,"AAAAAH/z/6A=")</f>
        <v>1</v>
      </c>
      <c r="FF201">
        <f>IF(DATA!1532:1532,"AAAAAH/z/6E=",0)</f>
        <v>0</v>
      </c>
      <c r="FG201" t="e">
        <f>AND(DATA!A1532,"AAAAAH/z/6I=")</f>
        <v>#VALUE!</v>
      </c>
      <c r="FH201" t="e">
        <f>AND(DATA!B1532,"AAAAAH/z/6M=")</f>
        <v>#VALUE!</v>
      </c>
      <c r="FI201" t="e">
        <f>AND(DATA!C1532,"AAAAAH/z/6Q=")</f>
        <v>#VALUE!</v>
      </c>
      <c r="FJ201" t="e">
        <f>AND(DATA!D1532,"AAAAAH/z/6U=")</f>
        <v>#VALUE!</v>
      </c>
      <c r="FK201" t="e">
        <f>AND(DATA!E1532,"AAAAAH/z/6Y=")</f>
        <v>#VALUE!</v>
      </c>
      <c r="FL201" t="e">
        <f>AND(DATA!F1532,"AAAAAH/z/6c=")</f>
        <v>#VALUE!</v>
      </c>
      <c r="FM201" t="e">
        <f>AND(DATA!G1532,"AAAAAH/z/6g=")</f>
        <v>#VALUE!</v>
      </c>
      <c r="FN201" t="e">
        <f>AND(DATA!H1532,"AAAAAH/z/6k=")</f>
        <v>#VALUE!</v>
      </c>
      <c r="FO201" t="e">
        <f>AND(DATA!I1532,"AAAAAH/z/6o=")</f>
        <v>#VALUE!</v>
      </c>
      <c r="FP201" t="e">
        <f>AND(DATA!J1532,"AAAAAH/z/6s=")</f>
        <v>#VALUE!</v>
      </c>
      <c r="FQ201" t="e">
        <f>AND(DATA!K1532,"AAAAAH/z/6w=")</f>
        <v>#VALUE!</v>
      </c>
      <c r="FR201" t="b">
        <f>AND(DATA!L1533,"AAAAAH/z/60=")</f>
        <v>1</v>
      </c>
      <c r="FS201" t="b">
        <f>AND(DATA!M1533,"AAAAAH/z/64=")</f>
        <v>1</v>
      </c>
      <c r="FT201" t="b">
        <f>AND(DATA!N1533,"AAAAAH/z/68=")</f>
        <v>1</v>
      </c>
      <c r="FU201" t="b">
        <f>AND(DATA!O1533,"AAAAAH/z/7A=")</f>
        <v>1</v>
      </c>
      <c r="FV201" t="b">
        <f>AND(DATA!P1533,"AAAAAH/z/7E=")</f>
        <v>1</v>
      </c>
      <c r="FW201" t="b">
        <f>AND(DATA!Q1533,"AAAAAH/z/7I=")</f>
        <v>1</v>
      </c>
      <c r="FX201" t="b">
        <f>AND(DATA!R1533,"AAAAAH/z/7M=")</f>
        <v>1</v>
      </c>
      <c r="FY201" t="b">
        <f>AND(DATA!S1533,"AAAAAH/z/7Q=")</f>
        <v>1</v>
      </c>
      <c r="FZ201" t="b">
        <f>AND(DATA!T1533,"AAAAAH/z/7U=")</f>
        <v>1</v>
      </c>
      <c r="GA201">
        <f>IF(DATA!1533:1533,"AAAAAH/z/7Y=",0)</f>
        <v>0</v>
      </c>
      <c r="GB201" t="e">
        <f>AND(DATA!A1533,"AAAAAH/z/7c=")</f>
        <v>#VALUE!</v>
      </c>
      <c r="GC201" t="e">
        <f>AND(DATA!B1533,"AAAAAH/z/7g=")</f>
        <v>#VALUE!</v>
      </c>
      <c r="GD201" t="e">
        <f>AND(DATA!C1533,"AAAAAH/z/7k=")</f>
        <v>#VALUE!</v>
      </c>
      <c r="GE201" t="e">
        <f>AND(DATA!D1533,"AAAAAH/z/7o=")</f>
        <v>#VALUE!</v>
      </c>
      <c r="GF201" t="e">
        <f>AND(DATA!E1533,"AAAAAH/z/7s=")</f>
        <v>#VALUE!</v>
      </c>
      <c r="GG201" t="e">
        <f>AND(DATA!F1533,"AAAAAH/z/7w=")</f>
        <v>#VALUE!</v>
      </c>
      <c r="GH201" t="e">
        <f>AND(DATA!G1533,"AAAAAH/z/70=")</f>
        <v>#VALUE!</v>
      </c>
      <c r="GI201" t="e">
        <f>AND(DATA!H1533,"AAAAAH/z/74=")</f>
        <v>#VALUE!</v>
      </c>
      <c r="GJ201" t="e">
        <f>AND(DATA!I1533,"AAAAAH/z/78=")</f>
        <v>#VALUE!</v>
      </c>
      <c r="GK201" t="e">
        <f>AND(DATA!J1533,"AAAAAH/z/8A=")</f>
        <v>#VALUE!</v>
      </c>
      <c r="GL201" t="e">
        <f>AND(DATA!K1533,"AAAAAH/z/8E=")</f>
        <v>#VALUE!</v>
      </c>
      <c r="GM201" t="b">
        <f>AND(DATA!L1534,"AAAAAH/z/8I=")</f>
        <v>1</v>
      </c>
      <c r="GN201" t="b">
        <f>AND(DATA!M1534,"AAAAAH/z/8M=")</f>
        <v>1</v>
      </c>
      <c r="GO201" t="b">
        <f>AND(DATA!N1534,"AAAAAH/z/8Q=")</f>
        <v>1</v>
      </c>
      <c r="GP201" t="b">
        <f>AND(DATA!O1534,"AAAAAH/z/8U=")</f>
        <v>1</v>
      </c>
      <c r="GQ201" t="b">
        <f>AND(DATA!P1534,"AAAAAH/z/8Y=")</f>
        <v>1</v>
      </c>
      <c r="GR201" t="b">
        <f>AND(DATA!Q1534,"AAAAAH/z/8c=")</f>
        <v>1</v>
      </c>
      <c r="GS201" t="b">
        <f>AND(DATA!R1534,"AAAAAH/z/8g=")</f>
        <v>1</v>
      </c>
      <c r="GT201" t="b">
        <f>AND(DATA!S1534,"AAAAAH/z/8k=")</f>
        <v>1</v>
      </c>
      <c r="GU201" t="b">
        <f>AND(DATA!T1534,"AAAAAH/z/8o=")</f>
        <v>1</v>
      </c>
      <c r="GV201">
        <f>IF(DATA!1534:1534,"AAAAAH/z/8s=",0)</f>
        <v>0</v>
      </c>
      <c r="GW201" t="e">
        <f>AND(DATA!A1534,"AAAAAH/z/8w=")</f>
        <v>#VALUE!</v>
      </c>
      <c r="GX201" t="e">
        <f>AND(DATA!B1534,"AAAAAH/z/80=")</f>
        <v>#VALUE!</v>
      </c>
      <c r="GY201" t="e">
        <f>AND(DATA!C1534,"AAAAAH/z/84=")</f>
        <v>#VALUE!</v>
      </c>
      <c r="GZ201" t="e">
        <f>AND(DATA!D1534,"AAAAAH/z/88=")</f>
        <v>#VALUE!</v>
      </c>
      <c r="HA201" t="e">
        <f>AND(DATA!E1534,"AAAAAH/z/9A=")</f>
        <v>#VALUE!</v>
      </c>
      <c r="HB201" t="e">
        <f>AND(DATA!F1534,"AAAAAH/z/9E=")</f>
        <v>#VALUE!</v>
      </c>
      <c r="HC201" t="e">
        <f>AND(DATA!G1534,"AAAAAH/z/9I=")</f>
        <v>#VALUE!</v>
      </c>
      <c r="HD201" t="e">
        <f>AND(DATA!H1534,"AAAAAH/z/9M=")</f>
        <v>#VALUE!</v>
      </c>
      <c r="HE201" t="e">
        <f>AND(DATA!I1534,"AAAAAH/z/9Q=")</f>
        <v>#VALUE!</v>
      </c>
      <c r="HF201" t="e">
        <f>AND(DATA!J1534,"AAAAAH/z/9U=")</f>
        <v>#VALUE!</v>
      </c>
      <c r="HG201" t="e">
        <f>AND(DATA!K1534,"AAAAAH/z/9Y=")</f>
        <v>#VALUE!</v>
      </c>
      <c r="HH201" t="b">
        <f>AND(DATA!L1535,"AAAAAH/z/9c=")</f>
        <v>1</v>
      </c>
      <c r="HI201" t="b">
        <f>AND(DATA!M1535,"AAAAAH/z/9g=")</f>
        <v>1</v>
      </c>
      <c r="HJ201" t="b">
        <f>AND(DATA!N1535,"AAAAAH/z/9k=")</f>
        <v>1</v>
      </c>
      <c r="HK201" t="b">
        <f>AND(DATA!O1535,"AAAAAH/z/9o=")</f>
        <v>1</v>
      </c>
      <c r="HL201" t="b">
        <f>AND(DATA!P1535,"AAAAAH/z/9s=")</f>
        <v>1</v>
      </c>
      <c r="HM201" t="b">
        <f>AND(DATA!Q1535,"AAAAAH/z/9w=")</f>
        <v>1</v>
      </c>
      <c r="HN201" t="b">
        <f>AND(DATA!R1535,"AAAAAH/z/90=")</f>
        <v>1</v>
      </c>
      <c r="HO201" t="b">
        <f>AND(DATA!S1535,"AAAAAH/z/94=")</f>
        <v>1</v>
      </c>
      <c r="HP201" t="b">
        <f>AND(DATA!T1535,"AAAAAH/z/98=")</f>
        <v>1</v>
      </c>
      <c r="HQ201">
        <f>IF(DATA!1535:1535,"AAAAAH/z/+A=",0)</f>
        <v>0</v>
      </c>
      <c r="HR201" t="e">
        <f>AND(DATA!A1535,"AAAAAH/z/+E=")</f>
        <v>#VALUE!</v>
      </c>
      <c r="HS201" t="e">
        <f>AND(DATA!B1535,"AAAAAH/z/+I=")</f>
        <v>#VALUE!</v>
      </c>
      <c r="HT201" t="e">
        <f>AND(DATA!C1535,"AAAAAH/z/+M=")</f>
        <v>#VALUE!</v>
      </c>
      <c r="HU201" t="e">
        <f>AND(DATA!D1535,"AAAAAH/z/+Q=")</f>
        <v>#VALUE!</v>
      </c>
      <c r="HV201" t="e">
        <f>AND(DATA!E1535,"AAAAAH/z/+U=")</f>
        <v>#VALUE!</v>
      </c>
      <c r="HW201" t="e">
        <f>AND(DATA!F1535,"AAAAAH/z/+Y=")</f>
        <v>#VALUE!</v>
      </c>
      <c r="HX201" t="e">
        <f>AND(DATA!G1535,"AAAAAH/z/+c=")</f>
        <v>#VALUE!</v>
      </c>
      <c r="HY201" t="e">
        <f>AND(DATA!H1535,"AAAAAH/z/+g=")</f>
        <v>#VALUE!</v>
      </c>
      <c r="HZ201" t="e">
        <f>AND(DATA!I1535,"AAAAAH/z/+k=")</f>
        <v>#VALUE!</v>
      </c>
      <c r="IA201" t="e">
        <f>AND(DATA!J1535,"AAAAAH/z/+o=")</f>
        <v>#VALUE!</v>
      </c>
      <c r="IB201" t="e">
        <f>AND(DATA!K1535,"AAAAAH/z/+s=")</f>
        <v>#VALUE!</v>
      </c>
      <c r="IC201" t="b">
        <f>AND(DATA!L1536,"AAAAAH/z/+w=")</f>
        <v>1</v>
      </c>
      <c r="ID201" t="b">
        <f>AND(DATA!M1536,"AAAAAH/z/+0=")</f>
        <v>1</v>
      </c>
      <c r="IE201" t="b">
        <f>AND(DATA!N1536,"AAAAAH/z/+4=")</f>
        <v>1</v>
      </c>
      <c r="IF201" t="b">
        <f>AND(DATA!O1536,"AAAAAH/z/+8=")</f>
        <v>1</v>
      </c>
      <c r="IG201" t="b">
        <f>AND(DATA!P1536,"AAAAAH/z//A=")</f>
        <v>1</v>
      </c>
      <c r="IH201" t="b">
        <f>AND(DATA!Q1536,"AAAAAH/z//E=")</f>
        <v>1</v>
      </c>
      <c r="II201" t="b">
        <f>AND(DATA!R1536,"AAAAAH/z//I=")</f>
        <v>1</v>
      </c>
      <c r="IJ201" t="b">
        <f>AND(DATA!S1536,"AAAAAH/z//M=")</f>
        <v>1</v>
      </c>
      <c r="IK201" t="b">
        <f>AND(DATA!T1536,"AAAAAH/z//Q=")</f>
        <v>1</v>
      </c>
      <c r="IL201">
        <f>IF(DATA!1536:1536,"AAAAAH/z//U=",0)</f>
        <v>0</v>
      </c>
      <c r="IM201" t="e">
        <f>AND(DATA!A1536,"AAAAAH/z//Y=")</f>
        <v>#VALUE!</v>
      </c>
      <c r="IN201" t="e">
        <f>AND(DATA!B1536,"AAAAAH/z//c=")</f>
        <v>#VALUE!</v>
      </c>
      <c r="IO201" t="e">
        <f>AND(DATA!C1536,"AAAAAH/z//g=")</f>
        <v>#VALUE!</v>
      </c>
      <c r="IP201" t="e">
        <f>AND(DATA!D1536,"AAAAAH/z//k=")</f>
        <v>#VALUE!</v>
      </c>
      <c r="IQ201" t="e">
        <f>AND(DATA!E1536,"AAAAAH/z//o=")</f>
        <v>#VALUE!</v>
      </c>
      <c r="IR201" t="e">
        <f>AND(DATA!F1536,"AAAAAH/z//s=")</f>
        <v>#VALUE!</v>
      </c>
      <c r="IS201" t="e">
        <f>AND(DATA!G1536,"AAAAAH/z//w=")</f>
        <v>#VALUE!</v>
      </c>
      <c r="IT201" t="e">
        <f>AND(DATA!H1536,"AAAAAH/z//0=")</f>
        <v>#VALUE!</v>
      </c>
      <c r="IU201" t="e">
        <f>AND(DATA!I1536,"AAAAAH/z//4=")</f>
        <v>#VALUE!</v>
      </c>
      <c r="IV201" t="e">
        <f>AND(DATA!J1536,"AAAAAH/z//8=")</f>
        <v>#VALUE!</v>
      </c>
    </row>
    <row r="202" spans="1:256" x14ac:dyDescent="0.25">
      <c r="A202" t="e">
        <f>AND(DATA!K1536,"AAAAADp+/wA=")</f>
        <v>#VALUE!</v>
      </c>
      <c r="B202" t="b">
        <f>AND(DATA!L1537,"AAAAADp+/wE=")</f>
        <v>1</v>
      </c>
      <c r="C202" t="b">
        <f>AND(DATA!M1537,"AAAAADp+/wI=")</f>
        <v>1</v>
      </c>
      <c r="D202" t="b">
        <f>AND(DATA!N1537,"AAAAADp+/wM=")</f>
        <v>1</v>
      </c>
      <c r="E202" t="b">
        <f>AND(DATA!O1537,"AAAAADp+/wQ=")</f>
        <v>1</v>
      </c>
      <c r="F202" t="b">
        <f>AND(DATA!P1537,"AAAAADp+/wU=")</f>
        <v>1</v>
      </c>
      <c r="G202" t="b">
        <f>AND(DATA!Q1537,"AAAAADp+/wY=")</f>
        <v>1</v>
      </c>
      <c r="H202" t="b">
        <f>AND(DATA!R1537,"AAAAADp+/wc=")</f>
        <v>1</v>
      </c>
      <c r="I202" t="b">
        <f>AND(DATA!S1537,"AAAAADp+/wg=")</f>
        <v>1</v>
      </c>
      <c r="J202" t="b">
        <f>AND(DATA!T1537,"AAAAADp+/wk=")</f>
        <v>1</v>
      </c>
      <c r="K202">
        <f>IF(DATA!1537:1537,"AAAAADp+/wo=",0)</f>
        <v>0</v>
      </c>
      <c r="L202" t="e">
        <f>AND(DATA!A1537,"AAAAADp+/ws=")</f>
        <v>#VALUE!</v>
      </c>
      <c r="M202" t="e">
        <f>AND(DATA!B1537,"AAAAADp+/ww=")</f>
        <v>#VALUE!</v>
      </c>
      <c r="N202" t="e">
        <f>AND(DATA!C1537,"AAAAADp+/w0=")</f>
        <v>#VALUE!</v>
      </c>
      <c r="O202" t="e">
        <f>AND(DATA!D1537,"AAAAADp+/w4=")</f>
        <v>#VALUE!</v>
      </c>
      <c r="P202" t="e">
        <f>AND(DATA!E1537,"AAAAADp+/w8=")</f>
        <v>#VALUE!</v>
      </c>
      <c r="Q202" t="e">
        <f>AND(DATA!F1537,"AAAAADp+/xA=")</f>
        <v>#VALUE!</v>
      </c>
      <c r="R202" t="e">
        <f>AND(DATA!G1537,"AAAAADp+/xE=")</f>
        <v>#VALUE!</v>
      </c>
      <c r="S202" t="e">
        <f>AND(DATA!H1537,"AAAAADp+/xI=")</f>
        <v>#VALUE!</v>
      </c>
      <c r="T202" t="e">
        <f>AND(DATA!I1537,"AAAAADp+/xM=")</f>
        <v>#VALUE!</v>
      </c>
      <c r="U202" t="e">
        <f>AND(DATA!J1537,"AAAAADp+/xQ=")</f>
        <v>#VALUE!</v>
      </c>
      <c r="V202" t="e">
        <f>AND(DATA!K1537,"AAAAADp+/xU=")</f>
        <v>#VALUE!</v>
      </c>
      <c r="W202" t="b">
        <f>AND(DATA!L1538,"AAAAADp+/xY=")</f>
        <v>1</v>
      </c>
      <c r="X202" t="b">
        <f>AND(DATA!M1538,"AAAAADp+/xc=")</f>
        <v>1</v>
      </c>
      <c r="Y202" t="b">
        <f>AND(DATA!N1538,"AAAAADp+/xg=")</f>
        <v>1</v>
      </c>
      <c r="Z202" t="b">
        <f>AND(DATA!O1538,"AAAAADp+/xk=")</f>
        <v>1</v>
      </c>
      <c r="AA202" t="b">
        <f>AND(DATA!P1538,"AAAAADp+/xo=")</f>
        <v>1</v>
      </c>
      <c r="AB202" t="b">
        <f>AND(DATA!Q1538,"AAAAADp+/xs=")</f>
        <v>1</v>
      </c>
      <c r="AC202" t="b">
        <f>AND(DATA!R1538,"AAAAADp+/xw=")</f>
        <v>1</v>
      </c>
      <c r="AD202" t="b">
        <f>AND(DATA!S1538,"AAAAADp+/x0=")</f>
        <v>1</v>
      </c>
      <c r="AE202" t="b">
        <f>AND(DATA!T1538,"AAAAADp+/x4=")</f>
        <v>1</v>
      </c>
      <c r="AF202">
        <f>IF(DATA!1538:1538,"AAAAADp+/x8=",0)</f>
        <v>0</v>
      </c>
      <c r="AG202" t="e">
        <f>AND(DATA!A1538,"AAAAADp+/yA=")</f>
        <v>#VALUE!</v>
      </c>
      <c r="AH202" t="e">
        <f>AND(DATA!B1538,"AAAAADp+/yE=")</f>
        <v>#VALUE!</v>
      </c>
      <c r="AI202" t="e">
        <f>AND(DATA!C1538,"AAAAADp+/yI=")</f>
        <v>#VALUE!</v>
      </c>
      <c r="AJ202" t="e">
        <f>AND(DATA!D1538,"AAAAADp+/yM=")</f>
        <v>#VALUE!</v>
      </c>
      <c r="AK202" t="e">
        <f>AND(DATA!E1538,"AAAAADp+/yQ=")</f>
        <v>#VALUE!</v>
      </c>
      <c r="AL202" t="e">
        <f>AND(DATA!F1538,"AAAAADp+/yU=")</f>
        <v>#VALUE!</v>
      </c>
      <c r="AM202" t="e">
        <f>AND(DATA!G1538,"AAAAADp+/yY=")</f>
        <v>#VALUE!</v>
      </c>
      <c r="AN202" t="e">
        <f>AND(DATA!H1538,"AAAAADp+/yc=")</f>
        <v>#VALUE!</v>
      </c>
      <c r="AO202" t="e">
        <f>AND(DATA!I1538,"AAAAADp+/yg=")</f>
        <v>#VALUE!</v>
      </c>
      <c r="AP202" t="e">
        <f>AND(DATA!J1538,"AAAAADp+/yk=")</f>
        <v>#VALUE!</v>
      </c>
      <c r="AQ202" t="e">
        <f>AND(DATA!K1538,"AAAAADp+/yo=")</f>
        <v>#VALUE!</v>
      </c>
      <c r="AR202" t="b">
        <f>AND(DATA!L1539,"AAAAADp+/ys=")</f>
        <v>1</v>
      </c>
      <c r="AS202" t="b">
        <f>AND(DATA!M1539,"AAAAADp+/yw=")</f>
        <v>1</v>
      </c>
      <c r="AT202" t="b">
        <f>AND(DATA!N1539,"AAAAADp+/y0=")</f>
        <v>1</v>
      </c>
      <c r="AU202" t="b">
        <f>AND(DATA!O1539,"AAAAADp+/y4=")</f>
        <v>1</v>
      </c>
      <c r="AV202" t="b">
        <f>AND(DATA!P1539,"AAAAADp+/y8=")</f>
        <v>1</v>
      </c>
      <c r="AW202" t="b">
        <f>AND(DATA!Q1539,"AAAAADp+/zA=")</f>
        <v>1</v>
      </c>
      <c r="AX202" t="b">
        <f>AND(DATA!R1539,"AAAAADp+/zE=")</f>
        <v>1</v>
      </c>
      <c r="AY202" t="b">
        <f>AND(DATA!S1539,"AAAAADp+/zI=")</f>
        <v>1</v>
      </c>
      <c r="AZ202" t="b">
        <f>AND(DATA!T1539,"AAAAADp+/zM=")</f>
        <v>1</v>
      </c>
      <c r="BA202">
        <f>IF(DATA!1539:1539,"AAAAADp+/zQ=",0)</f>
        <v>0</v>
      </c>
      <c r="BB202" t="e">
        <f>AND(DATA!A1539,"AAAAADp+/zU=")</f>
        <v>#VALUE!</v>
      </c>
      <c r="BC202" t="e">
        <f>AND(DATA!B1539,"AAAAADp+/zY=")</f>
        <v>#VALUE!</v>
      </c>
      <c r="BD202" t="e">
        <f>AND(DATA!C1539,"AAAAADp+/zc=")</f>
        <v>#VALUE!</v>
      </c>
      <c r="BE202" t="e">
        <f>AND(DATA!D1539,"AAAAADp+/zg=")</f>
        <v>#VALUE!</v>
      </c>
      <c r="BF202" t="e">
        <f>AND(DATA!E1539,"AAAAADp+/zk=")</f>
        <v>#VALUE!</v>
      </c>
      <c r="BG202" t="e">
        <f>AND(DATA!F1539,"AAAAADp+/zo=")</f>
        <v>#VALUE!</v>
      </c>
      <c r="BH202" t="e">
        <f>AND(DATA!G1539,"AAAAADp+/zs=")</f>
        <v>#VALUE!</v>
      </c>
      <c r="BI202" t="e">
        <f>AND(DATA!H1539,"AAAAADp+/zw=")</f>
        <v>#VALUE!</v>
      </c>
      <c r="BJ202" t="e">
        <f>AND(DATA!I1539,"AAAAADp+/z0=")</f>
        <v>#VALUE!</v>
      </c>
      <c r="BK202" t="e">
        <f>AND(DATA!J1539,"AAAAADp+/z4=")</f>
        <v>#VALUE!</v>
      </c>
      <c r="BL202" t="e">
        <f>AND(DATA!K1539,"AAAAADp+/z8=")</f>
        <v>#VALUE!</v>
      </c>
      <c r="BM202" t="b">
        <f>AND(DATA!L1540,"AAAAADp+/0A=")</f>
        <v>1</v>
      </c>
      <c r="BN202" t="b">
        <f>AND(DATA!M1540,"AAAAADp+/0E=")</f>
        <v>1</v>
      </c>
      <c r="BO202" t="b">
        <f>AND(DATA!N1540,"AAAAADp+/0I=")</f>
        <v>1</v>
      </c>
      <c r="BP202" t="b">
        <f>AND(DATA!O1540,"AAAAADp+/0M=")</f>
        <v>1</v>
      </c>
      <c r="BQ202" t="b">
        <f>AND(DATA!P1540,"AAAAADp+/0Q=")</f>
        <v>1</v>
      </c>
      <c r="BR202" t="b">
        <f>AND(DATA!Q1540,"AAAAADp+/0U=")</f>
        <v>1</v>
      </c>
      <c r="BS202" t="b">
        <f>AND(DATA!R1540,"AAAAADp+/0Y=")</f>
        <v>1</v>
      </c>
      <c r="BT202" t="b">
        <f>AND(DATA!S1540,"AAAAADp+/0c=")</f>
        <v>1</v>
      </c>
      <c r="BU202" t="b">
        <f>AND(DATA!T1540,"AAAAADp+/0g=")</f>
        <v>1</v>
      </c>
      <c r="BV202">
        <f>IF(DATA!1540:1540,"AAAAADp+/0k=",0)</f>
        <v>0</v>
      </c>
      <c r="BW202" t="e">
        <f>AND(DATA!A1540,"AAAAADp+/0o=")</f>
        <v>#VALUE!</v>
      </c>
      <c r="BX202" t="e">
        <f>AND(DATA!B1540,"AAAAADp+/0s=")</f>
        <v>#VALUE!</v>
      </c>
      <c r="BY202" t="e">
        <f>AND(DATA!C1540,"AAAAADp+/0w=")</f>
        <v>#VALUE!</v>
      </c>
      <c r="BZ202" t="e">
        <f>AND(DATA!D1540,"AAAAADp+/00=")</f>
        <v>#VALUE!</v>
      </c>
      <c r="CA202" t="e">
        <f>AND(DATA!E1540,"AAAAADp+/04=")</f>
        <v>#VALUE!</v>
      </c>
      <c r="CB202" t="e">
        <f>AND(DATA!F1540,"AAAAADp+/08=")</f>
        <v>#VALUE!</v>
      </c>
      <c r="CC202" t="e">
        <f>AND(DATA!G1540,"AAAAADp+/1A=")</f>
        <v>#VALUE!</v>
      </c>
      <c r="CD202" t="e">
        <f>AND(DATA!H1540,"AAAAADp+/1E=")</f>
        <v>#VALUE!</v>
      </c>
      <c r="CE202" t="e">
        <f>AND(DATA!I1540,"AAAAADp+/1I=")</f>
        <v>#VALUE!</v>
      </c>
      <c r="CF202" t="e">
        <f>AND(DATA!J1540,"AAAAADp+/1M=")</f>
        <v>#VALUE!</v>
      </c>
      <c r="CG202" t="e">
        <f>AND(DATA!K1540,"AAAAADp+/1Q=")</f>
        <v>#VALUE!</v>
      </c>
      <c r="CH202" t="b">
        <f>AND(DATA!L1541,"AAAAADp+/1U=")</f>
        <v>1</v>
      </c>
      <c r="CI202" t="b">
        <f>AND(DATA!M1541,"AAAAADp+/1Y=")</f>
        <v>1</v>
      </c>
      <c r="CJ202" t="b">
        <f>AND(DATA!N1541,"AAAAADp+/1c=")</f>
        <v>1</v>
      </c>
      <c r="CK202" t="b">
        <f>AND(DATA!O1541,"AAAAADp+/1g=")</f>
        <v>1</v>
      </c>
      <c r="CL202" t="b">
        <f>AND(DATA!P1541,"AAAAADp+/1k=")</f>
        <v>1</v>
      </c>
      <c r="CM202" t="b">
        <f>AND(DATA!Q1541,"AAAAADp+/1o=")</f>
        <v>1</v>
      </c>
      <c r="CN202" t="b">
        <f>AND(DATA!R1541,"AAAAADp+/1s=")</f>
        <v>1</v>
      </c>
      <c r="CO202" t="b">
        <f>AND(DATA!S1541,"AAAAADp+/1w=")</f>
        <v>1</v>
      </c>
      <c r="CP202" t="b">
        <f>AND(DATA!T1541,"AAAAADp+/10=")</f>
        <v>1</v>
      </c>
      <c r="CQ202">
        <f>IF(DATA!1541:1541,"AAAAADp+/14=",0)</f>
        <v>0</v>
      </c>
      <c r="CR202" t="e">
        <f>AND(DATA!A1541,"AAAAADp+/18=")</f>
        <v>#VALUE!</v>
      </c>
      <c r="CS202" t="e">
        <f>AND(DATA!B1541,"AAAAADp+/2A=")</f>
        <v>#VALUE!</v>
      </c>
      <c r="CT202" t="e">
        <f>AND(DATA!C1541,"AAAAADp+/2E=")</f>
        <v>#VALUE!</v>
      </c>
      <c r="CU202" t="e">
        <f>AND(DATA!D1541,"AAAAADp+/2I=")</f>
        <v>#VALUE!</v>
      </c>
      <c r="CV202" t="e">
        <f>AND(DATA!E1541,"AAAAADp+/2M=")</f>
        <v>#VALUE!</v>
      </c>
      <c r="CW202" t="e">
        <f>AND(DATA!F1541,"AAAAADp+/2Q=")</f>
        <v>#VALUE!</v>
      </c>
      <c r="CX202" t="e">
        <f>AND(DATA!G1541,"AAAAADp+/2U=")</f>
        <v>#VALUE!</v>
      </c>
      <c r="CY202" t="e">
        <f>AND(DATA!H1541,"AAAAADp+/2Y=")</f>
        <v>#VALUE!</v>
      </c>
      <c r="CZ202" t="e">
        <f>AND(DATA!I1541,"AAAAADp+/2c=")</f>
        <v>#VALUE!</v>
      </c>
      <c r="DA202" t="e">
        <f>AND(DATA!J1541,"AAAAADp+/2g=")</f>
        <v>#VALUE!</v>
      </c>
      <c r="DB202" t="e">
        <f>AND(DATA!K1541,"AAAAADp+/2k=")</f>
        <v>#VALUE!</v>
      </c>
      <c r="DC202" t="b">
        <f>AND(DATA!L1542,"AAAAADp+/2o=")</f>
        <v>1</v>
      </c>
      <c r="DD202" t="b">
        <f>AND(DATA!M1542,"AAAAADp+/2s=")</f>
        <v>1</v>
      </c>
      <c r="DE202" t="b">
        <f>AND(DATA!N1542,"AAAAADp+/2w=")</f>
        <v>1</v>
      </c>
      <c r="DF202" t="b">
        <f>AND(DATA!O1542,"AAAAADp+/20=")</f>
        <v>1</v>
      </c>
      <c r="DG202" t="b">
        <f>AND(DATA!P1542,"AAAAADp+/24=")</f>
        <v>1</v>
      </c>
      <c r="DH202" t="b">
        <f>AND(DATA!Q1542,"AAAAADp+/28=")</f>
        <v>1</v>
      </c>
      <c r="DI202" t="b">
        <f>AND(DATA!R1542,"AAAAADp+/3A=")</f>
        <v>1</v>
      </c>
      <c r="DJ202" t="b">
        <f>AND(DATA!S1542,"AAAAADp+/3E=")</f>
        <v>1</v>
      </c>
      <c r="DK202" t="b">
        <f>AND(DATA!T1542,"AAAAADp+/3I=")</f>
        <v>1</v>
      </c>
      <c r="DL202">
        <f>IF(DATA!1542:1542,"AAAAADp+/3M=",0)</f>
        <v>0</v>
      </c>
      <c r="DM202" t="e">
        <f>AND(DATA!A1542,"AAAAADp+/3Q=")</f>
        <v>#VALUE!</v>
      </c>
      <c r="DN202" t="e">
        <f>AND(DATA!B1542,"AAAAADp+/3U=")</f>
        <v>#VALUE!</v>
      </c>
      <c r="DO202" t="e">
        <f>AND(DATA!C1542,"AAAAADp+/3Y=")</f>
        <v>#VALUE!</v>
      </c>
      <c r="DP202" t="e">
        <f>AND(DATA!D1542,"AAAAADp+/3c=")</f>
        <v>#VALUE!</v>
      </c>
      <c r="DQ202" t="e">
        <f>AND(DATA!E1542,"AAAAADp+/3g=")</f>
        <v>#VALUE!</v>
      </c>
      <c r="DR202" t="e">
        <f>AND(DATA!F1542,"AAAAADp+/3k=")</f>
        <v>#VALUE!</v>
      </c>
      <c r="DS202" t="e">
        <f>AND(DATA!G1542,"AAAAADp+/3o=")</f>
        <v>#VALUE!</v>
      </c>
      <c r="DT202" t="e">
        <f>AND(DATA!H1542,"AAAAADp+/3s=")</f>
        <v>#VALUE!</v>
      </c>
      <c r="DU202" t="e">
        <f>AND(DATA!I1542,"AAAAADp+/3w=")</f>
        <v>#VALUE!</v>
      </c>
      <c r="DV202" t="e">
        <f>AND(DATA!J1542,"AAAAADp+/30=")</f>
        <v>#VALUE!</v>
      </c>
      <c r="DW202" t="e">
        <f>AND(DATA!K1542,"AAAAADp+/34=")</f>
        <v>#VALUE!</v>
      </c>
      <c r="DX202" t="b">
        <f>AND(DATA!L1543,"AAAAADp+/38=")</f>
        <v>1</v>
      </c>
      <c r="DY202" t="b">
        <f>AND(DATA!M1543,"AAAAADp+/4A=")</f>
        <v>1</v>
      </c>
      <c r="DZ202" t="b">
        <f>AND(DATA!N1543,"AAAAADp+/4E=")</f>
        <v>1</v>
      </c>
      <c r="EA202" t="b">
        <f>AND(DATA!O1543,"AAAAADp+/4I=")</f>
        <v>1</v>
      </c>
      <c r="EB202" t="b">
        <f>AND(DATA!P1543,"AAAAADp+/4M=")</f>
        <v>1</v>
      </c>
      <c r="EC202" t="b">
        <f>AND(DATA!Q1543,"AAAAADp+/4Q=")</f>
        <v>1</v>
      </c>
      <c r="ED202" t="b">
        <f>AND(DATA!R1543,"AAAAADp+/4U=")</f>
        <v>1</v>
      </c>
      <c r="EE202" t="b">
        <f>AND(DATA!S1543,"AAAAADp+/4Y=")</f>
        <v>1</v>
      </c>
      <c r="EF202" t="b">
        <f>AND(DATA!T1543,"AAAAADp+/4c=")</f>
        <v>1</v>
      </c>
      <c r="EG202">
        <f>IF(DATA!1543:1543,"AAAAADp+/4g=",0)</f>
        <v>0</v>
      </c>
      <c r="EH202" t="e">
        <f>AND(DATA!A1543,"AAAAADp+/4k=")</f>
        <v>#VALUE!</v>
      </c>
      <c r="EI202" t="e">
        <f>AND(DATA!B1543,"AAAAADp+/4o=")</f>
        <v>#VALUE!</v>
      </c>
      <c r="EJ202" t="e">
        <f>AND(DATA!C1543,"AAAAADp+/4s=")</f>
        <v>#VALUE!</v>
      </c>
      <c r="EK202" t="e">
        <f>AND(DATA!D1543,"AAAAADp+/4w=")</f>
        <v>#VALUE!</v>
      </c>
      <c r="EL202" t="e">
        <f>AND(DATA!E1543,"AAAAADp+/40=")</f>
        <v>#VALUE!</v>
      </c>
      <c r="EM202" t="e">
        <f>AND(DATA!F1543,"AAAAADp+/44=")</f>
        <v>#VALUE!</v>
      </c>
      <c r="EN202" t="e">
        <f>AND(DATA!G1543,"AAAAADp+/48=")</f>
        <v>#VALUE!</v>
      </c>
      <c r="EO202" t="e">
        <f>AND(DATA!H1543,"AAAAADp+/5A=")</f>
        <v>#VALUE!</v>
      </c>
      <c r="EP202" t="e">
        <f>AND(DATA!I1543,"AAAAADp+/5E=")</f>
        <v>#VALUE!</v>
      </c>
      <c r="EQ202" t="e">
        <f>AND(DATA!J1543,"AAAAADp+/5I=")</f>
        <v>#VALUE!</v>
      </c>
      <c r="ER202" t="e">
        <f>AND(DATA!K1543,"AAAAADp+/5M=")</f>
        <v>#VALUE!</v>
      </c>
      <c r="ES202" t="b">
        <f>AND(DATA!L1544,"AAAAADp+/5Q=")</f>
        <v>1</v>
      </c>
      <c r="ET202" t="b">
        <f>AND(DATA!M1544,"AAAAADp+/5U=")</f>
        <v>1</v>
      </c>
      <c r="EU202" t="b">
        <f>AND(DATA!N1544,"AAAAADp+/5Y=")</f>
        <v>1</v>
      </c>
      <c r="EV202" t="b">
        <f>AND(DATA!O1544,"AAAAADp+/5c=")</f>
        <v>1</v>
      </c>
      <c r="EW202" t="b">
        <f>AND(DATA!P1544,"AAAAADp+/5g=")</f>
        <v>1</v>
      </c>
      <c r="EX202" t="b">
        <f>AND(DATA!Q1544,"AAAAADp+/5k=")</f>
        <v>1</v>
      </c>
      <c r="EY202" t="b">
        <f>AND(DATA!R1544,"AAAAADp+/5o=")</f>
        <v>1</v>
      </c>
      <c r="EZ202" t="b">
        <f>AND(DATA!S1544,"AAAAADp+/5s=")</f>
        <v>1</v>
      </c>
      <c r="FA202" t="b">
        <f>AND(DATA!T1544,"AAAAADp+/5w=")</f>
        <v>1</v>
      </c>
      <c r="FB202">
        <f>IF(DATA!1544:1544,"AAAAADp+/50=",0)</f>
        <v>0</v>
      </c>
      <c r="FC202" t="e">
        <f>AND(DATA!A1544,"AAAAADp+/54=")</f>
        <v>#VALUE!</v>
      </c>
      <c r="FD202" t="e">
        <f>AND(DATA!B1544,"AAAAADp+/58=")</f>
        <v>#VALUE!</v>
      </c>
      <c r="FE202" t="e">
        <f>AND(DATA!C1544,"AAAAADp+/6A=")</f>
        <v>#VALUE!</v>
      </c>
      <c r="FF202" t="e">
        <f>AND(DATA!D1544,"AAAAADp+/6E=")</f>
        <v>#VALUE!</v>
      </c>
      <c r="FG202" t="e">
        <f>AND(DATA!E1544,"AAAAADp+/6I=")</f>
        <v>#VALUE!</v>
      </c>
      <c r="FH202" t="e">
        <f>AND(DATA!F1544,"AAAAADp+/6M=")</f>
        <v>#VALUE!</v>
      </c>
      <c r="FI202" t="e">
        <f>AND(DATA!G1544,"AAAAADp+/6Q=")</f>
        <v>#VALUE!</v>
      </c>
      <c r="FJ202" t="e">
        <f>AND(DATA!H1544,"AAAAADp+/6U=")</f>
        <v>#VALUE!</v>
      </c>
      <c r="FK202" t="e">
        <f>AND(DATA!I1544,"AAAAADp+/6Y=")</f>
        <v>#VALUE!</v>
      </c>
      <c r="FL202" t="e">
        <f>AND(DATA!J1544,"AAAAADp+/6c=")</f>
        <v>#VALUE!</v>
      </c>
      <c r="FM202" t="e">
        <f>AND(DATA!K1544,"AAAAADp+/6g=")</f>
        <v>#VALUE!</v>
      </c>
      <c r="FN202" t="b">
        <f>AND(DATA!L1545,"AAAAADp+/6k=")</f>
        <v>1</v>
      </c>
      <c r="FO202" t="b">
        <f>AND(DATA!M1545,"AAAAADp+/6o=")</f>
        <v>1</v>
      </c>
      <c r="FP202" t="b">
        <f>AND(DATA!N1545,"AAAAADp+/6s=")</f>
        <v>1</v>
      </c>
      <c r="FQ202" t="b">
        <f>AND(DATA!O1545,"AAAAADp+/6w=")</f>
        <v>1</v>
      </c>
      <c r="FR202" t="b">
        <f>AND(DATA!P1545,"AAAAADp+/60=")</f>
        <v>1</v>
      </c>
      <c r="FS202" t="b">
        <f>AND(DATA!Q1545,"AAAAADp+/64=")</f>
        <v>1</v>
      </c>
      <c r="FT202" t="b">
        <f>AND(DATA!R1545,"AAAAADp+/68=")</f>
        <v>1</v>
      </c>
      <c r="FU202" t="b">
        <f>AND(DATA!S1545,"AAAAADp+/7A=")</f>
        <v>1</v>
      </c>
      <c r="FV202" t="b">
        <f>AND(DATA!T1545,"AAAAADp+/7E=")</f>
        <v>1</v>
      </c>
      <c r="FW202">
        <f>IF(DATA!1545:1545,"AAAAADp+/7I=",0)</f>
        <v>0</v>
      </c>
      <c r="FX202" t="e">
        <f>AND(DATA!A1545,"AAAAADp+/7M=")</f>
        <v>#VALUE!</v>
      </c>
      <c r="FY202" t="e">
        <f>AND(DATA!B1545,"AAAAADp+/7Q=")</f>
        <v>#VALUE!</v>
      </c>
      <c r="FZ202" t="e">
        <f>AND(DATA!C1545,"AAAAADp+/7U=")</f>
        <v>#VALUE!</v>
      </c>
      <c r="GA202" t="e">
        <f>AND(DATA!D1545,"AAAAADp+/7Y=")</f>
        <v>#VALUE!</v>
      </c>
      <c r="GB202" t="e">
        <f>AND(DATA!E1545,"AAAAADp+/7c=")</f>
        <v>#VALUE!</v>
      </c>
      <c r="GC202" t="e">
        <f>AND(DATA!F1545,"AAAAADp+/7g=")</f>
        <v>#VALUE!</v>
      </c>
      <c r="GD202" t="e">
        <f>AND(DATA!G1545,"AAAAADp+/7k=")</f>
        <v>#VALUE!</v>
      </c>
      <c r="GE202" t="e">
        <f>AND(DATA!H1545,"AAAAADp+/7o=")</f>
        <v>#VALUE!</v>
      </c>
      <c r="GF202" t="e">
        <f>AND(DATA!I1545,"AAAAADp+/7s=")</f>
        <v>#VALUE!</v>
      </c>
      <c r="GG202" t="e">
        <f>AND(DATA!J1545,"AAAAADp+/7w=")</f>
        <v>#VALUE!</v>
      </c>
      <c r="GH202" t="e">
        <f>AND(DATA!K1545,"AAAAADp+/70=")</f>
        <v>#VALUE!</v>
      </c>
      <c r="GI202" t="b">
        <f>AND(DATA!L1546,"AAAAADp+/74=")</f>
        <v>1</v>
      </c>
      <c r="GJ202" t="b">
        <f>AND(DATA!M1546,"AAAAADp+/78=")</f>
        <v>1</v>
      </c>
      <c r="GK202" t="b">
        <f>AND(DATA!N1546,"AAAAADp+/8A=")</f>
        <v>1</v>
      </c>
      <c r="GL202" t="b">
        <f>AND(DATA!O1546,"AAAAADp+/8E=")</f>
        <v>1</v>
      </c>
      <c r="GM202" t="b">
        <f>AND(DATA!P1546,"AAAAADp+/8I=")</f>
        <v>1</v>
      </c>
      <c r="GN202" t="b">
        <f>AND(DATA!Q1546,"AAAAADp+/8M=")</f>
        <v>1</v>
      </c>
      <c r="GO202" t="b">
        <f>AND(DATA!R1546,"AAAAADp+/8Q=")</f>
        <v>1</v>
      </c>
      <c r="GP202" t="b">
        <f>AND(DATA!S1546,"AAAAADp+/8U=")</f>
        <v>1</v>
      </c>
      <c r="GQ202" t="b">
        <f>AND(DATA!T1546,"AAAAADp+/8Y=")</f>
        <v>1</v>
      </c>
      <c r="GR202">
        <f>IF(DATA!1546:1546,"AAAAADp+/8c=",0)</f>
        <v>0</v>
      </c>
      <c r="GS202" t="e">
        <f>AND(DATA!A1546,"AAAAADp+/8g=")</f>
        <v>#VALUE!</v>
      </c>
      <c r="GT202" t="e">
        <f>AND(DATA!B1546,"AAAAADp+/8k=")</f>
        <v>#VALUE!</v>
      </c>
      <c r="GU202" t="e">
        <f>AND(DATA!C1546,"AAAAADp+/8o=")</f>
        <v>#VALUE!</v>
      </c>
      <c r="GV202" t="e">
        <f>AND(DATA!D1546,"AAAAADp+/8s=")</f>
        <v>#VALUE!</v>
      </c>
      <c r="GW202" t="e">
        <f>AND(DATA!E1546,"AAAAADp+/8w=")</f>
        <v>#VALUE!</v>
      </c>
      <c r="GX202" t="e">
        <f>AND(DATA!F1546,"AAAAADp+/80=")</f>
        <v>#VALUE!</v>
      </c>
      <c r="GY202" t="e">
        <f>AND(DATA!G1546,"AAAAADp+/84=")</f>
        <v>#VALUE!</v>
      </c>
      <c r="GZ202" t="e">
        <f>AND(DATA!H1546,"AAAAADp+/88=")</f>
        <v>#VALUE!</v>
      </c>
      <c r="HA202" t="e">
        <f>AND(DATA!I1546,"AAAAADp+/9A=")</f>
        <v>#VALUE!</v>
      </c>
      <c r="HB202" t="e">
        <f>AND(DATA!J1546,"AAAAADp+/9E=")</f>
        <v>#VALUE!</v>
      </c>
      <c r="HC202" t="e">
        <f>AND(DATA!K1546,"AAAAADp+/9I=")</f>
        <v>#VALUE!</v>
      </c>
      <c r="HD202" t="b">
        <f>AND(DATA!L1547,"AAAAADp+/9M=")</f>
        <v>1</v>
      </c>
      <c r="HE202" t="b">
        <f>AND(DATA!M1547,"AAAAADp+/9Q=")</f>
        <v>1</v>
      </c>
      <c r="HF202" t="b">
        <f>AND(DATA!N1547,"AAAAADp+/9U=")</f>
        <v>1</v>
      </c>
      <c r="HG202" t="b">
        <f>AND(DATA!O1547,"AAAAADp+/9Y=")</f>
        <v>1</v>
      </c>
      <c r="HH202" t="b">
        <f>AND(DATA!P1547,"AAAAADp+/9c=")</f>
        <v>1</v>
      </c>
      <c r="HI202" t="b">
        <f>AND(DATA!Q1547,"AAAAADp+/9g=")</f>
        <v>1</v>
      </c>
      <c r="HJ202" t="b">
        <f>AND(DATA!R1547,"AAAAADp+/9k=")</f>
        <v>1</v>
      </c>
      <c r="HK202" t="b">
        <f>AND(DATA!S1547,"AAAAADp+/9o=")</f>
        <v>1</v>
      </c>
      <c r="HL202" t="b">
        <f>AND(DATA!T1547,"AAAAADp+/9s=")</f>
        <v>1</v>
      </c>
      <c r="HM202">
        <f>IF(DATA!1547:1547,"AAAAADp+/9w=",0)</f>
        <v>0</v>
      </c>
      <c r="HN202" t="e">
        <f>AND(DATA!A1547,"AAAAADp+/90=")</f>
        <v>#VALUE!</v>
      </c>
      <c r="HO202" t="e">
        <f>AND(DATA!B1547,"AAAAADp+/94=")</f>
        <v>#VALUE!</v>
      </c>
      <c r="HP202" t="e">
        <f>AND(DATA!C1547,"AAAAADp+/98=")</f>
        <v>#VALUE!</v>
      </c>
      <c r="HQ202" t="e">
        <f>AND(DATA!D1547,"AAAAADp+/+A=")</f>
        <v>#VALUE!</v>
      </c>
      <c r="HR202" t="e">
        <f>AND(DATA!E1547,"AAAAADp+/+E=")</f>
        <v>#VALUE!</v>
      </c>
      <c r="HS202" t="e">
        <f>AND(DATA!F1547,"AAAAADp+/+I=")</f>
        <v>#VALUE!</v>
      </c>
      <c r="HT202" t="e">
        <f>AND(DATA!G1547,"AAAAADp+/+M=")</f>
        <v>#VALUE!</v>
      </c>
      <c r="HU202" t="e">
        <f>AND(DATA!H1547,"AAAAADp+/+Q=")</f>
        <v>#VALUE!</v>
      </c>
      <c r="HV202" t="e">
        <f>AND(DATA!I1547,"AAAAADp+/+U=")</f>
        <v>#VALUE!</v>
      </c>
      <c r="HW202" t="e">
        <f>AND(DATA!J1547,"AAAAADp+/+Y=")</f>
        <v>#VALUE!</v>
      </c>
      <c r="HX202" t="e">
        <f>AND(DATA!K1547,"AAAAADp+/+c=")</f>
        <v>#VALUE!</v>
      </c>
      <c r="HY202" t="b">
        <f>AND(DATA!L1548,"AAAAADp+/+g=")</f>
        <v>1</v>
      </c>
      <c r="HZ202" t="b">
        <f>AND(DATA!M1548,"AAAAADp+/+k=")</f>
        <v>1</v>
      </c>
      <c r="IA202" t="b">
        <f>AND(DATA!N1548,"AAAAADp+/+o=")</f>
        <v>1</v>
      </c>
      <c r="IB202" t="b">
        <f>AND(DATA!O1548,"AAAAADp+/+s=")</f>
        <v>1</v>
      </c>
      <c r="IC202" t="b">
        <f>AND(DATA!P1548,"AAAAADp+/+w=")</f>
        <v>1</v>
      </c>
      <c r="ID202" t="b">
        <f>AND(DATA!Q1548,"AAAAADp+/+0=")</f>
        <v>1</v>
      </c>
      <c r="IE202" t="b">
        <f>AND(DATA!R1548,"AAAAADp+/+4=")</f>
        <v>1</v>
      </c>
      <c r="IF202" t="b">
        <f>AND(DATA!S1548,"AAAAADp+/+8=")</f>
        <v>1</v>
      </c>
      <c r="IG202" t="b">
        <f>AND(DATA!T1548,"AAAAADp+//A=")</f>
        <v>1</v>
      </c>
      <c r="IH202">
        <f>IF(DATA!1548:1548,"AAAAADp+//E=",0)</f>
        <v>0</v>
      </c>
      <c r="II202" t="e">
        <f>AND(DATA!A1548,"AAAAADp+//I=")</f>
        <v>#VALUE!</v>
      </c>
      <c r="IJ202" t="e">
        <f>AND(DATA!B1548,"AAAAADp+//M=")</f>
        <v>#VALUE!</v>
      </c>
      <c r="IK202" t="e">
        <f>AND(DATA!C1548,"AAAAADp+//Q=")</f>
        <v>#VALUE!</v>
      </c>
      <c r="IL202" t="e">
        <f>AND(DATA!D1548,"AAAAADp+//U=")</f>
        <v>#VALUE!</v>
      </c>
      <c r="IM202" t="e">
        <f>AND(DATA!E1548,"AAAAADp+//Y=")</f>
        <v>#VALUE!</v>
      </c>
      <c r="IN202" t="e">
        <f>AND(DATA!F1548,"AAAAADp+//c=")</f>
        <v>#VALUE!</v>
      </c>
      <c r="IO202" t="e">
        <f>AND(DATA!G1548,"AAAAADp+//g=")</f>
        <v>#VALUE!</v>
      </c>
      <c r="IP202" t="e">
        <f>AND(DATA!H1548,"AAAAADp+//k=")</f>
        <v>#VALUE!</v>
      </c>
      <c r="IQ202" t="e">
        <f>AND(DATA!I1548,"AAAAADp+//o=")</f>
        <v>#VALUE!</v>
      </c>
      <c r="IR202" t="e">
        <f>AND(DATA!J1548,"AAAAADp+//s=")</f>
        <v>#VALUE!</v>
      </c>
      <c r="IS202" t="e">
        <f>AND(DATA!K1548,"AAAAADp+//w=")</f>
        <v>#VALUE!</v>
      </c>
      <c r="IT202" t="b">
        <f>AND(DATA!L1549,"AAAAADp+//0=")</f>
        <v>1</v>
      </c>
      <c r="IU202" t="b">
        <f>AND(DATA!M1549,"AAAAADp+//4=")</f>
        <v>1</v>
      </c>
      <c r="IV202" t="b">
        <f>AND(DATA!N1549,"AAAAADp+//8=")</f>
        <v>1</v>
      </c>
    </row>
    <row r="203" spans="1:256" x14ac:dyDescent="0.25">
      <c r="A203" t="b">
        <f>AND(DATA!O1549,"AAAAADe/1gA=")</f>
        <v>1</v>
      </c>
      <c r="B203" t="b">
        <f>AND(DATA!P1549,"AAAAADe/1gE=")</f>
        <v>1</v>
      </c>
      <c r="C203" t="b">
        <f>AND(DATA!Q1549,"AAAAADe/1gI=")</f>
        <v>1</v>
      </c>
      <c r="D203" t="b">
        <f>AND(DATA!R1549,"AAAAADe/1gM=")</f>
        <v>1</v>
      </c>
      <c r="E203" t="b">
        <f>AND(DATA!S1549,"AAAAADe/1gQ=")</f>
        <v>1</v>
      </c>
      <c r="F203" t="b">
        <f>AND(DATA!T1549,"AAAAADe/1gU=")</f>
        <v>1</v>
      </c>
      <c r="G203">
        <f>IF(DATA!1549:1549,"AAAAADe/1gY=",0)</f>
        <v>0</v>
      </c>
      <c r="H203" t="e">
        <f>AND(DATA!A1549,"AAAAADe/1gc=")</f>
        <v>#VALUE!</v>
      </c>
      <c r="I203" t="e">
        <f>AND(DATA!B1549,"AAAAADe/1gg=")</f>
        <v>#VALUE!</v>
      </c>
      <c r="J203" t="e">
        <f>AND(DATA!C1549,"AAAAADe/1gk=")</f>
        <v>#VALUE!</v>
      </c>
      <c r="K203" t="e">
        <f>AND(DATA!D1549,"AAAAADe/1go=")</f>
        <v>#VALUE!</v>
      </c>
      <c r="L203" t="e">
        <f>AND(DATA!E1549,"AAAAADe/1gs=")</f>
        <v>#VALUE!</v>
      </c>
      <c r="M203" t="e">
        <f>AND(DATA!F1549,"AAAAADe/1gw=")</f>
        <v>#VALUE!</v>
      </c>
      <c r="N203" t="e">
        <f>AND(DATA!G1549,"AAAAADe/1g0=")</f>
        <v>#VALUE!</v>
      </c>
      <c r="O203" t="e">
        <f>AND(DATA!H1549,"AAAAADe/1g4=")</f>
        <v>#VALUE!</v>
      </c>
      <c r="P203" t="e">
        <f>AND(DATA!I1549,"AAAAADe/1g8=")</f>
        <v>#VALUE!</v>
      </c>
      <c r="Q203" t="e">
        <f>AND(DATA!J1549,"AAAAADe/1hA=")</f>
        <v>#VALUE!</v>
      </c>
      <c r="R203" t="e">
        <f>AND(DATA!K1549,"AAAAADe/1hE=")</f>
        <v>#VALUE!</v>
      </c>
      <c r="S203" t="b">
        <f>AND(DATA!L1550,"AAAAADe/1hI=")</f>
        <v>1</v>
      </c>
      <c r="T203" t="b">
        <f>AND(DATA!M1550,"AAAAADe/1hM=")</f>
        <v>1</v>
      </c>
      <c r="U203" t="b">
        <f>AND(DATA!N1550,"AAAAADe/1hQ=")</f>
        <v>1</v>
      </c>
      <c r="V203" t="b">
        <f>AND(DATA!O1550,"AAAAADe/1hU=")</f>
        <v>1</v>
      </c>
      <c r="W203" t="b">
        <f>AND(DATA!P1550,"AAAAADe/1hY=")</f>
        <v>1</v>
      </c>
      <c r="X203" t="b">
        <f>AND(DATA!Q1550,"AAAAADe/1hc=")</f>
        <v>1</v>
      </c>
      <c r="Y203" t="b">
        <f>AND(DATA!R1550,"AAAAADe/1hg=")</f>
        <v>1</v>
      </c>
      <c r="Z203" t="b">
        <f>AND(DATA!S1550,"AAAAADe/1hk=")</f>
        <v>1</v>
      </c>
      <c r="AA203" t="b">
        <f>AND(DATA!T1550,"AAAAADe/1ho=")</f>
        <v>1</v>
      </c>
      <c r="AB203">
        <f>IF(DATA!1550:1550,"AAAAADe/1hs=",0)</f>
        <v>0</v>
      </c>
      <c r="AC203" t="e">
        <f>AND(DATA!A1550,"AAAAADe/1hw=")</f>
        <v>#VALUE!</v>
      </c>
      <c r="AD203" t="e">
        <f>AND(DATA!B1550,"AAAAADe/1h0=")</f>
        <v>#VALUE!</v>
      </c>
      <c r="AE203" t="e">
        <f>AND(DATA!C1550,"AAAAADe/1h4=")</f>
        <v>#VALUE!</v>
      </c>
      <c r="AF203" t="e">
        <f>AND(DATA!D1550,"AAAAADe/1h8=")</f>
        <v>#VALUE!</v>
      </c>
      <c r="AG203" t="e">
        <f>AND(DATA!E1550,"AAAAADe/1iA=")</f>
        <v>#VALUE!</v>
      </c>
      <c r="AH203" t="e">
        <f>AND(DATA!F1550,"AAAAADe/1iE=")</f>
        <v>#VALUE!</v>
      </c>
      <c r="AI203" t="e">
        <f>AND(DATA!G1550,"AAAAADe/1iI=")</f>
        <v>#VALUE!</v>
      </c>
      <c r="AJ203" t="e">
        <f>AND(DATA!H1550,"AAAAADe/1iM=")</f>
        <v>#VALUE!</v>
      </c>
      <c r="AK203" t="e">
        <f>AND(DATA!I1550,"AAAAADe/1iQ=")</f>
        <v>#VALUE!</v>
      </c>
      <c r="AL203" t="e">
        <f>AND(DATA!J1550,"AAAAADe/1iU=")</f>
        <v>#VALUE!</v>
      </c>
      <c r="AM203" t="e">
        <f>AND(DATA!K1550,"AAAAADe/1iY=")</f>
        <v>#VALUE!</v>
      </c>
      <c r="AN203" t="b">
        <f>AND(DATA!L1551,"AAAAADe/1ic=")</f>
        <v>1</v>
      </c>
      <c r="AO203" t="b">
        <f>AND(DATA!M1551,"AAAAADe/1ig=")</f>
        <v>1</v>
      </c>
      <c r="AP203" t="b">
        <f>AND(DATA!N1551,"AAAAADe/1ik=")</f>
        <v>1</v>
      </c>
      <c r="AQ203" t="b">
        <f>AND(DATA!O1551,"AAAAADe/1io=")</f>
        <v>1</v>
      </c>
      <c r="AR203" t="b">
        <f>AND(DATA!P1551,"AAAAADe/1is=")</f>
        <v>1</v>
      </c>
      <c r="AS203" t="b">
        <f>AND(DATA!Q1551,"AAAAADe/1iw=")</f>
        <v>1</v>
      </c>
      <c r="AT203" t="b">
        <f>AND(DATA!R1551,"AAAAADe/1i0=")</f>
        <v>1</v>
      </c>
      <c r="AU203" t="b">
        <f>AND(DATA!S1551,"AAAAADe/1i4=")</f>
        <v>1</v>
      </c>
      <c r="AV203" t="b">
        <f>AND(DATA!T1551,"AAAAADe/1i8=")</f>
        <v>1</v>
      </c>
      <c r="AW203">
        <f>IF(DATA!1551:1551,"AAAAADe/1jA=",0)</f>
        <v>0</v>
      </c>
      <c r="AX203" t="e">
        <f>AND(DATA!A1551,"AAAAADe/1jE=")</f>
        <v>#VALUE!</v>
      </c>
      <c r="AY203" t="e">
        <f>AND(DATA!B1551,"AAAAADe/1jI=")</f>
        <v>#VALUE!</v>
      </c>
      <c r="AZ203" t="e">
        <f>AND(DATA!C1551,"AAAAADe/1jM=")</f>
        <v>#VALUE!</v>
      </c>
      <c r="BA203" t="e">
        <f>AND(DATA!D1551,"AAAAADe/1jQ=")</f>
        <v>#VALUE!</v>
      </c>
      <c r="BB203" t="e">
        <f>AND(DATA!E1551,"AAAAADe/1jU=")</f>
        <v>#VALUE!</v>
      </c>
      <c r="BC203" t="e">
        <f>AND(DATA!F1551,"AAAAADe/1jY=")</f>
        <v>#VALUE!</v>
      </c>
      <c r="BD203" t="e">
        <f>AND(DATA!G1551,"AAAAADe/1jc=")</f>
        <v>#VALUE!</v>
      </c>
      <c r="BE203" t="e">
        <f>AND(DATA!H1551,"AAAAADe/1jg=")</f>
        <v>#VALUE!</v>
      </c>
      <c r="BF203" t="e">
        <f>AND(DATA!I1551,"AAAAADe/1jk=")</f>
        <v>#VALUE!</v>
      </c>
      <c r="BG203" t="e">
        <f>AND(DATA!J1551,"AAAAADe/1jo=")</f>
        <v>#VALUE!</v>
      </c>
      <c r="BH203" t="e">
        <f>AND(DATA!K1551,"AAAAADe/1js=")</f>
        <v>#VALUE!</v>
      </c>
      <c r="BI203" t="b">
        <f>AND(DATA!L1552,"AAAAADe/1jw=")</f>
        <v>1</v>
      </c>
      <c r="BJ203" t="b">
        <f>AND(DATA!M1552,"AAAAADe/1j0=")</f>
        <v>1</v>
      </c>
      <c r="BK203" t="b">
        <f>AND(DATA!N1552,"AAAAADe/1j4=")</f>
        <v>1</v>
      </c>
      <c r="BL203" t="b">
        <f>AND(DATA!O1552,"AAAAADe/1j8=")</f>
        <v>1</v>
      </c>
      <c r="BM203" t="b">
        <f>AND(DATA!P1552,"AAAAADe/1kA=")</f>
        <v>1</v>
      </c>
      <c r="BN203" t="b">
        <f>AND(DATA!Q1552,"AAAAADe/1kE=")</f>
        <v>1</v>
      </c>
      <c r="BO203" t="b">
        <f>AND(DATA!R1552,"AAAAADe/1kI=")</f>
        <v>1</v>
      </c>
      <c r="BP203" t="b">
        <f>AND(DATA!S1552,"AAAAADe/1kM=")</f>
        <v>1</v>
      </c>
      <c r="BQ203" t="b">
        <f>AND(DATA!T1552,"AAAAADe/1kQ=")</f>
        <v>1</v>
      </c>
      <c r="BR203">
        <f>IF(DATA!1552:1552,"AAAAADe/1kU=",0)</f>
        <v>0</v>
      </c>
      <c r="BS203" t="e">
        <f>AND(DATA!A1552,"AAAAADe/1kY=")</f>
        <v>#VALUE!</v>
      </c>
      <c r="BT203" t="e">
        <f>AND(DATA!B1552,"AAAAADe/1kc=")</f>
        <v>#VALUE!</v>
      </c>
      <c r="BU203" t="e">
        <f>AND(DATA!C1552,"AAAAADe/1kg=")</f>
        <v>#VALUE!</v>
      </c>
      <c r="BV203" t="e">
        <f>AND(DATA!D1552,"AAAAADe/1kk=")</f>
        <v>#VALUE!</v>
      </c>
      <c r="BW203" t="e">
        <f>AND(DATA!E1552,"AAAAADe/1ko=")</f>
        <v>#VALUE!</v>
      </c>
      <c r="BX203" t="e">
        <f>AND(DATA!F1552,"AAAAADe/1ks=")</f>
        <v>#VALUE!</v>
      </c>
      <c r="BY203" t="e">
        <f>AND(DATA!G1552,"AAAAADe/1kw=")</f>
        <v>#VALUE!</v>
      </c>
      <c r="BZ203" t="e">
        <f>AND(DATA!H1552,"AAAAADe/1k0=")</f>
        <v>#VALUE!</v>
      </c>
      <c r="CA203" t="e">
        <f>AND(DATA!I1552,"AAAAADe/1k4=")</f>
        <v>#VALUE!</v>
      </c>
      <c r="CB203" t="e">
        <f>AND(DATA!J1552,"AAAAADe/1k8=")</f>
        <v>#VALUE!</v>
      </c>
      <c r="CC203" t="e">
        <f>AND(DATA!K1552,"AAAAADe/1lA=")</f>
        <v>#VALUE!</v>
      </c>
      <c r="CD203" t="b">
        <f>AND(DATA!L1553,"AAAAADe/1lE=")</f>
        <v>1</v>
      </c>
      <c r="CE203" t="b">
        <f>AND(DATA!M1553,"AAAAADe/1lI=")</f>
        <v>1</v>
      </c>
      <c r="CF203" t="b">
        <f>AND(DATA!N1553,"AAAAADe/1lM=")</f>
        <v>1</v>
      </c>
      <c r="CG203" t="b">
        <f>AND(DATA!O1553,"AAAAADe/1lQ=")</f>
        <v>1</v>
      </c>
      <c r="CH203" t="b">
        <f>AND(DATA!P1553,"AAAAADe/1lU=")</f>
        <v>1</v>
      </c>
      <c r="CI203" t="b">
        <f>AND(DATA!Q1553,"AAAAADe/1lY=")</f>
        <v>1</v>
      </c>
      <c r="CJ203" t="b">
        <f>AND(DATA!R1553,"AAAAADe/1lc=")</f>
        <v>1</v>
      </c>
      <c r="CK203" t="b">
        <f>AND(DATA!S1553,"AAAAADe/1lg=")</f>
        <v>1</v>
      </c>
      <c r="CL203" t="b">
        <f>AND(DATA!T1553,"AAAAADe/1lk=")</f>
        <v>1</v>
      </c>
      <c r="CM203">
        <f>IF(DATA!1553:1553,"AAAAADe/1lo=",0)</f>
        <v>0</v>
      </c>
      <c r="CN203" t="e">
        <f>AND(DATA!A1553,"AAAAADe/1ls=")</f>
        <v>#VALUE!</v>
      </c>
      <c r="CO203" t="e">
        <f>AND(DATA!B1553,"AAAAADe/1lw=")</f>
        <v>#VALUE!</v>
      </c>
      <c r="CP203" t="e">
        <f>AND(DATA!C1553,"AAAAADe/1l0=")</f>
        <v>#VALUE!</v>
      </c>
      <c r="CQ203" t="e">
        <f>AND(DATA!D1553,"AAAAADe/1l4=")</f>
        <v>#VALUE!</v>
      </c>
      <c r="CR203" t="e">
        <f>AND(DATA!E1553,"AAAAADe/1l8=")</f>
        <v>#VALUE!</v>
      </c>
      <c r="CS203" t="e">
        <f>AND(DATA!F1553,"AAAAADe/1mA=")</f>
        <v>#VALUE!</v>
      </c>
      <c r="CT203" t="e">
        <f>AND(DATA!G1553,"AAAAADe/1mE=")</f>
        <v>#VALUE!</v>
      </c>
      <c r="CU203" t="e">
        <f>AND(DATA!H1553,"AAAAADe/1mI=")</f>
        <v>#VALUE!</v>
      </c>
      <c r="CV203" t="e">
        <f>AND(DATA!I1553,"AAAAADe/1mM=")</f>
        <v>#VALUE!</v>
      </c>
      <c r="CW203" t="e">
        <f>AND(DATA!J1553,"AAAAADe/1mQ=")</f>
        <v>#VALUE!</v>
      </c>
      <c r="CX203" t="e">
        <f>AND(DATA!K1553,"AAAAADe/1mU=")</f>
        <v>#VALUE!</v>
      </c>
      <c r="CY203" t="b">
        <f>AND(DATA!L1554,"AAAAADe/1mY=")</f>
        <v>1</v>
      </c>
      <c r="CZ203" t="b">
        <f>AND(DATA!M1554,"AAAAADe/1mc=")</f>
        <v>1</v>
      </c>
      <c r="DA203" t="b">
        <f>AND(DATA!N1554,"AAAAADe/1mg=")</f>
        <v>1</v>
      </c>
      <c r="DB203" t="b">
        <f>AND(DATA!O1554,"AAAAADe/1mk=")</f>
        <v>1</v>
      </c>
      <c r="DC203" t="b">
        <f>AND(DATA!P1554,"AAAAADe/1mo=")</f>
        <v>1</v>
      </c>
      <c r="DD203" t="b">
        <f>AND(DATA!Q1554,"AAAAADe/1ms=")</f>
        <v>1</v>
      </c>
      <c r="DE203" t="b">
        <f>AND(DATA!R1554,"AAAAADe/1mw=")</f>
        <v>1</v>
      </c>
      <c r="DF203" t="b">
        <f>AND(DATA!S1554,"AAAAADe/1m0=")</f>
        <v>1</v>
      </c>
      <c r="DG203" t="b">
        <f>AND(DATA!T1554,"AAAAADe/1m4=")</f>
        <v>1</v>
      </c>
      <c r="DH203">
        <f>IF(DATA!1554:1554,"AAAAADe/1m8=",0)</f>
        <v>0</v>
      </c>
      <c r="DI203" t="e">
        <f>AND(DATA!A1554,"AAAAADe/1nA=")</f>
        <v>#VALUE!</v>
      </c>
      <c r="DJ203" t="e">
        <f>AND(DATA!B1554,"AAAAADe/1nE=")</f>
        <v>#VALUE!</v>
      </c>
      <c r="DK203" t="e">
        <f>AND(DATA!C1554,"AAAAADe/1nI=")</f>
        <v>#VALUE!</v>
      </c>
      <c r="DL203" t="e">
        <f>AND(DATA!D1554,"AAAAADe/1nM=")</f>
        <v>#VALUE!</v>
      </c>
      <c r="DM203" t="e">
        <f>AND(DATA!E1554,"AAAAADe/1nQ=")</f>
        <v>#VALUE!</v>
      </c>
      <c r="DN203" t="e">
        <f>AND(DATA!F1554,"AAAAADe/1nU=")</f>
        <v>#VALUE!</v>
      </c>
      <c r="DO203" t="e">
        <f>AND(DATA!G1554,"AAAAADe/1nY=")</f>
        <v>#VALUE!</v>
      </c>
      <c r="DP203" t="e">
        <f>AND(DATA!H1554,"AAAAADe/1nc=")</f>
        <v>#VALUE!</v>
      </c>
      <c r="DQ203" t="e">
        <f>AND(DATA!I1554,"AAAAADe/1ng=")</f>
        <v>#VALUE!</v>
      </c>
      <c r="DR203" t="e">
        <f>AND(DATA!J1554,"AAAAADe/1nk=")</f>
        <v>#VALUE!</v>
      </c>
      <c r="DS203" t="e">
        <f>AND(DATA!K1554,"AAAAADe/1no=")</f>
        <v>#VALUE!</v>
      </c>
      <c r="DT203" t="b">
        <f>AND(DATA!L1555,"AAAAADe/1ns=")</f>
        <v>1</v>
      </c>
      <c r="DU203" t="b">
        <f>AND(DATA!M1555,"AAAAADe/1nw=")</f>
        <v>1</v>
      </c>
      <c r="DV203" t="b">
        <f>AND(DATA!N1555,"AAAAADe/1n0=")</f>
        <v>1</v>
      </c>
      <c r="DW203" t="b">
        <f>AND(DATA!O1555,"AAAAADe/1n4=")</f>
        <v>1</v>
      </c>
      <c r="DX203" t="b">
        <f>AND(DATA!P1555,"AAAAADe/1n8=")</f>
        <v>1</v>
      </c>
      <c r="DY203" t="b">
        <f>AND(DATA!Q1555,"AAAAADe/1oA=")</f>
        <v>1</v>
      </c>
      <c r="DZ203" t="b">
        <f>AND(DATA!R1555,"AAAAADe/1oE=")</f>
        <v>1</v>
      </c>
      <c r="EA203" t="b">
        <f>AND(DATA!S1555,"AAAAADe/1oI=")</f>
        <v>1</v>
      </c>
      <c r="EB203" t="b">
        <f>AND(DATA!T1555,"AAAAADe/1oM=")</f>
        <v>1</v>
      </c>
      <c r="EC203">
        <f>IF(DATA!1555:1555,"AAAAADe/1oQ=",0)</f>
        <v>0</v>
      </c>
      <c r="ED203" t="e">
        <f>AND(DATA!A1555,"AAAAADe/1oU=")</f>
        <v>#VALUE!</v>
      </c>
      <c r="EE203" t="e">
        <f>AND(DATA!B1555,"AAAAADe/1oY=")</f>
        <v>#VALUE!</v>
      </c>
      <c r="EF203" t="e">
        <f>AND(DATA!C1555,"AAAAADe/1oc=")</f>
        <v>#VALUE!</v>
      </c>
      <c r="EG203" t="e">
        <f>AND(DATA!D1555,"AAAAADe/1og=")</f>
        <v>#VALUE!</v>
      </c>
      <c r="EH203" t="e">
        <f>AND(DATA!E1555,"AAAAADe/1ok=")</f>
        <v>#VALUE!</v>
      </c>
      <c r="EI203" t="e">
        <f>AND(DATA!F1555,"AAAAADe/1oo=")</f>
        <v>#VALUE!</v>
      </c>
      <c r="EJ203" t="e">
        <f>AND(DATA!G1555,"AAAAADe/1os=")</f>
        <v>#VALUE!</v>
      </c>
      <c r="EK203" t="e">
        <f>AND(DATA!H1555,"AAAAADe/1ow=")</f>
        <v>#VALUE!</v>
      </c>
      <c r="EL203" t="e">
        <f>AND(DATA!I1555,"AAAAADe/1o0=")</f>
        <v>#VALUE!</v>
      </c>
      <c r="EM203" t="e">
        <f>AND(DATA!J1555,"AAAAADe/1o4=")</f>
        <v>#VALUE!</v>
      </c>
      <c r="EN203" t="e">
        <f>AND(DATA!K1555,"AAAAADe/1o8=")</f>
        <v>#VALUE!</v>
      </c>
      <c r="EO203" t="b">
        <f>AND(DATA!L1556,"AAAAADe/1pA=")</f>
        <v>1</v>
      </c>
      <c r="EP203" t="b">
        <f>AND(DATA!M1556,"AAAAADe/1pE=")</f>
        <v>1</v>
      </c>
      <c r="EQ203" t="b">
        <f>AND(DATA!N1556,"AAAAADe/1pI=")</f>
        <v>1</v>
      </c>
      <c r="ER203" t="b">
        <f>AND(DATA!O1556,"AAAAADe/1pM=")</f>
        <v>1</v>
      </c>
      <c r="ES203" t="b">
        <f>AND(DATA!P1556,"AAAAADe/1pQ=")</f>
        <v>1</v>
      </c>
      <c r="ET203" t="b">
        <f>AND(DATA!Q1556,"AAAAADe/1pU=")</f>
        <v>1</v>
      </c>
      <c r="EU203" t="b">
        <f>AND(DATA!R1556,"AAAAADe/1pY=")</f>
        <v>1</v>
      </c>
      <c r="EV203" t="b">
        <f>AND(DATA!S1556,"AAAAADe/1pc=")</f>
        <v>1</v>
      </c>
      <c r="EW203" t="b">
        <f>AND(DATA!T1556,"AAAAADe/1pg=")</f>
        <v>1</v>
      </c>
      <c r="EX203">
        <f>IF(DATA!1556:1556,"AAAAADe/1pk=",0)</f>
        <v>0</v>
      </c>
      <c r="EY203" t="e">
        <f>AND(DATA!A1556,"AAAAADe/1po=")</f>
        <v>#VALUE!</v>
      </c>
      <c r="EZ203" t="e">
        <f>AND(DATA!B1556,"AAAAADe/1ps=")</f>
        <v>#VALUE!</v>
      </c>
      <c r="FA203" t="e">
        <f>AND(DATA!C1556,"AAAAADe/1pw=")</f>
        <v>#VALUE!</v>
      </c>
      <c r="FB203" t="e">
        <f>AND(DATA!D1556,"AAAAADe/1p0=")</f>
        <v>#VALUE!</v>
      </c>
      <c r="FC203" t="e">
        <f>AND(DATA!E1556,"AAAAADe/1p4=")</f>
        <v>#VALUE!</v>
      </c>
      <c r="FD203" t="e">
        <f>AND(DATA!F1556,"AAAAADe/1p8=")</f>
        <v>#VALUE!</v>
      </c>
      <c r="FE203" t="e">
        <f>AND(DATA!G1556,"AAAAADe/1qA=")</f>
        <v>#VALUE!</v>
      </c>
      <c r="FF203" t="e">
        <f>AND(DATA!H1556,"AAAAADe/1qE=")</f>
        <v>#VALUE!</v>
      </c>
      <c r="FG203" t="e">
        <f>AND(DATA!I1556,"AAAAADe/1qI=")</f>
        <v>#VALUE!</v>
      </c>
      <c r="FH203" t="e">
        <f>AND(DATA!J1556,"AAAAADe/1qM=")</f>
        <v>#VALUE!</v>
      </c>
      <c r="FI203" t="e">
        <f>AND(DATA!K1556,"AAAAADe/1qQ=")</f>
        <v>#VALUE!</v>
      </c>
      <c r="FJ203" t="b">
        <f>AND(DATA!L1557,"AAAAADe/1qU=")</f>
        <v>1</v>
      </c>
      <c r="FK203" t="b">
        <f>AND(DATA!M1557,"AAAAADe/1qY=")</f>
        <v>1</v>
      </c>
      <c r="FL203" t="b">
        <f>AND(DATA!N1557,"AAAAADe/1qc=")</f>
        <v>1</v>
      </c>
      <c r="FM203" t="b">
        <f>AND(DATA!O1557,"AAAAADe/1qg=")</f>
        <v>1</v>
      </c>
      <c r="FN203" t="b">
        <f>AND(DATA!P1557,"AAAAADe/1qk=")</f>
        <v>1</v>
      </c>
      <c r="FO203" t="b">
        <f>AND(DATA!Q1557,"AAAAADe/1qo=")</f>
        <v>1</v>
      </c>
      <c r="FP203" t="b">
        <f>AND(DATA!R1557,"AAAAADe/1qs=")</f>
        <v>1</v>
      </c>
      <c r="FQ203" t="b">
        <f>AND(DATA!S1557,"AAAAADe/1qw=")</f>
        <v>1</v>
      </c>
      <c r="FR203" t="b">
        <f>AND(DATA!T1557,"AAAAADe/1q0=")</f>
        <v>1</v>
      </c>
      <c r="FS203">
        <f>IF(DATA!1557:1557,"AAAAADe/1q4=",0)</f>
        <v>0</v>
      </c>
      <c r="FT203" t="e">
        <f>AND(DATA!A1557,"AAAAADe/1q8=")</f>
        <v>#VALUE!</v>
      </c>
      <c r="FU203" t="e">
        <f>AND(DATA!B1557,"AAAAADe/1rA=")</f>
        <v>#VALUE!</v>
      </c>
      <c r="FV203" t="e">
        <f>AND(DATA!C1557,"AAAAADe/1rE=")</f>
        <v>#VALUE!</v>
      </c>
      <c r="FW203" t="e">
        <f>AND(DATA!D1557,"AAAAADe/1rI=")</f>
        <v>#VALUE!</v>
      </c>
      <c r="FX203" t="e">
        <f>AND(DATA!E1557,"AAAAADe/1rM=")</f>
        <v>#VALUE!</v>
      </c>
      <c r="FY203" t="e">
        <f>AND(DATA!F1557,"AAAAADe/1rQ=")</f>
        <v>#VALUE!</v>
      </c>
      <c r="FZ203" t="e">
        <f>AND(DATA!G1557,"AAAAADe/1rU=")</f>
        <v>#VALUE!</v>
      </c>
      <c r="GA203" t="e">
        <f>AND(DATA!H1557,"AAAAADe/1rY=")</f>
        <v>#VALUE!</v>
      </c>
      <c r="GB203" t="e">
        <f>AND(DATA!I1557,"AAAAADe/1rc=")</f>
        <v>#VALUE!</v>
      </c>
      <c r="GC203" t="e">
        <f>AND(DATA!J1557,"AAAAADe/1rg=")</f>
        <v>#VALUE!</v>
      </c>
      <c r="GD203" t="e">
        <f>AND(DATA!K1557,"AAAAADe/1rk=")</f>
        <v>#VALUE!</v>
      </c>
      <c r="GE203" t="b">
        <f>AND(DATA!L1558,"AAAAADe/1ro=")</f>
        <v>1</v>
      </c>
      <c r="GF203" t="b">
        <f>AND(DATA!M1558,"AAAAADe/1rs=")</f>
        <v>1</v>
      </c>
      <c r="GG203" t="b">
        <f>AND(DATA!N1558,"AAAAADe/1rw=")</f>
        <v>1</v>
      </c>
      <c r="GH203" t="b">
        <f>AND(DATA!O1558,"AAAAADe/1r0=")</f>
        <v>1</v>
      </c>
      <c r="GI203" t="b">
        <f>AND(DATA!P1558,"AAAAADe/1r4=")</f>
        <v>1</v>
      </c>
      <c r="GJ203" t="b">
        <f>AND(DATA!Q1558,"AAAAADe/1r8=")</f>
        <v>1</v>
      </c>
      <c r="GK203" t="b">
        <f>AND(DATA!R1558,"AAAAADe/1sA=")</f>
        <v>1</v>
      </c>
      <c r="GL203" t="b">
        <f>AND(DATA!S1558,"AAAAADe/1sE=")</f>
        <v>1</v>
      </c>
      <c r="GM203" t="b">
        <f>AND(DATA!T1558,"AAAAADe/1sI=")</f>
        <v>1</v>
      </c>
      <c r="GN203">
        <f>IF(DATA!1558:1558,"AAAAADe/1sM=",0)</f>
        <v>0</v>
      </c>
      <c r="GO203" t="e">
        <f>AND(DATA!A1558,"AAAAADe/1sQ=")</f>
        <v>#VALUE!</v>
      </c>
      <c r="GP203" t="e">
        <f>AND(DATA!B1558,"AAAAADe/1sU=")</f>
        <v>#VALUE!</v>
      </c>
      <c r="GQ203" t="e">
        <f>AND(DATA!C1558,"AAAAADe/1sY=")</f>
        <v>#VALUE!</v>
      </c>
      <c r="GR203" t="e">
        <f>AND(DATA!D1558,"AAAAADe/1sc=")</f>
        <v>#VALUE!</v>
      </c>
      <c r="GS203" t="e">
        <f>AND(DATA!E1558,"AAAAADe/1sg=")</f>
        <v>#VALUE!</v>
      </c>
      <c r="GT203" t="e">
        <f>AND(DATA!F1558,"AAAAADe/1sk=")</f>
        <v>#VALUE!</v>
      </c>
      <c r="GU203" t="e">
        <f>AND(DATA!G1558,"AAAAADe/1so=")</f>
        <v>#VALUE!</v>
      </c>
      <c r="GV203" t="e">
        <f>AND(DATA!H1558,"AAAAADe/1ss=")</f>
        <v>#VALUE!</v>
      </c>
      <c r="GW203" t="e">
        <f>AND(DATA!I1558,"AAAAADe/1sw=")</f>
        <v>#VALUE!</v>
      </c>
      <c r="GX203" t="e">
        <f>AND(DATA!J1558,"AAAAADe/1s0=")</f>
        <v>#VALUE!</v>
      </c>
      <c r="GY203" t="e">
        <f>AND(DATA!K1558,"AAAAADe/1s4=")</f>
        <v>#VALUE!</v>
      </c>
      <c r="GZ203" t="b">
        <f>AND(DATA!L1559,"AAAAADe/1s8=")</f>
        <v>1</v>
      </c>
      <c r="HA203" t="b">
        <f>AND(DATA!M1559,"AAAAADe/1tA=")</f>
        <v>1</v>
      </c>
      <c r="HB203" t="b">
        <f>AND(DATA!N1559,"AAAAADe/1tE=")</f>
        <v>1</v>
      </c>
      <c r="HC203" t="b">
        <f>AND(DATA!O1559,"AAAAADe/1tI=")</f>
        <v>1</v>
      </c>
      <c r="HD203" t="b">
        <f>AND(DATA!P1559,"AAAAADe/1tM=")</f>
        <v>1</v>
      </c>
      <c r="HE203" t="b">
        <f>AND(DATA!Q1559,"AAAAADe/1tQ=")</f>
        <v>1</v>
      </c>
      <c r="HF203" t="b">
        <f>AND(DATA!R1559,"AAAAADe/1tU=")</f>
        <v>1</v>
      </c>
      <c r="HG203" t="b">
        <f>AND(DATA!S1559,"AAAAADe/1tY=")</f>
        <v>1</v>
      </c>
      <c r="HH203" t="b">
        <f>AND(DATA!T1559,"AAAAADe/1tc=")</f>
        <v>1</v>
      </c>
      <c r="HI203">
        <f>IF(DATA!1559:1559,"AAAAADe/1tg=",0)</f>
        <v>0</v>
      </c>
      <c r="HJ203" t="e">
        <f>AND(DATA!A1559,"AAAAADe/1tk=")</f>
        <v>#VALUE!</v>
      </c>
      <c r="HK203" t="e">
        <f>AND(DATA!B1559,"AAAAADe/1to=")</f>
        <v>#VALUE!</v>
      </c>
      <c r="HL203" t="e">
        <f>AND(DATA!C1559,"AAAAADe/1ts=")</f>
        <v>#VALUE!</v>
      </c>
      <c r="HM203" t="e">
        <f>AND(DATA!D1559,"AAAAADe/1tw=")</f>
        <v>#VALUE!</v>
      </c>
      <c r="HN203" t="e">
        <f>AND(DATA!E1559,"AAAAADe/1t0=")</f>
        <v>#VALUE!</v>
      </c>
      <c r="HO203" t="e">
        <f>AND(DATA!F1559,"AAAAADe/1t4=")</f>
        <v>#VALUE!</v>
      </c>
      <c r="HP203" t="e">
        <f>AND(DATA!G1559,"AAAAADe/1t8=")</f>
        <v>#VALUE!</v>
      </c>
      <c r="HQ203" t="e">
        <f>AND(DATA!H1559,"AAAAADe/1uA=")</f>
        <v>#VALUE!</v>
      </c>
      <c r="HR203" t="e">
        <f>AND(DATA!I1559,"AAAAADe/1uE=")</f>
        <v>#VALUE!</v>
      </c>
      <c r="HS203" t="e">
        <f>AND(DATA!J1559,"AAAAADe/1uI=")</f>
        <v>#VALUE!</v>
      </c>
      <c r="HT203" t="e">
        <f>AND(DATA!K1559,"AAAAADe/1uM=")</f>
        <v>#VALUE!</v>
      </c>
      <c r="HU203" t="b">
        <f>AND(DATA!L1560,"AAAAADe/1uQ=")</f>
        <v>1</v>
      </c>
      <c r="HV203" t="b">
        <f>AND(DATA!M1560,"AAAAADe/1uU=")</f>
        <v>1</v>
      </c>
      <c r="HW203" t="b">
        <f>AND(DATA!N1560,"AAAAADe/1uY=")</f>
        <v>1</v>
      </c>
      <c r="HX203" t="b">
        <f>AND(DATA!O1560,"AAAAADe/1uc=")</f>
        <v>1</v>
      </c>
      <c r="HY203" t="b">
        <f>AND(DATA!P1560,"AAAAADe/1ug=")</f>
        <v>1</v>
      </c>
      <c r="HZ203" t="b">
        <f>AND(DATA!Q1560,"AAAAADe/1uk=")</f>
        <v>1</v>
      </c>
      <c r="IA203" t="b">
        <f>AND(DATA!R1560,"AAAAADe/1uo=")</f>
        <v>1</v>
      </c>
      <c r="IB203" t="b">
        <f>AND(DATA!S1560,"AAAAADe/1us=")</f>
        <v>1</v>
      </c>
      <c r="IC203" t="b">
        <f>AND(DATA!T1560,"AAAAADe/1uw=")</f>
        <v>1</v>
      </c>
      <c r="ID203">
        <f>IF(DATA!1560:1560,"AAAAADe/1u0=",0)</f>
        <v>0</v>
      </c>
      <c r="IE203" t="e">
        <f>AND(DATA!A1560,"AAAAADe/1u4=")</f>
        <v>#VALUE!</v>
      </c>
      <c r="IF203" t="e">
        <f>AND(DATA!B1560,"AAAAADe/1u8=")</f>
        <v>#VALUE!</v>
      </c>
      <c r="IG203" t="e">
        <f>AND(DATA!C1560,"AAAAADe/1vA=")</f>
        <v>#VALUE!</v>
      </c>
      <c r="IH203" t="e">
        <f>AND(DATA!D1560,"AAAAADe/1vE=")</f>
        <v>#VALUE!</v>
      </c>
      <c r="II203" t="e">
        <f>AND(DATA!E1560,"AAAAADe/1vI=")</f>
        <v>#VALUE!</v>
      </c>
      <c r="IJ203" t="e">
        <f>AND(DATA!F1560,"AAAAADe/1vM=")</f>
        <v>#VALUE!</v>
      </c>
      <c r="IK203" t="e">
        <f>AND(DATA!G1560,"AAAAADe/1vQ=")</f>
        <v>#VALUE!</v>
      </c>
      <c r="IL203" t="e">
        <f>AND(DATA!H1560,"AAAAADe/1vU=")</f>
        <v>#VALUE!</v>
      </c>
      <c r="IM203" t="e">
        <f>AND(DATA!I1560,"AAAAADe/1vY=")</f>
        <v>#VALUE!</v>
      </c>
      <c r="IN203" t="e">
        <f>AND(DATA!J1560,"AAAAADe/1vc=")</f>
        <v>#VALUE!</v>
      </c>
      <c r="IO203" t="e">
        <f>AND(DATA!K1560,"AAAAADe/1vg=")</f>
        <v>#VALUE!</v>
      </c>
      <c r="IP203" t="b">
        <f>AND(DATA!L1561,"AAAAADe/1vk=")</f>
        <v>1</v>
      </c>
      <c r="IQ203" t="b">
        <f>AND(DATA!M1561,"AAAAADe/1vo=")</f>
        <v>1</v>
      </c>
      <c r="IR203" t="b">
        <f>AND(DATA!N1561,"AAAAADe/1vs=")</f>
        <v>1</v>
      </c>
      <c r="IS203" t="b">
        <f>AND(DATA!O1561,"AAAAADe/1vw=")</f>
        <v>1</v>
      </c>
      <c r="IT203" t="b">
        <f>AND(DATA!P1561,"AAAAADe/1v0=")</f>
        <v>1</v>
      </c>
      <c r="IU203" t="b">
        <f>AND(DATA!Q1561,"AAAAADe/1v4=")</f>
        <v>1</v>
      </c>
      <c r="IV203" t="b">
        <f>AND(DATA!R1561,"AAAAADe/1v8=")</f>
        <v>1</v>
      </c>
    </row>
    <row r="204" spans="1:256" x14ac:dyDescent="0.25">
      <c r="A204" t="b">
        <f>AND(DATA!S1561,"AAAAAH8xPgA=")</f>
        <v>1</v>
      </c>
      <c r="B204" t="b">
        <f>AND(DATA!T1561,"AAAAAH8xPgE=")</f>
        <v>1</v>
      </c>
      <c r="C204">
        <f>IF(DATA!1561:1561,"AAAAAH8xPgI=",0)</f>
        <v>0</v>
      </c>
      <c r="D204" t="e">
        <f>AND(DATA!A1561,"AAAAAH8xPgM=")</f>
        <v>#VALUE!</v>
      </c>
      <c r="E204" t="e">
        <f>AND(DATA!B1561,"AAAAAH8xPgQ=")</f>
        <v>#VALUE!</v>
      </c>
      <c r="F204" t="e">
        <f>AND(DATA!C1561,"AAAAAH8xPgU=")</f>
        <v>#VALUE!</v>
      </c>
      <c r="G204" t="e">
        <f>AND(DATA!D1561,"AAAAAH8xPgY=")</f>
        <v>#VALUE!</v>
      </c>
      <c r="H204" t="e">
        <f>AND(DATA!E1561,"AAAAAH8xPgc=")</f>
        <v>#VALUE!</v>
      </c>
      <c r="I204" t="e">
        <f>AND(DATA!F1561,"AAAAAH8xPgg=")</f>
        <v>#VALUE!</v>
      </c>
      <c r="J204" t="e">
        <f>AND(DATA!G1561,"AAAAAH8xPgk=")</f>
        <v>#VALUE!</v>
      </c>
      <c r="K204" t="e">
        <f>AND(DATA!H1561,"AAAAAH8xPgo=")</f>
        <v>#VALUE!</v>
      </c>
      <c r="L204" t="e">
        <f>AND(DATA!I1561,"AAAAAH8xPgs=")</f>
        <v>#VALUE!</v>
      </c>
      <c r="M204" t="e">
        <f>AND(DATA!J1561,"AAAAAH8xPgw=")</f>
        <v>#VALUE!</v>
      </c>
      <c r="N204" t="e">
        <f>AND(DATA!K1561,"AAAAAH8xPg0=")</f>
        <v>#VALUE!</v>
      </c>
      <c r="O204" t="b">
        <f>AND(DATA!L1562,"AAAAAH8xPg4=")</f>
        <v>1</v>
      </c>
      <c r="P204" t="b">
        <f>AND(DATA!M1562,"AAAAAH8xPg8=")</f>
        <v>1</v>
      </c>
      <c r="Q204" t="b">
        <f>AND(DATA!N1562,"AAAAAH8xPhA=")</f>
        <v>1</v>
      </c>
      <c r="R204" t="b">
        <f>AND(DATA!O1562,"AAAAAH8xPhE=")</f>
        <v>1</v>
      </c>
      <c r="S204" t="b">
        <f>AND(DATA!P1562,"AAAAAH8xPhI=")</f>
        <v>1</v>
      </c>
      <c r="T204" t="b">
        <f>AND(DATA!Q1562,"AAAAAH8xPhM=")</f>
        <v>1</v>
      </c>
      <c r="U204" t="b">
        <f>AND(DATA!R1562,"AAAAAH8xPhQ=")</f>
        <v>1</v>
      </c>
      <c r="V204" t="b">
        <f>AND(DATA!S1562,"AAAAAH8xPhU=")</f>
        <v>1</v>
      </c>
      <c r="W204" t="b">
        <f>AND(DATA!T1562,"AAAAAH8xPhY=")</f>
        <v>1</v>
      </c>
      <c r="X204">
        <f>IF(DATA!1562:1562,"AAAAAH8xPhc=",0)</f>
        <v>0</v>
      </c>
      <c r="Y204" t="e">
        <f>AND(DATA!A1562,"AAAAAH8xPhg=")</f>
        <v>#VALUE!</v>
      </c>
      <c r="Z204" t="e">
        <f>AND(DATA!B1562,"AAAAAH8xPhk=")</f>
        <v>#VALUE!</v>
      </c>
      <c r="AA204" t="e">
        <f>AND(DATA!C1562,"AAAAAH8xPho=")</f>
        <v>#VALUE!</v>
      </c>
      <c r="AB204" t="e">
        <f>AND(DATA!D1562,"AAAAAH8xPhs=")</f>
        <v>#VALUE!</v>
      </c>
      <c r="AC204" t="e">
        <f>AND(DATA!E1562,"AAAAAH8xPhw=")</f>
        <v>#VALUE!</v>
      </c>
      <c r="AD204" t="e">
        <f>AND(DATA!F1562,"AAAAAH8xPh0=")</f>
        <v>#VALUE!</v>
      </c>
      <c r="AE204" t="e">
        <f>AND(DATA!G1562,"AAAAAH8xPh4=")</f>
        <v>#VALUE!</v>
      </c>
      <c r="AF204" t="e">
        <f>AND(DATA!H1562,"AAAAAH8xPh8=")</f>
        <v>#VALUE!</v>
      </c>
      <c r="AG204" t="e">
        <f>AND(DATA!I1562,"AAAAAH8xPiA=")</f>
        <v>#VALUE!</v>
      </c>
      <c r="AH204" t="e">
        <f>AND(DATA!J1562,"AAAAAH8xPiE=")</f>
        <v>#VALUE!</v>
      </c>
      <c r="AI204" t="e">
        <f>AND(DATA!K1562,"AAAAAH8xPiI=")</f>
        <v>#VALUE!</v>
      </c>
      <c r="AJ204" t="b">
        <f>AND(DATA!L1563,"AAAAAH8xPiM=")</f>
        <v>1</v>
      </c>
      <c r="AK204" t="b">
        <f>AND(DATA!M1563,"AAAAAH8xPiQ=")</f>
        <v>1</v>
      </c>
      <c r="AL204" t="b">
        <f>AND(DATA!N1563,"AAAAAH8xPiU=")</f>
        <v>1</v>
      </c>
      <c r="AM204" t="b">
        <f>AND(DATA!O1563,"AAAAAH8xPiY=")</f>
        <v>1</v>
      </c>
      <c r="AN204" t="b">
        <f>AND(DATA!P1563,"AAAAAH8xPic=")</f>
        <v>1</v>
      </c>
      <c r="AO204" t="b">
        <f>AND(DATA!Q1563,"AAAAAH8xPig=")</f>
        <v>1</v>
      </c>
      <c r="AP204" t="b">
        <f>AND(DATA!R1563,"AAAAAH8xPik=")</f>
        <v>1</v>
      </c>
      <c r="AQ204" t="b">
        <f>AND(DATA!S1563,"AAAAAH8xPio=")</f>
        <v>1</v>
      </c>
      <c r="AR204" t="b">
        <f>AND(DATA!T1563,"AAAAAH8xPis=")</f>
        <v>1</v>
      </c>
      <c r="AS204">
        <f>IF(DATA!1563:1563,"AAAAAH8xPiw=",0)</f>
        <v>0</v>
      </c>
      <c r="AT204" t="e">
        <f>AND(DATA!A1563,"AAAAAH8xPi0=")</f>
        <v>#VALUE!</v>
      </c>
      <c r="AU204" t="e">
        <f>AND(DATA!B1563,"AAAAAH8xPi4=")</f>
        <v>#VALUE!</v>
      </c>
      <c r="AV204" t="e">
        <f>AND(DATA!C1563,"AAAAAH8xPi8=")</f>
        <v>#VALUE!</v>
      </c>
      <c r="AW204" t="e">
        <f>AND(DATA!D1563,"AAAAAH8xPjA=")</f>
        <v>#VALUE!</v>
      </c>
      <c r="AX204" t="e">
        <f>AND(DATA!E1563,"AAAAAH8xPjE=")</f>
        <v>#VALUE!</v>
      </c>
      <c r="AY204" t="e">
        <f>AND(DATA!F1563,"AAAAAH8xPjI=")</f>
        <v>#VALUE!</v>
      </c>
      <c r="AZ204" t="e">
        <f>AND(DATA!G1563,"AAAAAH8xPjM=")</f>
        <v>#VALUE!</v>
      </c>
      <c r="BA204" t="e">
        <f>AND(DATA!H1563,"AAAAAH8xPjQ=")</f>
        <v>#VALUE!</v>
      </c>
      <c r="BB204" t="e">
        <f>AND(DATA!I1563,"AAAAAH8xPjU=")</f>
        <v>#VALUE!</v>
      </c>
      <c r="BC204" t="e">
        <f>AND(DATA!J1563,"AAAAAH8xPjY=")</f>
        <v>#VALUE!</v>
      </c>
      <c r="BD204" t="e">
        <f>AND(DATA!K1563,"AAAAAH8xPjc=")</f>
        <v>#VALUE!</v>
      </c>
      <c r="BE204" t="b">
        <f>AND(DATA!L1564,"AAAAAH8xPjg=")</f>
        <v>1</v>
      </c>
      <c r="BF204" t="b">
        <f>AND(DATA!M1564,"AAAAAH8xPjk=")</f>
        <v>1</v>
      </c>
      <c r="BG204" t="b">
        <f>AND(DATA!N1564,"AAAAAH8xPjo=")</f>
        <v>1</v>
      </c>
      <c r="BH204" t="b">
        <f>AND(DATA!O1564,"AAAAAH8xPjs=")</f>
        <v>1</v>
      </c>
      <c r="BI204" t="b">
        <f>AND(DATA!P1564,"AAAAAH8xPjw=")</f>
        <v>1</v>
      </c>
      <c r="BJ204" t="b">
        <f>AND(DATA!Q1564,"AAAAAH8xPj0=")</f>
        <v>1</v>
      </c>
      <c r="BK204" t="b">
        <f>AND(DATA!R1564,"AAAAAH8xPj4=")</f>
        <v>1</v>
      </c>
      <c r="BL204" t="b">
        <f>AND(DATA!S1564,"AAAAAH8xPj8=")</f>
        <v>1</v>
      </c>
      <c r="BM204" t="b">
        <f>AND(DATA!T1564,"AAAAAH8xPkA=")</f>
        <v>1</v>
      </c>
      <c r="BN204">
        <f>IF(DATA!1564:1564,"AAAAAH8xPkE=",0)</f>
        <v>0</v>
      </c>
      <c r="BO204" t="e">
        <f>AND(DATA!A1564,"AAAAAH8xPkI=")</f>
        <v>#VALUE!</v>
      </c>
      <c r="BP204" t="e">
        <f>AND(DATA!B1564,"AAAAAH8xPkM=")</f>
        <v>#VALUE!</v>
      </c>
      <c r="BQ204" t="e">
        <f>AND(DATA!C1564,"AAAAAH8xPkQ=")</f>
        <v>#VALUE!</v>
      </c>
      <c r="BR204" t="e">
        <f>AND(DATA!D1564,"AAAAAH8xPkU=")</f>
        <v>#VALUE!</v>
      </c>
      <c r="BS204" t="e">
        <f>AND(DATA!E1564,"AAAAAH8xPkY=")</f>
        <v>#VALUE!</v>
      </c>
      <c r="BT204" t="e">
        <f>AND(DATA!F1564,"AAAAAH8xPkc=")</f>
        <v>#VALUE!</v>
      </c>
      <c r="BU204" t="e">
        <f>AND(DATA!G1564,"AAAAAH8xPkg=")</f>
        <v>#VALUE!</v>
      </c>
      <c r="BV204" t="e">
        <f>AND(DATA!H1564,"AAAAAH8xPkk=")</f>
        <v>#VALUE!</v>
      </c>
      <c r="BW204" t="e">
        <f>AND(DATA!I1564,"AAAAAH8xPko=")</f>
        <v>#VALUE!</v>
      </c>
      <c r="BX204" t="e">
        <f>AND(DATA!J1564,"AAAAAH8xPks=")</f>
        <v>#VALUE!</v>
      </c>
      <c r="BY204" t="e">
        <f>AND(DATA!K1564,"AAAAAH8xPkw=")</f>
        <v>#VALUE!</v>
      </c>
      <c r="BZ204" t="b">
        <f>AND(DATA!L1565,"AAAAAH8xPk0=")</f>
        <v>1</v>
      </c>
      <c r="CA204" t="b">
        <f>AND(DATA!M1565,"AAAAAH8xPk4=")</f>
        <v>1</v>
      </c>
      <c r="CB204" t="b">
        <f>AND(DATA!N1565,"AAAAAH8xPk8=")</f>
        <v>1</v>
      </c>
      <c r="CC204" t="b">
        <f>AND(DATA!O1565,"AAAAAH8xPlA=")</f>
        <v>1</v>
      </c>
      <c r="CD204" t="b">
        <f>AND(DATA!P1565,"AAAAAH8xPlE=")</f>
        <v>1</v>
      </c>
      <c r="CE204" t="b">
        <f>AND(DATA!Q1565,"AAAAAH8xPlI=")</f>
        <v>1</v>
      </c>
      <c r="CF204" t="b">
        <f>AND(DATA!R1565,"AAAAAH8xPlM=")</f>
        <v>1</v>
      </c>
      <c r="CG204" t="b">
        <f>AND(DATA!S1565,"AAAAAH8xPlQ=")</f>
        <v>1</v>
      </c>
      <c r="CH204" t="b">
        <f>AND(DATA!T1565,"AAAAAH8xPlU=")</f>
        <v>1</v>
      </c>
      <c r="CI204">
        <f>IF(DATA!1565:1565,"AAAAAH8xPlY=",0)</f>
        <v>0</v>
      </c>
      <c r="CJ204" t="e">
        <f>AND(DATA!A1565,"AAAAAH8xPlc=")</f>
        <v>#VALUE!</v>
      </c>
      <c r="CK204" t="e">
        <f>AND(DATA!B1565,"AAAAAH8xPlg=")</f>
        <v>#VALUE!</v>
      </c>
      <c r="CL204" t="e">
        <f>AND(DATA!C1565,"AAAAAH8xPlk=")</f>
        <v>#VALUE!</v>
      </c>
      <c r="CM204" t="e">
        <f>AND(DATA!D1565,"AAAAAH8xPlo=")</f>
        <v>#VALUE!</v>
      </c>
      <c r="CN204" t="e">
        <f>AND(DATA!E1565,"AAAAAH8xPls=")</f>
        <v>#VALUE!</v>
      </c>
      <c r="CO204" t="e">
        <f>AND(DATA!F1565,"AAAAAH8xPlw=")</f>
        <v>#VALUE!</v>
      </c>
      <c r="CP204" t="e">
        <f>AND(DATA!G1565,"AAAAAH8xPl0=")</f>
        <v>#VALUE!</v>
      </c>
      <c r="CQ204" t="e">
        <f>AND(DATA!H1565,"AAAAAH8xPl4=")</f>
        <v>#VALUE!</v>
      </c>
      <c r="CR204" t="e">
        <f>AND(DATA!I1565,"AAAAAH8xPl8=")</f>
        <v>#VALUE!</v>
      </c>
      <c r="CS204" t="e">
        <f>AND(DATA!J1565,"AAAAAH8xPmA=")</f>
        <v>#VALUE!</v>
      </c>
      <c r="CT204" t="e">
        <f>AND(DATA!K1565,"AAAAAH8xPmE=")</f>
        <v>#VALUE!</v>
      </c>
      <c r="CU204" t="b">
        <f>AND(DATA!L1566,"AAAAAH8xPmI=")</f>
        <v>1</v>
      </c>
      <c r="CV204" t="b">
        <f>AND(DATA!M1566,"AAAAAH8xPmM=")</f>
        <v>1</v>
      </c>
      <c r="CW204" t="b">
        <f>AND(DATA!N1566,"AAAAAH8xPmQ=")</f>
        <v>1</v>
      </c>
      <c r="CX204" t="b">
        <f>AND(DATA!O1566,"AAAAAH8xPmU=")</f>
        <v>1</v>
      </c>
      <c r="CY204" t="b">
        <f>AND(DATA!P1566,"AAAAAH8xPmY=")</f>
        <v>1</v>
      </c>
      <c r="CZ204" t="b">
        <f>AND(DATA!Q1566,"AAAAAH8xPmc=")</f>
        <v>1</v>
      </c>
      <c r="DA204" t="b">
        <f>AND(DATA!R1566,"AAAAAH8xPmg=")</f>
        <v>1</v>
      </c>
      <c r="DB204" t="b">
        <f>AND(DATA!S1566,"AAAAAH8xPmk=")</f>
        <v>1</v>
      </c>
      <c r="DC204" t="b">
        <f>AND(DATA!T1566,"AAAAAH8xPmo=")</f>
        <v>1</v>
      </c>
      <c r="DD204">
        <f>IF(DATA!1566:1566,"AAAAAH8xPms=",0)</f>
        <v>0</v>
      </c>
      <c r="DE204" t="e">
        <f>AND(DATA!A1566,"AAAAAH8xPmw=")</f>
        <v>#VALUE!</v>
      </c>
      <c r="DF204" t="e">
        <f>AND(DATA!B1566,"AAAAAH8xPm0=")</f>
        <v>#VALUE!</v>
      </c>
      <c r="DG204" t="e">
        <f>AND(DATA!C1566,"AAAAAH8xPm4=")</f>
        <v>#VALUE!</v>
      </c>
      <c r="DH204" t="e">
        <f>AND(DATA!D1566,"AAAAAH8xPm8=")</f>
        <v>#VALUE!</v>
      </c>
      <c r="DI204" t="e">
        <f>AND(DATA!E1566,"AAAAAH8xPnA=")</f>
        <v>#VALUE!</v>
      </c>
      <c r="DJ204" t="e">
        <f>AND(DATA!F1566,"AAAAAH8xPnE=")</f>
        <v>#VALUE!</v>
      </c>
      <c r="DK204" t="e">
        <f>AND(DATA!G1566,"AAAAAH8xPnI=")</f>
        <v>#VALUE!</v>
      </c>
      <c r="DL204" t="e">
        <f>AND(DATA!H1566,"AAAAAH8xPnM=")</f>
        <v>#VALUE!</v>
      </c>
      <c r="DM204" t="e">
        <f>AND(DATA!I1566,"AAAAAH8xPnQ=")</f>
        <v>#VALUE!</v>
      </c>
      <c r="DN204" t="e">
        <f>AND(DATA!J1566,"AAAAAH8xPnU=")</f>
        <v>#VALUE!</v>
      </c>
      <c r="DO204" t="e">
        <f>AND(DATA!K1566,"AAAAAH8xPnY=")</f>
        <v>#VALUE!</v>
      </c>
      <c r="DP204" t="b">
        <f>AND(DATA!L1567,"AAAAAH8xPnc=")</f>
        <v>1</v>
      </c>
      <c r="DQ204" t="b">
        <f>AND(DATA!M1567,"AAAAAH8xPng=")</f>
        <v>1</v>
      </c>
      <c r="DR204" t="b">
        <f>AND(DATA!N1567,"AAAAAH8xPnk=")</f>
        <v>1</v>
      </c>
      <c r="DS204" t="b">
        <f>AND(DATA!O1567,"AAAAAH8xPno=")</f>
        <v>1</v>
      </c>
      <c r="DT204" t="b">
        <f>AND(DATA!P1567,"AAAAAH8xPns=")</f>
        <v>1</v>
      </c>
      <c r="DU204" t="b">
        <f>AND(DATA!Q1567,"AAAAAH8xPnw=")</f>
        <v>1</v>
      </c>
      <c r="DV204" t="b">
        <f>AND(DATA!R1567,"AAAAAH8xPn0=")</f>
        <v>1</v>
      </c>
      <c r="DW204" t="b">
        <f>AND(DATA!S1567,"AAAAAH8xPn4=")</f>
        <v>1</v>
      </c>
      <c r="DX204" t="b">
        <f>AND(DATA!T1567,"AAAAAH8xPn8=")</f>
        <v>1</v>
      </c>
      <c r="DY204">
        <f>IF(DATA!1567:1567,"AAAAAH8xPoA=",0)</f>
        <v>0</v>
      </c>
      <c r="DZ204" t="e">
        <f>AND(DATA!A1567,"AAAAAH8xPoE=")</f>
        <v>#VALUE!</v>
      </c>
      <c r="EA204" t="e">
        <f>AND(DATA!B1567,"AAAAAH8xPoI=")</f>
        <v>#VALUE!</v>
      </c>
      <c r="EB204" t="e">
        <f>AND(DATA!C1567,"AAAAAH8xPoM=")</f>
        <v>#VALUE!</v>
      </c>
      <c r="EC204" t="e">
        <f>AND(DATA!D1567,"AAAAAH8xPoQ=")</f>
        <v>#VALUE!</v>
      </c>
      <c r="ED204" t="e">
        <f>AND(DATA!E1567,"AAAAAH8xPoU=")</f>
        <v>#VALUE!</v>
      </c>
      <c r="EE204" t="e">
        <f>AND(DATA!F1567,"AAAAAH8xPoY=")</f>
        <v>#VALUE!</v>
      </c>
      <c r="EF204" t="e">
        <f>AND(DATA!G1567,"AAAAAH8xPoc=")</f>
        <v>#VALUE!</v>
      </c>
      <c r="EG204" t="e">
        <f>AND(DATA!H1567,"AAAAAH8xPog=")</f>
        <v>#VALUE!</v>
      </c>
      <c r="EH204" t="e">
        <f>AND(DATA!I1567,"AAAAAH8xPok=")</f>
        <v>#VALUE!</v>
      </c>
      <c r="EI204" t="e">
        <f>AND(DATA!J1567,"AAAAAH8xPoo=")</f>
        <v>#VALUE!</v>
      </c>
      <c r="EJ204" t="e">
        <f>AND(DATA!K1567,"AAAAAH8xPos=")</f>
        <v>#VALUE!</v>
      </c>
      <c r="EK204" t="b">
        <f>AND(DATA!L1568,"AAAAAH8xPow=")</f>
        <v>1</v>
      </c>
      <c r="EL204" t="b">
        <f>AND(DATA!M1568,"AAAAAH8xPo0=")</f>
        <v>1</v>
      </c>
      <c r="EM204" t="b">
        <f>AND(DATA!N1568,"AAAAAH8xPo4=")</f>
        <v>1</v>
      </c>
      <c r="EN204" t="b">
        <f>AND(DATA!O1568,"AAAAAH8xPo8=")</f>
        <v>1</v>
      </c>
      <c r="EO204" t="b">
        <f>AND(DATA!P1568,"AAAAAH8xPpA=")</f>
        <v>1</v>
      </c>
      <c r="EP204" t="b">
        <f>AND(DATA!Q1568,"AAAAAH8xPpE=")</f>
        <v>1</v>
      </c>
      <c r="EQ204" t="b">
        <f>AND(DATA!R1568,"AAAAAH8xPpI=")</f>
        <v>1</v>
      </c>
      <c r="ER204" t="b">
        <f>AND(DATA!S1568,"AAAAAH8xPpM=")</f>
        <v>1</v>
      </c>
      <c r="ES204" t="b">
        <f>AND(DATA!T1568,"AAAAAH8xPpQ=")</f>
        <v>1</v>
      </c>
      <c r="ET204">
        <f>IF(DATA!1568:1568,"AAAAAH8xPpU=",0)</f>
        <v>0</v>
      </c>
      <c r="EU204" t="e">
        <f>AND(DATA!A1568,"AAAAAH8xPpY=")</f>
        <v>#VALUE!</v>
      </c>
      <c r="EV204" t="e">
        <f>AND(DATA!B1568,"AAAAAH8xPpc=")</f>
        <v>#VALUE!</v>
      </c>
      <c r="EW204" t="e">
        <f>AND(DATA!C1568,"AAAAAH8xPpg=")</f>
        <v>#VALUE!</v>
      </c>
      <c r="EX204" t="e">
        <f>AND(DATA!D1568,"AAAAAH8xPpk=")</f>
        <v>#VALUE!</v>
      </c>
      <c r="EY204" t="e">
        <f>AND(DATA!E1568,"AAAAAH8xPpo=")</f>
        <v>#VALUE!</v>
      </c>
      <c r="EZ204" t="e">
        <f>AND(DATA!F1568,"AAAAAH8xPps=")</f>
        <v>#VALUE!</v>
      </c>
      <c r="FA204" t="e">
        <f>AND(DATA!G1568,"AAAAAH8xPpw=")</f>
        <v>#VALUE!</v>
      </c>
      <c r="FB204" t="e">
        <f>AND(DATA!H1568,"AAAAAH8xPp0=")</f>
        <v>#VALUE!</v>
      </c>
      <c r="FC204" t="e">
        <f>AND(DATA!I1568,"AAAAAH8xPp4=")</f>
        <v>#VALUE!</v>
      </c>
      <c r="FD204" t="e">
        <f>AND(DATA!J1568,"AAAAAH8xPp8=")</f>
        <v>#VALUE!</v>
      </c>
      <c r="FE204" t="e">
        <f>AND(DATA!K1568,"AAAAAH8xPqA=")</f>
        <v>#VALUE!</v>
      </c>
      <c r="FF204" t="b">
        <f>AND(DATA!L1569,"AAAAAH8xPqE=")</f>
        <v>1</v>
      </c>
      <c r="FG204" t="b">
        <f>AND(DATA!M1569,"AAAAAH8xPqI=")</f>
        <v>1</v>
      </c>
      <c r="FH204" t="b">
        <f>AND(DATA!N1569,"AAAAAH8xPqM=")</f>
        <v>1</v>
      </c>
      <c r="FI204" t="b">
        <f>AND(DATA!O1569,"AAAAAH8xPqQ=")</f>
        <v>1</v>
      </c>
      <c r="FJ204" t="b">
        <f>AND(DATA!P1569,"AAAAAH8xPqU=")</f>
        <v>1</v>
      </c>
      <c r="FK204" t="b">
        <f>AND(DATA!Q1569,"AAAAAH8xPqY=")</f>
        <v>1</v>
      </c>
      <c r="FL204" t="b">
        <f>AND(DATA!R1569,"AAAAAH8xPqc=")</f>
        <v>1</v>
      </c>
      <c r="FM204" t="b">
        <f>AND(DATA!S1569,"AAAAAH8xPqg=")</f>
        <v>1</v>
      </c>
      <c r="FN204" t="b">
        <f>AND(DATA!T1569,"AAAAAH8xPqk=")</f>
        <v>1</v>
      </c>
      <c r="FO204">
        <f>IF(DATA!1569:1569,"AAAAAH8xPqo=",0)</f>
        <v>0</v>
      </c>
      <c r="FP204" t="e">
        <f>AND(DATA!A1569,"AAAAAH8xPqs=")</f>
        <v>#VALUE!</v>
      </c>
      <c r="FQ204" t="e">
        <f>AND(DATA!B1569,"AAAAAH8xPqw=")</f>
        <v>#VALUE!</v>
      </c>
      <c r="FR204" t="e">
        <f>AND(DATA!C1569,"AAAAAH8xPq0=")</f>
        <v>#VALUE!</v>
      </c>
      <c r="FS204" t="e">
        <f>AND(DATA!D1569,"AAAAAH8xPq4=")</f>
        <v>#VALUE!</v>
      </c>
      <c r="FT204" t="e">
        <f>AND(DATA!E1569,"AAAAAH8xPq8=")</f>
        <v>#VALUE!</v>
      </c>
      <c r="FU204" t="e">
        <f>AND(DATA!F1569,"AAAAAH8xPrA=")</f>
        <v>#VALUE!</v>
      </c>
      <c r="FV204" t="e">
        <f>AND(DATA!G1569,"AAAAAH8xPrE=")</f>
        <v>#VALUE!</v>
      </c>
      <c r="FW204" t="e">
        <f>AND(DATA!H1569,"AAAAAH8xPrI=")</f>
        <v>#VALUE!</v>
      </c>
      <c r="FX204" t="e">
        <f>AND(DATA!I1569,"AAAAAH8xPrM=")</f>
        <v>#VALUE!</v>
      </c>
      <c r="FY204" t="e">
        <f>AND(DATA!J1569,"AAAAAH8xPrQ=")</f>
        <v>#VALUE!</v>
      </c>
      <c r="FZ204" t="e">
        <f>AND(DATA!K1569,"AAAAAH8xPrU=")</f>
        <v>#VALUE!</v>
      </c>
      <c r="GA204" t="b">
        <f>AND(DATA!L1570,"AAAAAH8xPrY=")</f>
        <v>1</v>
      </c>
      <c r="GB204" t="b">
        <f>AND(DATA!M1570,"AAAAAH8xPrc=")</f>
        <v>1</v>
      </c>
      <c r="GC204" t="b">
        <f>AND(DATA!N1570,"AAAAAH8xPrg=")</f>
        <v>1</v>
      </c>
      <c r="GD204" t="b">
        <f>AND(DATA!O1570,"AAAAAH8xPrk=")</f>
        <v>1</v>
      </c>
      <c r="GE204" t="b">
        <f>AND(DATA!P1570,"AAAAAH8xPro=")</f>
        <v>1</v>
      </c>
      <c r="GF204" t="b">
        <f>AND(DATA!Q1570,"AAAAAH8xPrs=")</f>
        <v>1</v>
      </c>
      <c r="GG204" t="b">
        <f>AND(DATA!R1570,"AAAAAH8xPrw=")</f>
        <v>1</v>
      </c>
      <c r="GH204" t="b">
        <f>AND(DATA!S1570,"AAAAAH8xPr0=")</f>
        <v>1</v>
      </c>
      <c r="GI204" t="b">
        <f>AND(DATA!T1570,"AAAAAH8xPr4=")</f>
        <v>1</v>
      </c>
      <c r="GJ204">
        <f>IF(DATA!1570:1570,"AAAAAH8xPr8=",0)</f>
        <v>0</v>
      </c>
      <c r="GK204" t="e">
        <f>AND(DATA!A1570,"AAAAAH8xPsA=")</f>
        <v>#VALUE!</v>
      </c>
      <c r="GL204" t="e">
        <f>AND(DATA!B1570,"AAAAAH8xPsE=")</f>
        <v>#VALUE!</v>
      </c>
      <c r="GM204" t="e">
        <f>AND(DATA!C1570,"AAAAAH8xPsI=")</f>
        <v>#VALUE!</v>
      </c>
      <c r="GN204" t="e">
        <f>AND(DATA!D1570,"AAAAAH8xPsM=")</f>
        <v>#VALUE!</v>
      </c>
      <c r="GO204" t="e">
        <f>AND(DATA!E1570,"AAAAAH8xPsQ=")</f>
        <v>#VALUE!</v>
      </c>
      <c r="GP204" t="e">
        <f>AND(DATA!F1570,"AAAAAH8xPsU=")</f>
        <v>#VALUE!</v>
      </c>
      <c r="GQ204" t="e">
        <f>AND(DATA!G1570,"AAAAAH8xPsY=")</f>
        <v>#VALUE!</v>
      </c>
      <c r="GR204" t="e">
        <f>AND(DATA!H1570,"AAAAAH8xPsc=")</f>
        <v>#VALUE!</v>
      </c>
      <c r="GS204" t="e">
        <f>AND(DATA!I1570,"AAAAAH8xPsg=")</f>
        <v>#VALUE!</v>
      </c>
      <c r="GT204" t="e">
        <f>AND(DATA!J1570,"AAAAAH8xPsk=")</f>
        <v>#VALUE!</v>
      </c>
      <c r="GU204" t="e">
        <f>AND(DATA!K1570,"AAAAAH8xPso=")</f>
        <v>#VALUE!</v>
      </c>
      <c r="GV204" t="b">
        <f>AND(DATA!L1571,"AAAAAH8xPss=")</f>
        <v>1</v>
      </c>
      <c r="GW204" t="b">
        <f>AND(DATA!M1571,"AAAAAH8xPsw=")</f>
        <v>1</v>
      </c>
      <c r="GX204" t="b">
        <f>AND(DATA!N1571,"AAAAAH8xPs0=")</f>
        <v>1</v>
      </c>
      <c r="GY204" t="b">
        <f>AND(DATA!O1571,"AAAAAH8xPs4=")</f>
        <v>1</v>
      </c>
      <c r="GZ204" t="b">
        <f>AND(DATA!P1571,"AAAAAH8xPs8=")</f>
        <v>1</v>
      </c>
      <c r="HA204" t="b">
        <f>AND(DATA!Q1571,"AAAAAH8xPtA=")</f>
        <v>1</v>
      </c>
      <c r="HB204" t="b">
        <f>AND(DATA!R1571,"AAAAAH8xPtE=")</f>
        <v>1</v>
      </c>
      <c r="HC204" t="b">
        <f>AND(DATA!S1571,"AAAAAH8xPtI=")</f>
        <v>1</v>
      </c>
      <c r="HD204" t="b">
        <f>AND(DATA!T1571,"AAAAAH8xPtM=")</f>
        <v>1</v>
      </c>
      <c r="HE204">
        <f>IF(DATA!1571:1571,"AAAAAH8xPtQ=",0)</f>
        <v>0</v>
      </c>
      <c r="HF204" t="e">
        <f>AND(DATA!A1571,"AAAAAH8xPtU=")</f>
        <v>#VALUE!</v>
      </c>
      <c r="HG204" t="e">
        <f>AND(DATA!B1571,"AAAAAH8xPtY=")</f>
        <v>#VALUE!</v>
      </c>
      <c r="HH204" t="e">
        <f>AND(DATA!C1571,"AAAAAH8xPtc=")</f>
        <v>#VALUE!</v>
      </c>
      <c r="HI204" t="e">
        <f>AND(DATA!D1571,"AAAAAH8xPtg=")</f>
        <v>#VALUE!</v>
      </c>
      <c r="HJ204" t="e">
        <f>AND(DATA!E1571,"AAAAAH8xPtk=")</f>
        <v>#VALUE!</v>
      </c>
      <c r="HK204" t="e">
        <f>AND(DATA!F1571,"AAAAAH8xPto=")</f>
        <v>#VALUE!</v>
      </c>
      <c r="HL204" t="e">
        <f>AND(DATA!G1571,"AAAAAH8xPts=")</f>
        <v>#VALUE!</v>
      </c>
      <c r="HM204" t="e">
        <f>AND(DATA!H1571,"AAAAAH8xPtw=")</f>
        <v>#VALUE!</v>
      </c>
      <c r="HN204" t="e">
        <f>AND(DATA!I1571,"AAAAAH8xPt0=")</f>
        <v>#VALUE!</v>
      </c>
      <c r="HO204" t="e">
        <f>AND(DATA!J1571,"AAAAAH8xPt4=")</f>
        <v>#VALUE!</v>
      </c>
      <c r="HP204" t="e">
        <f>AND(DATA!K1571,"AAAAAH8xPt8=")</f>
        <v>#VALUE!</v>
      </c>
      <c r="HQ204" t="b">
        <f>AND(DATA!L1572,"AAAAAH8xPuA=")</f>
        <v>1</v>
      </c>
      <c r="HR204" t="b">
        <f>AND(DATA!M1572,"AAAAAH8xPuE=")</f>
        <v>1</v>
      </c>
      <c r="HS204" t="b">
        <f>AND(DATA!N1572,"AAAAAH8xPuI=")</f>
        <v>1</v>
      </c>
      <c r="HT204" t="b">
        <f>AND(DATA!O1572,"AAAAAH8xPuM=")</f>
        <v>1</v>
      </c>
      <c r="HU204" t="b">
        <f>AND(DATA!P1572,"AAAAAH8xPuQ=")</f>
        <v>1</v>
      </c>
      <c r="HV204" t="b">
        <f>AND(DATA!Q1572,"AAAAAH8xPuU=")</f>
        <v>1</v>
      </c>
      <c r="HW204" t="b">
        <f>AND(DATA!R1572,"AAAAAH8xPuY=")</f>
        <v>1</v>
      </c>
      <c r="HX204" t="b">
        <f>AND(DATA!S1572,"AAAAAH8xPuc=")</f>
        <v>1</v>
      </c>
      <c r="HY204" t="b">
        <f>AND(DATA!T1572,"AAAAAH8xPug=")</f>
        <v>1</v>
      </c>
      <c r="HZ204">
        <f>IF(DATA!1572:1572,"AAAAAH8xPuk=",0)</f>
        <v>0</v>
      </c>
      <c r="IA204" t="e">
        <f>AND(DATA!A1572,"AAAAAH8xPuo=")</f>
        <v>#VALUE!</v>
      </c>
      <c r="IB204" t="e">
        <f>AND(DATA!B1572,"AAAAAH8xPus=")</f>
        <v>#VALUE!</v>
      </c>
      <c r="IC204" t="e">
        <f>AND(DATA!C1572,"AAAAAH8xPuw=")</f>
        <v>#VALUE!</v>
      </c>
      <c r="ID204" t="e">
        <f>AND(DATA!D1572,"AAAAAH8xPu0=")</f>
        <v>#VALUE!</v>
      </c>
      <c r="IE204" t="e">
        <f>AND(DATA!E1572,"AAAAAH8xPu4=")</f>
        <v>#VALUE!</v>
      </c>
      <c r="IF204" t="e">
        <f>AND(DATA!F1572,"AAAAAH8xPu8=")</f>
        <v>#VALUE!</v>
      </c>
      <c r="IG204" t="e">
        <f>AND(DATA!G1572,"AAAAAH8xPvA=")</f>
        <v>#VALUE!</v>
      </c>
      <c r="IH204" t="e">
        <f>AND(DATA!H1572,"AAAAAH8xPvE=")</f>
        <v>#VALUE!</v>
      </c>
      <c r="II204" t="e">
        <f>AND(DATA!I1572,"AAAAAH8xPvI=")</f>
        <v>#VALUE!</v>
      </c>
      <c r="IJ204" t="e">
        <f>AND(DATA!J1572,"AAAAAH8xPvM=")</f>
        <v>#VALUE!</v>
      </c>
      <c r="IK204" t="e">
        <f>AND(DATA!K1572,"AAAAAH8xPvQ=")</f>
        <v>#VALUE!</v>
      </c>
      <c r="IL204" t="b">
        <f>AND(DATA!L1573,"AAAAAH8xPvU=")</f>
        <v>1</v>
      </c>
      <c r="IM204" t="b">
        <f>AND(DATA!M1573,"AAAAAH8xPvY=")</f>
        <v>1</v>
      </c>
      <c r="IN204" t="b">
        <f>AND(DATA!N1573,"AAAAAH8xPvc=")</f>
        <v>1</v>
      </c>
      <c r="IO204" t="b">
        <f>AND(DATA!O1573,"AAAAAH8xPvg=")</f>
        <v>1</v>
      </c>
      <c r="IP204" t="b">
        <f>AND(DATA!P1573,"AAAAAH8xPvk=")</f>
        <v>1</v>
      </c>
      <c r="IQ204" t="b">
        <f>AND(DATA!Q1573,"AAAAAH8xPvo=")</f>
        <v>1</v>
      </c>
      <c r="IR204" t="b">
        <f>AND(DATA!R1573,"AAAAAH8xPvs=")</f>
        <v>1</v>
      </c>
      <c r="IS204" t="b">
        <f>AND(DATA!S1573,"AAAAAH8xPvw=")</f>
        <v>1</v>
      </c>
      <c r="IT204" t="b">
        <f>AND(DATA!T1573,"AAAAAH8xPv0=")</f>
        <v>1</v>
      </c>
      <c r="IU204">
        <f>IF(DATA!1573:1573,"AAAAAH8xPv4=",0)</f>
        <v>0</v>
      </c>
      <c r="IV204" t="e">
        <f>AND(DATA!A1573,"AAAAAH8xPv8=")</f>
        <v>#VALUE!</v>
      </c>
    </row>
    <row r="205" spans="1:256" x14ac:dyDescent="0.25">
      <c r="A205" t="e">
        <f>AND(DATA!B1573,"AAAAAHHf9wA=")</f>
        <v>#VALUE!</v>
      </c>
      <c r="B205" t="e">
        <f>AND(DATA!C1573,"AAAAAHHf9wE=")</f>
        <v>#VALUE!</v>
      </c>
      <c r="C205" t="e">
        <f>AND(DATA!D1573,"AAAAAHHf9wI=")</f>
        <v>#VALUE!</v>
      </c>
      <c r="D205" t="e">
        <f>AND(DATA!E1573,"AAAAAHHf9wM=")</f>
        <v>#VALUE!</v>
      </c>
      <c r="E205" t="e">
        <f>AND(DATA!F1573,"AAAAAHHf9wQ=")</f>
        <v>#VALUE!</v>
      </c>
      <c r="F205" t="e">
        <f>AND(DATA!G1573,"AAAAAHHf9wU=")</f>
        <v>#VALUE!</v>
      </c>
      <c r="G205" t="e">
        <f>AND(DATA!H1573,"AAAAAHHf9wY=")</f>
        <v>#VALUE!</v>
      </c>
      <c r="H205" t="e">
        <f>AND(DATA!I1573,"AAAAAHHf9wc=")</f>
        <v>#VALUE!</v>
      </c>
      <c r="I205" t="e">
        <f>AND(DATA!J1573,"AAAAAHHf9wg=")</f>
        <v>#VALUE!</v>
      </c>
      <c r="J205" t="e">
        <f>AND(DATA!K1573,"AAAAAHHf9wk=")</f>
        <v>#VALUE!</v>
      </c>
      <c r="K205" t="b">
        <f>AND(DATA!L1574,"AAAAAHHf9wo=")</f>
        <v>1</v>
      </c>
      <c r="L205" t="b">
        <f>AND(DATA!M1574,"AAAAAHHf9ws=")</f>
        <v>1</v>
      </c>
      <c r="M205" t="b">
        <f>AND(DATA!N1574,"AAAAAHHf9ww=")</f>
        <v>1</v>
      </c>
      <c r="N205" t="b">
        <f>AND(DATA!O1574,"AAAAAHHf9w0=")</f>
        <v>1</v>
      </c>
      <c r="O205" t="b">
        <f>AND(DATA!P1574,"AAAAAHHf9w4=")</f>
        <v>1</v>
      </c>
      <c r="P205" t="b">
        <f>AND(DATA!Q1574,"AAAAAHHf9w8=")</f>
        <v>1</v>
      </c>
      <c r="Q205" t="b">
        <f>AND(DATA!R1574,"AAAAAHHf9xA=")</f>
        <v>1</v>
      </c>
      <c r="R205" t="b">
        <f>AND(DATA!S1574,"AAAAAHHf9xE=")</f>
        <v>1</v>
      </c>
      <c r="S205" t="b">
        <f>AND(DATA!T1574,"AAAAAHHf9xI=")</f>
        <v>1</v>
      </c>
      <c r="T205" t="str">
        <f>IF(DATA!1574:1574,"AAAAAHHf9xM=",0)</f>
        <v>AAAAAHHf9xM=</v>
      </c>
      <c r="U205" t="e">
        <f>AND(DATA!A1574,"AAAAAHHf9xQ=")</f>
        <v>#VALUE!</v>
      </c>
      <c r="V205" t="e">
        <f>AND(DATA!B1574,"AAAAAHHf9xU=")</f>
        <v>#VALUE!</v>
      </c>
      <c r="W205" t="e">
        <f>AND(DATA!C1574,"AAAAAHHf9xY=")</f>
        <v>#VALUE!</v>
      </c>
      <c r="X205" t="e">
        <f>AND(DATA!D1574,"AAAAAHHf9xc=")</f>
        <v>#VALUE!</v>
      </c>
      <c r="Y205" t="e">
        <f>AND(DATA!E1574,"AAAAAHHf9xg=")</f>
        <v>#VALUE!</v>
      </c>
      <c r="Z205" t="e">
        <f>AND(DATA!F1574,"AAAAAHHf9xk=")</f>
        <v>#VALUE!</v>
      </c>
      <c r="AA205" t="e">
        <f>AND(DATA!G1574,"AAAAAHHf9xo=")</f>
        <v>#VALUE!</v>
      </c>
      <c r="AB205" t="e">
        <f>AND(DATA!H1574,"AAAAAHHf9xs=")</f>
        <v>#VALUE!</v>
      </c>
      <c r="AC205" t="e">
        <f>AND(DATA!I1574,"AAAAAHHf9xw=")</f>
        <v>#VALUE!</v>
      </c>
      <c r="AD205" t="e">
        <f>AND(DATA!J1574,"AAAAAHHf9x0=")</f>
        <v>#VALUE!</v>
      </c>
      <c r="AE205" t="e">
        <f>AND(DATA!K1574,"AAAAAHHf9x4=")</f>
        <v>#VALUE!</v>
      </c>
      <c r="AF205" t="b">
        <f>AND(DATA!L1575,"AAAAAHHf9x8=")</f>
        <v>1</v>
      </c>
      <c r="AG205" t="b">
        <f>AND(DATA!M1575,"AAAAAHHf9yA=")</f>
        <v>1</v>
      </c>
      <c r="AH205" t="b">
        <f>AND(DATA!N1575,"AAAAAHHf9yE=")</f>
        <v>1</v>
      </c>
      <c r="AI205" t="b">
        <f>AND(DATA!O1575,"AAAAAHHf9yI=")</f>
        <v>1</v>
      </c>
      <c r="AJ205" t="b">
        <f>AND(DATA!P1575,"AAAAAHHf9yM=")</f>
        <v>1</v>
      </c>
      <c r="AK205" t="b">
        <f>AND(DATA!Q1575,"AAAAAHHf9yQ=")</f>
        <v>1</v>
      </c>
      <c r="AL205" t="b">
        <f>AND(DATA!R1575,"AAAAAHHf9yU=")</f>
        <v>1</v>
      </c>
      <c r="AM205" t="b">
        <f>AND(DATA!S1575,"AAAAAHHf9yY=")</f>
        <v>1</v>
      </c>
      <c r="AN205" t="b">
        <f>AND(DATA!T1575,"AAAAAHHf9yc=")</f>
        <v>1</v>
      </c>
      <c r="AO205">
        <f>IF(DATA!1575:1575,"AAAAAHHf9yg=",0)</f>
        <v>0</v>
      </c>
      <c r="AP205" t="e">
        <f>AND(DATA!A1575,"AAAAAHHf9yk=")</f>
        <v>#VALUE!</v>
      </c>
      <c r="AQ205" t="e">
        <f>AND(DATA!B1575,"AAAAAHHf9yo=")</f>
        <v>#VALUE!</v>
      </c>
      <c r="AR205" t="e">
        <f>AND(DATA!C1575,"AAAAAHHf9ys=")</f>
        <v>#VALUE!</v>
      </c>
      <c r="AS205" t="e">
        <f>AND(DATA!D1575,"AAAAAHHf9yw=")</f>
        <v>#VALUE!</v>
      </c>
      <c r="AT205" t="e">
        <f>AND(DATA!E1575,"AAAAAHHf9y0=")</f>
        <v>#VALUE!</v>
      </c>
      <c r="AU205" t="e">
        <f>AND(DATA!F1575,"AAAAAHHf9y4=")</f>
        <v>#VALUE!</v>
      </c>
      <c r="AV205" t="e">
        <f>AND(DATA!G1575,"AAAAAHHf9y8=")</f>
        <v>#VALUE!</v>
      </c>
      <c r="AW205" t="e">
        <f>AND(DATA!H1575,"AAAAAHHf9zA=")</f>
        <v>#VALUE!</v>
      </c>
      <c r="AX205" t="e">
        <f>AND(DATA!I1575,"AAAAAHHf9zE=")</f>
        <v>#VALUE!</v>
      </c>
      <c r="AY205" t="e">
        <f>AND(DATA!J1575,"AAAAAHHf9zI=")</f>
        <v>#VALUE!</v>
      </c>
      <c r="AZ205" t="e">
        <f>AND(DATA!K1575,"AAAAAHHf9zM=")</f>
        <v>#VALUE!</v>
      </c>
      <c r="BA205" t="b">
        <f>AND(DATA!L1576,"AAAAAHHf9zQ=")</f>
        <v>1</v>
      </c>
      <c r="BB205" t="b">
        <f>AND(DATA!M1576,"AAAAAHHf9zU=")</f>
        <v>1</v>
      </c>
      <c r="BC205" t="b">
        <f>AND(DATA!N1576,"AAAAAHHf9zY=")</f>
        <v>1</v>
      </c>
      <c r="BD205" t="b">
        <f>AND(DATA!O1576,"AAAAAHHf9zc=")</f>
        <v>1</v>
      </c>
      <c r="BE205" t="b">
        <f>AND(DATA!P1576,"AAAAAHHf9zg=")</f>
        <v>1</v>
      </c>
      <c r="BF205" t="b">
        <f>AND(DATA!Q1576,"AAAAAHHf9zk=")</f>
        <v>1</v>
      </c>
      <c r="BG205" t="b">
        <f>AND(DATA!R1576,"AAAAAHHf9zo=")</f>
        <v>1</v>
      </c>
      <c r="BH205" t="b">
        <f>AND(DATA!S1576,"AAAAAHHf9zs=")</f>
        <v>1</v>
      </c>
      <c r="BI205" t="b">
        <f>AND(DATA!T1576,"AAAAAHHf9zw=")</f>
        <v>1</v>
      </c>
      <c r="BJ205">
        <f>IF(DATA!1576:1576,"AAAAAHHf9z0=",0)</f>
        <v>0</v>
      </c>
      <c r="BK205" t="e">
        <f>AND(DATA!A1576,"AAAAAHHf9z4=")</f>
        <v>#VALUE!</v>
      </c>
      <c r="BL205" t="e">
        <f>AND(DATA!B1576,"AAAAAHHf9z8=")</f>
        <v>#VALUE!</v>
      </c>
      <c r="BM205" t="e">
        <f>AND(DATA!C1576,"AAAAAHHf90A=")</f>
        <v>#VALUE!</v>
      </c>
      <c r="BN205" t="e">
        <f>AND(DATA!D1576,"AAAAAHHf90E=")</f>
        <v>#VALUE!</v>
      </c>
      <c r="BO205" t="e">
        <f>AND(DATA!E1576,"AAAAAHHf90I=")</f>
        <v>#VALUE!</v>
      </c>
      <c r="BP205" t="e">
        <f>AND(DATA!F1576,"AAAAAHHf90M=")</f>
        <v>#VALUE!</v>
      </c>
      <c r="BQ205" t="e">
        <f>AND(DATA!G1576,"AAAAAHHf90Q=")</f>
        <v>#VALUE!</v>
      </c>
      <c r="BR205" t="e">
        <f>AND(DATA!H1576,"AAAAAHHf90U=")</f>
        <v>#VALUE!</v>
      </c>
      <c r="BS205" t="e">
        <f>AND(DATA!I1576,"AAAAAHHf90Y=")</f>
        <v>#VALUE!</v>
      </c>
      <c r="BT205" t="e">
        <f>AND(DATA!J1576,"AAAAAHHf90c=")</f>
        <v>#VALUE!</v>
      </c>
      <c r="BU205" t="e">
        <f>AND(DATA!K1576,"AAAAAHHf90g=")</f>
        <v>#VALUE!</v>
      </c>
      <c r="BV205" t="b">
        <f>AND(DATA!L1577,"AAAAAHHf90k=")</f>
        <v>1</v>
      </c>
      <c r="BW205" t="b">
        <f>AND(DATA!M1577,"AAAAAHHf90o=")</f>
        <v>1</v>
      </c>
      <c r="BX205" t="b">
        <f>AND(DATA!N1577,"AAAAAHHf90s=")</f>
        <v>1</v>
      </c>
      <c r="BY205" t="b">
        <f>AND(DATA!O1577,"AAAAAHHf90w=")</f>
        <v>1</v>
      </c>
      <c r="BZ205" t="b">
        <f>AND(DATA!P1577,"AAAAAHHf900=")</f>
        <v>1</v>
      </c>
      <c r="CA205" t="b">
        <f>AND(DATA!Q1577,"AAAAAHHf904=")</f>
        <v>1</v>
      </c>
      <c r="CB205" t="b">
        <f>AND(DATA!R1577,"AAAAAHHf908=")</f>
        <v>1</v>
      </c>
      <c r="CC205" t="b">
        <f>AND(DATA!S1577,"AAAAAHHf91A=")</f>
        <v>1</v>
      </c>
      <c r="CD205" t="b">
        <f>AND(DATA!T1577,"AAAAAHHf91E=")</f>
        <v>1</v>
      </c>
      <c r="CE205">
        <f>IF(DATA!1577:1577,"AAAAAHHf91I=",0)</f>
        <v>0</v>
      </c>
      <c r="CF205" t="e">
        <f>AND(DATA!A1577,"AAAAAHHf91M=")</f>
        <v>#VALUE!</v>
      </c>
      <c r="CG205" t="e">
        <f>AND(DATA!B1577,"AAAAAHHf91Q=")</f>
        <v>#VALUE!</v>
      </c>
      <c r="CH205" t="e">
        <f>AND(DATA!C1577,"AAAAAHHf91U=")</f>
        <v>#VALUE!</v>
      </c>
      <c r="CI205" t="e">
        <f>AND(DATA!D1577,"AAAAAHHf91Y=")</f>
        <v>#VALUE!</v>
      </c>
      <c r="CJ205" t="e">
        <f>AND(DATA!E1577,"AAAAAHHf91c=")</f>
        <v>#VALUE!</v>
      </c>
      <c r="CK205" t="e">
        <f>AND(DATA!F1577,"AAAAAHHf91g=")</f>
        <v>#VALUE!</v>
      </c>
      <c r="CL205" t="e">
        <f>AND(DATA!G1577,"AAAAAHHf91k=")</f>
        <v>#VALUE!</v>
      </c>
      <c r="CM205" t="e">
        <f>AND(DATA!H1577,"AAAAAHHf91o=")</f>
        <v>#VALUE!</v>
      </c>
      <c r="CN205" t="e">
        <f>AND(DATA!I1577,"AAAAAHHf91s=")</f>
        <v>#VALUE!</v>
      </c>
      <c r="CO205" t="e">
        <f>AND(DATA!J1577,"AAAAAHHf91w=")</f>
        <v>#VALUE!</v>
      </c>
      <c r="CP205" t="e">
        <f>AND(DATA!K1577,"AAAAAHHf910=")</f>
        <v>#VALUE!</v>
      </c>
      <c r="CQ205" t="b">
        <f>AND(DATA!L1578,"AAAAAHHf914=")</f>
        <v>1</v>
      </c>
      <c r="CR205" t="b">
        <f>AND(DATA!M1578,"AAAAAHHf918=")</f>
        <v>1</v>
      </c>
      <c r="CS205" t="b">
        <f>AND(DATA!N1578,"AAAAAHHf92A=")</f>
        <v>1</v>
      </c>
      <c r="CT205" t="b">
        <f>AND(DATA!O1578,"AAAAAHHf92E=")</f>
        <v>1</v>
      </c>
      <c r="CU205" t="b">
        <f>AND(DATA!P1578,"AAAAAHHf92I=")</f>
        <v>1</v>
      </c>
      <c r="CV205" t="b">
        <f>AND(DATA!Q1578,"AAAAAHHf92M=")</f>
        <v>1</v>
      </c>
      <c r="CW205" t="b">
        <f>AND(DATA!R1578,"AAAAAHHf92Q=")</f>
        <v>1</v>
      </c>
      <c r="CX205" t="b">
        <f>AND(DATA!S1578,"AAAAAHHf92U=")</f>
        <v>1</v>
      </c>
      <c r="CY205" t="b">
        <f>AND(DATA!T1578,"AAAAAHHf92Y=")</f>
        <v>1</v>
      </c>
      <c r="CZ205">
        <f>IF(DATA!1578:1578,"AAAAAHHf92c=",0)</f>
        <v>0</v>
      </c>
      <c r="DA205" t="e">
        <f>AND(DATA!A1578,"AAAAAHHf92g=")</f>
        <v>#VALUE!</v>
      </c>
      <c r="DB205" t="e">
        <f>AND(DATA!B1578,"AAAAAHHf92k=")</f>
        <v>#VALUE!</v>
      </c>
      <c r="DC205" t="e">
        <f>AND(DATA!C1578,"AAAAAHHf92o=")</f>
        <v>#VALUE!</v>
      </c>
      <c r="DD205" t="e">
        <f>AND(DATA!D1578,"AAAAAHHf92s=")</f>
        <v>#VALUE!</v>
      </c>
      <c r="DE205" t="e">
        <f>AND(DATA!E1578,"AAAAAHHf92w=")</f>
        <v>#VALUE!</v>
      </c>
      <c r="DF205" t="e">
        <f>AND(DATA!F1578,"AAAAAHHf920=")</f>
        <v>#VALUE!</v>
      </c>
      <c r="DG205" t="e">
        <f>AND(DATA!G1578,"AAAAAHHf924=")</f>
        <v>#VALUE!</v>
      </c>
      <c r="DH205" t="e">
        <f>AND(DATA!H1578,"AAAAAHHf928=")</f>
        <v>#VALUE!</v>
      </c>
      <c r="DI205" t="e">
        <f>AND(DATA!I1578,"AAAAAHHf93A=")</f>
        <v>#VALUE!</v>
      </c>
      <c r="DJ205" t="e">
        <f>AND(DATA!J1578,"AAAAAHHf93E=")</f>
        <v>#VALUE!</v>
      </c>
      <c r="DK205" t="e">
        <f>AND(DATA!K1578,"AAAAAHHf93I=")</f>
        <v>#VALUE!</v>
      </c>
      <c r="DL205" t="b">
        <f>AND(DATA!L1579,"AAAAAHHf93M=")</f>
        <v>1</v>
      </c>
      <c r="DM205" t="b">
        <f>AND(DATA!M1579,"AAAAAHHf93Q=")</f>
        <v>1</v>
      </c>
      <c r="DN205" t="b">
        <f>AND(DATA!N1579,"AAAAAHHf93U=")</f>
        <v>1</v>
      </c>
      <c r="DO205" t="b">
        <f>AND(DATA!O1579,"AAAAAHHf93Y=")</f>
        <v>1</v>
      </c>
      <c r="DP205" t="b">
        <f>AND(DATA!P1579,"AAAAAHHf93c=")</f>
        <v>1</v>
      </c>
      <c r="DQ205" t="b">
        <f>AND(DATA!Q1579,"AAAAAHHf93g=")</f>
        <v>1</v>
      </c>
      <c r="DR205" t="b">
        <f>AND(DATA!R1579,"AAAAAHHf93k=")</f>
        <v>1</v>
      </c>
      <c r="DS205" t="b">
        <f>AND(DATA!S1579,"AAAAAHHf93o=")</f>
        <v>1</v>
      </c>
      <c r="DT205" t="b">
        <f>AND(DATA!T1579,"AAAAAHHf93s=")</f>
        <v>1</v>
      </c>
      <c r="DU205">
        <f>IF(DATA!1579:1579,"AAAAAHHf93w=",0)</f>
        <v>0</v>
      </c>
      <c r="DV205" t="e">
        <f>AND(DATA!A1579,"AAAAAHHf930=")</f>
        <v>#VALUE!</v>
      </c>
      <c r="DW205" t="e">
        <f>AND(DATA!B1579,"AAAAAHHf934=")</f>
        <v>#VALUE!</v>
      </c>
      <c r="DX205" t="e">
        <f>AND(DATA!C1579,"AAAAAHHf938=")</f>
        <v>#VALUE!</v>
      </c>
      <c r="DY205" t="e">
        <f>AND(DATA!D1579,"AAAAAHHf94A=")</f>
        <v>#VALUE!</v>
      </c>
      <c r="DZ205" t="e">
        <f>AND(DATA!E1579,"AAAAAHHf94E=")</f>
        <v>#VALUE!</v>
      </c>
      <c r="EA205" t="e">
        <f>AND(DATA!F1579,"AAAAAHHf94I=")</f>
        <v>#VALUE!</v>
      </c>
      <c r="EB205" t="e">
        <f>AND(DATA!G1579,"AAAAAHHf94M=")</f>
        <v>#VALUE!</v>
      </c>
      <c r="EC205" t="e">
        <f>AND(DATA!H1579,"AAAAAHHf94Q=")</f>
        <v>#VALUE!</v>
      </c>
      <c r="ED205" t="e">
        <f>AND(DATA!I1579,"AAAAAHHf94U=")</f>
        <v>#VALUE!</v>
      </c>
      <c r="EE205" t="e">
        <f>AND(DATA!J1579,"AAAAAHHf94Y=")</f>
        <v>#VALUE!</v>
      </c>
      <c r="EF205" t="e">
        <f>AND(DATA!K1579,"AAAAAHHf94c=")</f>
        <v>#VALUE!</v>
      </c>
      <c r="EG205" t="b">
        <f>AND(DATA!L1580,"AAAAAHHf94g=")</f>
        <v>1</v>
      </c>
      <c r="EH205" t="b">
        <f>AND(DATA!M1580,"AAAAAHHf94k=")</f>
        <v>1</v>
      </c>
      <c r="EI205" t="b">
        <f>AND(DATA!N1580,"AAAAAHHf94o=")</f>
        <v>1</v>
      </c>
      <c r="EJ205" t="b">
        <f>AND(DATA!O1580,"AAAAAHHf94s=")</f>
        <v>1</v>
      </c>
      <c r="EK205" t="b">
        <f>AND(DATA!P1580,"AAAAAHHf94w=")</f>
        <v>1</v>
      </c>
      <c r="EL205" t="b">
        <f>AND(DATA!Q1580,"AAAAAHHf940=")</f>
        <v>1</v>
      </c>
      <c r="EM205" t="b">
        <f>AND(DATA!R1580,"AAAAAHHf944=")</f>
        <v>1</v>
      </c>
      <c r="EN205" t="b">
        <f>AND(DATA!S1580,"AAAAAHHf948=")</f>
        <v>1</v>
      </c>
      <c r="EO205" t="b">
        <f>AND(DATA!T1580,"AAAAAHHf95A=")</f>
        <v>1</v>
      </c>
      <c r="EP205">
        <f>IF(DATA!1580:1580,"AAAAAHHf95E=",0)</f>
        <v>0</v>
      </c>
      <c r="EQ205" t="e">
        <f>AND(DATA!A1580,"AAAAAHHf95I=")</f>
        <v>#VALUE!</v>
      </c>
      <c r="ER205" t="e">
        <f>AND(DATA!B1580,"AAAAAHHf95M=")</f>
        <v>#VALUE!</v>
      </c>
      <c r="ES205" t="e">
        <f>AND(DATA!C1580,"AAAAAHHf95Q=")</f>
        <v>#VALUE!</v>
      </c>
      <c r="ET205" t="e">
        <f>AND(DATA!D1580,"AAAAAHHf95U=")</f>
        <v>#VALUE!</v>
      </c>
      <c r="EU205" t="e">
        <f>AND(DATA!E1580,"AAAAAHHf95Y=")</f>
        <v>#VALUE!</v>
      </c>
      <c r="EV205" t="e">
        <f>AND(DATA!F1580,"AAAAAHHf95c=")</f>
        <v>#VALUE!</v>
      </c>
      <c r="EW205" t="e">
        <f>AND(DATA!G1580,"AAAAAHHf95g=")</f>
        <v>#VALUE!</v>
      </c>
      <c r="EX205" t="e">
        <f>AND(DATA!H1580,"AAAAAHHf95k=")</f>
        <v>#VALUE!</v>
      </c>
      <c r="EY205" t="e">
        <f>AND(DATA!I1580,"AAAAAHHf95o=")</f>
        <v>#VALUE!</v>
      </c>
      <c r="EZ205" t="e">
        <f>AND(DATA!J1580,"AAAAAHHf95s=")</f>
        <v>#VALUE!</v>
      </c>
      <c r="FA205" t="e">
        <f>AND(DATA!K1580,"AAAAAHHf95w=")</f>
        <v>#VALUE!</v>
      </c>
      <c r="FB205" t="b">
        <f>AND(DATA!L1581,"AAAAAHHf950=")</f>
        <v>1</v>
      </c>
      <c r="FC205" t="b">
        <f>AND(DATA!M1581,"AAAAAHHf954=")</f>
        <v>1</v>
      </c>
      <c r="FD205" t="b">
        <f>AND(DATA!N1581,"AAAAAHHf958=")</f>
        <v>1</v>
      </c>
      <c r="FE205" t="b">
        <f>AND(DATA!O1581,"AAAAAHHf96A=")</f>
        <v>1</v>
      </c>
      <c r="FF205" t="b">
        <f>AND(DATA!P1581,"AAAAAHHf96E=")</f>
        <v>1</v>
      </c>
      <c r="FG205" t="b">
        <f>AND(DATA!Q1581,"AAAAAHHf96I=")</f>
        <v>1</v>
      </c>
      <c r="FH205" t="b">
        <f>AND(DATA!R1581,"AAAAAHHf96M=")</f>
        <v>1</v>
      </c>
      <c r="FI205" t="b">
        <f>AND(DATA!S1581,"AAAAAHHf96Q=")</f>
        <v>1</v>
      </c>
      <c r="FJ205" t="b">
        <f>AND(DATA!T1581,"AAAAAHHf96U=")</f>
        <v>1</v>
      </c>
      <c r="FK205">
        <f>IF(DATA!1581:1581,"AAAAAHHf96Y=",0)</f>
        <v>0</v>
      </c>
      <c r="FL205" t="e">
        <f>AND(DATA!A1581,"AAAAAHHf96c=")</f>
        <v>#VALUE!</v>
      </c>
      <c r="FM205" t="e">
        <f>AND(DATA!B1581,"AAAAAHHf96g=")</f>
        <v>#VALUE!</v>
      </c>
      <c r="FN205" t="e">
        <f>AND(DATA!C1581,"AAAAAHHf96k=")</f>
        <v>#VALUE!</v>
      </c>
      <c r="FO205" t="e">
        <f>AND(DATA!D1581,"AAAAAHHf96o=")</f>
        <v>#VALUE!</v>
      </c>
      <c r="FP205" t="e">
        <f>AND(DATA!E1581,"AAAAAHHf96s=")</f>
        <v>#VALUE!</v>
      </c>
      <c r="FQ205" t="e">
        <f>AND(DATA!F1581,"AAAAAHHf96w=")</f>
        <v>#VALUE!</v>
      </c>
      <c r="FR205" t="e">
        <f>AND(DATA!G1581,"AAAAAHHf960=")</f>
        <v>#VALUE!</v>
      </c>
      <c r="FS205" t="e">
        <f>AND(DATA!H1581,"AAAAAHHf964=")</f>
        <v>#VALUE!</v>
      </c>
      <c r="FT205" t="e">
        <f>AND(DATA!I1581,"AAAAAHHf968=")</f>
        <v>#VALUE!</v>
      </c>
      <c r="FU205" t="e">
        <f>AND(DATA!J1581,"AAAAAHHf97A=")</f>
        <v>#VALUE!</v>
      </c>
      <c r="FV205" t="e">
        <f>AND(DATA!K1581,"AAAAAHHf97E=")</f>
        <v>#VALUE!</v>
      </c>
      <c r="FW205" t="b">
        <f>AND(DATA!L1582,"AAAAAHHf97I=")</f>
        <v>1</v>
      </c>
      <c r="FX205" t="b">
        <f>AND(DATA!M1582,"AAAAAHHf97M=")</f>
        <v>1</v>
      </c>
      <c r="FY205" t="b">
        <f>AND(DATA!N1582,"AAAAAHHf97Q=")</f>
        <v>1</v>
      </c>
      <c r="FZ205" t="b">
        <f>AND(DATA!O1582,"AAAAAHHf97U=")</f>
        <v>1</v>
      </c>
      <c r="GA205" t="b">
        <f>AND(DATA!P1582,"AAAAAHHf97Y=")</f>
        <v>1</v>
      </c>
      <c r="GB205" t="b">
        <f>AND(DATA!Q1582,"AAAAAHHf97c=")</f>
        <v>1</v>
      </c>
      <c r="GC205" t="b">
        <f>AND(DATA!R1582,"AAAAAHHf97g=")</f>
        <v>1</v>
      </c>
      <c r="GD205" t="b">
        <f>AND(DATA!S1582,"AAAAAHHf97k=")</f>
        <v>1</v>
      </c>
      <c r="GE205" t="b">
        <f>AND(DATA!T1582,"AAAAAHHf97o=")</f>
        <v>1</v>
      </c>
      <c r="GF205">
        <f>IF(DATA!1582:1582,"AAAAAHHf97s=",0)</f>
        <v>0</v>
      </c>
      <c r="GG205" t="e">
        <f>AND(DATA!A1582,"AAAAAHHf97w=")</f>
        <v>#VALUE!</v>
      </c>
      <c r="GH205" t="e">
        <f>AND(DATA!B1582,"AAAAAHHf970=")</f>
        <v>#VALUE!</v>
      </c>
      <c r="GI205" t="e">
        <f>AND(DATA!C1582,"AAAAAHHf974=")</f>
        <v>#VALUE!</v>
      </c>
      <c r="GJ205" t="e">
        <f>AND(DATA!D1582,"AAAAAHHf978=")</f>
        <v>#VALUE!</v>
      </c>
      <c r="GK205" t="e">
        <f>AND(DATA!E1582,"AAAAAHHf98A=")</f>
        <v>#VALUE!</v>
      </c>
      <c r="GL205" t="e">
        <f>AND(DATA!F1582,"AAAAAHHf98E=")</f>
        <v>#VALUE!</v>
      </c>
      <c r="GM205" t="e">
        <f>AND(DATA!G1582,"AAAAAHHf98I=")</f>
        <v>#VALUE!</v>
      </c>
      <c r="GN205" t="e">
        <f>AND(DATA!H1582,"AAAAAHHf98M=")</f>
        <v>#VALUE!</v>
      </c>
      <c r="GO205" t="e">
        <f>AND(DATA!I1582,"AAAAAHHf98Q=")</f>
        <v>#VALUE!</v>
      </c>
      <c r="GP205" t="e">
        <f>AND(DATA!J1582,"AAAAAHHf98U=")</f>
        <v>#VALUE!</v>
      </c>
      <c r="GQ205" t="e">
        <f>AND(DATA!K1582,"AAAAAHHf98Y=")</f>
        <v>#VALUE!</v>
      </c>
      <c r="GR205" t="b">
        <f>AND(DATA!L1583,"AAAAAHHf98c=")</f>
        <v>1</v>
      </c>
      <c r="GS205" t="b">
        <f>AND(DATA!M1583,"AAAAAHHf98g=")</f>
        <v>1</v>
      </c>
      <c r="GT205" t="b">
        <f>AND(DATA!N1583,"AAAAAHHf98k=")</f>
        <v>1</v>
      </c>
      <c r="GU205" t="b">
        <f>AND(DATA!O1583,"AAAAAHHf98o=")</f>
        <v>1</v>
      </c>
      <c r="GV205" t="b">
        <f>AND(DATA!P1583,"AAAAAHHf98s=")</f>
        <v>1</v>
      </c>
      <c r="GW205" t="b">
        <f>AND(DATA!Q1583,"AAAAAHHf98w=")</f>
        <v>1</v>
      </c>
      <c r="GX205" t="b">
        <f>AND(DATA!R1583,"AAAAAHHf980=")</f>
        <v>1</v>
      </c>
      <c r="GY205" t="b">
        <f>AND(DATA!S1583,"AAAAAHHf984=")</f>
        <v>1</v>
      </c>
      <c r="GZ205" t="b">
        <f>AND(DATA!T1583,"AAAAAHHf988=")</f>
        <v>1</v>
      </c>
      <c r="HA205">
        <f>IF(DATA!1583:1583,"AAAAAHHf99A=",0)</f>
        <v>0</v>
      </c>
      <c r="HB205" t="e">
        <f>AND(DATA!A1583,"AAAAAHHf99E=")</f>
        <v>#VALUE!</v>
      </c>
      <c r="HC205" t="e">
        <f>AND(DATA!B1583,"AAAAAHHf99I=")</f>
        <v>#VALUE!</v>
      </c>
      <c r="HD205" t="e">
        <f>AND(DATA!C1583,"AAAAAHHf99M=")</f>
        <v>#VALUE!</v>
      </c>
      <c r="HE205" t="e">
        <f>AND(DATA!D1583,"AAAAAHHf99Q=")</f>
        <v>#VALUE!</v>
      </c>
      <c r="HF205" t="e">
        <f>AND(DATA!E1583,"AAAAAHHf99U=")</f>
        <v>#VALUE!</v>
      </c>
      <c r="HG205" t="e">
        <f>AND(DATA!F1583,"AAAAAHHf99Y=")</f>
        <v>#VALUE!</v>
      </c>
      <c r="HH205" t="e">
        <f>AND(DATA!G1583,"AAAAAHHf99c=")</f>
        <v>#VALUE!</v>
      </c>
      <c r="HI205" t="e">
        <f>AND(DATA!H1583,"AAAAAHHf99g=")</f>
        <v>#VALUE!</v>
      </c>
      <c r="HJ205" t="e">
        <f>AND(DATA!I1583,"AAAAAHHf99k=")</f>
        <v>#VALUE!</v>
      </c>
      <c r="HK205" t="e">
        <f>AND(DATA!J1583,"AAAAAHHf99o=")</f>
        <v>#VALUE!</v>
      </c>
      <c r="HL205" t="e">
        <f>AND(DATA!K1583,"AAAAAHHf99s=")</f>
        <v>#VALUE!</v>
      </c>
      <c r="HM205" t="b">
        <f>AND(DATA!L1584,"AAAAAHHf99w=")</f>
        <v>1</v>
      </c>
      <c r="HN205" t="b">
        <f>AND(DATA!M1584,"AAAAAHHf990=")</f>
        <v>1</v>
      </c>
      <c r="HO205" t="b">
        <f>AND(DATA!N1584,"AAAAAHHf994=")</f>
        <v>1</v>
      </c>
      <c r="HP205" t="b">
        <f>AND(DATA!O1584,"AAAAAHHf998=")</f>
        <v>1</v>
      </c>
      <c r="HQ205" t="b">
        <f>AND(DATA!P1584,"AAAAAHHf9+A=")</f>
        <v>1</v>
      </c>
      <c r="HR205" t="b">
        <f>AND(DATA!Q1584,"AAAAAHHf9+E=")</f>
        <v>1</v>
      </c>
      <c r="HS205" t="b">
        <f>AND(DATA!R1584,"AAAAAHHf9+I=")</f>
        <v>1</v>
      </c>
      <c r="HT205" t="b">
        <f>AND(DATA!S1584,"AAAAAHHf9+M=")</f>
        <v>1</v>
      </c>
      <c r="HU205" t="b">
        <f>AND(DATA!T1584,"AAAAAHHf9+Q=")</f>
        <v>1</v>
      </c>
      <c r="HV205">
        <f>IF(DATA!1584:1584,"AAAAAHHf9+U=",0)</f>
        <v>0</v>
      </c>
      <c r="HW205" t="e">
        <f>AND(DATA!A1584,"AAAAAHHf9+Y=")</f>
        <v>#VALUE!</v>
      </c>
      <c r="HX205" t="e">
        <f>AND(DATA!B1584,"AAAAAHHf9+c=")</f>
        <v>#VALUE!</v>
      </c>
      <c r="HY205" t="e">
        <f>AND(DATA!C1584,"AAAAAHHf9+g=")</f>
        <v>#VALUE!</v>
      </c>
      <c r="HZ205" t="e">
        <f>AND(DATA!D1584,"AAAAAHHf9+k=")</f>
        <v>#VALUE!</v>
      </c>
      <c r="IA205" t="e">
        <f>AND(DATA!E1584,"AAAAAHHf9+o=")</f>
        <v>#VALUE!</v>
      </c>
      <c r="IB205" t="e">
        <f>AND(DATA!F1584,"AAAAAHHf9+s=")</f>
        <v>#VALUE!</v>
      </c>
      <c r="IC205" t="e">
        <f>AND(DATA!G1584,"AAAAAHHf9+w=")</f>
        <v>#VALUE!</v>
      </c>
      <c r="ID205" t="e">
        <f>AND(DATA!H1584,"AAAAAHHf9+0=")</f>
        <v>#VALUE!</v>
      </c>
      <c r="IE205" t="e">
        <f>AND(DATA!I1584,"AAAAAHHf9+4=")</f>
        <v>#VALUE!</v>
      </c>
      <c r="IF205" t="e">
        <f>AND(DATA!J1584,"AAAAAHHf9+8=")</f>
        <v>#VALUE!</v>
      </c>
      <c r="IG205" t="e">
        <f>AND(DATA!K1584,"AAAAAHHf9/A=")</f>
        <v>#VALUE!</v>
      </c>
      <c r="IH205" t="b">
        <f>AND(DATA!L1585,"AAAAAHHf9/E=")</f>
        <v>1</v>
      </c>
      <c r="II205" t="b">
        <f>AND(DATA!M1585,"AAAAAHHf9/I=")</f>
        <v>1</v>
      </c>
      <c r="IJ205" t="b">
        <f>AND(DATA!N1585,"AAAAAHHf9/M=")</f>
        <v>1</v>
      </c>
      <c r="IK205" t="b">
        <f>AND(DATA!O1585,"AAAAAHHf9/Q=")</f>
        <v>1</v>
      </c>
      <c r="IL205" t="b">
        <f>AND(DATA!P1585,"AAAAAHHf9/U=")</f>
        <v>1</v>
      </c>
      <c r="IM205" t="b">
        <f>AND(DATA!Q1585,"AAAAAHHf9/Y=")</f>
        <v>1</v>
      </c>
      <c r="IN205" t="b">
        <f>AND(DATA!R1585,"AAAAAHHf9/c=")</f>
        <v>1</v>
      </c>
      <c r="IO205" t="b">
        <f>AND(DATA!S1585,"AAAAAHHf9/g=")</f>
        <v>1</v>
      </c>
      <c r="IP205" t="b">
        <f>AND(DATA!T1585,"AAAAAHHf9/k=")</f>
        <v>1</v>
      </c>
      <c r="IQ205">
        <f>IF(DATA!1585:1585,"AAAAAHHf9/o=",0)</f>
        <v>0</v>
      </c>
      <c r="IR205" t="e">
        <f>AND(DATA!A1585,"AAAAAHHf9/s=")</f>
        <v>#VALUE!</v>
      </c>
      <c r="IS205" t="e">
        <f>AND(DATA!B1585,"AAAAAHHf9/w=")</f>
        <v>#VALUE!</v>
      </c>
      <c r="IT205" t="e">
        <f>AND(DATA!C1585,"AAAAAHHf9/0=")</f>
        <v>#VALUE!</v>
      </c>
      <c r="IU205" t="e">
        <f>AND(DATA!D1585,"AAAAAHHf9/4=")</f>
        <v>#VALUE!</v>
      </c>
      <c r="IV205" t="e">
        <f>AND(DATA!E1585,"AAAAAHHf9/8=")</f>
        <v>#VALUE!</v>
      </c>
    </row>
    <row r="206" spans="1:256" x14ac:dyDescent="0.25">
      <c r="A206" t="e">
        <f>AND(DATA!F1585,"AAAAAFn/ywA=")</f>
        <v>#VALUE!</v>
      </c>
      <c r="B206" t="e">
        <f>AND(DATA!G1585,"AAAAAFn/ywE=")</f>
        <v>#VALUE!</v>
      </c>
      <c r="C206" t="e">
        <f>AND(DATA!H1585,"AAAAAFn/ywI=")</f>
        <v>#VALUE!</v>
      </c>
      <c r="D206" t="e">
        <f>AND(DATA!I1585,"AAAAAFn/ywM=")</f>
        <v>#VALUE!</v>
      </c>
      <c r="E206" t="e">
        <f>AND(DATA!J1585,"AAAAAFn/ywQ=")</f>
        <v>#VALUE!</v>
      </c>
      <c r="F206" t="e">
        <f>AND(DATA!K1585,"AAAAAFn/ywU=")</f>
        <v>#VALUE!</v>
      </c>
      <c r="G206" t="b">
        <f>AND(DATA!L1586,"AAAAAFn/ywY=")</f>
        <v>1</v>
      </c>
      <c r="H206" t="b">
        <f>AND(DATA!M1586,"AAAAAFn/ywc=")</f>
        <v>1</v>
      </c>
      <c r="I206" t="b">
        <f>AND(DATA!N1586,"AAAAAFn/ywg=")</f>
        <v>1</v>
      </c>
      <c r="J206" t="b">
        <f>AND(DATA!O1586,"AAAAAFn/ywk=")</f>
        <v>1</v>
      </c>
      <c r="K206" t="b">
        <f>AND(DATA!P1586,"AAAAAFn/ywo=")</f>
        <v>1</v>
      </c>
      <c r="L206" t="b">
        <f>AND(DATA!Q1586,"AAAAAFn/yws=")</f>
        <v>1</v>
      </c>
      <c r="M206" t="b">
        <f>AND(DATA!R1586,"AAAAAFn/yww=")</f>
        <v>1</v>
      </c>
      <c r="N206" t="b">
        <f>AND(DATA!S1586,"AAAAAFn/yw0=")</f>
        <v>1</v>
      </c>
      <c r="O206" t="b">
        <f>AND(DATA!T1586,"AAAAAFn/yw4=")</f>
        <v>1</v>
      </c>
      <c r="P206" t="str">
        <f>IF(DATA!1586:1586,"AAAAAFn/yw8=",0)</f>
        <v>AAAAAFn/yw8=</v>
      </c>
      <c r="Q206" t="e">
        <f>AND(DATA!A1586,"AAAAAFn/yxA=")</f>
        <v>#VALUE!</v>
      </c>
      <c r="R206" t="e">
        <f>AND(DATA!B1586,"AAAAAFn/yxE=")</f>
        <v>#VALUE!</v>
      </c>
      <c r="S206" t="e">
        <f>AND(DATA!C1586,"AAAAAFn/yxI=")</f>
        <v>#VALUE!</v>
      </c>
      <c r="T206" t="e">
        <f>AND(DATA!D1586,"AAAAAFn/yxM=")</f>
        <v>#VALUE!</v>
      </c>
      <c r="U206" t="e">
        <f>AND(DATA!E1586,"AAAAAFn/yxQ=")</f>
        <v>#VALUE!</v>
      </c>
      <c r="V206" t="e">
        <f>AND(DATA!F1586,"AAAAAFn/yxU=")</f>
        <v>#VALUE!</v>
      </c>
      <c r="W206" t="e">
        <f>AND(DATA!G1586,"AAAAAFn/yxY=")</f>
        <v>#VALUE!</v>
      </c>
      <c r="X206" t="e">
        <f>AND(DATA!H1586,"AAAAAFn/yxc=")</f>
        <v>#VALUE!</v>
      </c>
      <c r="Y206" t="e">
        <f>AND(DATA!I1586,"AAAAAFn/yxg=")</f>
        <v>#VALUE!</v>
      </c>
      <c r="Z206" t="e">
        <f>AND(DATA!J1586,"AAAAAFn/yxk=")</f>
        <v>#VALUE!</v>
      </c>
      <c r="AA206" t="e">
        <f>AND(DATA!K1586,"AAAAAFn/yxo=")</f>
        <v>#VALUE!</v>
      </c>
      <c r="AB206" t="b">
        <f>AND(DATA!L1587,"AAAAAFn/yxs=")</f>
        <v>1</v>
      </c>
      <c r="AC206" t="b">
        <f>AND(DATA!M1587,"AAAAAFn/yxw=")</f>
        <v>1</v>
      </c>
      <c r="AD206" t="b">
        <f>AND(DATA!N1587,"AAAAAFn/yx0=")</f>
        <v>1</v>
      </c>
      <c r="AE206" t="b">
        <f>AND(DATA!O1587,"AAAAAFn/yx4=")</f>
        <v>1</v>
      </c>
      <c r="AF206" t="b">
        <f>AND(DATA!P1587,"AAAAAFn/yx8=")</f>
        <v>1</v>
      </c>
      <c r="AG206" t="b">
        <f>AND(DATA!Q1587,"AAAAAFn/yyA=")</f>
        <v>1</v>
      </c>
      <c r="AH206" t="b">
        <f>AND(DATA!R1587,"AAAAAFn/yyE=")</f>
        <v>1</v>
      </c>
      <c r="AI206" t="b">
        <f>AND(DATA!S1587,"AAAAAFn/yyI=")</f>
        <v>1</v>
      </c>
      <c r="AJ206" t="b">
        <f>AND(DATA!T1587,"AAAAAFn/yyM=")</f>
        <v>1</v>
      </c>
      <c r="AK206">
        <f>IF(DATA!1587:1587,"AAAAAFn/yyQ=",0)</f>
        <v>0</v>
      </c>
      <c r="AL206" t="e">
        <f>AND(DATA!A1587,"AAAAAFn/yyU=")</f>
        <v>#VALUE!</v>
      </c>
      <c r="AM206" t="e">
        <f>AND(DATA!B1587,"AAAAAFn/yyY=")</f>
        <v>#VALUE!</v>
      </c>
      <c r="AN206" t="e">
        <f>AND(DATA!C1587,"AAAAAFn/yyc=")</f>
        <v>#VALUE!</v>
      </c>
      <c r="AO206" t="e">
        <f>AND(DATA!D1587,"AAAAAFn/yyg=")</f>
        <v>#VALUE!</v>
      </c>
      <c r="AP206" t="e">
        <f>AND(DATA!E1587,"AAAAAFn/yyk=")</f>
        <v>#VALUE!</v>
      </c>
      <c r="AQ206" t="e">
        <f>AND(DATA!F1587,"AAAAAFn/yyo=")</f>
        <v>#VALUE!</v>
      </c>
      <c r="AR206" t="e">
        <f>AND(DATA!G1587,"AAAAAFn/yys=")</f>
        <v>#VALUE!</v>
      </c>
      <c r="AS206" t="e">
        <f>AND(DATA!H1587,"AAAAAFn/yyw=")</f>
        <v>#VALUE!</v>
      </c>
      <c r="AT206" t="e">
        <f>AND(DATA!I1587,"AAAAAFn/yy0=")</f>
        <v>#VALUE!</v>
      </c>
      <c r="AU206" t="e">
        <f>AND(DATA!J1587,"AAAAAFn/yy4=")</f>
        <v>#VALUE!</v>
      </c>
      <c r="AV206" t="e">
        <f>AND(DATA!K1587,"AAAAAFn/yy8=")</f>
        <v>#VALUE!</v>
      </c>
      <c r="AW206" t="b">
        <f>AND(DATA!L1588,"AAAAAFn/yzA=")</f>
        <v>1</v>
      </c>
      <c r="AX206" t="b">
        <f>AND(DATA!M1588,"AAAAAFn/yzE=")</f>
        <v>1</v>
      </c>
      <c r="AY206" t="b">
        <f>AND(DATA!N1588,"AAAAAFn/yzI=")</f>
        <v>1</v>
      </c>
      <c r="AZ206" t="b">
        <f>AND(DATA!O1588,"AAAAAFn/yzM=")</f>
        <v>1</v>
      </c>
      <c r="BA206" t="b">
        <f>AND(DATA!P1588,"AAAAAFn/yzQ=")</f>
        <v>1</v>
      </c>
      <c r="BB206" t="b">
        <f>AND(DATA!Q1588,"AAAAAFn/yzU=")</f>
        <v>1</v>
      </c>
      <c r="BC206" t="b">
        <f>AND(DATA!R1588,"AAAAAFn/yzY=")</f>
        <v>1</v>
      </c>
      <c r="BD206" t="b">
        <f>AND(DATA!S1588,"AAAAAFn/yzc=")</f>
        <v>1</v>
      </c>
      <c r="BE206" t="b">
        <f>AND(DATA!T1588,"AAAAAFn/yzg=")</f>
        <v>1</v>
      </c>
      <c r="BF206">
        <f>IF(DATA!1588:1588,"AAAAAFn/yzk=",0)</f>
        <v>0</v>
      </c>
      <c r="BG206" t="e">
        <f>AND(DATA!A1588,"AAAAAFn/yzo=")</f>
        <v>#VALUE!</v>
      </c>
      <c r="BH206" t="e">
        <f>AND(DATA!B1588,"AAAAAFn/yzs=")</f>
        <v>#VALUE!</v>
      </c>
      <c r="BI206" t="e">
        <f>AND(DATA!C1588,"AAAAAFn/yzw=")</f>
        <v>#VALUE!</v>
      </c>
      <c r="BJ206" t="e">
        <f>AND(DATA!D1588,"AAAAAFn/yz0=")</f>
        <v>#VALUE!</v>
      </c>
      <c r="BK206" t="e">
        <f>AND(DATA!E1588,"AAAAAFn/yz4=")</f>
        <v>#VALUE!</v>
      </c>
      <c r="BL206" t="e">
        <f>AND(DATA!F1588,"AAAAAFn/yz8=")</f>
        <v>#VALUE!</v>
      </c>
      <c r="BM206" t="e">
        <f>AND(DATA!G1588,"AAAAAFn/y0A=")</f>
        <v>#VALUE!</v>
      </c>
      <c r="BN206" t="e">
        <f>AND(DATA!H1588,"AAAAAFn/y0E=")</f>
        <v>#VALUE!</v>
      </c>
      <c r="BO206" t="e">
        <f>AND(DATA!I1588,"AAAAAFn/y0I=")</f>
        <v>#VALUE!</v>
      </c>
      <c r="BP206" t="e">
        <f>AND(DATA!J1588,"AAAAAFn/y0M=")</f>
        <v>#VALUE!</v>
      </c>
      <c r="BQ206" t="e">
        <f>AND(DATA!K1588,"AAAAAFn/y0Q=")</f>
        <v>#VALUE!</v>
      </c>
      <c r="BR206" t="b">
        <f>AND(DATA!L1589,"AAAAAFn/y0U=")</f>
        <v>1</v>
      </c>
      <c r="BS206" t="b">
        <f>AND(DATA!M1589,"AAAAAFn/y0Y=")</f>
        <v>1</v>
      </c>
      <c r="BT206" t="b">
        <f>AND(DATA!N1589,"AAAAAFn/y0c=")</f>
        <v>1</v>
      </c>
      <c r="BU206" t="b">
        <f>AND(DATA!O1589,"AAAAAFn/y0g=")</f>
        <v>1</v>
      </c>
      <c r="BV206" t="b">
        <f>AND(DATA!P1589,"AAAAAFn/y0k=")</f>
        <v>1</v>
      </c>
      <c r="BW206" t="b">
        <f>AND(DATA!Q1589,"AAAAAFn/y0o=")</f>
        <v>1</v>
      </c>
      <c r="BX206" t="b">
        <f>AND(DATA!R1589,"AAAAAFn/y0s=")</f>
        <v>1</v>
      </c>
      <c r="BY206" t="b">
        <f>AND(DATA!S1589,"AAAAAFn/y0w=")</f>
        <v>1</v>
      </c>
      <c r="BZ206" t="b">
        <f>AND(DATA!T1589,"AAAAAFn/y00=")</f>
        <v>1</v>
      </c>
      <c r="CA206">
        <f>IF(DATA!1589:1589,"AAAAAFn/y04=",0)</f>
        <v>0</v>
      </c>
      <c r="CB206" t="e">
        <f>AND(DATA!A1589,"AAAAAFn/y08=")</f>
        <v>#VALUE!</v>
      </c>
      <c r="CC206" t="e">
        <f>AND(DATA!B1589,"AAAAAFn/y1A=")</f>
        <v>#VALUE!</v>
      </c>
      <c r="CD206" t="e">
        <f>AND(DATA!C1589,"AAAAAFn/y1E=")</f>
        <v>#VALUE!</v>
      </c>
      <c r="CE206" t="e">
        <f>AND(DATA!D1589,"AAAAAFn/y1I=")</f>
        <v>#VALUE!</v>
      </c>
      <c r="CF206" t="e">
        <f>AND(DATA!E1589,"AAAAAFn/y1M=")</f>
        <v>#VALUE!</v>
      </c>
      <c r="CG206" t="e">
        <f>AND(DATA!F1589,"AAAAAFn/y1Q=")</f>
        <v>#VALUE!</v>
      </c>
      <c r="CH206" t="e">
        <f>AND(DATA!G1589,"AAAAAFn/y1U=")</f>
        <v>#VALUE!</v>
      </c>
      <c r="CI206" t="e">
        <f>AND(DATA!H1589,"AAAAAFn/y1Y=")</f>
        <v>#VALUE!</v>
      </c>
      <c r="CJ206" t="e">
        <f>AND(DATA!I1589,"AAAAAFn/y1c=")</f>
        <v>#VALUE!</v>
      </c>
      <c r="CK206" t="e">
        <f>AND(DATA!J1589,"AAAAAFn/y1g=")</f>
        <v>#VALUE!</v>
      </c>
      <c r="CL206" t="e">
        <f>AND(DATA!K1589,"AAAAAFn/y1k=")</f>
        <v>#VALUE!</v>
      </c>
      <c r="CM206" t="b">
        <f>AND(DATA!L1590,"AAAAAFn/y1o=")</f>
        <v>1</v>
      </c>
      <c r="CN206" t="b">
        <f>AND(DATA!M1590,"AAAAAFn/y1s=")</f>
        <v>1</v>
      </c>
      <c r="CO206" t="b">
        <f>AND(DATA!N1590,"AAAAAFn/y1w=")</f>
        <v>1</v>
      </c>
      <c r="CP206" t="b">
        <f>AND(DATA!O1590,"AAAAAFn/y10=")</f>
        <v>1</v>
      </c>
      <c r="CQ206" t="b">
        <f>AND(DATA!P1590,"AAAAAFn/y14=")</f>
        <v>1</v>
      </c>
      <c r="CR206" t="b">
        <f>AND(DATA!Q1590,"AAAAAFn/y18=")</f>
        <v>1</v>
      </c>
      <c r="CS206" t="b">
        <f>AND(DATA!R1590,"AAAAAFn/y2A=")</f>
        <v>1</v>
      </c>
      <c r="CT206" t="b">
        <f>AND(DATA!S1590,"AAAAAFn/y2E=")</f>
        <v>1</v>
      </c>
      <c r="CU206" t="b">
        <f>AND(DATA!T1590,"AAAAAFn/y2I=")</f>
        <v>1</v>
      </c>
      <c r="CV206">
        <f>IF(DATA!1590:1590,"AAAAAFn/y2M=",0)</f>
        <v>0</v>
      </c>
      <c r="CW206" t="e">
        <f>AND(DATA!A1590,"AAAAAFn/y2Q=")</f>
        <v>#VALUE!</v>
      </c>
      <c r="CX206" t="e">
        <f>AND(DATA!B1590,"AAAAAFn/y2U=")</f>
        <v>#VALUE!</v>
      </c>
      <c r="CY206" t="e">
        <f>AND(DATA!C1590,"AAAAAFn/y2Y=")</f>
        <v>#VALUE!</v>
      </c>
      <c r="CZ206" t="e">
        <f>AND(DATA!D1590,"AAAAAFn/y2c=")</f>
        <v>#VALUE!</v>
      </c>
      <c r="DA206" t="e">
        <f>AND(DATA!E1590,"AAAAAFn/y2g=")</f>
        <v>#VALUE!</v>
      </c>
      <c r="DB206" t="e">
        <f>AND(DATA!F1590,"AAAAAFn/y2k=")</f>
        <v>#VALUE!</v>
      </c>
      <c r="DC206" t="e">
        <f>AND(DATA!G1590,"AAAAAFn/y2o=")</f>
        <v>#VALUE!</v>
      </c>
      <c r="DD206" t="e">
        <f>AND(DATA!H1590,"AAAAAFn/y2s=")</f>
        <v>#VALUE!</v>
      </c>
      <c r="DE206" t="e">
        <f>AND(DATA!I1590,"AAAAAFn/y2w=")</f>
        <v>#VALUE!</v>
      </c>
      <c r="DF206" t="e">
        <f>AND(DATA!J1590,"AAAAAFn/y20=")</f>
        <v>#VALUE!</v>
      </c>
      <c r="DG206" t="e">
        <f>AND(DATA!K1590,"AAAAAFn/y24=")</f>
        <v>#VALUE!</v>
      </c>
      <c r="DH206" t="b">
        <f>AND(DATA!L1591,"AAAAAFn/y28=")</f>
        <v>1</v>
      </c>
      <c r="DI206" t="b">
        <f>AND(DATA!M1591,"AAAAAFn/y3A=")</f>
        <v>1</v>
      </c>
      <c r="DJ206" t="b">
        <f>AND(DATA!N1591,"AAAAAFn/y3E=")</f>
        <v>1</v>
      </c>
      <c r="DK206" t="b">
        <f>AND(DATA!O1591,"AAAAAFn/y3I=")</f>
        <v>1</v>
      </c>
      <c r="DL206" t="b">
        <f>AND(DATA!P1591,"AAAAAFn/y3M=")</f>
        <v>1</v>
      </c>
      <c r="DM206" t="b">
        <f>AND(DATA!Q1591,"AAAAAFn/y3Q=")</f>
        <v>1</v>
      </c>
      <c r="DN206" t="b">
        <f>AND(DATA!R1591,"AAAAAFn/y3U=")</f>
        <v>1</v>
      </c>
      <c r="DO206" t="b">
        <f>AND(DATA!S1591,"AAAAAFn/y3Y=")</f>
        <v>1</v>
      </c>
      <c r="DP206" t="b">
        <f>AND(DATA!T1591,"AAAAAFn/y3c=")</f>
        <v>1</v>
      </c>
      <c r="DQ206">
        <f>IF(DATA!1591:1591,"AAAAAFn/y3g=",0)</f>
        <v>0</v>
      </c>
      <c r="DR206" t="e">
        <f>AND(DATA!A1591,"AAAAAFn/y3k=")</f>
        <v>#VALUE!</v>
      </c>
      <c r="DS206" t="e">
        <f>AND(DATA!B1591,"AAAAAFn/y3o=")</f>
        <v>#VALUE!</v>
      </c>
      <c r="DT206" t="e">
        <f>AND(DATA!C1591,"AAAAAFn/y3s=")</f>
        <v>#VALUE!</v>
      </c>
      <c r="DU206" t="e">
        <f>AND(DATA!D1591,"AAAAAFn/y3w=")</f>
        <v>#VALUE!</v>
      </c>
      <c r="DV206" t="e">
        <f>AND(DATA!E1591,"AAAAAFn/y30=")</f>
        <v>#VALUE!</v>
      </c>
      <c r="DW206" t="e">
        <f>AND(DATA!F1591,"AAAAAFn/y34=")</f>
        <v>#VALUE!</v>
      </c>
      <c r="DX206" t="e">
        <f>AND(DATA!G1591,"AAAAAFn/y38=")</f>
        <v>#VALUE!</v>
      </c>
      <c r="DY206" t="e">
        <f>AND(DATA!H1591,"AAAAAFn/y4A=")</f>
        <v>#VALUE!</v>
      </c>
      <c r="DZ206" t="e">
        <f>AND(DATA!I1591,"AAAAAFn/y4E=")</f>
        <v>#VALUE!</v>
      </c>
      <c r="EA206" t="e">
        <f>AND(DATA!J1591,"AAAAAFn/y4I=")</f>
        <v>#VALUE!</v>
      </c>
      <c r="EB206" t="e">
        <f>AND(DATA!K1591,"AAAAAFn/y4M=")</f>
        <v>#VALUE!</v>
      </c>
      <c r="EC206" t="b">
        <f>AND(DATA!L1592,"AAAAAFn/y4Q=")</f>
        <v>1</v>
      </c>
      <c r="ED206" t="b">
        <f>AND(DATA!M1592,"AAAAAFn/y4U=")</f>
        <v>1</v>
      </c>
      <c r="EE206" t="b">
        <f>AND(DATA!N1592,"AAAAAFn/y4Y=")</f>
        <v>1</v>
      </c>
      <c r="EF206" t="b">
        <f>AND(DATA!O1592,"AAAAAFn/y4c=")</f>
        <v>1</v>
      </c>
      <c r="EG206" t="b">
        <f>AND(DATA!P1592,"AAAAAFn/y4g=")</f>
        <v>1</v>
      </c>
      <c r="EH206" t="b">
        <f>AND(DATA!Q1592,"AAAAAFn/y4k=")</f>
        <v>1</v>
      </c>
      <c r="EI206" t="b">
        <f>AND(DATA!R1592,"AAAAAFn/y4o=")</f>
        <v>1</v>
      </c>
      <c r="EJ206" t="b">
        <f>AND(DATA!S1592,"AAAAAFn/y4s=")</f>
        <v>1</v>
      </c>
      <c r="EK206" t="b">
        <f>AND(DATA!T1592,"AAAAAFn/y4w=")</f>
        <v>1</v>
      </c>
      <c r="EL206">
        <f>IF(DATA!1592:1592,"AAAAAFn/y40=",0)</f>
        <v>0</v>
      </c>
      <c r="EM206" t="e">
        <f>AND(DATA!A1592,"AAAAAFn/y44=")</f>
        <v>#VALUE!</v>
      </c>
      <c r="EN206" t="e">
        <f>AND(DATA!B1592,"AAAAAFn/y48=")</f>
        <v>#VALUE!</v>
      </c>
      <c r="EO206" t="e">
        <f>AND(DATA!C1592,"AAAAAFn/y5A=")</f>
        <v>#VALUE!</v>
      </c>
      <c r="EP206" t="e">
        <f>AND(DATA!D1592,"AAAAAFn/y5E=")</f>
        <v>#VALUE!</v>
      </c>
      <c r="EQ206" t="e">
        <f>AND(DATA!E1592,"AAAAAFn/y5I=")</f>
        <v>#VALUE!</v>
      </c>
      <c r="ER206" t="e">
        <f>AND(DATA!F1592,"AAAAAFn/y5M=")</f>
        <v>#VALUE!</v>
      </c>
      <c r="ES206" t="e">
        <f>AND(DATA!G1592,"AAAAAFn/y5Q=")</f>
        <v>#VALUE!</v>
      </c>
      <c r="ET206" t="e">
        <f>AND(DATA!H1592,"AAAAAFn/y5U=")</f>
        <v>#VALUE!</v>
      </c>
      <c r="EU206" t="e">
        <f>AND(DATA!I1592,"AAAAAFn/y5Y=")</f>
        <v>#VALUE!</v>
      </c>
      <c r="EV206" t="e">
        <f>AND(DATA!J1592,"AAAAAFn/y5c=")</f>
        <v>#VALUE!</v>
      </c>
      <c r="EW206" t="e">
        <f>AND(DATA!K1592,"AAAAAFn/y5g=")</f>
        <v>#VALUE!</v>
      </c>
      <c r="EX206" t="b">
        <f>AND(DATA!L1593,"AAAAAFn/y5k=")</f>
        <v>1</v>
      </c>
      <c r="EY206" t="b">
        <f>AND(DATA!M1593,"AAAAAFn/y5o=")</f>
        <v>1</v>
      </c>
      <c r="EZ206" t="b">
        <f>AND(DATA!N1593,"AAAAAFn/y5s=")</f>
        <v>1</v>
      </c>
      <c r="FA206" t="b">
        <f>AND(DATA!O1593,"AAAAAFn/y5w=")</f>
        <v>1</v>
      </c>
      <c r="FB206" t="b">
        <f>AND(DATA!P1593,"AAAAAFn/y50=")</f>
        <v>1</v>
      </c>
      <c r="FC206" t="b">
        <f>AND(DATA!Q1593,"AAAAAFn/y54=")</f>
        <v>1</v>
      </c>
      <c r="FD206" t="b">
        <f>AND(DATA!R1593,"AAAAAFn/y58=")</f>
        <v>1</v>
      </c>
      <c r="FE206" t="b">
        <f>AND(DATA!S1593,"AAAAAFn/y6A=")</f>
        <v>1</v>
      </c>
      <c r="FF206" t="b">
        <f>AND(DATA!T1593,"AAAAAFn/y6E=")</f>
        <v>1</v>
      </c>
      <c r="FG206">
        <f>IF(DATA!1593:1593,"AAAAAFn/y6I=",0)</f>
        <v>0</v>
      </c>
      <c r="FH206" t="e">
        <f>AND(DATA!A1593,"AAAAAFn/y6M=")</f>
        <v>#VALUE!</v>
      </c>
      <c r="FI206" t="e">
        <f>AND(DATA!B1593,"AAAAAFn/y6Q=")</f>
        <v>#VALUE!</v>
      </c>
      <c r="FJ206" t="e">
        <f>AND(DATA!C1593,"AAAAAFn/y6U=")</f>
        <v>#VALUE!</v>
      </c>
      <c r="FK206" t="e">
        <f>AND(DATA!D1593,"AAAAAFn/y6Y=")</f>
        <v>#VALUE!</v>
      </c>
      <c r="FL206" t="e">
        <f>AND(DATA!E1593,"AAAAAFn/y6c=")</f>
        <v>#VALUE!</v>
      </c>
      <c r="FM206" t="e">
        <f>AND(DATA!F1593,"AAAAAFn/y6g=")</f>
        <v>#VALUE!</v>
      </c>
      <c r="FN206" t="e">
        <f>AND(DATA!G1593,"AAAAAFn/y6k=")</f>
        <v>#VALUE!</v>
      </c>
      <c r="FO206" t="e">
        <f>AND(DATA!H1593,"AAAAAFn/y6o=")</f>
        <v>#VALUE!</v>
      </c>
      <c r="FP206" t="e">
        <f>AND(DATA!I1593,"AAAAAFn/y6s=")</f>
        <v>#VALUE!</v>
      </c>
      <c r="FQ206" t="e">
        <f>AND(DATA!J1593,"AAAAAFn/y6w=")</f>
        <v>#VALUE!</v>
      </c>
      <c r="FR206" t="e">
        <f>AND(DATA!K1593,"AAAAAFn/y60=")</f>
        <v>#VALUE!</v>
      </c>
      <c r="FS206" t="b">
        <f>AND(DATA!L1594,"AAAAAFn/y64=")</f>
        <v>1</v>
      </c>
      <c r="FT206" t="b">
        <f>AND(DATA!M1594,"AAAAAFn/y68=")</f>
        <v>1</v>
      </c>
      <c r="FU206" t="b">
        <f>AND(DATA!N1594,"AAAAAFn/y7A=")</f>
        <v>1</v>
      </c>
      <c r="FV206" t="b">
        <f>AND(DATA!O1594,"AAAAAFn/y7E=")</f>
        <v>1</v>
      </c>
      <c r="FW206" t="b">
        <f>AND(DATA!P1594,"AAAAAFn/y7I=")</f>
        <v>1</v>
      </c>
      <c r="FX206" t="b">
        <f>AND(DATA!Q1594,"AAAAAFn/y7M=")</f>
        <v>1</v>
      </c>
      <c r="FY206" t="b">
        <f>AND(DATA!R1594,"AAAAAFn/y7Q=")</f>
        <v>1</v>
      </c>
      <c r="FZ206" t="b">
        <f>AND(DATA!S1594,"AAAAAFn/y7U=")</f>
        <v>1</v>
      </c>
      <c r="GA206" t="b">
        <f>AND(DATA!T1594,"AAAAAFn/y7Y=")</f>
        <v>1</v>
      </c>
      <c r="GB206">
        <f>IF(DATA!1594:1594,"AAAAAFn/y7c=",0)</f>
        <v>0</v>
      </c>
      <c r="GC206" t="e">
        <f>AND(DATA!A1594,"AAAAAFn/y7g=")</f>
        <v>#VALUE!</v>
      </c>
      <c r="GD206" t="e">
        <f>AND(DATA!B1594,"AAAAAFn/y7k=")</f>
        <v>#VALUE!</v>
      </c>
      <c r="GE206" t="e">
        <f>AND(DATA!C1594,"AAAAAFn/y7o=")</f>
        <v>#VALUE!</v>
      </c>
      <c r="GF206" t="e">
        <f>AND(DATA!D1594,"AAAAAFn/y7s=")</f>
        <v>#VALUE!</v>
      </c>
      <c r="GG206" t="e">
        <f>AND(DATA!E1594,"AAAAAFn/y7w=")</f>
        <v>#VALUE!</v>
      </c>
      <c r="GH206" t="e">
        <f>AND(DATA!F1594,"AAAAAFn/y70=")</f>
        <v>#VALUE!</v>
      </c>
      <c r="GI206" t="e">
        <f>AND(DATA!G1594,"AAAAAFn/y74=")</f>
        <v>#VALUE!</v>
      </c>
      <c r="GJ206" t="e">
        <f>AND(DATA!H1594,"AAAAAFn/y78=")</f>
        <v>#VALUE!</v>
      </c>
      <c r="GK206" t="e">
        <f>AND(DATA!I1594,"AAAAAFn/y8A=")</f>
        <v>#VALUE!</v>
      </c>
      <c r="GL206" t="e">
        <f>AND(DATA!J1594,"AAAAAFn/y8E=")</f>
        <v>#VALUE!</v>
      </c>
      <c r="GM206" t="e">
        <f>AND(DATA!K1594,"AAAAAFn/y8I=")</f>
        <v>#VALUE!</v>
      </c>
      <c r="GN206" t="b">
        <f>AND(DATA!L1595,"AAAAAFn/y8M=")</f>
        <v>1</v>
      </c>
      <c r="GO206" t="b">
        <f>AND(DATA!M1595,"AAAAAFn/y8Q=")</f>
        <v>1</v>
      </c>
      <c r="GP206" t="b">
        <f>AND(DATA!N1595,"AAAAAFn/y8U=")</f>
        <v>1</v>
      </c>
      <c r="GQ206" t="b">
        <f>AND(DATA!O1595,"AAAAAFn/y8Y=")</f>
        <v>1</v>
      </c>
      <c r="GR206" t="b">
        <f>AND(DATA!P1595,"AAAAAFn/y8c=")</f>
        <v>1</v>
      </c>
      <c r="GS206" t="b">
        <f>AND(DATA!Q1595,"AAAAAFn/y8g=")</f>
        <v>1</v>
      </c>
      <c r="GT206" t="b">
        <f>AND(DATA!R1595,"AAAAAFn/y8k=")</f>
        <v>1</v>
      </c>
      <c r="GU206" t="b">
        <f>AND(DATA!S1595,"AAAAAFn/y8o=")</f>
        <v>1</v>
      </c>
      <c r="GV206" t="b">
        <f>AND(DATA!T1595,"AAAAAFn/y8s=")</f>
        <v>1</v>
      </c>
      <c r="GW206">
        <f>IF(DATA!1595:1595,"AAAAAFn/y8w=",0)</f>
        <v>0</v>
      </c>
      <c r="GX206" t="e">
        <f>AND(DATA!A1595,"AAAAAFn/y80=")</f>
        <v>#VALUE!</v>
      </c>
      <c r="GY206" t="e">
        <f>AND(DATA!B1595,"AAAAAFn/y84=")</f>
        <v>#VALUE!</v>
      </c>
      <c r="GZ206" t="e">
        <f>AND(DATA!C1595,"AAAAAFn/y88=")</f>
        <v>#VALUE!</v>
      </c>
      <c r="HA206" t="e">
        <f>AND(DATA!D1595,"AAAAAFn/y9A=")</f>
        <v>#VALUE!</v>
      </c>
      <c r="HB206" t="e">
        <f>AND(DATA!E1595,"AAAAAFn/y9E=")</f>
        <v>#VALUE!</v>
      </c>
      <c r="HC206" t="e">
        <f>AND(DATA!F1595,"AAAAAFn/y9I=")</f>
        <v>#VALUE!</v>
      </c>
      <c r="HD206" t="e">
        <f>AND(DATA!G1595,"AAAAAFn/y9M=")</f>
        <v>#VALUE!</v>
      </c>
      <c r="HE206" t="e">
        <f>AND(DATA!H1595,"AAAAAFn/y9Q=")</f>
        <v>#VALUE!</v>
      </c>
      <c r="HF206" t="e">
        <f>AND(DATA!I1595,"AAAAAFn/y9U=")</f>
        <v>#VALUE!</v>
      </c>
      <c r="HG206" t="e">
        <f>AND(DATA!J1595,"AAAAAFn/y9Y=")</f>
        <v>#VALUE!</v>
      </c>
      <c r="HH206" t="e">
        <f>AND(DATA!K1595,"AAAAAFn/y9c=")</f>
        <v>#VALUE!</v>
      </c>
      <c r="HI206" t="b">
        <f>AND(DATA!L1596,"AAAAAFn/y9g=")</f>
        <v>1</v>
      </c>
      <c r="HJ206" t="b">
        <f>AND(DATA!M1596,"AAAAAFn/y9k=")</f>
        <v>1</v>
      </c>
      <c r="HK206" t="b">
        <f>AND(DATA!N1596,"AAAAAFn/y9o=")</f>
        <v>1</v>
      </c>
      <c r="HL206" t="b">
        <f>AND(DATA!O1596,"AAAAAFn/y9s=")</f>
        <v>1</v>
      </c>
      <c r="HM206" t="b">
        <f>AND(DATA!P1596,"AAAAAFn/y9w=")</f>
        <v>1</v>
      </c>
      <c r="HN206" t="b">
        <f>AND(DATA!Q1596,"AAAAAFn/y90=")</f>
        <v>1</v>
      </c>
      <c r="HO206" t="b">
        <f>AND(DATA!R1596,"AAAAAFn/y94=")</f>
        <v>1</v>
      </c>
      <c r="HP206" t="b">
        <f>AND(DATA!S1596,"AAAAAFn/y98=")</f>
        <v>1</v>
      </c>
      <c r="HQ206" t="b">
        <f>AND(DATA!T1596,"AAAAAFn/y+A=")</f>
        <v>1</v>
      </c>
      <c r="HR206">
        <f>IF(DATA!1596:1596,"AAAAAFn/y+E=",0)</f>
        <v>0</v>
      </c>
      <c r="HS206" t="e">
        <f>AND(DATA!A1596,"AAAAAFn/y+I=")</f>
        <v>#VALUE!</v>
      </c>
      <c r="HT206" t="e">
        <f>AND(DATA!B1596,"AAAAAFn/y+M=")</f>
        <v>#VALUE!</v>
      </c>
      <c r="HU206" t="e">
        <f>AND(DATA!C1596,"AAAAAFn/y+Q=")</f>
        <v>#VALUE!</v>
      </c>
      <c r="HV206" t="e">
        <f>AND(DATA!D1596,"AAAAAFn/y+U=")</f>
        <v>#VALUE!</v>
      </c>
      <c r="HW206" t="e">
        <f>AND(DATA!E1596,"AAAAAFn/y+Y=")</f>
        <v>#VALUE!</v>
      </c>
      <c r="HX206" t="e">
        <f>AND(DATA!F1596,"AAAAAFn/y+c=")</f>
        <v>#VALUE!</v>
      </c>
      <c r="HY206" t="e">
        <f>AND(DATA!G1596,"AAAAAFn/y+g=")</f>
        <v>#VALUE!</v>
      </c>
      <c r="HZ206" t="e">
        <f>AND(DATA!H1596,"AAAAAFn/y+k=")</f>
        <v>#VALUE!</v>
      </c>
      <c r="IA206" t="e">
        <f>AND(DATA!I1596,"AAAAAFn/y+o=")</f>
        <v>#VALUE!</v>
      </c>
      <c r="IB206" t="e">
        <f>AND(DATA!J1596,"AAAAAFn/y+s=")</f>
        <v>#VALUE!</v>
      </c>
      <c r="IC206" t="e">
        <f>AND(DATA!K1596,"AAAAAFn/y+w=")</f>
        <v>#VALUE!</v>
      </c>
      <c r="ID206" t="b">
        <f>AND(DATA!L1597,"AAAAAFn/y+0=")</f>
        <v>1</v>
      </c>
      <c r="IE206" t="b">
        <f>AND(DATA!M1597,"AAAAAFn/y+4=")</f>
        <v>1</v>
      </c>
      <c r="IF206" t="b">
        <f>AND(DATA!N1597,"AAAAAFn/y+8=")</f>
        <v>1</v>
      </c>
      <c r="IG206" t="b">
        <f>AND(DATA!O1597,"AAAAAFn/y/A=")</f>
        <v>1</v>
      </c>
      <c r="IH206" t="b">
        <f>AND(DATA!P1597,"AAAAAFn/y/E=")</f>
        <v>1</v>
      </c>
      <c r="II206" t="b">
        <f>AND(DATA!Q1597,"AAAAAFn/y/I=")</f>
        <v>1</v>
      </c>
      <c r="IJ206" t="b">
        <f>AND(DATA!R1597,"AAAAAFn/y/M=")</f>
        <v>1</v>
      </c>
      <c r="IK206" t="b">
        <f>AND(DATA!S1597,"AAAAAFn/y/Q=")</f>
        <v>1</v>
      </c>
      <c r="IL206" t="b">
        <f>AND(DATA!T1597,"AAAAAFn/y/U=")</f>
        <v>1</v>
      </c>
      <c r="IM206">
        <f>IF(DATA!1597:1597,"AAAAAFn/y/Y=",0)</f>
        <v>0</v>
      </c>
      <c r="IN206" t="e">
        <f>AND(DATA!A1597,"AAAAAFn/y/c=")</f>
        <v>#VALUE!</v>
      </c>
      <c r="IO206" t="e">
        <f>AND(DATA!B1597,"AAAAAFn/y/g=")</f>
        <v>#VALUE!</v>
      </c>
      <c r="IP206" t="e">
        <f>AND(DATA!C1597,"AAAAAFn/y/k=")</f>
        <v>#VALUE!</v>
      </c>
      <c r="IQ206" t="e">
        <f>AND(DATA!D1597,"AAAAAFn/y/o=")</f>
        <v>#VALUE!</v>
      </c>
      <c r="IR206" t="e">
        <f>AND(DATA!E1597,"AAAAAFn/y/s=")</f>
        <v>#VALUE!</v>
      </c>
      <c r="IS206" t="e">
        <f>AND(DATA!F1597,"AAAAAFn/y/w=")</f>
        <v>#VALUE!</v>
      </c>
      <c r="IT206" t="e">
        <f>AND(DATA!G1597,"AAAAAFn/y/0=")</f>
        <v>#VALUE!</v>
      </c>
      <c r="IU206" t="e">
        <f>AND(DATA!H1597,"AAAAAFn/y/4=")</f>
        <v>#VALUE!</v>
      </c>
      <c r="IV206" t="e">
        <f>AND(DATA!I1597,"AAAAAFn/y/8=")</f>
        <v>#VALUE!</v>
      </c>
    </row>
    <row r="207" spans="1:256" x14ac:dyDescent="0.25">
      <c r="A207" t="e">
        <f>AND(DATA!J1597,"AAAAAGd3bQA=")</f>
        <v>#VALUE!</v>
      </c>
      <c r="B207" t="e">
        <f>AND(DATA!K1597,"AAAAAGd3bQE=")</f>
        <v>#VALUE!</v>
      </c>
      <c r="C207" t="b">
        <f>AND(DATA!L1598,"AAAAAGd3bQI=")</f>
        <v>1</v>
      </c>
      <c r="D207" t="b">
        <f>AND(DATA!M1598,"AAAAAGd3bQM=")</f>
        <v>1</v>
      </c>
      <c r="E207" t="b">
        <f>AND(DATA!N1598,"AAAAAGd3bQQ=")</f>
        <v>1</v>
      </c>
      <c r="F207" t="b">
        <f>AND(DATA!O1598,"AAAAAGd3bQU=")</f>
        <v>1</v>
      </c>
      <c r="G207" t="b">
        <f>AND(DATA!P1598,"AAAAAGd3bQY=")</f>
        <v>1</v>
      </c>
      <c r="H207" t="b">
        <f>AND(DATA!Q1598,"AAAAAGd3bQc=")</f>
        <v>1</v>
      </c>
      <c r="I207" t="b">
        <f>AND(DATA!R1598,"AAAAAGd3bQg=")</f>
        <v>1</v>
      </c>
      <c r="J207" t="b">
        <f>AND(DATA!S1598,"AAAAAGd3bQk=")</f>
        <v>1</v>
      </c>
      <c r="K207" t="b">
        <f>AND(DATA!T1598,"AAAAAGd3bQo=")</f>
        <v>1</v>
      </c>
      <c r="L207" t="str">
        <f>IF(DATA!1598:1598,"AAAAAGd3bQs=",0)</f>
        <v>AAAAAGd3bQs=</v>
      </c>
      <c r="M207" t="e">
        <f>AND(DATA!A1598,"AAAAAGd3bQw=")</f>
        <v>#VALUE!</v>
      </c>
      <c r="N207" t="e">
        <f>AND(DATA!B1598,"AAAAAGd3bQ0=")</f>
        <v>#VALUE!</v>
      </c>
      <c r="O207" t="e">
        <f>AND(DATA!C1598,"AAAAAGd3bQ4=")</f>
        <v>#VALUE!</v>
      </c>
      <c r="P207" t="e">
        <f>AND(DATA!D1598,"AAAAAGd3bQ8=")</f>
        <v>#VALUE!</v>
      </c>
      <c r="Q207" t="e">
        <f>AND(DATA!E1598,"AAAAAGd3bRA=")</f>
        <v>#VALUE!</v>
      </c>
      <c r="R207" t="e">
        <f>AND(DATA!F1598,"AAAAAGd3bRE=")</f>
        <v>#VALUE!</v>
      </c>
      <c r="S207" t="e">
        <f>AND(DATA!G1598,"AAAAAGd3bRI=")</f>
        <v>#VALUE!</v>
      </c>
      <c r="T207" t="e">
        <f>AND(DATA!H1598,"AAAAAGd3bRM=")</f>
        <v>#VALUE!</v>
      </c>
      <c r="U207" t="e">
        <f>AND(DATA!I1598,"AAAAAGd3bRQ=")</f>
        <v>#VALUE!</v>
      </c>
      <c r="V207" t="e">
        <f>AND(DATA!J1598,"AAAAAGd3bRU=")</f>
        <v>#VALUE!</v>
      </c>
      <c r="W207" t="e">
        <f>AND(DATA!K1598,"AAAAAGd3bRY=")</f>
        <v>#VALUE!</v>
      </c>
      <c r="X207" t="b">
        <f>AND(DATA!L1599,"AAAAAGd3bRc=")</f>
        <v>1</v>
      </c>
      <c r="Y207" t="b">
        <f>AND(DATA!M1599,"AAAAAGd3bRg=")</f>
        <v>1</v>
      </c>
      <c r="Z207" t="b">
        <f>AND(DATA!N1599,"AAAAAGd3bRk=")</f>
        <v>1</v>
      </c>
      <c r="AA207" t="b">
        <f>AND(DATA!O1599,"AAAAAGd3bRo=")</f>
        <v>1</v>
      </c>
      <c r="AB207" t="b">
        <f>AND(DATA!P1599,"AAAAAGd3bRs=")</f>
        <v>1</v>
      </c>
      <c r="AC207" t="b">
        <f>AND(DATA!Q1599,"AAAAAGd3bRw=")</f>
        <v>1</v>
      </c>
      <c r="AD207" t="b">
        <f>AND(DATA!R1599,"AAAAAGd3bR0=")</f>
        <v>1</v>
      </c>
      <c r="AE207" t="b">
        <f>AND(DATA!S1599,"AAAAAGd3bR4=")</f>
        <v>1</v>
      </c>
      <c r="AF207" t="b">
        <f>AND(DATA!T1599,"AAAAAGd3bR8=")</f>
        <v>1</v>
      </c>
      <c r="AG207">
        <f>IF(DATA!1599:1599,"AAAAAGd3bSA=",0)</f>
        <v>0</v>
      </c>
      <c r="AH207" t="e">
        <f>AND(DATA!A1599,"AAAAAGd3bSE=")</f>
        <v>#VALUE!</v>
      </c>
      <c r="AI207" t="e">
        <f>AND(DATA!B1599,"AAAAAGd3bSI=")</f>
        <v>#VALUE!</v>
      </c>
      <c r="AJ207" t="e">
        <f>AND(DATA!C1599,"AAAAAGd3bSM=")</f>
        <v>#VALUE!</v>
      </c>
      <c r="AK207" t="e">
        <f>AND(DATA!D1599,"AAAAAGd3bSQ=")</f>
        <v>#VALUE!</v>
      </c>
      <c r="AL207" t="e">
        <f>AND(DATA!E1599,"AAAAAGd3bSU=")</f>
        <v>#VALUE!</v>
      </c>
      <c r="AM207" t="e">
        <f>AND(DATA!F1599,"AAAAAGd3bSY=")</f>
        <v>#VALUE!</v>
      </c>
      <c r="AN207" t="e">
        <f>AND(DATA!G1599,"AAAAAGd3bSc=")</f>
        <v>#VALUE!</v>
      </c>
      <c r="AO207" t="e">
        <f>AND(DATA!H1599,"AAAAAGd3bSg=")</f>
        <v>#VALUE!</v>
      </c>
      <c r="AP207" t="e">
        <f>AND(DATA!I1599,"AAAAAGd3bSk=")</f>
        <v>#VALUE!</v>
      </c>
      <c r="AQ207" t="e">
        <f>AND(DATA!J1599,"AAAAAGd3bSo=")</f>
        <v>#VALUE!</v>
      </c>
      <c r="AR207" t="e">
        <f>AND(DATA!K1599,"AAAAAGd3bSs=")</f>
        <v>#VALUE!</v>
      </c>
      <c r="AS207" t="b">
        <f>AND(DATA!L1600,"AAAAAGd3bSw=")</f>
        <v>1</v>
      </c>
      <c r="AT207" t="b">
        <f>AND(DATA!M1600,"AAAAAGd3bS0=")</f>
        <v>1</v>
      </c>
      <c r="AU207" t="b">
        <f>AND(DATA!N1600,"AAAAAGd3bS4=")</f>
        <v>1</v>
      </c>
      <c r="AV207" t="b">
        <f>AND(DATA!O1600,"AAAAAGd3bS8=")</f>
        <v>1</v>
      </c>
      <c r="AW207" t="b">
        <f>AND(DATA!P1600,"AAAAAGd3bTA=")</f>
        <v>1</v>
      </c>
      <c r="AX207" t="b">
        <f>AND(DATA!Q1600,"AAAAAGd3bTE=")</f>
        <v>1</v>
      </c>
      <c r="AY207" t="b">
        <f>AND(DATA!R1600,"AAAAAGd3bTI=")</f>
        <v>1</v>
      </c>
      <c r="AZ207" t="b">
        <f>AND(DATA!S1600,"AAAAAGd3bTM=")</f>
        <v>1</v>
      </c>
      <c r="BA207" t="b">
        <f>AND(DATA!T1600,"AAAAAGd3bTQ=")</f>
        <v>1</v>
      </c>
      <c r="BB207">
        <f>IF(DATA!1600:1600,"AAAAAGd3bTU=",0)</f>
        <v>0</v>
      </c>
      <c r="BC207" t="e">
        <f>AND(DATA!A1600,"AAAAAGd3bTY=")</f>
        <v>#VALUE!</v>
      </c>
      <c r="BD207" t="e">
        <f>AND(DATA!B1600,"AAAAAGd3bTc=")</f>
        <v>#VALUE!</v>
      </c>
      <c r="BE207" t="e">
        <f>AND(DATA!C1600,"AAAAAGd3bTg=")</f>
        <v>#VALUE!</v>
      </c>
      <c r="BF207" t="e">
        <f>AND(DATA!D1600,"AAAAAGd3bTk=")</f>
        <v>#VALUE!</v>
      </c>
      <c r="BG207" t="e">
        <f>AND(DATA!E1600,"AAAAAGd3bTo=")</f>
        <v>#VALUE!</v>
      </c>
      <c r="BH207" t="e">
        <f>AND(DATA!F1600,"AAAAAGd3bTs=")</f>
        <v>#VALUE!</v>
      </c>
      <c r="BI207" t="e">
        <f>AND(DATA!G1600,"AAAAAGd3bTw=")</f>
        <v>#VALUE!</v>
      </c>
      <c r="BJ207" t="e">
        <f>AND(DATA!H1600,"AAAAAGd3bT0=")</f>
        <v>#VALUE!</v>
      </c>
      <c r="BK207" t="e">
        <f>AND(DATA!I1600,"AAAAAGd3bT4=")</f>
        <v>#VALUE!</v>
      </c>
      <c r="BL207" t="e">
        <f>AND(DATA!J1600,"AAAAAGd3bT8=")</f>
        <v>#VALUE!</v>
      </c>
      <c r="BM207" t="e">
        <f>AND(DATA!K1600,"AAAAAGd3bUA=")</f>
        <v>#VALUE!</v>
      </c>
      <c r="BN207" t="b">
        <f>AND(DATA!L1601,"AAAAAGd3bUE=")</f>
        <v>1</v>
      </c>
      <c r="BO207" t="b">
        <f>AND(DATA!M1601,"AAAAAGd3bUI=")</f>
        <v>1</v>
      </c>
      <c r="BP207" t="b">
        <f>AND(DATA!N1601,"AAAAAGd3bUM=")</f>
        <v>1</v>
      </c>
      <c r="BQ207" t="b">
        <f>AND(DATA!O1601,"AAAAAGd3bUQ=")</f>
        <v>1</v>
      </c>
      <c r="BR207" t="b">
        <f>AND(DATA!P1601,"AAAAAGd3bUU=")</f>
        <v>1</v>
      </c>
      <c r="BS207" t="b">
        <f>AND(DATA!Q1601,"AAAAAGd3bUY=")</f>
        <v>1</v>
      </c>
      <c r="BT207" t="b">
        <f>AND(DATA!R1601,"AAAAAGd3bUc=")</f>
        <v>1</v>
      </c>
      <c r="BU207" t="b">
        <f>AND(DATA!S1601,"AAAAAGd3bUg=")</f>
        <v>1</v>
      </c>
      <c r="BV207" t="b">
        <f>AND(DATA!T1601,"AAAAAGd3bUk=")</f>
        <v>1</v>
      </c>
      <c r="BW207">
        <f>IF(DATA!1601:1601,"AAAAAGd3bUo=",0)</f>
        <v>0</v>
      </c>
      <c r="BX207" t="e">
        <f>AND(DATA!A1601,"AAAAAGd3bUs=")</f>
        <v>#VALUE!</v>
      </c>
      <c r="BY207" t="e">
        <f>AND(DATA!B1601,"AAAAAGd3bUw=")</f>
        <v>#VALUE!</v>
      </c>
      <c r="BZ207" t="e">
        <f>AND(DATA!C1601,"AAAAAGd3bU0=")</f>
        <v>#VALUE!</v>
      </c>
      <c r="CA207" t="e">
        <f>AND(DATA!D1601,"AAAAAGd3bU4=")</f>
        <v>#VALUE!</v>
      </c>
      <c r="CB207" t="e">
        <f>AND(DATA!E1601,"AAAAAGd3bU8=")</f>
        <v>#VALUE!</v>
      </c>
      <c r="CC207" t="e">
        <f>AND(DATA!F1601,"AAAAAGd3bVA=")</f>
        <v>#VALUE!</v>
      </c>
      <c r="CD207" t="e">
        <f>AND(DATA!G1601,"AAAAAGd3bVE=")</f>
        <v>#VALUE!</v>
      </c>
      <c r="CE207" t="e">
        <f>AND(DATA!H1601,"AAAAAGd3bVI=")</f>
        <v>#VALUE!</v>
      </c>
      <c r="CF207" t="e">
        <f>AND(DATA!I1601,"AAAAAGd3bVM=")</f>
        <v>#VALUE!</v>
      </c>
      <c r="CG207" t="e">
        <f>AND(DATA!J1601,"AAAAAGd3bVQ=")</f>
        <v>#VALUE!</v>
      </c>
      <c r="CH207" t="e">
        <f>AND(DATA!K1601,"AAAAAGd3bVU=")</f>
        <v>#VALUE!</v>
      </c>
      <c r="CI207" t="b">
        <f>AND(DATA!L1602,"AAAAAGd3bVY=")</f>
        <v>1</v>
      </c>
      <c r="CJ207" t="b">
        <f>AND(DATA!M1602,"AAAAAGd3bVc=")</f>
        <v>1</v>
      </c>
      <c r="CK207" t="b">
        <f>AND(DATA!N1602,"AAAAAGd3bVg=")</f>
        <v>1</v>
      </c>
      <c r="CL207" t="b">
        <f>AND(DATA!O1602,"AAAAAGd3bVk=")</f>
        <v>1</v>
      </c>
      <c r="CM207" t="b">
        <f>AND(DATA!P1602,"AAAAAGd3bVo=")</f>
        <v>1</v>
      </c>
      <c r="CN207" t="b">
        <f>AND(DATA!Q1602,"AAAAAGd3bVs=")</f>
        <v>1</v>
      </c>
      <c r="CO207" t="b">
        <f>AND(DATA!R1602,"AAAAAGd3bVw=")</f>
        <v>1</v>
      </c>
      <c r="CP207" t="b">
        <f>AND(DATA!S1602,"AAAAAGd3bV0=")</f>
        <v>1</v>
      </c>
      <c r="CQ207" t="b">
        <f>AND(DATA!T1602,"AAAAAGd3bV4=")</f>
        <v>1</v>
      </c>
      <c r="CR207">
        <f>IF(DATA!1602:1602,"AAAAAGd3bV8=",0)</f>
        <v>0</v>
      </c>
      <c r="CS207" t="e">
        <f>AND(DATA!A1602,"AAAAAGd3bWA=")</f>
        <v>#VALUE!</v>
      </c>
      <c r="CT207" t="e">
        <f>AND(DATA!B1602,"AAAAAGd3bWE=")</f>
        <v>#VALUE!</v>
      </c>
      <c r="CU207" t="e">
        <f>AND(DATA!C1602,"AAAAAGd3bWI=")</f>
        <v>#VALUE!</v>
      </c>
      <c r="CV207" t="e">
        <f>AND(DATA!D1602,"AAAAAGd3bWM=")</f>
        <v>#VALUE!</v>
      </c>
      <c r="CW207" t="e">
        <f>AND(DATA!E1602,"AAAAAGd3bWQ=")</f>
        <v>#VALUE!</v>
      </c>
      <c r="CX207" t="e">
        <f>AND(DATA!F1602,"AAAAAGd3bWU=")</f>
        <v>#VALUE!</v>
      </c>
      <c r="CY207" t="e">
        <f>AND(DATA!G1602,"AAAAAGd3bWY=")</f>
        <v>#VALUE!</v>
      </c>
      <c r="CZ207" t="e">
        <f>AND(DATA!H1602,"AAAAAGd3bWc=")</f>
        <v>#VALUE!</v>
      </c>
      <c r="DA207" t="e">
        <f>AND(DATA!I1602,"AAAAAGd3bWg=")</f>
        <v>#VALUE!</v>
      </c>
      <c r="DB207" t="e">
        <f>AND(DATA!J1602,"AAAAAGd3bWk=")</f>
        <v>#VALUE!</v>
      </c>
      <c r="DC207" t="e">
        <f>AND(DATA!K1602,"AAAAAGd3bWo=")</f>
        <v>#VALUE!</v>
      </c>
      <c r="DD207" t="b">
        <f>AND(DATA!L1603,"AAAAAGd3bWs=")</f>
        <v>1</v>
      </c>
      <c r="DE207" t="b">
        <f>AND(DATA!M1603,"AAAAAGd3bWw=")</f>
        <v>1</v>
      </c>
      <c r="DF207" t="b">
        <f>AND(DATA!N1603,"AAAAAGd3bW0=")</f>
        <v>1</v>
      </c>
      <c r="DG207" t="b">
        <f>AND(DATA!O1603,"AAAAAGd3bW4=")</f>
        <v>1</v>
      </c>
      <c r="DH207" t="b">
        <f>AND(DATA!P1603,"AAAAAGd3bW8=")</f>
        <v>1</v>
      </c>
      <c r="DI207" t="b">
        <f>AND(DATA!Q1603,"AAAAAGd3bXA=")</f>
        <v>1</v>
      </c>
      <c r="DJ207" t="b">
        <f>AND(DATA!R1603,"AAAAAGd3bXE=")</f>
        <v>1</v>
      </c>
      <c r="DK207" t="b">
        <f>AND(DATA!S1603,"AAAAAGd3bXI=")</f>
        <v>1</v>
      </c>
      <c r="DL207" t="b">
        <f>AND(DATA!T1603,"AAAAAGd3bXM=")</f>
        <v>1</v>
      </c>
      <c r="DM207">
        <f>IF(DATA!1603:1603,"AAAAAGd3bXQ=",0)</f>
        <v>0</v>
      </c>
      <c r="DN207" t="e">
        <f>AND(DATA!A1603,"AAAAAGd3bXU=")</f>
        <v>#VALUE!</v>
      </c>
      <c r="DO207" t="e">
        <f>AND(DATA!B1603,"AAAAAGd3bXY=")</f>
        <v>#VALUE!</v>
      </c>
      <c r="DP207" t="e">
        <f>AND(DATA!C1603,"AAAAAGd3bXc=")</f>
        <v>#VALUE!</v>
      </c>
      <c r="DQ207" t="e">
        <f>AND(DATA!D1603,"AAAAAGd3bXg=")</f>
        <v>#VALUE!</v>
      </c>
      <c r="DR207" t="e">
        <f>AND(DATA!E1603,"AAAAAGd3bXk=")</f>
        <v>#VALUE!</v>
      </c>
      <c r="DS207" t="e">
        <f>AND(DATA!F1603,"AAAAAGd3bXo=")</f>
        <v>#VALUE!</v>
      </c>
      <c r="DT207" t="e">
        <f>AND(DATA!G1603,"AAAAAGd3bXs=")</f>
        <v>#VALUE!</v>
      </c>
      <c r="DU207" t="e">
        <f>AND(DATA!H1603,"AAAAAGd3bXw=")</f>
        <v>#VALUE!</v>
      </c>
      <c r="DV207" t="e">
        <f>AND(DATA!I1603,"AAAAAGd3bX0=")</f>
        <v>#VALUE!</v>
      </c>
      <c r="DW207" t="e">
        <f>AND(DATA!J1603,"AAAAAGd3bX4=")</f>
        <v>#VALUE!</v>
      </c>
      <c r="DX207" t="e">
        <f>AND(DATA!K1603,"AAAAAGd3bX8=")</f>
        <v>#VALUE!</v>
      </c>
      <c r="DY207" t="b">
        <f>AND(DATA!L1604,"AAAAAGd3bYA=")</f>
        <v>1</v>
      </c>
      <c r="DZ207" t="b">
        <f>AND(DATA!M1604,"AAAAAGd3bYE=")</f>
        <v>1</v>
      </c>
      <c r="EA207" t="b">
        <f>AND(DATA!N1604,"AAAAAGd3bYI=")</f>
        <v>1</v>
      </c>
      <c r="EB207" t="b">
        <f>AND(DATA!O1604,"AAAAAGd3bYM=")</f>
        <v>1</v>
      </c>
      <c r="EC207" t="b">
        <f>AND(DATA!P1604,"AAAAAGd3bYQ=")</f>
        <v>1</v>
      </c>
      <c r="ED207" t="b">
        <f>AND(DATA!Q1604,"AAAAAGd3bYU=")</f>
        <v>1</v>
      </c>
      <c r="EE207" t="b">
        <f>AND(DATA!R1604,"AAAAAGd3bYY=")</f>
        <v>1</v>
      </c>
      <c r="EF207" t="b">
        <f>AND(DATA!S1604,"AAAAAGd3bYc=")</f>
        <v>1</v>
      </c>
      <c r="EG207" t="b">
        <f>AND(DATA!T1604,"AAAAAGd3bYg=")</f>
        <v>1</v>
      </c>
      <c r="EH207">
        <f>IF(DATA!1604:1604,"AAAAAGd3bYk=",0)</f>
        <v>0</v>
      </c>
      <c r="EI207" t="e">
        <f>AND(DATA!A1604,"AAAAAGd3bYo=")</f>
        <v>#VALUE!</v>
      </c>
      <c r="EJ207" t="e">
        <f>AND(DATA!B1604,"AAAAAGd3bYs=")</f>
        <v>#VALUE!</v>
      </c>
      <c r="EK207" t="e">
        <f>AND(DATA!C1604,"AAAAAGd3bYw=")</f>
        <v>#VALUE!</v>
      </c>
      <c r="EL207" t="e">
        <f>AND(DATA!D1604,"AAAAAGd3bY0=")</f>
        <v>#VALUE!</v>
      </c>
      <c r="EM207" t="e">
        <f>AND(DATA!E1604,"AAAAAGd3bY4=")</f>
        <v>#VALUE!</v>
      </c>
      <c r="EN207" t="e">
        <f>AND(DATA!F1604,"AAAAAGd3bY8=")</f>
        <v>#VALUE!</v>
      </c>
      <c r="EO207" t="e">
        <f>AND(DATA!G1604,"AAAAAGd3bZA=")</f>
        <v>#VALUE!</v>
      </c>
      <c r="EP207" t="e">
        <f>AND(DATA!H1604,"AAAAAGd3bZE=")</f>
        <v>#VALUE!</v>
      </c>
      <c r="EQ207" t="e">
        <f>AND(DATA!I1604,"AAAAAGd3bZI=")</f>
        <v>#VALUE!</v>
      </c>
      <c r="ER207" t="e">
        <f>AND(DATA!J1604,"AAAAAGd3bZM=")</f>
        <v>#VALUE!</v>
      </c>
      <c r="ES207" t="e">
        <f>AND(DATA!K1604,"AAAAAGd3bZQ=")</f>
        <v>#VALUE!</v>
      </c>
      <c r="ET207" t="b">
        <f>AND(DATA!L1605,"AAAAAGd3bZU=")</f>
        <v>1</v>
      </c>
      <c r="EU207" t="b">
        <f>AND(DATA!M1605,"AAAAAGd3bZY=")</f>
        <v>1</v>
      </c>
      <c r="EV207" t="b">
        <f>AND(DATA!N1605,"AAAAAGd3bZc=")</f>
        <v>1</v>
      </c>
      <c r="EW207" t="b">
        <f>AND(DATA!O1605,"AAAAAGd3bZg=")</f>
        <v>1</v>
      </c>
      <c r="EX207" t="b">
        <f>AND(DATA!P1605,"AAAAAGd3bZk=")</f>
        <v>1</v>
      </c>
      <c r="EY207" t="b">
        <f>AND(DATA!Q1605,"AAAAAGd3bZo=")</f>
        <v>1</v>
      </c>
      <c r="EZ207" t="b">
        <f>AND(DATA!R1605,"AAAAAGd3bZs=")</f>
        <v>1</v>
      </c>
      <c r="FA207" t="b">
        <f>AND(DATA!S1605,"AAAAAGd3bZw=")</f>
        <v>1</v>
      </c>
      <c r="FB207" t="b">
        <f>AND(DATA!T1605,"AAAAAGd3bZ0=")</f>
        <v>1</v>
      </c>
      <c r="FC207">
        <f>IF(DATA!1605:1605,"AAAAAGd3bZ4=",0)</f>
        <v>0</v>
      </c>
      <c r="FD207" t="e">
        <f>AND(DATA!A1605,"AAAAAGd3bZ8=")</f>
        <v>#VALUE!</v>
      </c>
      <c r="FE207" t="e">
        <f>AND(DATA!B1605,"AAAAAGd3baA=")</f>
        <v>#VALUE!</v>
      </c>
      <c r="FF207" t="e">
        <f>AND(DATA!C1605,"AAAAAGd3baE=")</f>
        <v>#VALUE!</v>
      </c>
      <c r="FG207" t="e">
        <f>AND(DATA!D1605,"AAAAAGd3baI=")</f>
        <v>#VALUE!</v>
      </c>
      <c r="FH207" t="e">
        <f>AND(DATA!E1605,"AAAAAGd3baM=")</f>
        <v>#VALUE!</v>
      </c>
      <c r="FI207" t="e">
        <f>AND(DATA!F1605,"AAAAAGd3baQ=")</f>
        <v>#VALUE!</v>
      </c>
      <c r="FJ207" t="e">
        <f>AND(DATA!G1605,"AAAAAGd3baU=")</f>
        <v>#VALUE!</v>
      </c>
      <c r="FK207" t="e">
        <f>AND(DATA!H1605,"AAAAAGd3baY=")</f>
        <v>#VALUE!</v>
      </c>
      <c r="FL207" t="e">
        <f>AND(DATA!I1605,"AAAAAGd3bac=")</f>
        <v>#VALUE!</v>
      </c>
      <c r="FM207" t="e">
        <f>AND(DATA!J1605,"AAAAAGd3bag=")</f>
        <v>#VALUE!</v>
      </c>
      <c r="FN207" t="e">
        <f>AND(DATA!K1605,"AAAAAGd3bak=")</f>
        <v>#VALUE!</v>
      </c>
      <c r="FO207" t="b">
        <f>AND(DATA!L1606,"AAAAAGd3bao=")</f>
        <v>1</v>
      </c>
      <c r="FP207" t="b">
        <f>AND(DATA!M1606,"AAAAAGd3bas=")</f>
        <v>1</v>
      </c>
      <c r="FQ207" t="b">
        <f>AND(DATA!N1606,"AAAAAGd3baw=")</f>
        <v>1</v>
      </c>
      <c r="FR207" t="b">
        <f>AND(DATA!O1606,"AAAAAGd3ba0=")</f>
        <v>1</v>
      </c>
      <c r="FS207" t="b">
        <f>AND(DATA!P1606,"AAAAAGd3ba4=")</f>
        <v>1</v>
      </c>
      <c r="FT207" t="b">
        <f>AND(DATA!Q1606,"AAAAAGd3ba8=")</f>
        <v>1</v>
      </c>
      <c r="FU207" t="b">
        <f>AND(DATA!R1606,"AAAAAGd3bbA=")</f>
        <v>1</v>
      </c>
      <c r="FV207" t="b">
        <f>AND(DATA!S1606,"AAAAAGd3bbE=")</f>
        <v>1</v>
      </c>
      <c r="FW207" t="b">
        <f>AND(DATA!T1606,"AAAAAGd3bbI=")</f>
        <v>1</v>
      </c>
      <c r="FX207">
        <f>IF(DATA!1606:1606,"AAAAAGd3bbM=",0)</f>
        <v>0</v>
      </c>
      <c r="FY207" t="e">
        <f>AND(DATA!A1606,"AAAAAGd3bbQ=")</f>
        <v>#VALUE!</v>
      </c>
      <c r="FZ207" t="e">
        <f>AND(DATA!B1606,"AAAAAGd3bbU=")</f>
        <v>#VALUE!</v>
      </c>
      <c r="GA207" t="e">
        <f>AND(DATA!C1606,"AAAAAGd3bbY=")</f>
        <v>#VALUE!</v>
      </c>
      <c r="GB207" t="e">
        <f>AND(DATA!D1606,"AAAAAGd3bbc=")</f>
        <v>#VALUE!</v>
      </c>
      <c r="GC207" t="e">
        <f>AND(DATA!E1606,"AAAAAGd3bbg=")</f>
        <v>#VALUE!</v>
      </c>
      <c r="GD207" t="e">
        <f>AND(DATA!F1606,"AAAAAGd3bbk=")</f>
        <v>#VALUE!</v>
      </c>
      <c r="GE207" t="e">
        <f>AND(DATA!G1606,"AAAAAGd3bbo=")</f>
        <v>#VALUE!</v>
      </c>
      <c r="GF207" t="e">
        <f>AND(DATA!H1606,"AAAAAGd3bbs=")</f>
        <v>#VALUE!</v>
      </c>
      <c r="GG207" t="e">
        <f>AND(DATA!I1606,"AAAAAGd3bbw=")</f>
        <v>#VALUE!</v>
      </c>
      <c r="GH207" t="e">
        <f>AND(DATA!J1606,"AAAAAGd3bb0=")</f>
        <v>#VALUE!</v>
      </c>
      <c r="GI207" t="e">
        <f>AND(DATA!K1606,"AAAAAGd3bb4=")</f>
        <v>#VALUE!</v>
      </c>
      <c r="GJ207" t="b">
        <f>AND(DATA!L1607,"AAAAAGd3bb8=")</f>
        <v>1</v>
      </c>
      <c r="GK207" t="b">
        <f>AND(DATA!M1607,"AAAAAGd3bcA=")</f>
        <v>1</v>
      </c>
      <c r="GL207" t="b">
        <f>AND(DATA!N1607,"AAAAAGd3bcE=")</f>
        <v>1</v>
      </c>
      <c r="GM207" t="b">
        <f>AND(DATA!O1607,"AAAAAGd3bcI=")</f>
        <v>1</v>
      </c>
      <c r="GN207" t="b">
        <f>AND(DATA!P1607,"AAAAAGd3bcM=")</f>
        <v>1</v>
      </c>
      <c r="GO207" t="b">
        <f>AND(DATA!Q1607,"AAAAAGd3bcQ=")</f>
        <v>1</v>
      </c>
      <c r="GP207" t="b">
        <f>AND(DATA!R1607,"AAAAAGd3bcU=")</f>
        <v>1</v>
      </c>
      <c r="GQ207" t="b">
        <f>AND(DATA!S1607,"AAAAAGd3bcY=")</f>
        <v>1</v>
      </c>
      <c r="GR207" t="b">
        <f>AND(DATA!T1607,"AAAAAGd3bcc=")</f>
        <v>1</v>
      </c>
      <c r="GS207">
        <f>IF(DATA!1607:1607,"AAAAAGd3bcg=",0)</f>
        <v>0</v>
      </c>
      <c r="GT207" t="e">
        <f>AND(DATA!A1607,"AAAAAGd3bck=")</f>
        <v>#VALUE!</v>
      </c>
      <c r="GU207" t="e">
        <f>AND(DATA!B1607,"AAAAAGd3bco=")</f>
        <v>#VALUE!</v>
      </c>
      <c r="GV207" t="e">
        <f>AND(DATA!C1607,"AAAAAGd3bcs=")</f>
        <v>#VALUE!</v>
      </c>
      <c r="GW207" t="e">
        <f>AND(DATA!D1607,"AAAAAGd3bcw=")</f>
        <v>#VALUE!</v>
      </c>
      <c r="GX207" t="e">
        <f>AND(DATA!E1607,"AAAAAGd3bc0=")</f>
        <v>#VALUE!</v>
      </c>
      <c r="GY207" t="e">
        <f>AND(DATA!F1607,"AAAAAGd3bc4=")</f>
        <v>#VALUE!</v>
      </c>
      <c r="GZ207" t="e">
        <f>AND(DATA!G1607,"AAAAAGd3bc8=")</f>
        <v>#VALUE!</v>
      </c>
      <c r="HA207" t="e">
        <f>AND(DATA!H1607,"AAAAAGd3bdA=")</f>
        <v>#VALUE!</v>
      </c>
      <c r="HB207" t="e">
        <f>AND(DATA!I1607,"AAAAAGd3bdE=")</f>
        <v>#VALUE!</v>
      </c>
      <c r="HC207" t="e">
        <f>AND(DATA!J1607,"AAAAAGd3bdI=")</f>
        <v>#VALUE!</v>
      </c>
      <c r="HD207" t="e">
        <f>AND(DATA!K1607,"AAAAAGd3bdM=")</f>
        <v>#VALUE!</v>
      </c>
      <c r="HE207" t="b">
        <f>AND(DATA!L1608,"AAAAAGd3bdQ=")</f>
        <v>1</v>
      </c>
      <c r="HF207" t="b">
        <f>AND(DATA!M1608,"AAAAAGd3bdU=")</f>
        <v>1</v>
      </c>
      <c r="HG207" t="b">
        <f>AND(DATA!N1608,"AAAAAGd3bdY=")</f>
        <v>1</v>
      </c>
      <c r="HH207" t="b">
        <f>AND(DATA!O1608,"AAAAAGd3bdc=")</f>
        <v>1</v>
      </c>
      <c r="HI207" t="b">
        <f>AND(DATA!P1608,"AAAAAGd3bdg=")</f>
        <v>1</v>
      </c>
      <c r="HJ207" t="b">
        <f>AND(DATA!Q1608,"AAAAAGd3bdk=")</f>
        <v>1</v>
      </c>
      <c r="HK207" t="b">
        <f>AND(DATA!R1608,"AAAAAGd3bdo=")</f>
        <v>1</v>
      </c>
      <c r="HL207" t="b">
        <f>AND(DATA!S1608,"AAAAAGd3bds=")</f>
        <v>1</v>
      </c>
      <c r="HM207" t="b">
        <f>AND(DATA!T1608,"AAAAAGd3bdw=")</f>
        <v>1</v>
      </c>
      <c r="HN207">
        <f>IF(DATA!1608:1608,"AAAAAGd3bd0=",0)</f>
        <v>0</v>
      </c>
      <c r="HO207" t="e">
        <f>AND(DATA!A1608,"AAAAAGd3bd4=")</f>
        <v>#VALUE!</v>
      </c>
      <c r="HP207" t="e">
        <f>AND(DATA!B1608,"AAAAAGd3bd8=")</f>
        <v>#VALUE!</v>
      </c>
      <c r="HQ207" t="e">
        <f>AND(DATA!C1608,"AAAAAGd3beA=")</f>
        <v>#VALUE!</v>
      </c>
      <c r="HR207" t="e">
        <f>AND(DATA!D1608,"AAAAAGd3beE=")</f>
        <v>#VALUE!</v>
      </c>
      <c r="HS207" t="e">
        <f>AND(DATA!E1608,"AAAAAGd3beI=")</f>
        <v>#VALUE!</v>
      </c>
      <c r="HT207" t="e">
        <f>AND(DATA!F1608,"AAAAAGd3beM=")</f>
        <v>#VALUE!</v>
      </c>
      <c r="HU207" t="e">
        <f>AND(DATA!G1608,"AAAAAGd3beQ=")</f>
        <v>#VALUE!</v>
      </c>
      <c r="HV207" t="e">
        <f>AND(DATA!H1608,"AAAAAGd3beU=")</f>
        <v>#VALUE!</v>
      </c>
      <c r="HW207" t="e">
        <f>AND(DATA!I1608,"AAAAAGd3beY=")</f>
        <v>#VALUE!</v>
      </c>
      <c r="HX207" t="e">
        <f>AND(DATA!J1608,"AAAAAGd3bec=")</f>
        <v>#VALUE!</v>
      </c>
      <c r="HY207" t="e">
        <f>AND(DATA!K1608,"AAAAAGd3beg=")</f>
        <v>#VALUE!</v>
      </c>
      <c r="HZ207" t="b">
        <f>AND(DATA!L1609,"AAAAAGd3bek=")</f>
        <v>1</v>
      </c>
      <c r="IA207" t="b">
        <f>AND(DATA!M1609,"AAAAAGd3beo=")</f>
        <v>1</v>
      </c>
      <c r="IB207" t="b">
        <f>AND(DATA!N1609,"AAAAAGd3bes=")</f>
        <v>1</v>
      </c>
      <c r="IC207" t="b">
        <f>AND(DATA!O1609,"AAAAAGd3bew=")</f>
        <v>1</v>
      </c>
      <c r="ID207" t="b">
        <f>AND(DATA!P1609,"AAAAAGd3be0=")</f>
        <v>1</v>
      </c>
      <c r="IE207" t="b">
        <f>AND(DATA!Q1609,"AAAAAGd3be4=")</f>
        <v>1</v>
      </c>
      <c r="IF207" t="b">
        <f>AND(DATA!R1609,"AAAAAGd3be8=")</f>
        <v>1</v>
      </c>
      <c r="IG207" t="b">
        <f>AND(DATA!S1609,"AAAAAGd3bfA=")</f>
        <v>1</v>
      </c>
      <c r="IH207" t="b">
        <f>AND(DATA!T1609,"AAAAAGd3bfE=")</f>
        <v>1</v>
      </c>
      <c r="II207">
        <f>IF(DATA!1609:1609,"AAAAAGd3bfI=",0)</f>
        <v>0</v>
      </c>
      <c r="IJ207" t="e">
        <f>AND(DATA!A1609,"AAAAAGd3bfM=")</f>
        <v>#VALUE!</v>
      </c>
      <c r="IK207" t="e">
        <f>AND(DATA!B1609,"AAAAAGd3bfQ=")</f>
        <v>#VALUE!</v>
      </c>
      <c r="IL207" t="e">
        <f>AND(DATA!C1609,"AAAAAGd3bfU=")</f>
        <v>#VALUE!</v>
      </c>
      <c r="IM207" t="e">
        <f>AND(DATA!D1609,"AAAAAGd3bfY=")</f>
        <v>#VALUE!</v>
      </c>
      <c r="IN207" t="e">
        <f>AND(DATA!E1609,"AAAAAGd3bfc=")</f>
        <v>#VALUE!</v>
      </c>
      <c r="IO207" t="e">
        <f>AND(DATA!F1609,"AAAAAGd3bfg=")</f>
        <v>#VALUE!</v>
      </c>
      <c r="IP207" t="e">
        <f>AND(DATA!G1609,"AAAAAGd3bfk=")</f>
        <v>#VALUE!</v>
      </c>
      <c r="IQ207" t="e">
        <f>AND(DATA!H1609,"AAAAAGd3bfo=")</f>
        <v>#VALUE!</v>
      </c>
      <c r="IR207" t="e">
        <f>AND(DATA!I1609,"AAAAAGd3bfs=")</f>
        <v>#VALUE!</v>
      </c>
      <c r="IS207" t="e">
        <f>AND(DATA!J1609,"AAAAAGd3bfw=")</f>
        <v>#VALUE!</v>
      </c>
      <c r="IT207" t="e">
        <f>AND(DATA!K1609,"AAAAAGd3bf0=")</f>
        <v>#VALUE!</v>
      </c>
      <c r="IU207" t="b">
        <f>AND(DATA!L1610,"AAAAAGd3bf4=")</f>
        <v>1</v>
      </c>
      <c r="IV207" t="b">
        <f>AND(DATA!M1610,"AAAAAGd3bf8=")</f>
        <v>1</v>
      </c>
    </row>
    <row r="208" spans="1:256" x14ac:dyDescent="0.25">
      <c r="A208" t="b">
        <f>AND(DATA!N1610,"AAAAADtz/QA=")</f>
        <v>1</v>
      </c>
      <c r="B208" t="b">
        <f>AND(DATA!O1610,"AAAAADtz/QE=")</f>
        <v>1</v>
      </c>
      <c r="C208" t="b">
        <f>AND(DATA!P1610,"AAAAADtz/QI=")</f>
        <v>1</v>
      </c>
      <c r="D208" t="b">
        <f>AND(DATA!Q1610,"AAAAADtz/QM=")</f>
        <v>1</v>
      </c>
      <c r="E208" t="b">
        <f>AND(DATA!R1610,"AAAAADtz/QQ=")</f>
        <v>1</v>
      </c>
      <c r="F208" t="b">
        <f>AND(DATA!S1610,"AAAAADtz/QU=")</f>
        <v>1</v>
      </c>
      <c r="G208" t="b">
        <f>AND(DATA!T1610,"AAAAADtz/QY=")</f>
        <v>1</v>
      </c>
      <c r="H208">
        <f>IF(DATA!1610:1610,"AAAAADtz/Qc=",0)</f>
        <v>0</v>
      </c>
      <c r="I208" t="e">
        <f>AND(DATA!A1610,"AAAAADtz/Qg=")</f>
        <v>#VALUE!</v>
      </c>
      <c r="J208" t="e">
        <f>AND(DATA!B1610,"AAAAADtz/Qk=")</f>
        <v>#VALUE!</v>
      </c>
      <c r="K208" t="e">
        <f>AND(DATA!C1610,"AAAAADtz/Qo=")</f>
        <v>#VALUE!</v>
      </c>
      <c r="L208" t="e">
        <f>AND(DATA!D1610,"AAAAADtz/Qs=")</f>
        <v>#VALUE!</v>
      </c>
      <c r="M208" t="e">
        <f>AND(DATA!E1610,"AAAAADtz/Qw=")</f>
        <v>#VALUE!</v>
      </c>
      <c r="N208" t="e">
        <f>AND(DATA!F1610,"AAAAADtz/Q0=")</f>
        <v>#VALUE!</v>
      </c>
      <c r="O208" t="e">
        <f>AND(DATA!G1610,"AAAAADtz/Q4=")</f>
        <v>#VALUE!</v>
      </c>
      <c r="P208" t="e">
        <f>AND(DATA!H1610,"AAAAADtz/Q8=")</f>
        <v>#VALUE!</v>
      </c>
      <c r="Q208" t="e">
        <f>AND(DATA!I1610,"AAAAADtz/RA=")</f>
        <v>#VALUE!</v>
      </c>
      <c r="R208" t="e">
        <f>AND(DATA!J1610,"AAAAADtz/RE=")</f>
        <v>#VALUE!</v>
      </c>
      <c r="S208" t="e">
        <f>AND(DATA!K1610,"AAAAADtz/RI=")</f>
        <v>#VALUE!</v>
      </c>
      <c r="T208" t="b">
        <f>AND(DATA!L1611,"AAAAADtz/RM=")</f>
        <v>1</v>
      </c>
      <c r="U208" t="b">
        <f>AND(DATA!M1611,"AAAAADtz/RQ=")</f>
        <v>1</v>
      </c>
      <c r="V208" t="b">
        <f>AND(DATA!N1611,"AAAAADtz/RU=")</f>
        <v>1</v>
      </c>
      <c r="W208" t="b">
        <f>AND(DATA!O1611,"AAAAADtz/RY=")</f>
        <v>1</v>
      </c>
      <c r="X208" t="b">
        <f>AND(DATA!P1611,"AAAAADtz/Rc=")</f>
        <v>1</v>
      </c>
      <c r="Y208" t="b">
        <f>AND(DATA!Q1611,"AAAAADtz/Rg=")</f>
        <v>1</v>
      </c>
      <c r="Z208" t="b">
        <f>AND(DATA!R1611,"AAAAADtz/Rk=")</f>
        <v>1</v>
      </c>
      <c r="AA208" t="b">
        <f>AND(DATA!S1611,"AAAAADtz/Ro=")</f>
        <v>1</v>
      </c>
      <c r="AB208" t="b">
        <f>AND(DATA!T1611,"AAAAADtz/Rs=")</f>
        <v>1</v>
      </c>
      <c r="AC208">
        <f>IF(DATA!1611:1611,"AAAAADtz/Rw=",0)</f>
        <v>0</v>
      </c>
      <c r="AD208" t="e">
        <f>AND(DATA!A1611,"AAAAADtz/R0=")</f>
        <v>#VALUE!</v>
      </c>
      <c r="AE208" t="e">
        <f>AND(DATA!B1611,"AAAAADtz/R4=")</f>
        <v>#VALUE!</v>
      </c>
      <c r="AF208" t="e">
        <f>AND(DATA!C1611,"AAAAADtz/R8=")</f>
        <v>#VALUE!</v>
      </c>
      <c r="AG208" t="e">
        <f>AND(DATA!D1611,"AAAAADtz/SA=")</f>
        <v>#VALUE!</v>
      </c>
      <c r="AH208" t="e">
        <f>AND(DATA!E1611,"AAAAADtz/SE=")</f>
        <v>#VALUE!</v>
      </c>
      <c r="AI208" t="e">
        <f>AND(DATA!F1611,"AAAAADtz/SI=")</f>
        <v>#VALUE!</v>
      </c>
      <c r="AJ208" t="e">
        <f>AND(DATA!G1611,"AAAAADtz/SM=")</f>
        <v>#VALUE!</v>
      </c>
      <c r="AK208" t="e">
        <f>AND(DATA!H1611,"AAAAADtz/SQ=")</f>
        <v>#VALUE!</v>
      </c>
      <c r="AL208" t="e">
        <f>AND(DATA!I1611,"AAAAADtz/SU=")</f>
        <v>#VALUE!</v>
      </c>
      <c r="AM208" t="e">
        <f>AND(DATA!J1611,"AAAAADtz/SY=")</f>
        <v>#VALUE!</v>
      </c>
      <c r="AN208" t="e">
        <f>AND(DATA!K1611,"AAAAADtz/Sc=")</f>
        <v>#VALUE!</v>
      </c>
      <c r="AO208" t="b">
        <f>AND(DATA!L1612,"AAAAADtz/Sg=")</f>
        <v>1</v>
      </c>
      <c r="AP208" t="b">
        <f>AND(DATA!M1612,"AAAAADtz/Sk=")</f>
        <v>1</v>
      </c>
      <c r="AQ208" t="b">
        <f>AND(DATA!N1612,"AAAAADtz/So=")</f>
        <v>1</v>
      </c>
      <c r="AR208" t="b">
        <f>AND(DATA!O1612,"AAAAADtz/Ss=")</f>
        <v>1</v>
      </c>
      <c r="AS208" t="b">
        <f>AND(DATA!P1612,"AAAAADtz/Sw=")</f>
        <v>1</v>
      </c>
      <c r="AT208" t="b">
        <f>AND(DATA!Q1612,"AAAAADtz/S0=")</f>
        <v>1</v>
      </c>
      <c r="AU208" t="b">
        <f>AND(DATA!R1612,"AAAAADtz/S4=")</f>
        <v>1</v>
      </c>
      <c r="AV208" t="b">
        <f>AND(DATA!S1612,"AAAAADtz/S8=")</f>
        <v>1</v>
      </c>
      <c r="AW208" t="b">
        <f>AND(DATA!T1612,"AAAAADtz/TA=")</f>
        <v>1</v>
      </c>
      <c r="AX208">
        <f>IF(DATA!1612:1612,"AAAAADtz/TE=",0)</f>
        <v>0</v>
      </c>
      <c r="AY208" t="e">
        <f>AND(DATA!A1612,"AAAAADtz/TI=")</f>
        <v>#VALUE!</v>
      </c>
      <c r="AZ208" t="e">
        <f>AND(DATA!B1612,"AAAAADtz/TM=")</f>
        <v>#VALUE!</v>
      </c>
      <c r="BA208" t="e">
        <f>AND(DATA!C1612,"AAAAADtz/TQ=")</f>
        <v>#VALUE!</v>
      </c>
      <c r="BB208" t="e">
        <f>AND(DATA!D1612,"AAAAADtz/TU=")</f>
        <v>#VALUE!</v>
      </c>
      <c r="BC208" t="e">
        <f>AND(DATA!E1612,"AAAAADtz/TY=")</f>
        <v>#VALUE!</v>
      </c>
      <c r="BD208" t="e">
        <f>AND(DATA!F1612,"AAAAADtz/Tc=")</f>
        <v>#VALUE!</v>
      </c>
      <c r="BE208" t="e">
        <f>AND(DATA!G1612,"AAAAADtz/Tg=")</f>
        <v>#VALUE!</v>
      </c>
      <c r="BF208" t="e">
        <f>AND(DATA!H1612,"AAAAADtz/Tk=")</f>
        <v>#VALUE!</v>
      </c>
      <c r="BG208" t="e">
        <f>AND(DATA!I1612,"AAAAADtz/To=")</f>
        <v>#VALUE!</v>
      </c>
      <c r="BH208" t="e">
        <f>AND(DATA!J1612,"AAAAADtz/Ts=")</f>
        <v>#VALUE!</v>
      </c>
      <c r="BI208" t="e">
        <f>AND(DATA!K1612,"AAAAADtz/Tw=")</f>
        <v>#VALUE!</v>
      </c>
      <c r="BJ208" t="b">
        <f>AND(DATA!L1613,"AAAAADtz/T0=")</f>
        <v>1</v>
      </c>
      <c r="BK208" t="b">
        <f>AND(DATA!M1613,"AAAAADtz/T4=")</f>
        <v>1</v>
      </c>
      <c r="BL208" t="b">
        <f>AND(DATA!N1613,"AAAAADtz/T8=")</f>
        <v>1</v>
      </c>
      <c r="BM208" t="b">
        <f>AND(DATA!O1613,"AAAAADtz/UA=")</f>
        <v>1</v>
      </c>
      <c r="BN208" t="b">
        <f>AND(DATA!P1613,"AAAAADtz/UE=")</f>
        <v>1</v>
      </c>
      <c r="BO208" t="b">
        <f>AND(DATA!Q1613,"AAAAADtz/UI=")</f>
        <v>1</v>
      </c>
      <c r="BP208" t="b">
        <f>AND(DATA!R1613,"AAAAADtz/UM=")</f>
        <v>1</v>
      </c>
      <c r="BQ208" t="b">
        <f>AND(DATA!S1613,"AAAAADtz/UQ=")</f>
        <v>1</v>
      </c>
      <c r="BR208" t="b">
        <f>AND(DATA!T1613,"AAAAADtz/UU=")</f>
        <v>1</v>
      </c>
      <c r="BS208">
        <f>IF(DATA!1613:1613,"AAAAADtz/UY=",0)</f>
        <v>0</v>
      </c>
      <c r="BT208" t="e">
        <f>AND(DATA!A1613,"AAAAADtz/Uc=")</f>
        <v>#VALUE!</v>
      </c>
      <c r="BU208" t="e">
        <f>AND(DATA!B1613,"AAAAADtz/Ug=")</f>
        <v>#VALUE!</v>
      </c>
      <c r="BV208" t="e">
        <f>AND(DATA!C1613,"AAAAADtz/Uk=")</f>
        <v>#VALUE!</v>
      </c>
      <c r="BW208" t="e">
        <f>AND(DATA!D1613,"AAAAADtz/Uo=")</f>
        <v>#VALUE!</v>
      </c>
      <c r="BX208" t="e">
        <f>AND(DATA!E1613,"AAAAADtz/Us=")</f>
        <v>#VALUE!</v>
      </c>
      <c r="BY208" t="e">
        <f>AND(DATA!F1613,"AAAAADtz/Uw=")</f>
        <v>#VALUE!</v>
      </c>
      <c r="BZ208" t="e">
        <f>AND(DATA!G1613,"AAAAADtz/U0=")</f>
        <v>#VALUE!</v>
      </c>
      <c r="CA208" t="e">
        <f>AND(DATA!H1613,"AAAAADtz/U4=")</f>
        <v>#VALUE!</v>
      </c>
      <c r="CB208" t="e">
        <f>AND(DATA!I1613,"AAAAADtz/U8=")</f>
        <v>#VALUE!</v>
      </c>
      <c r="CC208" t="e">
        <f>AND(DATA!J1613,"AAAAADtz/VA=")</f>
        <v>#VALUE!</v>
      </c>
      <c r="CD208" t="e">
        <f>AND(DATA!K1613,"AAAAADtz/VE=")</f>
        <v>#VALUE!</v>
      </c>
      <c r="CE208" t="b">
        <f>AND(DATA!L1614,"AAAAADtz/VI=")</f>
        <v>1</v>
      </c>
      <c r="CF208" t="b">
        <f>AND(DATA!M1614,"AAAAADtz/VM=")</f>
        <v>1</v>
      </c>
      <c r="CG208" t="b">
        <f>AND(DATA!N1614,"AAAAADtz/VQ=")</f>
        <v>1</v>
      </c>
      <c r="CH208" t="b">
        <f>AND(DATA!O1614,"AAAAADtz/VU=")</f>
        <v>1</v>
      </c>
      <c r="CI208" t="b">
        <f>AND(DATA!P1614,"AAAAADtz/VY=")</f>
        <v>1</v>
      </c>
      <c r="CJ208" t="b">
        <f>AND(DATA!Q1614,"AAAAADtz/Vc=")</f>
        <v>1</v>
      </c>
      <c r="CK208" t="b">
        <f>AND(DATA!R1614,"AAAAADtz/Vg=")</f>
        <v>1</v>
      </c>
      <c r="CL208" t="b">
        <f>AND(DATA!S1614,"AAAAADtz/Vk=")</f>
        <v>1</v>
      </c>
      <c r="CM208" t="b">
        <f>AND(DATA!T1614,"AAAAADtz/Vo=")</f>
        <v>1</v>
      </c>
      <c r="CN208">
        <f>IF(DATA!1614:1614,"AAAAADtz/Vs=",0)</f>
        <v>0</v>
      </c>
      <c r="CO208" t="e">
        <f>AND(DATA!A1614,"AAAAADtz/Vw=")</f>
        <v>#VALUE!</v>
      </c>
      <c r="CP208" t="e">
        <f>AND(DATA!B1614,"AAAAADtz/V0=")</f>
        <v>#VALUE!</v>
      </c>
      <c r="CQ208" t="e">
        <f>AND(DATA!C1614,"AAAAADtz/V4=")</f>
        <v>#VALUE!</v>
      </c>
      <c r="CR208" t="e">
        <f>AND(DATA!D1614,"AAAAADtz/V8=")</f>
        <v>#VALUE!</v>
      </c>
      <c r="CS208" t="e">
        <f>AND(DATA!E1614,"AAAAADtz/WA=")</f>
        <v>#VALUE!</v>
      </c>
      <c r="CT208" t="e">
        <f>AND(DATA!F1614,"AAAAADtz/WE=")</f>
        <v>#VALUE!</v>
      </c>
      <c r="CU208" t="e">
        <f>AND(DATA!G1614,"AAAAADtz/WI=")</f>
        <v>#VALUE!</v>
      </c>
      <c r="CV208" t="e">
        <f>AND(DATA!H1614,"AAAAADtz/WM=")</f>
        <v>#VALUE!</v>
      </c>
      <c r="CW208" t="e">
        <f>AND(DATA!I1614,"AAAAADtz/WQ=")</f>
        <v>#VALUE!</v>
      </c>
      <c r="CX208" t="e">
        <f>AND(DATA!J1614,"AAAAADtz/WU=")</f>
        <v>#VALUE!</v>
      </c>
      <c r="CY208" t="e">
        <f>AND(DATA!K1614,"AAAAADtz/WY=")</f>
        <v>#VALUE!</v>
      </c>
      <c r="CZ208" t="b">
        <f>AND(DATA!L1615,"AAAAADtz/Wc=")</f>
        <v>1</v>
      </c>
      <c r="DA208" t="b">
        <f>AND(DATA!M1615,"AAAAADtz/Wg=")</f>
        <v>1</v>
      </c>
      <c r="DB208" t="b">
        <f>AND(DATA!N1615,"AAAAADtz/Wk=")</f>
        <v>1</v>
      </c>
      <c r="DC208" t="b">
        <f>AND(DATA!O1615,"AAAAADtz/Wo=")</f>
        <v>1</v>
      </c>
      <c r="DD208" t="b">
        <f>AND(DATA!P1615,"AAAAADtz/Ws=")</f>
        <v>1</v>
      </c>
      <c r="DE208" t="b">
        <f>AND(DATA!Q1615,"AAAAADtz/Ww=")</f>
        <v>1</v>
      </c>
      <c r="DF208" t="b">
        <f>AND(DATA!R1615,"AAAAADtz/W0=")</f>
        <v>1</v>
      </c>
      <c r="DG208" t="b">
        <f>AND(DATA!S1615,"AAAAADtz/W4=")</f>
        <v>1</v>
      </c>
      <c r="DH208" t="b">
        <f>AND(DATA!T1615,"AAAAADtz/W8=")</f>
        <v>1</v>
      </c>
      <c r="DI208">
        <f>IF(DATA!1615:1615,"AAAAADtz/XA=",0)</f>
        <v>0</v>
      </c>
      <c r="DJ208" t="e">
        <f>AND(DATA!A1615,"AAAAADtz/XE=")</f>
        <v>#VALUE!</v>
      </c>
      <c r="DK208" t="e">
        <f>AND(DATA!B1615,"AAAAADtz/XI=")</f>
        <v>#VALUE!</v>
      </c>
      <c r="DL208" t="e">
        <f>AND(DATA!C1615,"AAAAADtz/XM=")</f>
        <v>#VALUE!</v>
      </c>
      <c r="DM208" t="e">
        <f>AND(DATA!D1615,"AAAAADtz/XQ=")</f>
        <v>#VALUE!</v>
      </c>
      <c r="DN208" t="e">
        <f>AND(DATA!E1615,"AAAAADtz/XU=")</f>
        <v>#VALUE!</v>
      </c>
      <c r="DO208" t="e">
        <f>AND(DATA!F1615,"AAAAADtz/XY=")</f>
        <v>#VALUE!</v>
      </c>
      <c r="DP208" t="e">
        <f>AND(DATA!G1615,"AAAAADtz/Xc=")</f>
        <v>#VALUE!</v>
      </c>
      <c r="DQ208" t="e">
        <f>AND(DATA!H1615,"AAAAADtz/Xg=")</f>
        <v>#VALUE!</v>
      </c>
      <c r="DR208" t="e">
        <f>AND(DATA!I1615,"AAAAADtz/Xk=")</f>
        <v>#VALUE!</v>
      </c>
      <c r="DS208" t="e">
        <f>AND(DATA!J1615,"AAAAADtz/Xo=")</f>
        <v>#VALUE!</v>
      </c>
      <c r="DT208" t="e">
        <f>AND(DATA!K1615,"AAAAADtz/Xs=")</f>
        <v>#VALUE!</v>
      </c>
      <c r="DU208" t="b">
        <f>AND(DATA!L1616,"AAAAADtz/Xw=")</f>
        <v>1</v>
      </c>
      <c r="DV208" t="b">
        <f>AND(DATA!M1616,"AAAAADtz/X0=")</f>
        <v>1</v>
      </c>
      <c r="DW208" t="b">
        <f>AND(DATA!N1616,"AAAAADtz/X4=")</f>
        <v>1</v>
      </c>
      <c r="DX208" t="b">
        <f>AND(DATA!O1616,"AAAAADtz/X8=")</f>
        <v>1</v>
      </c>
      <c r="DY208" t="b">
        <f>AND(DATA!P1616,"AAAAADtz/YA=")</f>
        <v>1</v>
      </c>
      <c r="DZ208" t="b">
        <f>AND(DATA!Q1616,"AAAAADtz/YE=")</f>
        <v>1</v>
      </c>
      <c r="EA208" t="b">
        <f>AND(DATA!R1616,"AAAAADtz/YI=")</f>
        <v>1</v>
      </c>
      <c r="EB208" t="b">
        <f>AND(DATA!S1616,"AAAAADtz/YM=")</f>
        <v>1</v>
      </c>
      <c r="EC208" t="b">
        <f>AND(DATA!T1616,"AAAAADtz/YQ=")</f>
        <v>1</v>
      </c>
      <c r="ED208">
        <f>IF(DATA!1616:1616,"AAAAADtz/YU=",0)</f>
        <v>0</v>
      </c>
      <c r="EE208" t="e">
        <f>AND(DATA!A1616,"AAAAADtz/YY=")</f>
        <v>#VALUE!</v>
      </c>
      <c r="EF208" t="e">
        <f>AND(DATA!B1616,"AAAAADtz/Yc=")</f>
        <v>#VALUE!</v>
      </c>
      <c r="EG208" t="e">
        <f>AND(DATA!C1616,"AAAAADtz/Yg=")</f>
        <v>#VALUE!</v>
      </c>
      <c r="EH208" t="e">
        <f>AND(DATA!D1616,"AAAAADtz/Yk=")</f>
        <v>#VALUE!</v>
      </c>
      <c r="EI208" t="e">
        <f>AND(DATA!E1616,"AAAAADtz/Yo=")</f>
        <v>#VALUE!</v>
      </c>
      <c r="EJ208" t="e">
        <f>AND(DATA!F1616,"AAAAADtz/Ys=")</f>
        <v>#VALUE!</v>
      </c>
      <c r="EK208" t="e">
        <f>AND(DATA!G1616,"AAAAADtz/Yw=")</f>
        <v>#VALUE!</v>
      </c>
      <c r="EL208" t="e">
        <f>AND(DATA!H1616,"AAAAADtz/Y0=")</f>
        <v>#VALUE!</v>
      </c>
      <c r="EM208" t="e">
        <f>AND(DATA!I1616,"AAAAADtz/Y4=")</f>
        <v>#VALUE!</v>
      </c>
      <c r="EN208" t="e">
        <f>AND(DATA!J1616,"AAAAADtz/Y8=")</f>
        <v>#VALUE!</v>
      </c>
      <c r="EO208" t="e">
        <f>AND(DATA!K1616,"AAAAADtz/ZA=")</f>
        <v>#VALUE!</v>
      </c>
      <c r="EP208" t="b">
        <f>AND(DATA!L1617,"AAAAADtz/ZE=")</f>
        <v>1</v>
      </c>
      <c r="EQ208" t="b">
        <f>AND(DATA!M1617,"AAAAADtz/ZI=")</f>
        <v>1</v>
      </c>
      <c r="ER208" t="b">
        <f>AND(DATA!N1617,"AAAAADtz/ZM=")</f>
        <v>1</v>
      </c>
      <c r="ES208" t="b">
        <f>AND(DATA!O1617,"AAAAADtz/ZQ=")</f>
        <v>1</v>
      </c>
      <c r="ET208" t="b">
        <f>AND(DATA!P1617,"AAAAADtz/ZU=")</f>
        <v>1</v>
      </c>
      <c r="EU208" t="b">
        <f>AND(DATA!Q1617,"AAAAADtz/ZY=")</f>
        <v>1</v>
      </c>
      <c r="EV208" t="b">
        <f>AND(DATA!R1617,"AAAAADtz/Zc=")</f>
        <v>1</v>
      </c>
      <c r="EW208" t="b">
        <f>AND(DATA!S1617,"AAAAADtz/Zg=")</f>
        <v>1</v>
      </c>
      <c r="EX208" t="b">
        <f>AND(DATA!T1617,"AAAAADtz/Zk=")</f>
        <v>1</v>
      </c>
      <c r="EY208">
        <f>IF(DATA!1617:1617,"AAAAADtz/Zo=",0)</f>
        <v>0</v>
      </c>
      <c r="EZ208" t="e">
        <f>AND(DATA!A1617,"AAAAADtz/Zs=")</f>
        <v>#VALUE!</v>
      </c>
      <c r="FA208" t="e">
        <f>AND(DATA!B1617,"AAAAADtz/Zw=")</f>
        <v>#VALUE!</v>
      </c>
      <c r="FB208" t="e">
        <f>AND(DATA!C1617,"AAAAADtz/Z0=")</f>
        <v>#VALUE!</v>
      </c>
      <c r="FC208" t="e">
        <f>AND(DATA!D1617,"AAAAADtz/Z4=")</f>
        <v>#VALUE!</v>
      </c>
      <c r="FD208" t="e">
        <f>AND(DATA!E1617,"AAAAADtz/Z8=")</f>
        <v>#VALUE!</v>
      </c>
      <c r="FE208" t="e">
        <f>AND(DATA!F1617,"AAAAADtz/aA=")</f>
        <v>#VALUE!</v>
      </c>
      <c r="FF208" t="e">
        <f>AND(DATA!G1617,"AAAAADtz/aE=")</f>
        <v>#VALUE!</v>
      </c>
      <c r="FG208" t="e">
        <f>AND(DATA!H1617,"AAAAADtz/aI=")</f>
        <v>#VALUE!</v>
      </c>
      <c r="FH208" t="e">
        <f>AND(DATA!I1617,"AAAAADtz/aM=")</f>
        <v>#VALUE!</v>
      </c>
      <c r="FI208" t="e">
        <f>AND(DATA!J1617,"AAAAADtz/aQ=")</f>
        <v>#VALUE!</v>
      </c>
      <c r="FJ208" t="e">
        <f>AND(DATA!K1617,"AAAAADtz/aU=")</f>
        <v>#VALUE!</v>
      </c>
      <c r="FK208" t="b">
        <f>AND(DATA!L1618,"AAAAADtz/aY=")</f>
        <v>1</v>
      </c>
      <c r="FL208" t="b">
        <f>AND(DATA!M1618,"AAAAADtz/ac=")</f>
        <v>1</v>
      </c>
      <c r="FM208" t="b">
        <f>AND(DATA!N1618,"AAAAADtz/ag=")</f>
        <v>1</v>
      </c>
      <c r="FN208" t="b">
        <f>AND(DATA!O1618,"AAAAADtz/ak=")</f>
        <v>1</v>
      </c>
      <c r="FO208" t="b">
        <f>AND(DATA!P1618,"AAAAADtz/ao=")</f>
        <v>1</v>
      </c>
      <c r="FP208" t="b">
        <f>AND(DATA!Q1618,"AAAAADtz/as=")</f>
        <v>1</v>
      </c>
      <c r="FQ208" t="b">
        <f>AND(DATA!R1618,"AAAAADtz/aw=")</f>
        <v>1</v>
      </c>
      <c r="FR208" t="b">
        <f>AND(DATA!S1618,"AAAAADtz/a0=")</f>
        <v>1</v>
      </c>
      <c r="FS208" t="b">
        <f>AND(DATA!T1618,"AAAAADtz/a4=")</f>
        <v>1</v>
      </c>
      <c r="FT208">
        <f>IF(DATA!1618:1618,"AAAAADtz/a8=",0)</f>
        <v>0</v>
      </c>
      <c r="FU208" t="e">
        <f>AND(DATA!A1618,"AAAAADtz/bA=")</f>
        <v>#VALUE!</v>
      </c>
      <c r="FV208" t="e">
        <f>AND(DATA!B1618,"AAAAADtz/bE=")</f>
        <v>#VALUE!</v>
      </c>
      <c r="FW208" t="e">
        <f>AND(DATA!C1618,"AAAAADtz/bI=")</f>
        <v>#VALUE!</v>
      </c>
      <c r="FX208" t="e">
        <f>AND(DATA!D1618,"AAAAADtz/bM=")</f>
        <v>#VALUE!</v>
      </c>
      <c r="FY208" t="e">
        <f>AND(DATA!E1618,"AAAAADtz/bQ=")</f>
        <v>#VALUE!</v>
      </c>
      <c r="FZ208" t="e">
        <f>AND(DATA!F1618,"AAAAADtz/bU=")</f>
        <v>#VALUE!</v>
      </c>
      <c r="GA208" t="e">
        <f>AND(DATA!G1618,"AAAAADtz/bY=")</f>
        <v>#VALUE!</v>
      </c>
      <c r="GB208" t="e">
        <f>AND(DATA!H1618,"AAAAADtz/bc=")</f>
        <v>#VALUE!</v>
      </c>
      <c r="GC208" t="e">
        <f>AND(DATA!I1618,"AAAAADtz/bg=")</f>
        <v>#VALUE!</v>
      </c>
      <c r="GD208" t="e">
        <f>AND(DATA!J1618,"AAAAADtz/bk=")</f>
        <v>#VALUE!</v>
      </c>
      <c r="GE208" t="e">
        <f>AND(DATA!K1618,"AAAAADtz/bo=")</f>
        <v>#VALUE!</v>
      </c>
      <c r="GF208" t="b">
        <f>AND(DATA!L1619,"AAAAADtz/bs=")</f>
        <v>1</v>
      </c>
      <c r="GG208" t="b">
        <f>AND(DATA!M1619,"AAAAADtz/bw=")</f>
        <v>1</v>
      </c>
      <c r="GH208" t="b">
        <f>AND(DATA!N1619,"AAAAADtz/b0=")</f>
        <v>1</v>
      </c>
      <c r="GI208" t="b">
        <f>AND(DATA!O1619,"AAAAADtz/b4=")</f>
        <v>1</v>
      </c>
      <c r="GJ208" t="b">
        <f>AND(DATA!P1619,"AAAAADtz/b8=")</f>
        <v>1</v>
      </c>
      <c r="GK208" t="b">
        <f>AND(DATA!Q1619,"AAAAADtz/cA=")</f>
        <v>1</v>
      </c>
      <c r="GL208" t="b">
        <f>AND(DATA!R1619,"AAAAADtz/cE=")</f>
        <v>1</v>
      </c>
      <c r="GM208" t="b">
        <f>AND(DATA!S1619,"AAAAADtz/cI=")</f>
        <v>1</v>
      </c>
      <c r="GN208" t="b">
        <f>AND(DATA!T1619,"AAAAADtz/cM=")</f>
        <v>1</v>
      </c>
      <c r="GO208">
        <f>IF(DATA!1619:1619,"AAAAADtz/cQ=",0)</f>
        <v>0</v>
      </c>
      <c r="GP208" t="e">
        <f>AND(DATA!A1619,"AAAAADtz/cU=")</f>
        <v>#VALUE!</v>
      </c>
      <c r="GQ208" t="e">
        <f>AND(DATA!B1619,"AAAAADtz/cY=")</f>
        <v>#VALUE!</v>
      </c>
      <c r="GR208" t="e">
        <f>AND(DATA!C1619,"AAAAADtz/cc=")</f>
        <v>#VALUE!</v>
      </c>
      <c r="GS208" t="e">
        <f>AND(DATA!D1619,"AAAAADtz/cg=")</f>
        <v>#VALUE!</v>
      </c>
      <c r="GT208" t="e">
        <f>AND(DATA!E1619,"AAAAADtz/ck=")</f>
        <v>#VALUE!</v>
      </c>
      <c r="GU208" t="e">
        <f>AND(DATA!F1619,"AAAAADtz/co=")</f>
        <v>#VALUE!</v>
      </c>
      <c r="GV208" t="e">
        <f>AND(DATA!G1619,"AAAAADtz/cs=")</f>
        <v>#VALUE!</v>
      </c>
      <c r="GW208" t="e">
        <f>AND(DATA!H1619,"AAAAADtz/cw=")</f>
        <v>#VALUE!</v>
      </c>
      <c r="GX208" t="e">
        <f>AND(DATA!I1619,"AAAAADtz/c0=")</f>
        <v>#VALUE!</v>
      </c>
      <c r="GY208" t="e">
        <f>AND(DATA!J1619,"AAAAADtz/c4=")</f>
        <v>#VALUE!</v>
      </c>
      <c r="GZ208" t="e">
        <f>AND(DATA!K1619,"AAAAADtz/c8=")</f>
        <v>#VALUE!</v>
      </c>
      <c r="HA208" t="b">
        <f>AND(DATA!L1620,"AAAAADtz/dA=")</f>
        <v>1</v>
      </c>
      <c r="HB208" t="b">
        <f>AND(DATA!M1620,"AAAAADtz/dE=")</f>
        <v>1</v>
      </c>
      <c r="HC208" t="b">
        <f>AND(DATA!N1620,"AAAAADtz/dI=")</f>
        <v>1</v>
      </c>
      <c r="HD208" t="b">
        <f>AND(DATA!O1620,"AAAAADtz/dM=")</f>
        <v>1</v>
      </c>
      <c r="HE208" t="b">
        <f>AND(DATA!P1620,"AAAAADtz/dQ=")</f>
        <v>1</v>
      </c>
      <c r="HF208" t="b">
        <f>AND(DATA!Q1620,"AAAAADtz/dU=")</f>
        <v>1</v>
      </c>
      <c r="HG208" t="b">
        <f>AND(DATA!R1620,"AAAAADtz/dY=")</f>
        <v>1</v>
      </c>
      <c r="HH208" t="b">
        <f>AND(DATA!S1620,"AAAAADtz/dc=")</f>
        <v>1</v>
      </c>
      <c r="HI208" t="b">
        <f>AND(DATA!T1620,"AAAAADtz/dg=")</f>
        <v>1</v>
      </c>
      <c r="HJ208">
        <f>IF(DATA!1620:1620,"AAAAADtz/dk=",0)</f>
        <v>0</v>
      </c>
      <c r="HK208" t="e">
        <f>AND(DATA!A1620,"AAAAADtz/do=")</f>
        <v>#VALUE!</v>
      </c>
      <c r="HL208" t="e">
        <f>AND(DATA!B1620,"AAAAADtz/ds=")</f>
        <v>#VALUE!</v>
      </c>
      <c r="HM208" t="e">
        <f>AND(DATA!C1620,"AAAAADtz/dw=")</f>
        <v>#VALUE!</v>
      </c>
      <c r="HN208" t="e">
        <f>AND(DATA!D1620,"AAAAADtz/d0=")</f>
        <v>#VALUE!</v>
      </c>
      <c r="HO208" t="e">
        <f>AND(DATA!E1620,"AAAAADtz/d4=")</f>
        <v>#VALUE!</v>
      </c>
      <c r="HP208" t="e">
        <f>AND(DATA!F1620,"AAAAADtz/d8=")</f>
        <v>#VALUE!</v>
      </c>
      <c r="HQ208" t="e">
        <f>AND(DATA!G1620,"AAAAADtz/eA=")</f>
        <v>#VALUE!</v>
      </c>
      <c r="HR208" t="e">
        <f>AND(DATA!H1620,"AAAAADtz/eE=")</f>
        <v>#VALUE!</v>
      </c>
      <c r="HS208" t="e">
        <f>AND(DATA!I1620,"AAAAADtz/eI=")</f>
        <v>#VALUE!</v>
      </c>
      <c r="HT208" t="e">
        <f>AND(DATA!J1620,"AAAAADtz/eM=")</f>
        <v>#VALUE!</v>
      </c>
      <c r="HU208" t="e">
        <f>AND(DATA!K1620,"AAAAADtz/eQ=")</f>
        <v>#VALUE!</v>
      </c>
      <c r="HV208" t="b">
        <f>AND(DATA!L1621,"AAAAADtz/eU=")</f>
        <v>1</v>
      </c>
      <c r="HW208" t="b">
        <f>AND(DATA!M1621,"AAAAADtz/eY=")</f>
        <v>1</v>
      </c>
      <c r="HX208" t="b">
        <f>AND(DATA!N1621,"AAAAADtz/ec=")</f>
        <v>1</v>
      </c>
      <c r="HY208" t="b">
        <f>AND(DATA!O1621,"AAAAADtz/eg=")</f>
        <v>1</v>
      </c>
      <c r="HZ208" t="b">
        <f>AND(DATA!P1621,"AAAAADtz/ek=")</f>
        <v>1</v>
      </c>
      <c r="IA208" t="b">
        <f>AND(DATA!Q1621,"AAAAADtz/eo=")</f>
        <v>1</v>
      </c>
      <c r="IB208" t="b">
        <f>AND(DATA!R1621,"AAAAADtz/es=")</f>
        <v>1</v>
      </c>
      <c r="IC208" t="b">
        <f>AND(DATA!S1621,"AAAAADtz/ew=")</f>
        <v>1</v>
      </c>
      <c r="ID208" t="b">
        <f>AND(DATA!T1621,"AAAAADtz/e0=")</f>
        <v>1</v>
      </c>
      <c r="IE208">
        <f>IF(DATA!1621:1621,"AAAAADtz/e4=",0)</f>
        <v>0</v>
      </c>
      <c r="IF208" t="e">
        <f>AND(DATA!A1621,"AAAAADtz/e8=")</f>
        <v>#VALUE!</v>
      </c>
      <c r="IG208" t="e">
        <f>AND(DATA!B1621,"AAAAADtz/fA=")</f>
        <v>#VALUE!</v>
      </c>
      <c r="IH208" t="e">
        <f>AND(DATA!C1621,"AAAAADtz/fE=")</f>
        <v>#VALUE!</v>
      </c>
      <c r="II208" t="e">
        <f>AND(DATA!D1621,"AAAAADtz/fI=")</f>
        <v>#VALUE!</v>
      </c>
      <c r="IJ208" t="e">
        <f>AND(DATA!E1621,"AAAAADtz/fM=")</f>
        <v>#VALUE!</v>
      </c>
      <c r="IK208" t="e">
        <f>AND(DATA!F1621,"AAAAADtz/fQ=")</f>
        <v>#VALUE!</v>
      </c>
      <c r="IL208" t="e">
        <f>AND(DATA!G1621,"AAAAADtz/fU=")</f>
        <v>#VALUE!</v>
      </c>
      <c r="IM208" t="e">
        <f>AND(DATA!H1621,"AAAAADtz/fY=")</f>
        <v>#VALUE!</v>
      </c>
      <c r="IN208" t="e">
        <f>AND(DATA!I1621,"AAAAADtz/fc=")</f>
        <v>#VALUE!</v>
      </c>
      <c r="IO208" t="e">
        <f>AND(DATA!J1621,"AAAAADtz/fg=")</f>
        <v>#VALUE!</v>
      </c>
      <c r="IP208" t="e">
        <f>AND(DATA!K1621,"AAAAADtz/fk=")</f>
        <v>#VALUE!</v>
      </c>
      <c r="IQ208" t="b">
        <f>AND(DATA!L1622,"AAAAADtz/fo=")</f>
        <v>1</v>
      </c>
      <c r="IR208" t="b">
        <f>AND(DATA!M1622,"AAAAADtz/fs=")</f>
        <v>1</v>
      </c>
      <c r="IS208" t="b">
        <f>AND(DATA!N1622,"AAAAADtz/fw=")</f>
        <v>1</v>
      </c>
      <c r="IT208" t="b">
        <f>AND(DATA!O1622,"AAAAADtz/f0=")</f>
        <v>1</v>
      </c>
      <c r="IU208" t="b">
        <f>AND(DATA!P1622,"AAAAADtz/f4=")</f>
        <v>1</v>
      </c>
      <c r="IV208" t="b">
        <f>AND(DATA!Q1622,"AAAAADtz/f8=")</f>
        <v>1</v>
      </c>
    </row>
    <row r="209" spans="1:256" x14ac:dyDescent="0.25">
      <c r="A209" t="b">
        <f>AND(DATA!R1622,"AAAAAHG3TwA=")</f>
        <v>1</v>
      </c>
      <c r="B209" t="b">
        <f>AND(DATA!S1622,"AAAAAHG3TwE=")</f>
        <v>1</v>
      </c>
      <c r="C209" t="b">
        <f>AND(DATA!T1622,"AAAAAHG3TwI=")</f>
        <v>1</v>
      </c>
      <c r="D209">
        <f>IF(DATA!1622:1622,"AAAAAHG3TwM=",0)</f>
        <v>0</v>
      </c>
      <c r="E209" t="e">
        <f>AND(DATA!A1622,"AAAAAHG3TwQ=")</f>
        <v>#VALUE!</v>
      </c>
      <c r="F209" t="e">
        <f>AND(DATA!B1622,"AAAAAHG3TwU=")</f>
        <v>#VALUE!</v>
      </c>
      <c r="G209" t="e">
        <f>AND(DATA!C1622,"AAAAAHG3TwY=")</f>
        <v>#VALUE!</v>
      </c>
      <c r="H209" t="e">
        <f>AND(DATA!D1622,"AAAAAHG3Twc=")</f>
        <v>#VALUE!</v>
      </c>
      <c r="I209" t="e">
        <f>AND(DATA!E1622,"AAAAAHG3Twg=")</f>
        <v>#VALUE!</v>
      </c>
      <c r="J209" t="e">
        <f>AND(DATA!F1622,"AAAAAHG3Twk=")</f>
        <v>#VALUE!</v>
      </c>
      <c r="K209" t="e">
        <f>AND(DATA!G1622,"AAAAAHG3Two=")</f>
        <v>#VALUE!</v>
      </c>
      <c r="L209" t="e">
        <f>AND(DATA!H1622,"AAAAAHG3Tws=")</f>
        <v>#VALUE!</v>
      </c>
      <c r="M209" t="e">
        <f>AND(DATA!I1622,"AAAAAHG3Tww=")</f>
        <v>#VALUE!</v>
      </c>
      <c r="N209" t="e">
        <f>AND(DATA!J1622,"AAAAAHG3Tw0=")</f>
        <v>#VALUE!</v>
      </c>
      <c r="O209" t="e">
        <f>AND(DATA!K1622,"AAAAAHG3Tw4=")</f>
        <v>#VALUE!</v>
      </c>
      <c r="P209" t="b">
        <f>AND(DATA!L1623,"AAAAAHG3Tw8=")</f>
        <v>1</v>
      </c>
      <c r="Q209" t="b">
        <f>AND(DATA!M1623,"AAAAAHG3TxA=")</f>
        <v>1</v>
      </c>
      <c r="R209" t="b">
        <f>AND(DATA!N1623,"AAAAAHG3TxE=")</f>
        <v>1</v>
      </c>
      <c r="S209" t="b">
        <f>AND(DATA!O1623,"AAAAAHG3TxI=")</f>
        <v>1</v>
      </c>
      <c r="T209" t="b">
        <f>AND(DATA!P1623,"AAAAAHG3TxM=")</f>
        <v>1</v>
      </c>
      <c r="U209" t="b">
        <f>AND(DATA!Q1623,"AAAAAHG3TxQ=")</f>
        <v>1</v>
      </c>
      <c r="V209" t="b">
        <f>AND(DATA!R1623,"AAAAAHG3TxU=")</f>
        <v>1</v>
      </c>
      <c r="W209" t="b">
        <f>AND(DATA!S1623,"AAAAAHG3TxY=")</f>
        <v>1</v>
      </c>
      <c r="X209" t="b">
        <f>AND(DATA!T1623,"AAAAAHG3Txc=")</f>
        <v>1</v>
      </c>
      <c r="Y209">
        <f>IF(DATA!1623:1623,"AAAAAHG3Txg=",0)</f>
        <v>0</v>
      </c>
      <c r="Z209" t="e">
        <f>AND(DATA!A1623,"AAAAAHG3Txk=")</f>
        <v>#VALUE!</v>
      </c>
      <c r="AA209" t="e">
        <f>AND(DATA!B1623,"AAAAAHG3Txo=")</f>
        <v>#VALUE!</v>
      </c>
      <c r="AB209" t="e">
        <f>AND(DATA!C1623,"AAAAAHG3Txs=")</f>
        <v>#VALUE!</v>
      </c>
      <c r="AC209" t="e">
        <f>AND(DATA!D1623,"AAAAAHG3Txw=")</f>
        <v>#VALUE!</v>
      </c>
      <c r="AD209" t="e">
        <f>AND(DATA!E1623,"AAAAAHG3Tx0=")</f>
        <v>#VALUE!</v>
      </c>
      <c r="AE209" t="e">
        <f>AND(DATA!F1623,"AAAAAHG3Tx4=")</f>
        <v>#VALUE!</v>
      </c>
      <c r="AF209" t="e">
        <f>AND(DATA!G1623,"AAAAAHG3Tx8=")</f>
        <v>#VALUE!</v>
      </c>
      <c r="AG209" t="e">
        <f>AND(DATA!H1623,"AAAAAHG3TyA=")</f>
        <v>#VALUE!</v>
      </c>
      <c r="AH209" t="e">
        <f>AND(DATA!I1623,"AAAAAHG3TyE=")</f>
        <v>#VALUE!</v>
      </c>
      <c r="AI209" t="e">
        <f>AND(DATA!J1623,"AAAAAHG3TyI=")</f>
        <v>#VALUE!</v>
      </c>
      <c r="AJ209" t="e">
        <f>AND(DATA!K1623,"AAAAAHG3TyM=")</f>
        <v>#VALUE!</v>
      </c>
      <c r="AK209" t="b">
        <f>AND(DATA!L1624,"AAAAAHG3TyQ=")</f>
        <v>1</v>
      </c>
      <c r="AL209" t="b">
        <f>AND(DATA!M1624,"AAAAAHG3TyU=")</f>
        <v>1</v>
      </c>
      <c r="AM209" t="b">
        <f>AND(DATA!N1624,"AAAAAHG3TyY=")</f>
        <v>1</v>
      </c>
      <c r="AN209" t="b">
        <f>AND(DATA!O1624,"AAAAAHG3Tyc=")</f>
        <v>1</v>
      </c>
      <c r="AO209" t="b">
        <f>AND(DATA!P1624,"AAAAAHG3Tyg=")</f>
        <v>1</v>
      </c>
      <c r="AP209" t="b">
        <f>AND(DATA!Q1624,"AAAAAHG3Tyk=")</f>
        <v>1</v>
      </c>
      <c r="AQ209" t="b">
        <f>AND(DATA!R1624,"AAAAAHG3Tyo=")</f>
        <v>1</v>
      </c>
      <c r="AR209" t="b">
        <f>AND(DATA!S1624,"AAAAAHG3Tys=")</f>
        <v>1</v>
      </c>
      <c r="AS209" t="b">
        <f>AND(DATA!T1624,"AAAAAHG3Tyw=")</f>
        <v>1</v>
      </c>
      <c r="AT209">
        <f>IF(DATA!1624:1624,"AAAAAHG3Ty0=",0)</f>
        <v>0</v>
      </c>
      <c r="AU209" t="e">
        <f>AND(DATA!A1624,"AAAAAHG3Ty4=")</f>
        <v>#VALUE!</v>
      </c>
      <c r="AV209" t="e">
        <f>AND(DATA!B1624,"AAAAAHG3Ty8=")</f>
        <v>#VALUE!</v>
      </c>
      <c r="AW209" t="e">
        <f>AND(DATA!C1624,"AAAAAHG3TzA=")</f>
        <v>#VALUE!</v>
      </c>
      <c r="AX209" t="e">
        <f>AND(DATA!D1624,"AAAAAHG3TzE=")</f>
        <v>#VALUE!</v>
      </c>
      <c r="AY209" t="e">
        <f>AND(DATA!E1624,"AAAAAHG3TzI=")</f>
        <v>#VALUE!</v>
      </c>
      <c r="AZ209" t="e">
        <f>AND(DATA!F1624,"AAAAAHG3TzM=")</f>
        <v>#VALUE!</v>
      </c>
      <c r="BA209" t="e">
        <f>AND(DATA!G1624,"AAAAAHG3TzQ=")</f>
        <v>#VALUE!</v>
      </c>
      <c r="BB209" t="e">
        <f>AND(DATA!H1624,"AAAAAHG3TzU=")</f>
        <v>#VALUE!</v>
      </c>
      <c r="BC209" t="e">
        <f>AND(DATA!I1624,"AAAAAHG3TzY=")</f>
        <v>#VALUE!</v>
      </c>
      <c r="BD209" t="e">
        <f>AND(DATA!J1624,"AAAAAHG3Tzc=")</f>
        <v>#VALUE!</v>
      </c>
      <c r="BE209" t="e">
        <f>AND(DATA!K1624,"AAAAAHG3Tzg=")</f>
        <v>#VALUE!</v>
      </c>
      <c r="BF209" t="b">
        <f>AND(DATA!L1625,"AAAAAHG3Tzk=")</f>
        <v>1</v>
      </c>
      <c r="BG209" t="b">
        <f>AND(DATA!M1625,"AAAAAHG3Tzo=")</f>
        <v>1</v>
      </c>
      <c r="BH209" t="b">
        <f>AND(DATA!N1625,"AAAAAHG3Tzs=")</f>
        <v>1</v>
      </c>
      <c r="BI209" t="b">
        <f>AND(DATA!O1625,"AAAAAHG3Tzw=")</f>
        <v>1</v>
      </c>
      <c r="BJ209" t="b">
        <f>AND(DATA!P1625,"AAAAAHG3Tz0=")</f>
        <v>1</v>
      </c>
      <c r="BK209" t="b">
        <f>AND(DATA!Q1625,"AAAAAHG3Tz4=")</f>
        <v>1</v>
      </c>
      <c r="BL209" t="b">
        <f>AND(DATA!R1625,"AAAAAHG3Tz8=")</f>
        <v>1</v>
      </c>
      <c r="BM209" t="b">
        <f>AND(DATA!S1625,"AAAAAHG3T0A=")</f>
        <v>1</v>
      </c>
      <c r="BN209" t="b">
        <f>AND(DATA!T1625,"AAAAAHG3T0E=")</f>
        <v>1</v>
      </c>
      <c r="BO209">
        <f>IF(DATA!1625:1625,"AAAAAHG3T0I=",0)</f>
        <v>0</v>
      </c>
      <c r="BP209" t="e">
        <f>AND(DATA!A1625,"AAAAAHG3T0M=")</f>
        <v>#VALUE!</v>
      </c>
      <c r="BQ209" t="e">
        <f>AND(DATA!B1625,"AAAAAHG3T0Q=")</f>
        <v>#VALUE!</v>
      </c>
      <c r="BR209" t="e">
        <f>AND(DATA!C1625,"AAAAAHG3T0U=")</f>
        <v>#VALUE!</v>
      </c>
      <c r="BS209" t="e">
        <f>AND(DATA!D1625,"AAAAAHG3T0Y=")</f>
        <v>#VALUE!</v>
      </c>
      <c r="BT209" t="e">
        <f>AND(DATA!E1625,"AAAAAHG3T0c=")</f>
        <v>#VALUE!</v>
      </c>
      <c r="BU209" t="e">
        <f>AND(DATA!F1625,"AAAAAHG3T0g=")</f>
        <v>#VALUE!</v>
      </c>
      <c r="BV209" t="e">
        <f>AND(DATA!G1625,"AAAAAHG3T0k=")</f>
        <v>#VALUE!</v>
      </c>
      <c r="BW209" t="e">
        <f>AND(DATA!H1625,"AAAAAHG3T0o=")</f>
        <v>#VALUE!</v>
      </c>
      <c r="BX209" t="e">
        <f>AND(DATA!I1625,"AAAAAHG3T0s=")</f>
        <v>#VALUE!</v>
      </c>
      <c r="BY209" t="e">
        <f>AND(DATA!J1625,"AAAAAHG3T0w=")</f>
        <v>#VALUE!</v>
      </c>
      <c r="BZ209" t="e">
        <f>AND(DATA!K1625,"AAAAAHG3T00=")</f>
        <v>#VALUE!</v>
      </c>
      <c r="CA209" t="b">
        <f>AND(DATA!L1626,"AAAAAHG3T04=")</f>
        <v>1</v>
      </c>
      <c r="CB209" t="b">
        <f>AND(DATA!M1626,"AAAAAHG3T08=")</f>
        <v>1</v>
      </c>
      <c r="CC209" t="b">
        <f>AND(DATA!N1626,"AAAAAHG3T1A=")</f>
        <v>1</v>
      </c>
      <c r="CD209" t="b">
        <f>AND(DATA!O1626,"AAAAAHG3T1E=")</f>
        <v>1</v>
      </c>
      <c r="CE209" t="b">
        <f>AND(DATA!P1626,"AAAAAHG3T1I=")</f>
        <v>1</v>
      </c>
      <c r="CF209" t="b">
        <f>AND(DATA!Q1626,"AAAAAHG3T1M=")</f>
        <v>1</v>
      </c>
      <c r="CG209" t="b">
        <f>AND(DATA!R1626,"AAAAAHG3T1Q=")</f>
        <v>1</v>
      </c>
      <c r="CH209" t="b">
        <f>AND(DATA!S1626,"AAAAAHG3T1U=")</f>
        <v>1</v>
      </c>
      <c r="CI209" t="b">
        <f>AND(DATA!T1626,"AAAAAHG3T1Y=")</f>
        <v>1</v>
      </c>
      <c r="CJ209">
        <f>IF(DATA!1626:1626,"AAAAAHG3T1c=",0)</f>
        <v>0</v>
      </c>
      <c r="CK209" t="e">
        <f>AND(DATA!A1626,"AAAAAHG3T1g=")</f>
        <v>#VALUE!</v>
      </c>
      <c r="CL209" t="e">
        <f>AND(DATA!B1626,"AAAAAHG3T1k=")</f>
        <v>#VALUE!</v>
      </c>
      <c r="CM209" t="e">
        <f>AND(DATA!C1626,"AAAAAHG3T1o=")</f>
        <v>#VALUE!</v>
      </c>
      <c r="CN209" t="e">
        <f>AND(DATA!D1626,"AAAAAHG3T1s=")</f>
        <v>#VALUE!</v>
      </c>
      <c r="CO209" t="e">
        <f>AND(DATA!E1626,"AAAAAHG3T1w=")</f>
        <v>#VALUE!</v>
      </c>
      <c r="CP209" t="e">
        <f>AND(DATA!F1626,"AAAAAHG3T10=")</f>
        <v>#VALUE!</v>
      </c>
      <c r="CQ209" t="e">
        <f>AND(DATA!G1626,"AAAAAHG3T14=")</f>
        <v>#VALUE!</v>
      </c>
      <c r="CR209" t="e">
        <f>AND(DATA!H1626,"AAAAAHG3T18=")</f>
        <v>#VALUE!</v>
      </c>
      <c r="CS209" t="e">
        <f>AND(DATA!I1626,"AAAAAHG3T2A=")</f>
        <v>#VALUE!</v>
      </c>
      <c r="CT209" t="e">
        <f>AND(DATA!J1626,"AAAAAHG3T2E=")</f>
        <v>#VALUE!</v>
      </c>
      <c r="CU209" t="e">
        <f>AND(DATA!K1626,"AAAAAHG3T2I=")</f>
        <v>#VALUE!</v>
      </c>
      <c r="CV209" t="b">
        <f>AND(DATA!L1627,"AAAAAHG3T2M=")</f>
        <v>1</v>
      </c>
      <c r="CW209" t="b">
        <f>AND(DATA!M1627,"AAAAAHG3T2Q=")</f>
        <v>1</v>
      </c>
      <c r="CX209" t="b">
        <f>AND(DATA!N1627,"AAAAAHG3T2U=")</f>
        <v>1</v>
      </c>
      <c r="CY209" t="b">
        <f>AND(DATA!O1627,"AAAAAHG3T2Y=")</f>
        <v>1</v>
      </c>
      <c r="CZ209" t="b">
        <f>AND(DATA!P1627,"AAAAAHG3T2c=")</f>
        <v>1</v>
      </c>
      <c r="DA209" t="b">
        <f>AND(DATA!Q1627,"AAAAAHG3T2g=")</f>
        <v>1</v>
      </c>
      <c r="DB209" t="b">
        <f>AND(DATA!R1627,"AAAAAHG3T2k=")</f>
        <v>1</v>
      </c>
      <c r="DC209" t="b">
        <f>AND(DATA!S1627,"AAAAAHG3T2o=")</f>
        <v>1</v>
      </c>
      <c r="DD209" t="b">
        <f>AND(DATA!T1627,"AAAAAHG3T2s=")</f>
        <v>1</v>
      </c>
      <c r="DE209">
        <f>IF(DATA!1627:1627,"AAAAAHG3T2w=",0)</f>
        <v>0</v>
      </c>
      <c r="DF209" t="e">
        <f>AND(DATA!A1627,"AAAAAHG3T20=")</f>
        <v>#VALUE!</v>
      </c>
      <c r="DG209" t="e">
        <f>AND(DATA!B1627,"AAAAAHG3T24=")</f>
        <v>#VALUE!</v>
      </c>
      <c r="DH209" t="e">
        <f>AND(DATA!C1627,"AAAAAHG3T28=")</f>
        <v>#VALUE!</v>
      </c>
      <c r="DI209" t="e">
        <f>AND(DATA!D1627,"AAAAAHG3T3A=")</f>
        <v>#VALUE!</v>
      </c>
      <c r="DJ209" t="e">
        <f>AND(DATA!E1627,"AAAAAHG3T3E=")</f>
        <v>#VALUE!</v>
      </c>
      <c r="DK209" t="e">
        <f>AND(DATA!F1627,"AAAAAHG3T3I=")</f>
        <v>#VALUE!</v>
      </c>
      <c r="DL209" t="e">
        <f>AND(DATA!G1627,"AAAAAHG3T3M=")</f>
        <v>#VALUE!</v>
      </c>
      <c r="DM209" t="e">
        <f>AND(DATA!H1627,"AAAAAHG3T3Q=")</f>
        <v>#VALUE!</v>
      </c>
      <c r="DN209" t="e">
        <f>AND(DATA!I1627,"AAAAAHG3T3U=")</f>
        <v>#VALUE!</v>
      </c>
      <c r="DO209" t="e">
        <f>AND(DATA!J1627,"AAAAAHG3T3Y=")</f>
        <v>#VALUE!</v>
      </c>
      <c r="DP209" t="e">
        <f>AND(DATA!K1627,"AAAAAHG3T3c=")</f>
        <v>#VALUE!</v>
      </c>
      <c r="DQ209" t="b">
        <f>AND(DATA!L1628,"AAAAAHG3T3g=")</f>
        <v>1</v>
      </c>
      <c r="DR209" t="b">
        <f>AND(DATA!M1628,"AAAAAHG3T3k=")</f>
        <v>1</v>
      </c>
      <c r="DS209" t="b">
        <f>AND(DATA!N1628,"AAAAAHG3T3o=")</f>
        <v>1</v>
      </c>
      <c r="DT209" t="b">
        <f>AND(DATA!O1628,"AAAAAHG3T3s=")</f>
        <v>1</v>
      </c>
      <c r="DU209" t="b">
        <f>AND(DATA!P1628,"AAAAAHG3T3w=")</f>
        <v>1</v>
      </c>
      <c r="DV209" t="b">
        <f>AND(DATA!Q1628,"AAAAAHG3T30=")</f>
        <v>1</v>
      </c>
      <c r="DW209" t="b">
        <f>AND(DATA!R1628,"AAAAAHG3T34=")</f>
        <v>1</v>
      </c>
      <c r="DX209" t="b">
        <f>AND(DATA!S1628,"AAAAAHG3T38=")</f>
        <v>1</v>
      </c>
      <c r="DY209" t="b">
        <f>AND(DATA!T1628,"AAAAAHG3T4A=")</f>
        <v>1</v>
      </c>
      <c r="DZ209">
        <f>IF(DATA!1628:1628,"AAAAAHG3T4E=",0)</f>
        <v>0</v>
      </c>
      <c r="EA209" t="e">
        <f>AND(DATA!A1628,"AAAAAHG3T4I=")</f>
        <v>#VALUE!</v>
      </c>
      <c r="EB209" t="e">
        <f>AND(DATA!B1628,"AAAAAHG3T4M=")</f>
        <v>#VALUE!</v>
      </c>
      <c r="EC209" t="e">
        <f>AND(DATA!C1628,"AAAAAHG3T4Q=")</f>
        <v>#VALUE!</v>
      </c>
      <c r="ED209" t="e">
        <f>AND(DATA!D1628,"AAAAAHG3T4U=")</f>
        <v>#VALUE!</v>
      </c>
      <c r="EE209" t="e">
        <f>AND(DATA!E1628,"AAAAAHG3T4Y=")</f>
        <v>#VALUE!</v>
      </c>
      <c r="EF209" t="e">
        <f>AND(DATA!F1628,"AAAAAHG3T4c=")</f>
        <v>#VALUE!</v>
      </c>
      <c r="EG209" t="e">
        <f>AND(DATA!G1628,"AAAAAHG3T4g=")</f>
        <v>#VALUE!</v>
      </c>
      <c r="EH209" t="e">
        <f>AND(DATA!H1628,"AAAAAHG3T4k=")</f>
        <v>#VALUE!</v>
      </c>
      <c r="EI209" t="e">
        <f>AND(DATA!I1628,"AAAAAHG3T4o=")</f>
        <v>#VALUE!</v>
      </c>
      <c r="EJ209" t="e">
        <f>AND(DATA!J1628,"AAAAAHG3T4s=")</f>
        <v>#VALUE!</v>
      </c>
      <c r="EK209" t="e">
        <f>AND(DATA!K1628,"AAAAAHG3T4w=")</f>
        <v>#VALUE!</v>
      </c>
      <c r="EL209" t="b">
        <f>AND(DATA!L1629,"AAAAAHG3T40=")</f>
        <v>1</v>
      </c>
      <c r="EM209" t="b">
        <f>AND(DATA!M1629,"AAAAAHG3T44=")</f>
        <v>1</v>
      </c>
      <c r="EN209" t="b">
        <f>AND(DATA!N1629,"AAAAAHG3T48=")</f>
        <v>1</v>
      </c>
      <c r="EO209" t="b">
        <f>AND(DATA!O1629,"AAAAAHG3T5A=")</f>
        <v>1</v>
      </c>
      <c r="EP209" t="b">
        <f>AND(DATA!P1629,"AAAAAHG3T5E=")</f>
        <v>1</v>
      </c>
      <c r="EQ209" t="b">
        <f>AND(DATA!Q1629,"AAAAAHG3T5I=")</f>
        <v>1</v>
      </c>
      <c r="ER209" t="b">
        <f>AND(DATA!R1629,"AAAAAHG3T5M=")</f>
        <v>1</v>
      </c>
      <c r="ES209" t="b">
        <f>AND(DATA!S1629,"AAAAAHG3T5Q=")</f>
        <v>1</v>
      </c>
      <c r="ET209" t="b">
        <f>AND(DATA!T1629,"AAAAAHG3T5U=")</f>
        <v>1</v>
      </c>
      <c r="EU209">
        <f>IF(DATA!1629:1629,"AAAAAHG3T5Y=",0)</f>
        <v>0</v>
      </c>
      <c r="EV209" t="e">
        <f>AND(DATA!A1629,"AAAAAHG3T5c=")</f>
        <v>#VALUE!</v>
      </c>
      <c r="EW209" t="e">
        <f>AND(DATA!B1629,"AAAAAHG3T5g=")</f>
        <v>#VALUE!</v>
      </c>
      <c r="EX209" t="e">
        <f>AND(DATA!C1629,"AAAAAHG3T5k=")</f>
        <v>#VALUE!</v>
      </c>
      <c r="EY209" t="e">
        <f>AND(DATA!D1629,"AAAAAHG3T5o=")</f>
        <v>#VALUE!</v>
      </c>
      <c r="EZ209" t="e">
        <f>AND(DATA!E1629,"AAAAAHG3T5s=")</f>
        <v>#VALUE!</v>
      </c>
      <c r="FA209" t="e">
        <f>AND(DATA!F1629,"AAAAAHG3T5w=")</f>
        <v>#VALUE!</v>
      </c>
      <c r="FB209" t="e">
        <f>AND(DATA!G1629,"AAAAAHG3T50=")</f>
        <v>#VALUE!</v>
      </c>
      <c r="FC209" t="e">
        <f>AND(DATA!H1629,"AAAAAHG3T54=")</f>
        <v>#VALUE!</v>
      </c>
      <c r="FD209" t="e">
        <f>AND(DATA!I1629,"AAAAAHG3T58=")</f>
        <v>#VALUE!</v>
      </c>
      <c r="FE209" t="e">
        <f>AND(DATA!J1629,"AAAAAHG3T6A=")</f>
        <v>#VALUE!</v>
      </c>
      <c r="FF209" t="e">
        <f>AND(DATA!K1629,"AAAAAHG3T6E=")</f>
        <v>#VALUE!</v>
      </c>
      <c r="FG209" t="b">
        <f>AND(DATA!L1630,"AAAAAHG3T6I=")</f>
        <v>1</v>
      </c>
      <c r="FH209" t="b">
        <f>AND(DATA!M1630,"AAAAAHG3T6M=")</f>
        <v>1</v>
      </c>
      <c r="FI209" t="b">
        <f>AND(DATA!N1630,"AAAAAHG3T6Q=")</f>
        <v>1</v>
      </c>
      <c r="FJ209" t="b">
        <f>AND(DATA!O1630,"AAAAAHG3T6U=")</f>
        <v>1</v>
      </c>
      <c r="FK209" t="b">
        <f>AND(DATA!P1630,"AAAAAHG3T6Y=")</f>
        <v>1</v>
      </c>
      <c r="FL209" t="b">
        <f>AND(DATA!Q1630,"AAAAAHG3T6c=")</f>
        <v>1</v>
      </c>
      <c r="FM209" t="b">
        <f>AND(DATA!R1630,"AAAAAHG3T6g=")</f>
        <v>1</v>
      </c>
      <c r="FN209" t="b">
        <f>AND(DATA!S1630,"AAAAAHG3T6k=")</f>
        <v>1</v>
      </c>
      <c r="FO209" t="b">
        <f>AND(DATA!T1630,"AAAAAHG3T6o=")</f>
        <v>1</v>
      </c>
      <c r="FP209">
        <f>IF(DATA!1630:1630,"AAAAAHG3T6s=",0)</f>
        <v>0</v>
      </c>
      <c r="FQ209" t="e">
        <f>AND(DATA!A1630,"AAAAAHG3T6w=")</f>
        <v>#VALUE!</v>
      </c>
      <c r="FR209" t="e">
        <f>AND(DATA!B1630,"AAAAAHG3T60=")</f>
        <v>#VALUE!</v>
      </c>
      <c r="FS209" t="e">
        <f>AND(DATA!C1630,"AAAAAHG3T64=")</f>
        <v>#VALUE!</v>
      </c>
      <c r="FT209" t="e">
        <f>AND(DATA!D1630,"AAAAAHG3T68=")</f>
        <v>#VALUE!</v>
      </c>
      <c r="FU209" t="e">
        <f>AND(DATA!E1630,"AAAAAHG3T7A=")</f>
        <v>#VALUE!</v>
      </c>
      <c r="FV209" t="e">
        <f>AND(DATA!F1630,"AAAAAHG3T7E=")</f>
        <v>#VALUE!</v>
      </c>
      <c r="FW209" t="e">
        <f>AND(DATA!G1630,"AAAAAHG3T7I=")</f>
        <v>#VALUE!</v>
      </c>
      <c r="FX209" t="e">
        <f>AND(DATA!H1630,"AAAAAHG3T7M=")</f>
        <v>#VALUE!</v>
      </c>
      <c r="FY209" t="e">
        <f>AND(DATA!I1630,"AAAAAHG3T7Q=")</f>
        <v>#VALUE!</v>
      </c>
      <c r="FZ209" t="e">
        <f>AND(DATA!J1630,"AAAAAHG3T7U=")</f>
        <v>#VALUE!</v>
      </c>
      <c r="GA209" t="e">
        <f>AND(DATA!K1630,"AAAAAHG3T7Y=")</f>
        <v>#VALUE!</v>
      </c>
      <c r="GB209" t="b">
        <f>AND(DATA!L1631,"AAAAAHG3T7c=")</f>
        <v>1</v>
      </c>
      <c r="GC209" t="b">
        <f>AND(DATA!M1631,"AAAAAHG3T7g=")</f>
        <v>1</v>
      </c>
      <c r="GD209" t="b">
        <f>AND(DATA!N1631,"AAAAAHG3T7k=")</f>
        <v>1</v>
      </c>
      <c r="GE209" t="b">
        <f>AND(DATA!O1631,"AAAAAHG3T7o=")</f>
        <v>1</v>
      </c>
      <c r="GF209" t="b">
        <f>AND(DATA!P1631,"AAAAAHG3T7s=")</f>
        <v>1</v>
      </c>
      <c r="GG209" t="b">
        <f>AND(DATA!Q1631,"AAAAAHG3T7w=")</f>
        <v>1</v>
      </c>
      <c r="GH209" t="b">
        <f>AND(DATA!R1631,"AAAAAHG3T70=")</f>
        <v>1</v>
      </c>
      <c r="GI209" t="b">
        <f>AND(DATA!S1631,"AAAAAHG3T74=")</f>
        <v>1</v>
      </c>
      <c r="GJ209" t="b">
        <f>AND(DATA!T1631,"AAAAAHG3T78=")</f>
        <v>1</v>
      </c>
      <c r="GK209">
        <f>IF(DATA!1631:1631,"AAAAAHG3T8A=",0)</f>
        <v>0</v>
      </c>
      <c r="GL209" t="e">
        <f>AND(DATA!A1631,"AAAAAHG3T8E=")</f>
        <v>#VALUE!</v>
      </c>
      <c r="GM209" t="e">
        <f>AND(DATA!B1631,"AAAAAHG3T8I=")</f>
        <v>#VALUE!</v>
      </c>
      <c r="GN209" t="e">
        <f>AND(DATA!C1631,"AAAAAHG3T8M=")</f>
        <v>#VALUE!</v>
      </c>
      <c r="GO209" t="e">
        <f>AND(DATA!D1631,"AAAAAHG3T8Q=")</f>
        <v>#VALUE!</v>
      </c>
      <c r="GP209" t="e">
        <f>AND(DATA!E1631,"AAAAAHG3T8U=")</f>
        <v>#VALUE!</v>
      </c>
      <c r="GQ209" t="e">
        <f>AND(DATA!F1631,"AAAAAHG3T8Y=")</f>
        <v>#VALUE!</v>
      </c>
      <c r="GR209" t="e">
        <f>AND(DATA!G1631,"AAAAAHG3T8c=")</f>
        <v>#VALUE!</v>
      </c>
      <c r="GS209" t="e">
        <f>AND(DATA!H1631,"AAAAAHG3T8g=")</f>
        <v>#VALUE!</v>
      </c>
      <c r="GT209" t="e">
        <f>AND(DATA!I1631,"AAAAAHG3T8k=")</f>
        <v>#VALUE!</v>
      </c>
      <c r="GU209" t="e">
        <f>AND(DATA!J1631,"AAAAAHG3T8o=")</f>
        <v>#VALUE!</v>
      </c>
      <c r="GV209" t="e">
        <f>AND(DATA!K1631,"AAAAAHG3T8s=")</f>
        <v>#VALUE!</v>
      </c>
      <c r="GW209" t="b">
        <f>AND(DATA!L1632,"AAAAAHG3T8w=")</f>
        <v>1</v>
      </c>
      <c r="GX209" t="b">
        <f>AND(DATA!M1632,"AAAAAHG3T80=")</f>
        <v>1</v>
      </c>
      <c r="GY209" t="b">
        <f>AND(DATA!N1632,"AAAAAHG3T84=")</f>
        <v>1</v>
      </c>
      <c r="GZ209" t="b">
        <f>AND(DATA!O1632,"AAAAAHG3T88=")</f>
        <v>1</v>
      </c>
      <c r="HA209" t="b">
        <f>AND(DATA!P1632,"AAAAAHG3T9A=")</f>
        <v>1</v>
      </c>
      <c r="HB209" t="b">
        <f>AND(DATA!Q1632,"AAAAAHG3T9E=")</f>
        <v>1</v>
      </c>
      <c r="HC209" t="b">
        <f>AND(DATA!R1632,"AAAAAHG3T9I=")</f>
        <v>1</v>
      </c>
      <c r="HD209" t="b">
        <f>AND(DATA!S1632,"AAAAAHG3T9M=")</f>
        <v>1</v>
      </c>
      <c r="HE209" t="b">
        <f>AND(DATA!T1632,"AAAAAHG3T9Q=")</f>
        <v>1</v>
      </c>
      <c r="HF209">
        <f>IF(DATA!1632:1632,"AAAAAHG3T9U=",0)</f>
        <v>0</v>
      </c>
      <c r="HG209" t="e">
        <f>AND(DATA!A1632,"AAAAAHG3T9Y=")</f>
        <v>#VALUE!</v>
      </c>
      <c r="HH209" t="e">
        <f>AND(DATA!B1632,"AAAAAHG3T9c=")</f>
        <v>#VALUE!</v>
      </c>
      <c r="HI209" t="e">
        <f>AND(DATA!C1632,"AAAAAHG3T9g=")</f>
        <v>#VALUE!</v>
      </c>
      <c r="HJ209" t="e">
        <f>AND(DATA!D1632,"AAAAAHG3T9k=")</f>
        <v>#VALUE!</v>
      </c>
      <c r="HK209" t="e">
        <f>AND(DATA!E1632,"AAAAAHG3T9o=")</f>
        <v>#VALUE!</v>
      </c>
      <c r="HL209" t="e">
        <f>AND(DATA!F1632,"AAAAAHG3T9s=")</f>
        <v>#VALUE!</v>
      </c>
      <c r="HM209" t="e">
        <f>AND(DATA!G1632,"AAAAAHG3T9w=")</f>
        <v>#VALUE!</v>
      </c>
      <c r="HN209" t="e">
        <f>AND(DATA!H1632,"AAAAAHG3T90=")</f>
        <v>#VALUE!</v>
      </c>
      <c r="HO209" t="e">
        <f>AND(DATA!I1632,"AAAAAHG3T94=")</f>
        <v>#VALUE!</v>
      </c>
      <c r="HP209" t="e">
        <f>AND(DATA!J1632,"AAAAAHG3T98=")</f>
        <v>#VALUE!</v>
      </c>
      <c r="HQ209" t="e">
        <f>AND(DATA!K1632,"AAAAAHG3T+A=")</f>
        <v>#VALUE!</v>
      </c>
      <c r="HR209" t="b">
        <f>AND(DATA!L1633,"AAAAAHG3T+E=")</f>
        <v>1</v>
      </c>
      <c r="HS209" t="b">
        <f>AND(DATA!M1633,"AAAAAHG3T+I=")</f>
        <v>1</v>
      </c>
      <c r="HT209" t="b">
        <f>AND(DATA!N1633,"AAAAAHG3T+M=")</f>
        <v>1</v>
      </c>
      <c r="HU209" t="b">
        <f>AND(DATA!O1633,"AAAAAHG3T+Q=")</f>
        <v>1</v>
      </c>
      <c r="HV209" t="b">
        <f>AND(DATA!P1633,"AAAAAHG3T+U=")</f>
        <v>1</v>
      </c>
      <c r="HW209" t="b">
        <f>AND(DATA!Q1633,"AAAAAHG3T+Y=")</f>
        <v>1</v>
      </c>
      <c r="HX209" t="b">
        <f>AND(DATA!R1633,"AAAAAHG3T+c=")</f>
        <v>1</v>
      </c>
      <c r="HY209" t="b">
        <f>AND(DATA!S1633,"AAAAAHG3T+g=")</f>
        <v>1</v>
      </c>
      <c r="HZ209" t="b">
        <f>AND(DATA!T1633,"AAAAAHG3T+k=")</f>
        <v>1</v>
      </c>
      <c r="IA209">
        <f>IF(DATA!1633:1633,"AAAAAHG3T+o=",0)</f>
        <v>0</v>
      </c>
      <c r="IB209" t="e">
        <f>AND(DATA!A1633,"AAAAAHG3T+s=")</f>
        <v>#VALUE!</v>
      </c>
      <c r="IC209" t="e">
        <f>AND(DATA!B1633,"AAAAAHG3T+w=")</f>
        <v>#VALUE!</v>
      </c>
      <c r="ID209" t="e">
        <f>AND(DATA!C1633,"AAAAAHG3T+0=")</f>
        <v>#VALUE!</v>
      </c>
      <c r="IE209" t="e">
        <f>AND(DATA!D1633,"AAAAAHG3T+4=")</f>
        <v>#VALUE!</v>
      </c>
      <c r="IF209" t="e">
        <f>AND(DATA!E1633,"AAAAAHG3T+8=")</f>
        <v>#VALUE!</v>
      </c>
      <c r="IG209" t="e">
        <f>AND(DATA!F1633,"AAAAAHG3T/A=")</f>
        <v>#VALUE!</v>
      </c>
      <c r="IH209" t="e">
        <f>AND(DATA!G1633,"AAAAAHG3T/E=")</f>
        <v>#VALUE!</v>
      </c>
      <c r="II209" t="e">
        <f>AND(DATA!H1633,"AAAAAHG3T/I=")</f>
        <v>#VALUE!</v>
      </c>
      <c r="IJ209" t="e">
        <f>AND(DATA!I1633,"AAAAAHG3T/M=")</f>
        <v>#VALUE!</v>
      </c>
      <c r="IK209" t="e">
        <f>AND(DATA!J1633,"AAAAAHG3T/Q=")</f>
        <v>#VALUE!</v>
      </c>
      <c r="IL209" t="e">
        <f>AND(DATA!K1633,"AAAAAHG3T/U=")</f>
        <v>#VALUE!</v>
      </c>
      <c r="IM209" t="b">
        <f>AND(DATA!L1634,"AAAAAHG3T/Y=")</f>
        <v>1</v>
      </c>
      <c r="IN209" t="b">
        <f>AND(DATA!M1634,"AAAAAHG3T/c=")</f>
        <v>1</v>
      </c>
      <c r="IO209" t="b">
        <f>AND(DATA!N1634,"AAAAAHG3T/g=")</f>
        <v>1</v>
      </c>
      <c r="IP209" t="b">
        <f>AND(DATA!O1634,"AAAAAHG3T/k=")</f>
        <v>1</v>
      </c>
      <c r="IQ209" t="b">
        <f>AND(DATA!P1634,"AAAAAHG3T/o=")</f>
        <v>1</v>
      </c>
      <c r="IR209" t="b">
        <f>AND(DATA!Q1634,"AAAAAHG3T/s=")</f>
        <v>1</v>
      </c>
      <c r="IS209" t="b">
        <f>AND(DATA!R1634,"AAAAAHG3T/w=")</f>
        <v>1</v>
      </c>
      <c r="IT209" t="b">
        <f>AND(DATA!S1634,"AAAAAHG3T/0=")</f>
        <v>1</v>
      </c>
      <c r="IU209" t="b">
        <f>AND(DATA!T1634,"AAAAAHG3T/4=")</f>
        <v>1</v>
      </c>
      <c r="IV209">
        <f>IF(DATA!1634:1634,"AAAAAHG3T/8=",0)</f>
        <v>0</v>
      </c>
    </row>
    <row r="210" spans="1:256" x14ac:dyDescent="0.25">
      <c r="A210" t="e">
        <f>AND(DATA!A1634,"AAAAAHN/7QA=")</f>
        <v>#VALUE!</v>
      </c>
      <c r="B210" t="e">
        <f>AND(DATA!B1634,"AAAAAHN/7QE=")</f>
        <v>#VALUE!</v>
      </c>
      <c r="C210" t="e">
        <f>AND(DATA!C1634,"AAAAAHN/7QI=")</f>
        <v>#VALUE!</v>
      </c>
      <c r="D210" t="e">
        <f>AND(DATA!D1634,"AAAAAHN/7QM=")</f>
        <v>#VALUE!</v>
      </c>
      <c r="E210" t="e">
        <f>AND(DATA!E1634,"AAAAAHN/7QQ=")</f>
        <v>#VALUE!</v>
      </c>
      <c r="F210" t="e">
        <f>AND(DATA!F1634,"AAAAAHN/7QU=")</f>
        <v>#VALUE!</v>
      </c>
      <c r="G210" t="e">
        <f>AND(DATA!G1634,"AAAAAHN/7QY=")</f>
        <v>#VALUE!</v>
      </c>
      <c r="H210" t="e">
        <f>AND(DATA!H1634,"AAAAAHN/7Qc=")</f>
        <v>#VALUE!</v>
      </c>
      <c r="I210" t="e">
        <f>AND(DATA!I1634,"AAAAAHN/7Qg=")</f>
        <v>#VALUE!</v>
      </c>
      <c r="J210" t="e">
        <f>AND(DATA!J1634,"AAAAAHN/7Qk=")</f>
        <v>#VALUE!</v>
      </c>
      <c r="K210" t="e">
        <f>AND(DATA!K1634,"AAAAAHN/7Qo=")</f>
        <v>#VALUE!</v>
      </c>
      <c r="L210" t="b">
        <f>AND(DATA!L1635,"AAAAAHN/7Qs=")</f>
        <v>1</v>
      </c>
      <c r="M210" t="b">
        <f>AND(DATA!M1635,"AAAAAHN/7Qw=")</f>
        <v>1</v>
      </c>
      <c r="N210" t="b">
        <f>AND(DATA!N1635,"AAAAAHN/7Q0=")</f>
        <v>1</v>
      </c>
      <c r="O210" t="b">
        <f>AND(DATA!O1635,"AAAAAHN/7Q4=")</f>
        <v>1</v>
      </c>
      <c r="P210" t="b">
        <f>AND(DATA!P1635,"AAAAAHN/7Q8=")</f>
        <v>1</v>
      </c>
      <c r="Q210" t="b">
        <f>AND(DATA!Q1635,"AAAAAHN/7RA=")</f>
        <v>1</v>
      </c>
      <c r="R210" t="b">
        <f>AND(DATA!R1635,"AAAAAHN/7RE=")</f>
        <v>1</v>
      </c>
      <c r="S210" t="b">
        <f>AND(DATA!S1635,"AAAAAHN/7RI=")</f>
        <v>1</v>
      </c>
      <c r="T210" t="b">
        <f>AND(DATA!T1635,"AAAAAHN/7RM=")</f>
        <v>1</v>
      </c>
      <c r="U210">
        <f>IF(DATA!1635:1635,"AAAAAHN/7RQ=",0)</f>
        <v>0</v>
      </c>
      <c r="V210" t="e">
        <f>AND(DATA!A1635,"AAAAAHN/7RU=")</f>
        <v>#VALUE!</v>
      </c>
      <c r="W210" t="e">
        <f>AND(DATA!B1635,"AAAAAHN/7RY=")</f>
        <v>#VALUE!</v>
      </c>
      <c r="X210" t="e">
        <f>AND(DATA!C1635,"AAAAAHN/7Rc=")</f>
        <v>#VALUE!</v>
      </c>
      <c r="Y210" t="e">
        <f>AND(DATA!D1635,"AAAAAHN/7Rg=")</f>
        <v>#VALUE!</v>
      </c>
      <c r="Z210" t="e">
        <f>AND(DATA!E1635,"AAAAAHN/7Rk=")</f>
        <v>#VALUE!</v>
      </c>
      <c r="AA210" t="e">
        <f>AND(DATA!F1635,"AAAAAHN/7Ro=")</f>
        <v>#VALUE!</v>
      </c>
      <c r="AB210" t="e">
        <f>AND(DATA!G1635,"AAAAAHN/7Rs=")</f>
        <v>#VALUE!</v>
      </c>
      <c r="AC210" t="e">
        <f>AND(DATA!H1635,"AAAAAHN/7Rw=")</f>
        <v>#VALUE!</v>
      </c>
      <c r="AD210" t="e">
        <f>AND(DATA!I1635,"AAAAAHN/7R0=")</f>
        <v>#VALUE!</v>
      </c>
      <c r="AE210" t="e">
        <f>AND(DATA!J1635,"AAAAAHN/7R4=")</f>
        <v>#VALUE!</v>
      </c>
      <c r="AF210" t="e">
        <f>AND(DATA!K1635,"AAAAAHN/7R8=")</f>
        <v>#VALUE!</v>
      </c>
      <c r="AG210" t="b">
        <f>AND(DATA!L1636,"AAAAAHN/7SA=")</f>
        <v>1</v>
      </c>
      <c r="AH210" t="b">
        <f>AND(DATA!M1636,"AAAAAHN/7SE=")</f>
        <v>1</v>
      </c>
      <c r="AI210" t="b">
        <f>AND(DATA!N1636,"AAAAAHN/7SI=")</f>
        <v>1</v>
      </c>
      <c r="AJ210" t="b">
        <f>AND(DATA!O1636,"AAAAAHN/7SM=")</f>
        <v>1</v>
      </c>
      <c r="AK210" t="b">
        <f>AND(DATA!P1636,"AAAAAHN/7SQ=")</f>
        <v>1</v>
      </c>
      <c r="AL210" t="b">
        <f>AND(DATA!Q1636,"AAAAAHN/7SU=")</f>
        <v>1</v>
      </c>
      <c r="AM210" t="b">
        <f>AND(DATA!R1636,"AAAAAHN/7SY=")</f>
        <v>1</v>
      </c>
      <c r="AN210" t="b">
        <f>AND(DATA!S1636,"AAAAAHN/7Sc=")</f>
        <v>1</v>
      </c>
      <c r="AO210" t="b">
        <f>AND(DATA!T1636,"AAAAAHN/7Sg=")</f>
        <v>1</v>
      </c>
      <c r="AP210">
        <f>IF(DATA!1636:1636,"AAAAAHN/7Sk=",0)</f>
        <v>0</v>
      </c>
      <c r="AQ210" t="e">
        <f>AND(DATA!A1636,"AAAAAHN/7So=")</f>
        <v>#VALUE!</v>
      </c>
      <c r="AR210" t="e">
        <f>AND(DATA!B1636,"AAAAAHN/7Ss=")</f>
        <v>#VALUE!</v>
      </c>
      <c r="AS210" t="e">
        <f>AND(DATA!C1636,"AAAAAHN/7Sw=")</f>
        <v>#VALUE!</v>
      </c>
      <c r="AT210" t="e">
        <f>AND(DATA!D1636,"AAAAAHN/7S0=")</f>
        <v>#VALUE!</v>
      </c>
      <c r="AU210" t="e">
        <f>AND(DATA!E1636,"AAAAAHN/7S4=")</f>
        <v>#VALUE!</v>
      </c>
      <c r="AV210" t="e">
        <f>AND(DATA!F1636,"AAAAAHN/7S8=")</f>
        <v>#VALUE!</v>
      </c>
      <c r="AW210" t="e">
        <f>AND(DATA!G1636,"AAAAAHN/7TA=")</f>
        <v>#VALUE!</v>
      </c>
      <c r="AX210" t="e">
        <f>AND(DATA!H1636,"AAAAAHN/7TE=")</f>
        <v>#VALUE!</v>
      </c>
      <c r="AY210" t="e">
        <f>AND(DATA!I1636,"AAAAAHN/7TI=")</f>
        <v>#VALUE!</v>
      </c>
      <c r="AZ210" t="e">
        <f>AND(DATA!J1636,"AAAAAHN/7TM=")</f>
        <v>#VALUE!</v>
      </c>
      <c r="BA210" t="e">
        <f>AND(DATA!K1636,"AAAAAHN/7TQ=")</f>
        <v>#VALUE!</v>
      </c>
      <c r="BB210" t="b">
        <f>AND(DATA!L1637,"AAAAAHN/7TU=")</f>
        <v>1</v>
      </c>
      <c r="BC210" t="b">
        <f>AND(DATA!M1637,"AAAAAHN/7TY=")</f>
        <v>1</v>
      </c>
      <c r="BD210" t="b">
        <f>AND(DATA!N1637,"AAAAAHN/7Tc=")</f>
        <v>1</v>
      </c>
      <c r="BE210" t="b">
        <f>AND(DATA!O1637,"AAAAAHN/7Tg=")</f>
        <v>1</v>
      </c>
      <c r="BF210" t="b">
        <f>AND(DATA!P1637,"AAAAAHN/7Tk=")</f>
        <v>1</v>
      </c>
      <c r="BG210" t="b">
        <f>AND(DATA!Q1637,"AAAAAHN/7To=")</f>
        <v>1</v>
      </c>
      <c r="BH210" t="b">
        <f>AND(DATA!R1637,"AAAAAHN/7Ts=")</f>
        <v>1</v>
      </c>
      <c r="BI210" t="b">
        <f>AND(DATA!S1637,"AAAAAHN/7Tw=")</f>
        <v>1</v>
      </c>
      <c r="BJ210" t="b">
        <f>AND(DATA!T1637,"AAAAAHN/7T0=")</f>
        <v>1</v>
      </c>
      <c r="BK210">
        <f>IF(DATA!1637:1637,"AAAAAHN/7T4=",0)</f>
        <v>0</v>
      </c>
      <c r="BL210" t="e">
        <f>AND(DATA!A1637,"AAAAAHN/7T8=")</f>
        <v>#VALUE!</v>
      </c>
      <c r="BM210" t="e">
        <f>AND(DATA!B1637,"AAAAAHN/7UA=")</f>
        <v>#VALUE!</v>
      </c>
      <c r="BN210" t="e">
        <f>AND(DATA!C1637,"AAAAAHN/7UE=")</f>
        <v>#VALUE!</v>
      </c>
      <c r="BO210" t="e">
        <f>AND(DATA!D1637,"AAAAAHN/7UI=")</f>
        <v>#VALUE!</v>
      </c>
      <c r="BP210" t="e">
        <f>AND(DATA!E1637,"AAAAAHN/7UM=")</f>
        <v>#VALUE!</v>
      </c>
      <c r="BQ210" t="e">
        <f>AND(DATA!F1637,"AAAAAHN/7UQ=")</f>
        <v>#VALUE!</v>
      </c>
      <c r="BR210" t="e">
        <f>AND(DATA!G1637,"AAAAAHN/7UU=")</f>
        <v>#VALUE!</v>
      </c>
      <c r="BS210" t="e">
        <f>AND(DATA!H1637,"AAAAAHN/7UY=")</f>
        <v>#VALUE!</v>
      </c>
      <c r="BT210" t="e">
        <f>AND(DATA!I1637,"AAAAAHN/7Uc=")</f>
        <v>#VALUE!</v>
      </c>
      <c r="BU210" t="e">
        <f>AND(DATA!J1637,"AAAAAHN/7Ug=")</f>
        <v>#VALUE!</v>
      </c>
      <c r="BV210" t="e">
        <f>AND(DATA!K1637,"AAAAAHN/7Uk=")</f>
        <v>#VALUE!</v>
      </c>
      <c r="BW210" t="b">
        <f>AND(DATA!L1638,"AAAAAHN/7Uo=")</f>
        <v>1</v>
      </c>
      <c r="BX210" t="b">
        <f>AND(DATA!M1638,"AAAAAHN/7Us=")</f>
        <v>1</v>
      </c>
      <c r="BY210" t="b">
        <f>AND(DATA!N1638,"AAAAAHN/7Uw=")</f>
        <v>1</v>
      </c>
      <c r="BZ210" t="b">
        <f>AND(DATA!O1638,"AAAAAHN/7U0=")</f>
        <v>1</v>
      </c>
      <c r="CA210" t="b">
        <f>AND(DATA!P1638,"AAAAAHN/7U4=")</f>
        <v>1</v>
      </c>
      <c r="CB210" t="b">
        <f>AND(DATA!Q1638,"AAAAAHN/7U8=")</f>
        <v>1</v>
      </c>
      <c r="CC210" t="b">
        <f>AND(DATA!R1638,"AAAAAHN/7VA=")</f>
        <v>1</v>
      </c>
      <c r="CD210" t="b">
        <f>AND(DATA!S1638,"AAAAAHN/7VE=")</f>
        <v>1</v>
      </c>
      <c r="CE210" t="b">
        <f>AND(DATA!T1638,"AAAAAHN/7VI=")</f>
        <v>1</v>
      </c>
      <c r="CF210">
        <f>IF(DATA!1638:1638,"AAAAAHN/7VM=",0)</f>
        <v>0</v>
      </c>
      <c r="CG210" t="e">
        <f>AND(DATA!A1638,"AAAAAHN/7VQ=")</f>
        <v>#VALUE!</v>
      </c>
      <c r="CH210" t="e">
        <f>AND(DATA!B1638,"AAAAAHN/7VU=")</f>
        <v>#VALUE!</v>
      </c>
      <c r="CI210" t="e">
        <f>AND(DATA!C1638,"AAAAAHN/7VY=")</f>
        <v>#VALUE!</v>
      </c>
      <c r="CJ210" t="e">
        <f>AND(DATA!D1638,"AAAAAHN/7Vc=")</f>
        <v>#VALUE!</v>
      </c>
      <c r="CK210" t="e">
        <f>AND(DATA!E1638,"AAAAAHN/7Vg=")</f>
        <v>#VALUE!</v>
      </c>
      <c r="CL210" t="e">
        <f>AND(DATA!F1638,"AAAAAHN/7Vk=")</f>
        <v>#VALUE!</v>
      </c>
      <c r="CM210" t="e">
        <f>AND(DATA!G1638,"AAAAAHN/7Vo=")</f>
        <v>#VALUE!</v>
      </c>
      <c r="CN210" t="e">
        <f>AND(DATA!H1638,"AAAAAHN/7Vs=")</f>
        <v>#VALUE!</v>
      </c>
      <c r="CO210" t="e">
        <f>AND(DATA!I1638,"AAAAAHN/7Vw=")</f>
        <v>#VALUE!</v>
      </c>
      <c r="CP210" t="e">
        <f>AND(DATA!J1638,"AAAAAHN/7V0=")</f>
        <v>#VALUE!</v>
      </c>
      <c r="CQ210" t="e">
        <f>AND(DATA!K1638,"AAAAAHN/7V4=")</f>
        <v>#VALUE!</v>
      </c>
      <c r="CR210" t="b">
        <f>AND(DATA!L1639,"AAAAAHN/7V8=")</f>
        <v>1</v>
      </c>
      <c r="CS210" t="b">
        <f>AND(DATA!M1639,"AAAAAHN/7WA=")</f>
        <v>1</v>
      </c>
      <c r="CT210" t="b">
        <f>AND(DATA!N1639,"AAAAAHN/7WE=")</f>
        <v>1</v>
      </c>
      <c r="CU210" t="b">
        <f>AND(DATA!O1639,"AAAAAHN/7WI=")</f>
        <v>1</v>
      </c>
      <c r="CV210" t="b">
        <f>AND(DATA!P1639,"AAAAAHN/7WM=")</f>
        <v>1</v>
      </c>
      <c r="CW210" t="b">
        <f>AND(DATA!Q1639,"AAAAAHN/7WQ=")</f>
        <v>1</v>
      </c>
      <c r="CX210" t="b">
        <f>AND(DATA!R1639,"AAAAAHN/7WU=")</f>
        <v>1</v>
      </c>
      <c r="CY210" t="b">
        <f>AND(DATA!S1639,"AAAAAHN/7WY=")</f>
        <v>1</v>
      </c>
      <c r="CZ210" t="b">
        <f>AND(DATA!T1639,"AAAAAHN/7Wc=")</f>
        <v>1</v>
      </c>
      <c r="DA210">
        <f>IF(DATA!1639:1639,"AAAAAHN/7Wg=",0)</f>
        <v>0</v>
      </c>
      <c r="DB210" t="e">
        <f>AND(DATA!A1639,"AAAAAHN/7Wk=")</f>
        <v>#VALUE!</v>
      </c>
      <c r="DC210" t="e">
        <f>AND(DATA!B1639,"AAAAAHN/7Wo=")</f>
        <v>#VALUE!</v>
      </c>
      <c r="DD210" t="e">
        <f>AND(DATA!C1639,"AAAAAHN/7Ws=")</f>
        <v>#VALUE!</v>
      </c>
      <c r="DE210" t="e">
        <f>AND(DATA!D1639,"AAAAAHN/7Ww=")</f>
        <v>#VALUE!</v>
      </c>
      <c r="DF210" t="e">
        <f>AND(DATA!E1639,"AAAAAHN/7W0=")</f>
        <v>#VALUE!</v>
      </c>
      <c r="DG210" t="e">
        <f>AND(DATA!F1639,"AAAAAHN/7W4=")</f>
        <v>#VALUE!</v>
      </c>
      <c r="DH210" t="e">
        <f>AND(DATA!G1639,"AAAAAHN/7W8=")</f>
        <v>#VALUE!</v>
      </c>
      <c r="DI210" t="e">
        <f>AND(DATA!H1639,"AAAAAHN/7XA=")</f>
        <v>#VALUE!</v>
      </c>
      <c r="DJ210" t="e">
        <f>AND(DATA!I1639,"AAAAAHN/7XE=")</f>
        <v>#VALUE!</v>
      </c>
      <c r="DK210" t="e">
        <f>AND(DATA!J1639,"AAAAAHN/7XI=")</f>
        <v>#VALUE!</v>
      </c>
      <c r="DL210" t="e">
        <f>AND(DATA!K1639,"AAAAAHN/7XM=")</f>
        <v>#VALUE!</v>
      </c>
      <c r="DM210" t="b">
        <f>AND(DATA!L1640,"AAAAAHN/7XQ=")</f>
        <v>1</v>
      </c>
      <c r="DN210" t="b">
        <f>AND(DATA!M1640,"AAAAAHN/7XU=")</f>
        <v>1</v>
      </c>
      <c r="DO210" t="b">
        <f>AND(DATA!N1640,"AAAAAHN/7XY=")</f>
        <v>1</v>
      </c>
      <c r="DP210" t="b">
        <f>AND(DATA!O1640,"AAAAAHN/7Xc=")</f>
        <v>1</v>
      </c>
      <c r="DQ210" t="b">
        <f>AND(DATA!P1640,"AAAAAHN/7Xg=")</f>
        <v>1</v>
      </c>
      <c r="DR210" t="b">
        <f>AND(DATA!Q1640,"AAAAAHN/7Xk=")</f>
        <v>1</v>
      </c>
      <c r="DS210" t="b">
        <f>AND(DATA!R1640,"AAAAAHN/7Xo=")</f>
        <v>1</v>
      </c>
      <c r="DT210" t="b">
        <f>AND(DATA!S1640,"AAAAAHN/7Xs=")</f>
        <v>1</v>
      </c>
      <c r="DU210" t="b">
        <f>AND(DATA!T1640,"AAAAAHN/7Xw=")</f>
        <v>1</v>
      </c>
      <c r="DV210">
        <f>IF(DATA!1640:1640,"AAAAAHN/7X0=",0)</f>
        <v>0</v>
      </c>
      <c r="DW210" t="e">
        <f>AND(DATA!A1640,"AAAAAHN/7X4=")</f>
        <v>#VALUE!</v>
      </c>
      <c r="DX210" t="e">
        <f>AND(DATA!B1640,"AAAAAHN/7X8=")</f>
        <v>#VALUE!</v>
      </c>
      <c r="DY210" t="e">
        <f>AND(DATA!C1640,"AAAAAHN/7YA=")</f>
        <v>#VALUE!</v>
      </c>
      <c r="DZ210" t="e">
        <f>AND(DATA!D1640,"AAAAAHN/7YE=")</f>
        <v>#VALUE!</v>
      </c>
      <c r="EA210" t="e">
        <f>AND(DATA!E1640,"AAAAAHN/7YI=")</f>
        <v>#VALUE!</v>
      </c>
      <c r="EB210" t="e">
        <f>AND(DATA!F1640,"AAAAAHN/7YM=")</f>
        <v>#VALUE!</v>
      </c>
      <c r="EC210" t="e">
        <f>AND(DATA!G1640,"AAAAAHN/7YQ=")</f>
        <v>#VALUE!</v>
      </c>
      <c r="ED210" t="e">
        <f>AND(DATA!H1640,"AAAAAHN/7YU=")</f>
        <v>#VALUE!</v>
      </c>
      <c r="EE210" t="e">
        <f>AND(DATA!I1640,"AAAAAHN/7YY=")</f>
        <v>#VALUE!</v>
      </c>
      <c r="EF210" t="e">
        <f>AND(DATA!J1640,"AAAAAHN/7Yc=")</f>
        <v>#VALUE!</v>
      </c>
      <c r="EG210" t="e">
        <f>AND(DATA!K1640,"AAAAAHN/7Yg=")</f>
        <v>#VALUE!</v>
      </c>
      <c r="EH210" t="b">
        <f>AND(DATA!L1641,"AAAAAHN/7Yk=")</f>
        <v>1</v>
      </c>
      <c r="EI210" t="b">
        <f>AND(DATA!M1641,"AAAAAHN/7Yo=")</f>
        <v>1</v>
      </c>
      <c r="EJ210" t="b">
        <f>AND(DATA!N1641,"AAAAAHN/7Ys=")</f>
        <v>1</v>
      </c>
      <c r="EK210" t="b">
        <f>AND(DATA!O1641,"AAAAAHN/7Yw=")</f>
        <v>1</v>
      </c>
      <c r="EL210" t="b">
        <f>AND(DATA!P1641,"AAAAAHN/7Y0=")</f>
        <v>1</v>
      </c>
      <c r="EM210" t="b">
        <f>AND(DATA!Q1641,"AAAAAHN/7Y4=")</f>
        <v>1</v>
      </c>
      <c r="EN210" t="b">
        <f>AND(DATA!R1641,"AAAAAHN/7Y8=")</f>
        <v>1</v>
      </c>
      <c r="EO210" t="b">
        <f>AND(DATA!S1641,"AAAAAHN/7ZA=")</f>
        <v>1</v>
      </c>
      <c r="EP210" t="b">
        <f>AND(DATA!T1641,"AAAAAHN/7ZE=")</f>
        <v>1</v>
      </c>
      <c r="EQ210">
        <f>IF(DATA!1641:1641,"AAAAAHN/7ZI=",0)</f>
        <v>0</v>
      </c>
      <c r="ER210" t="e">
        <f>AND(DATA!A1641,"AAAAAHN/7ZM=")</f>
        <v>#VALUE!</v>
      </c>
      <c r="ES210" t="e">
        <f>AND(DATA!B1641,"AAAAAHN/7ZQ=")</f>
        <v>#VALUE!</v>
      </c>
      <c r="ET210" t="e">
        <f>AND(DATA!C1641,"AAAAAHN/7ZU=")</f>
        <v>#VALUE!</v>
      </c>
      <c r="EU210" t="e">
        <f>AND(DATA!D1641,"AAAAAHN/7ZY=")</f>
        <v>#VALUE!</v>
      </c>
      <c r="EV210" t="e">
        <f>AND(DATA!E1641,"AAAAAHN/7Zc=")</f>
        <v>#VALUE!</v>
      </c>
      <c r="EW210" t="e">
        <f>AND(DATA!F1641,"AAAAAHN/7Zg=")</f>
        <v>#VALUE!</v>
      </c>
      <c r="EX210" t="e">
        <f>AND(DATA!G1641,"AAAAAHN/7Zk=")</f>
        <v>#VALUE!</v>
      </c>
      <c r="EY210" t="e">
        <f>AND(DATA!H1641,"AAAAAHN/7Zo=")</f>
        <v>#VALUE!</v>
      </c>
      <c r="EZ210" t="e">
        <f>AND(DATA!I1641,"AAAAAHN/7Zs=")</f>
        <v>#VALUE!</v>
      </c>
      <c r="FA210" t="e">
        <f>AND(DATA!J1641,"AAAAAHN/7Zw=")</f>
        <v>#VALUE!</v>
      </c>
      <c r="FB210" t="e">
        <f>AND(DATA!K1641,"AAAAAHN/7Z0=")</f>
        <v>#VALUE!</v>
      </c>
      <c r="FC210" t="b">
        <f>AND(DATA!L1642,"AAAAAHN/7Z4=")</f>
        <v>1</v>
      </c>
      <c r="FD210" t="b">
        <f>AND(DATA!M1642,"AAAAAHN/7Z8=")</f>
        <v>1</v>
      </c>
      <c r="FE210" t="b">
        <f>AND(DATA!N1642,"AAAAAHN/7aA=")</f>
        <v>1</v>
      </c>
      <c r="FF210" t="b">
        <f>AND(DATA!O1642,"AAAAAHN/7aE=")</f>
        <v>1</v>
      </c>
      <c r="FG210" t="b">
        <f>AND(DATA!P1642,"AAAAAHN/7aI=")</f>
        <v>1</v>
      </c>
      <c r="FH210" t="b">
        <f>AND(DATA!Q1642,"AAAAAHN/7aM=")</f>
        <v>1</v>
      </c>
      <c r="FI210" t="b">
        <f>AND(DATA!R1642,"AAAAAHN/7aQ=")</f>
        <v>1</v>
      </c>
      <c r="FJ210" t="b">
        <f>AND(DATA!S1642,"AAAAAHN/7aU=")</f>
        <v>1</v>
      </c>
      <c r="FK210" t="b">
        <f>AND(DATA!T1642,"AAAAAHN/7aY=")</f>
        <v>1</v>
      </c>
      <c r="FL210">
        <f>IF(DATA!1642:1642,"AAAAAHN/7ac=",0)</f>
        <v>0</v>
      </c>
      <c r="FM210" t="e">
        <f>AND(DATA!A1642,"AAAAAHN/7ag=")</f>
        <v>#VALUE!</v>
      </c>
      <c r="FN210" t="e">
        <f>AND(DATA!B1642,"AAAAAHN/7ak=")</f>
        <v>#VALUE!</v>
      </c>
      <c r="FO210" t="e">
        <f>AND(DATA!C1642,"AAAAAHN/7ao=")</f>
        <v>#VALUE!</v>
      </c>
      <c r="FP210" t="e">
        <f>AND(DATA!D1642,"AAAAAHN/7as=")</f>
        <v>#VALUE!</v>
      </c>
      <c r="FQ210" t="e">
        <f>AND(DATA!E1642,"AAAAAHN/7aw=")</f>
        <v>#VALUE!</v>
      </c>
      <c r="FR210" t="e">
        <f>AND(DATA!F1642,"AAAAAHN/7a0=")</f>
        <v>#VALUE!</v>
      </c>
      <c r="FS210" t="e">
        <f>AND(DATA!G1642,"AAAAAHN/7a4=")</f>
        <v>#VALUE!</v>
      </c>
      <c r="FT210" t="e">
        <f>AND(DATA!H1642,"AAAAAHN/7a8=")</f>
        <v>#VALUE!</v>
      </c>
      <c r="FU210" t="e">
        <f>AND(DATA!I1642,"AAAAAHN/7bA=")</f>
        <v>#VALUE!</v>
      </c>
      <c r="FV210" t="e">
        <f>AND(DATA!J1642,"AAAAAHN/7bE=")</f>
        <v>#VALUE!</v>
      </c>
      <c r="FW210" t="e">
        <f>AND(DATA!K1642,"AAAAAHN/7bI=")</f>
        <v>#VALUE!</v>
      </c>
      <c r="FX210" t="b">
        <f>AND(DATA!L1643,"AAAAAHN/7bM=")</f>
        <v>1</v>
      </c>
      <c r="FY210" t="b">
        <f>AND(DATA!M1643,"AAAAAHN/7bQ=")</f>
        <v>1</v>
      </c>
      <c r="FZ210" t="b">
        <f>AND(DATA!N1643,"AAAAAHN/7bU=")</f>
        <v>1</v>
      </c>
      <c r="GA210" t="b">
        <f>AND(DATA!O1643,"AAAAAHN/7bY=")</f>
        <v>1</v>
      </c>
      <c r="GB210" t="b">
        <f>AND(DATA!P1643,"AAAAAHN/7bc=")</f>
        <v>1</v>
      </c>
      <c r="GC210" t="b">
        <f>AND(DATA!Q1643,"AAAAAHN/7bg=")</f>
        <v>1</v>
      </c>
      <c r="GD210" t="b">
        <f>AND(DATA!R1643,"AAAAAHN/7bk=")</f>
        <v>1</v>
      </c>
      <c r="GE210" t="b">
        <f>AND(DATA!S1643,"AAAAAHN/7bo=")</f>
        <v>1</v>
      </c>
      <c r="GF210" t="b">
        <f>AND(DATA!T1643,"AAAAAHN/7bs=")</f>
        <v>1</v>
      </c>
      <c r="GG210">
        <f>IF(DATA!1643:1643,"AAAAAHN/7bw=",0)</f>
        <v>0</v>
      </c>
      <c r="GH210" t="e">
        <f>AND(DATA!A1643,"AAAAAHN/7b0=")</f>
        <v>#VALUE!</v>
      </c>
      <c r="GI210" t="e">
        <f>AND(DATA!B1643,"AAAAAHN/7b4=")</f>
        <v>#VALUE!</v>
      </c>
      <c r="GJ210" t="e">
        <f>AND(DATA!C1643,"AAAAAHN/7b8=")</f>
        <v>#VALUE!</v>
      </c>
      <c r="GK210" t="e">
        <f>AND(DATA!D1643,"AAAAAHN/7cA=")</f>
        <v>#VALUE!</v>
      </c>
      <c r="GL210" t="e">
        <f>AND(DATA!E1643,"AAAAAHN/7cE=")</f>
        <v>#VALUE!</v>
      </c>
      <c r="GM210" t="e">
        <f>AND(DATA!F1643,"AAAAAHN/7cI=")</f>
        <v>#VALUE!</v>
      </c>
      <c r="GN210" t="e">
        <f>AND(DATA!G1643,"AAAAAHN/7cM=")</f>
        <v>#VALUE!</v>
      </c>
      <c r="GO210" t="e">
        <f>AND(DATA!H1643,"AAAAAHN/7cQ=")</f>
        <v>#VALUE!</v>
      </c>
      <c r="GP210" t="e">
        <f>AND(DATA!I1643,"AAAAAHN/7cU=")</f>
        <v>#VALUE!</v>
      </c>
      <c r="GQ210" t="e">
        <f>AND(DATA!J1643,"AAAAAHN/7cY=")</f>
        <v>#VALUE!</v>
      </c>
      <c r="GR210" t="e">
        <f>AND(DATA!K1643,"AAAAAHN/7cc=")</f>
        <v>#VALUE!</v>
      </c>
      <c r="GS210" t="b">
        <f>AND(DATA!L1644,"AAAAAHN/7cg=")</f>
        <v>1</v>
      </c>
      <c r="GT210" t="b">
        <f>AND(DATA!M1644,"AAAAAHN/7ck=")</f>
        <v>1</v>
      </c>
      <c r="GU210" t="b">
        <f>AND(DATA!N1644,"AAAAAHN/7co=")</f>
        <v>1</v>
      </c>
      <c r="GV210" t="b">
        <f>AND(DATA!O1644,"AAAAAHN/7cs=")</f>
        <v>1</v>
      </c>
      <c r="GW210" t="b">
        <f>AND(DATA!P1644,"AAAAAHN/7cw=")</f>
        <v>1</v>
      </c>
      <c r="GX210" t="b">
        <f>AND(DATA!Q1644,"AAAAAHN/7c0=")</f>
        <v>1</v>
      </c>
      <c r="GY210" t="b">
        <f>AND(DATA!R1644,"AAAAAHN/7c4=")</f>
        <v>1</v>
      </c>
      <c r="GZ210" t="b">
        <f>AND(DATA!S1644,"AAAAAHN/7c8=")</f>
        <v>1</v>
      </c>
      <c r="HA210" t="b">
        <f>AND(DATA!T1644,"AAAAAHN/7dA=")</f>
        <v>1</v>
      </c>
      <c r="HB210">
        <f>IF(DATA!1644:1644,"AAAAAHN/7dE=",0)</f>
        <v>0</v>
      </c>
      <c r="HC210" t="e">
        <f>AND(DATA!A1644,"AAAAAHN/7dI=")</f>
        <v>#VALUE!</v>
      </c>
      <c r="HD210" t="e">
        <f>AND(DATA!B1644,"AAAAAHN/7dM=")</f>
        <v>#VALUE!</v>
      </c>
      <c r="HE210" t="e">
        <f>AND(DATA!C1644,"AAAAAHN/7dQ=")</f>
        <v>#VALUE!</v>
      </c>
      <c r="HF210" t="e">
        <f>AND(DATA!D1644,"AAAAAHN/7dU=")</f>
        <v>#VALUE!</v>
      </c>
      <c r="HG210" t="e">
        <f>AND(DATA!E1644,"AAAAAHN/7dY=")</f>
        <v>#VALUE!</v>
      </c>
      <c r="HH210" t="e">
        <f>AND(DATA!F1644,"AAAAAHN/7dc=")</f>
        <v>#VALUE!</v>
      </c>
      <c r="HI210" t="e">
        <f>AND(DATA!G1644,"AAAAAHN/7dg=")</f>
        <v>#VALUE!</v>
      </c>
      <c r="HJ210" t="e">
        <f>AND(DATA!H1644,"AAAAAHN/7dk=")</f>
        <v>#VALUE!</v>
      </c>
      <c r="HK210" t="e">
        <f>AND(DATA!I1644,"AAAAAHN/7do=")</f>
        <v>#VALUE!</v>
      </c>
      <c r="HL210" t="e">
        <f>AND(DATA!J1644,"AAAAAHN/7ds=")</f>
        <v>#VALUE!</v>
      </c>
      <c r="HM210" t="e">
        <f>AND(DATA!K1644,"AAAAAHN/7dw=")</f>
        <v>#VALUE!</v>
      </c>
      <c r="HN210" t="b">
        <f>AND(DATA!L1645,"AAAAAHN/7d0=")</f>
        <v>1</v>
      </c>
      <c r="HO210" t="b">
        <f>AND(DATA!M1645,"AAAAAHN/7d4=")</f>
        <v>1</v>
      </c>
      <c r="HP210" t="b">
        <f>AND(DATA!N1645,"AAAAAHN/7d8=")</f>
        <v>1</v>
      </c>
      <c r="HQ210" t="b">
        <f>AND(DATA!O1645,"AAAAAHN/7eA=")</f>
        <v>1</v>
      </c>
      <c r="HR210" t="b">
        <f>AND(DATA!P1645,"AAAAAHN/7eE=")</f>
        <v>1</v>
      </c>
      <c r="HS210" t="b">
        <f>AND(DATA!Q1645,"AAAAAHN/7eI=")</f>
        <v>1</v>
      </c>
      <c r="HT210" t="b">
        <f>AND(DATA!R1645,"AAAAAHN/7eM=")</f>
        <v>1</v>
      </c>
      <c r="HU210" t="b">
        <f>AND(DATA!S1645,"AAAAAHN/7eQ=")</f>
        <v>1</v>
      </c>
      <c r="HV210" t="b">
        <f>AND(DATA!T1645,"AAAAAHN/7eU=")</f>
        <v>1</v>
      </c>
      <c r="HW210">
        <f>IF(DATA!1645:1645,"AAAAAHN/7eY=",0)</f>
        <v>0</v>
      </c>
      <c r="HX210" t="e">
        <f>AND(DATA!A1645,"AAAAAHN/7ec=")</f>
        <v>#VALUE!</v>
      </c>
      <c r="HY210" t="e">
        <f>AND(DATA!B1645,"AAAAAHN/7eg=")</f>
        <v>#VALUE!</v>
      </c>
      <c r="HZ210" t="e">
        <f>AND(DATA!C1645,"AAAAAHN/7ek=")</f>
        <v>#VALUE!</v>
      </c>
      <c r="IA210" t="e">
        <f>AND(DATA!D1645,"AAAAAHN/7eo=")</f>
        <v>#VALUE!</v>
      </c>
      <c r="IB210" t="e">
        <f>AND(DATA!E1645,"AAAAAHN/7es=")</f>
        <v>#VALUE!</v>
      </c>
      <c r="IC210" t="e">
        <f>AND(DATA!F1645,"AAAAAHN/7ew=")</f>
        <v>#VALUE!</v>
      </c>
      <c r="ID210" t="e">
        <f>AND(DATA!G1645,"AAAAAHN/7e0=")</f>
        <v>#VALUE!</v>
      </c>
      <c r="IE210" t="e">
        <f>AND(DATA!H1645,"AAAAAHN/7e4=")</f>
        <v>#VALUE!</v>
      </c>
      <c r="IF210" t="e">
        <f>AND(DATA!I1645,"AAAAAHN/7e8=")</f>
        <v>#VALUE!</v>
      </c>
      <c r="IG210" t="e">
        <f>AND(DATA!J1645,"AAAAAHN/7fA=")</f>
        <v>#VALUE!</v>
      </c>
      <c r="IH210" t="e">
        <f>AND(DATA!K1645,"AAAAAHN/7fE=")</f>
        <v>#VALUE!</v>
      </c>
      <c r="II210" t="b">
        <f>AND(DATA!L1646,"AAAAAHN/7fI=")</f>
        <v>1</v>
      </c>
      <c r="IJ210" t="b">
        <f>AND(DATA!M1646,"AAAAAHN/7fM=")</f>
        <v>1</v>
      </c>
      <c r="IK210" t="b">
        <f>AND(DATA!N1646,"AAAAAHN/7fQ=")</f>
        <v>1</v>
      </c>
      <c r="IL210" t="b">
        <f>AND(DATA!O1646,"AAAAAHN/7fU=")</f>
        <v>1</v>
      </c>
      <c r="IM210" t="b">
        <f>AND(DATA!P1646,"AAAAAHN/7fY=")</f>
        <v>1</v>
      </c>
      <c r="IN210" t="b">
        <f>AND(DATA!Q1646,"AAAAAHN/7fc=")</f>
        <v>1</v>
      </c>
      <c r="IO210" t="b">
        <f>AND(DATA!R1646,"AAAAAHN/7fg=")</f>
        <v>1</v>
      </c>
      <c r="IP210" t="b">
        <f>AND(DATA!S1646,"AAAAAHN/7fk=")</f>
        <v>1</v>
      </c>
      <c r="IQ210" t="b">
        <f>AND(DATA!T1646,"AAAAAHN/7fo=")</f>
        <v>1</v>
      </c>
      <c r="IR210">
        <f>IF(DATA!1646:1646,"AAAAAHN/7fs=",0)</f>
        <v>0</v>
      </c>
      <c r="IS210" t="e">
        <f>AND(DATA!A1646,"AAAAAHN/7fw=")</f>
        <v>#VALUE!</v>
      </c>
      <c r="IT210" t="e">
        <f>AND(DATA!B1646,"AAAAAHN/7f0=")</f>
        <v>#VALUE!</v>
      </c>
      <c r="IU210" t="e">
        <f>AND(DATA!C1646,"AAAAAHN/7f4=")</f>
        <v>#VALUE!</v>
      </c>
      <c r="IV210" t="e">
        <f>AND(DATA!D1646,"AAAAAHN/7f8=")</f>
        <v>#VALUE!</v>
      </c>
    </row>
    <row r="211" spans="1:256" x14ac:dyDescent="0.25">
      <c r="A211" t="e">
        <f>AND(DATA!E1646,"AAAAAHt1rwA=")</f>
        <v>#VALUE!</v>
      </c>
      <c r="B211" t="e">
        <f>AND(DATA!F1646,"AAAAAHt1rwE=")</f>
        <v>#VALUE!</v>
      </c>
      <c r="C211" t="e">
        <f>AND(DATA!G1646,"AAAAAHt1rwI=")</f>
        <v>#VALUE!</v>
      </c>
      <c r="D211" t="e">
        <f>AND(DATA!H1646,"AAAAAHt1rwM=")</f>
        <v>#VALUE!</v>
      </c>
      <c r="E211" t="e">
        <f>AND(DATA!I1646,"AAAAAHt1rwQ=")</f>
        <v>#VALUE!</v>
      </c>
      <c r="F211" t="e">
        <f>AND(DATA!J1646,"AAAAAHt1rwU=")</f>
        <v>#VALUE!</v>
      </c>
      <c r="G211" t="e">
        <f>AND(DATA!K1646,"AAAAAHt1rwY=")</f>
        <v>#VALUE!</v>
      </c>
      <c r="H211" t="b">
        <f>AND(DATA!L1647,"AAAAAHt1rwc=")</f>
        <v>1</v>
      </c>
      <c r="I211" t="b">
        <f>AND(DATA!M1647,"AAAAAHt1rwg=")</f>
        <v>1</v>
      </c>
      <c r="J211" t="b">
        <f>AND(DATA!N1647,"AAAAAHt1rwk=")</f>
        <v>1</v>
      </c>
      <c r="K211" t="b">
        <f>AND(DATA!O1647,"AAAAAHt1rwo=")</f>
        <v>1</v>
      </c>
      <c r="L211" t="b">
        <f>AND(DATA!P1647,"AAAAAHt1rws=")</f>
        <v>1</v>
      </c>
      <c r="M211" t="b">
        <f>AND(DATA!Q1647,"AAAAAHt1rww=")</f>
        <v>1</v>
      </c>
      <c r="N211" t="b">
        <f>AND(DATA!R1647,"AAAAAHt1rw0=")</f>
        <v>1</v>
      </c>
      <c r="O211" t="b">
        <f>AND(DATA!S1647,"AAAAAHt1rw4=")</f>
        <v>1</v>
      </c>
      <c r="P211" t="b">
        <f>AND(DATA!T1647,"AAAAAHt1rw8=")</f>
        <v>1</v>
      </c>
      <c r="Q211" t="str">
        <f>IF(DATA!1647:1647,"AAAAAHt1rxA=",0)</f>
        <v>AAAAAHt1rxA=</v>
      </c>
      <c r="R211" t="e">
        <f>AND(DATA!A1647,"AAAAAHt1rxE=")</f>
        <v>#VALUE!</v>
      </c>
      <c r="S211" t="e">
        <f>AND(DATA!B1647,"AAAAAHt1rxI=")</f>
        <v>#VALUE!</v>
      </c>
      <c r="T211" t="e">
        <f>AND(DATA!C1647,"AAAAAHt1rxM=")</f>
        <v>#VALUE!</v>
      </c>
      <c r="U211" t="e">
        <f>AND(DATA!D1647,"AAAAAHt1rxQ=")</f>
        <v>#VALUE!</v>
      </c>
      <c r="V211" t="e">
        <f>AND(DATA!E1647,"AAAAAHt1rxU=")</f>
        <v>#VALUE!</v>
      </c>
      <c r="W211" t="e">
        <f>AND(DATA!F1647,"AAAAAHt1rxY=")</f>
        <v>#VALUE!</v>
      </c>
      <c r="X211" t="e">
        <f>AND(DATA!G1647,"AAAAAHt1rxc=")</f>
        <v>#VALUE!</v>
      </c>
      <c r="Y211" t="e">
        <f>AND(DATA!H1647,"AAAAAHt1rxg=")</f>
        <v>#VALUE!</v>
      </c>
      <c r="Z211" t="e">
        <f>AND(DATA!I1647,"AAAAAHt1rxk=")</f>
        <v>#VALUE!</v>
      </c>
      <c r="AA211" t="e">
        <f>AND(DATA!J1647,"AAAAAHt1rxo=")</f>
        <v>#VALUE!</v>
      </c>
      <c r="AB211" t="e">
        <f>AND(DATA!K1647,"AAAAAHt1rxs=")</f>
        <v>#VALUE!</v>
      </c>
      <c r="AC211" t="b">
        <f>AND(DATA!L1648,"AAAAAHt1rxw=")</f>
        <v>1</v>
      </c>
      <c r="AD211" t="b">
        <f>AND(DATA!M1648,"AAAAAHt1rx0=")</f>
        <v>1</v>
      </c>
      <c r="AE211" t="b">
        <f>AND(DATA!N1648,"AAAAAHt1rx4=")</f>
        <v>1</v>
      </c>
      <c r="AF211" t="b">
        <f>AND(DATA!O1648,"AAAAAHt1rx8=")</f>
        <v>1</v>
      </c>
      <c r="AG211" t="b">
        <f>AND(DATA!P1648,"AAAAAHt1ryA=")</f>
        <v>1</v>
      </c>
      <c r="AH211" t="b">
        <f>AND(DATA!Q1648,"AAAAAHt1ryE=")</f>
        <v>1</v>
      </c>
      <c r="AI211" t="b">
        <f>AND(DATA!R1648,"AAAAAHt1ryI=")</f>
        <v>1</v>
      </c>
      <c r="AJ211" t="b">
        <f>AND(DATA!S1648,"AAAAAHt1ryM=")</f>
        <v>1</v>
      </c>
      <c r="AK211" t="b">
        <f>AND(DATA!T1648,"AAAAAHt1ryQ=")</f>
        <v>1</v>
      </c>
      <c r="AL211">
        <f>IF(DATA!1648:1648,"AAAAAHt1ryU=",0)</f>
        <v>0</v>
      </c>
      <c r="AM211" t="e">
        <f>AND(DATA!A1648,"AAAAAHt1ryY=")</f>
        <v>#VALUE!</v>
      </c>
      <c r="AN211" t="e">
        <f>AND(DATA!B1648,"AAAAAHt1ryc=")</f>
        <v>#VALUE!</v>
      </c>
      <c r="AO211" t="e">
        <f>AND(DATA!C1648,"AAAAAHt1ryg=")</f>
        <v>#VALUE!</v>
      </c>
      <c r="AP211" t="e">
        <f>AND(DATA!D1648,"AAAAAHt1ryk=")</f>
        <v>#VALUE!</v>
      </c>
      <c r="AQ211" t="e">
        <f>AND(DATA!E1648,"AAAAAHt1ryo=")</f>
        <v>#VALUE!</v>
      </c>
      <c r="AR211" t="e">
        <f>AND(DATA!F1648,"AAAAAHt1rys=")</f>
        <v>#VALUE!</v>
      </c>
      <c r="AS211" t="e">
        <f>AND(DATA!G1648,"AAAAAHt1ryw=")</f>
        <v>#VALUE!</v>
      </c>
      <c r="AT211" t="e">
        <f>AND(DATA!H1648,"AAAAAHt1ry0=")</f>
        <v>#VALUE!</v>
      </c>
      <c r="AU211" t="e">
        <f>AND(DATA!I1648,"AAAAAHt1ry4=")</f>
        <v>#VALUE!</v>
      </c>
      <c r="AV211" t="e">
        <f>AND(DATA!J1648,"AAAAAHt1ry8=")</f>
        <v>#VALUE!</v>
      </c>
      <c r="AW211" t="e">
        <f>AND(DATA!K1648,"AAAAAHt1rzA=")</f>
        <v>#VALUE!</v>
      </c>
      <c r="AX211" t="b">
        <f>AND(DATA!L1649,"AAAAAHt1rzE=")</f>
        <v>1</v>
      </c>
      <c r="AY211" t="b">
        <f>AND(DATA!M1649,"AAAAAHt1rzI=")</f>
        <v>1</v>
      </c>
      <c r="AZ211" t="b">
        <f>AND(DATA!N1649,"AAAAAHt1rzM=")</f>
        <v>1</v>
      </c>
      <c r="BA211" t="b">
        <f>AND(DATA!O1649,"AAAAAHt1rzQ=")</f>
        <v>1</v>
      </c>
      <c r="BB211" t="b">
        <f>AND(DATA!P1649,"AAAAAHt1rzU=")</f>
        <v>1</v>
      </c>
      <c r="BC211" t="b">
        <f>AND(DATA!Q1649,"AAAAAHt1rzY=")</f>
        <v>1</v>
      </c>
      <c r="BD211" t="b">
        <f>AND(DATA!R1649,"AAAAAHt1rzc=")</f>
        <v>1</v>
      </c>
      <c r="BE211" t="b">
        <f>AND(DATA!S1649,"AAAAAHt1rzg=")</f>
        <v>1</v>
      </c>
      <c r="BF211" t="b">
        <f>AND(DATA!T1649,"AAAAAHt1rzk=")</f>
        <v>1</v>
      </c>
      <c r="BG211">
        <f>IF(DATA!1649:1649,"AAAAAHt1rzo=",0)</f>
        <v>0</v>
      </c>
      <c r="BH211" t="e">
        <f>AND(DATA!A1649,"AAAAAHt1rzs=")</f>
        <v>#VALUE!</v>
      </c>
      <c r="BI211" t="e">
        <f>AND(DATA!B1649,"AAAAAHt1rzw=")</f>
        <v>#VALUE!</v>
      </c>
      <c r="BJ211" t="e">
        <f>AND(DATA!C1649,"AAAAAHt1rz0=")</f>
        <v>#VALUE!</v>
      </c>
      <c r="BK211" t="e">
        <f>AND(DATA!D1649,"AAAAAHt1rz4=")</f>
        <v>#VALUE!</v>
      </c>
      <c r="BL211" t="e">
        <f>AND(DATA!E1649,"AAAAAHt1rz8=")</f>
        <v>#VALUE!</v>
      </c>
      <c r="BM211" t="e">
        <f>AND(DATA!F1649,"AAAAAHt1r0A=")</f>
        <v>#VALUE!</v>
      </c>
      <c r="BN211" t="e">
        <f>AND(DATA!G1649,"AAAAAHt1r0E=")</f>
        <v>#VALUE!</v>
      </c>
      <c r="BO211" t="e">
        <f>AND(DATA!H1649,"AAAAAHt1r0I=")</f>
        <v>#VALUE!</v>
      </c>
      <c r="BP211" t="e">
        <f>AND(DATA!I1649,"AAAAAHt1r0M=")</f>
        <v>#VALUE!</v>
      </c>
      <c r="BQ211" t="e">
        <f>AND(DATA!J1649,"AAAAAHt1r0Q=")</f>
        <v>#VALUE!</v>
      </c>
      <c r="BR211" t="e">
        <f>AND(DATA!K1649,"AAAAAHt1r0U=")</f>
        <v>#VALUE!</v>
      </c>
      <c r="BS211" t="b">
        <f>AND(DATA!L1650,"AAAAAHt1r0Y=")</f>
        <v>1</v>
      </c>
      <c r="BT211" t="b">
        <f>AND(DATA!M1650,"AAAAAHt1r0c=")</f>
        <v>1</v>
      </c>
      <c r="BU211" t="b">
        <f>AND(DATA!N1650,"AAAAAHt1r0g=")</f>
        <v>1</v>
      </c>
      <c r="BV211" t="b">
        <f>AND(DATA!O1650,"AAAAAHt1r0k=")</f>
        <v>1</v>
      </c>
      <c r="BW211" t="b">
        <f>AND(DATA!P1650,"AAAAAHt1r0o=")</f>
        <v>1</v>
      </c>
      <c r="BX211" t="b">
        <f>AND(DATA!Q1650,"AAAAAHt1r0s=")</f>
        <v>1</v>
      </c>
      <c r="BY211" t="b">
        <f>AND(DATA!R1650,"AAAAAHt1r0w=")</f>
        <v>1</v>
      </c>
      <c r="BZ211" t="b">
        <f>AND(DATA!S1650,"AAAAAHt1r00=")</f>
        <v>1</v>
      </c>
      <c r="CA211" t="b">
        <f>AND(DATA!T1650,"AAAAAHt1r04=")</f>
        <v>1</v>
      </c>
      <c r="CB211">
        <f>IF(DATA!1650:1650,"AAAAAHt1r08=",0)</f>
        <v>0</v>
      </c>
      <c r="CC211" t="e">
        <f>AND(DATA!A1650,"AAAAAHt1r1A=")</f>
        <v>#VALUE!</v>
      </c>
      <c r="CD211" t="e">
        <f>AND(DATA!B1650,"AAAAAHt1r1E=")</f>
        <v>#VALUE!</v>
      </c>
      <c r="CE211" t="e">
        <f>AND(DATA!C1650,"AAAAAHt1r1I=")</f>
        <v>#VALUE!</v>
      </c>
      <c r="CF211" t="e">
        <f>AND(DATA!D1650,"AAAAAHt1r1M=")</f>
        <v>#VALUE!</v>
      </c>
      <c r="CG211" t="e">
        <f>AND(DATA!E1650,"AAAAAHt1r1Q=")</f>
        <v>#VALUE!</v>
      </c>
      <c r="CH211" t="e">
        <f>AND(DATA!F1650,"AAAAAHt1r1U=")</f>
        <v>#VALUE!</v>
      </c>
      <c r="CI211" t="e">
        <f>AND(DATA!G1650,"AAAAAHt1r1Y=")</f>
        <v>#VALUE!</v>
      </c>
      <c r="CJ211" t="e">
        <f>AND(DATA!H1650,"AAAAAHt1r1c=")</f>
        <v>#VALUE!</v>
      </c>
      <c r="CK211" t="e">
        <f>AND(DATA!I1650,"AAAAAHt1r1g=")</f>
        <v>#VALUE!</v>
      </c>
      <c r="CL211" t="e">
        <f>AND(DATA!J1650,"AAAAAHt1r1k=")</f>
        <v>#VALUE!</v>
      </c>
      <c r="CM211" t="e">
        <f>AND(DATA!K1650,"AAAAAHt1r1o=")</f>
        <v>#VALUE!</v>
      </c>
      <c r="CN211" t="b">
        <f>AND(DATA!L1651,"AAAAAHt1r1s=")</f>
        <v>1</v>
      </c>
      <c r="CO211" t="b">
        <f>AND(DATA!M1651,"AAAAAHt1r1w=")</f>
        <v>1</v>
      </c>
      <c r="CP211" t="b">
        <f>AND(DATA!N1651,"AAAAAHt1r10=")</f>
        <v>1</v>
      </c>
      <c r="CQ211" t="b">
        <f>AND(DATA!O1651,"AAAAAHt1r14=")</f>
        <v>1</v>
      </c>
      <c r="CR211" t="b">
        <f>AND(DATA!P1651,"AAAAAHt1r18=")</f>
        <v>1</v>
      </c>
      <c r="CS211" t="b">
        <f>AND(DATA!Q1651,"AAAAAHt1r2A=")</f>
        <v>1</v>
      </c>
      <c r="CT211" t="b">
        <f>AND(DATA!R1651,"AAAAAHt1r2E=")</f>
        <v>1</v>
      </c>
      <c r="CU211" t="b">
        <f>AND(DATA!S1651,"AAAAAHt1r2I=")</f>
        <v>1</v>
      </c>
      <c r="CV211" t="b">
        <f>AND(DATA!T1651,"AAAAAHt1r2M=")</f>
        <v>1</v>
      </c>
      <c r="CW211">
        <f>IF(DATA!1651:1651,"AAAAAHt1r2Q=",0)</f>
        <v>0</v>
      </c>
      <c r="CX211" t="e">
        <f>AND(DATA!A1651,"AAAAAHt1r2U=")</f>
        <v>#VALUE!</v>
      </c>
      <c r="CY211" t="e">
        <f>AND(DATA!B1651,"AAAAAHt1r2Y=")</f>
        <v>#VALUE!</v>
      </c>
      <c r="CZ211" t="e">
        <f>AND(DATA!C1651,"AAAAAHt1r2c=")</f>
        <v>#VALUE!</v>
      </c>
      <c r="DA211" t="e">
        <f>AND(DATA!D1651,"AAAAAHt1r2g=")</f>
        <v>#VALUE!</v>
      </c>
      <c r="DB211" t="e">
        <f>AND(DATA!E1651,"AAAAAHt1r2k=")</f>
        <v>#VALUE!</v>
      </c>
      <c r="DC211" t="e">
        <f>AND(DATA!F1651,"AAAAAHt1r2o=")</f>
        <v>#VALUE!</v>
      </c>
      <c r="DD211" t="e">
        <f>AND(DATA!G1651,"AAAAAHt1r2s=")</f>
        <v>#VALUE!</v>
      </c>
      <c r="DE211" t="e">
        <f>AND(DATA!H1651,"AAAAAHt1r2w=")</f>
        <v>#VALUE!</v>
      </c>
      <c r="DF211" t="e">
        <f>AND(DATA!I1651,"AAAAAHt1r20=")</f>
        <v>#VALUE!</v>
      </c>
      <c r="DG211" t="e">
        <f>AND(DATA!J1651,"AAAAAHt1r24=")</f>
        <v>#VALUE!</v>
      </c>
      <c r="DH211" t="e">
        <f>AND(DATA!K1651,"AAAAAHt1r28=")</f>
        <v>#VALUE!</v>
      </c>
      <c r="DI211" t="b">
        <f>AND(DATA!L1652,"AAAAAHt1r3A=")</f>
        <v>1</v>
      </c>
      <c r="DJ211" t="b">
        <f>AND(DATA!M1652,"AAAAAHt1r3E=")</f>
        <v>1</v>
      </c>
      <c r="DK211" t="b">
        <f>AND(DATA!N1652,"AAAAAHt1r3I=")</f>
        <v>1</v>
      </c>
      <c r="DL211" t="b">
        <f>AND(DATA!O1652,"AAAAAHt1r3M=")</f>
        <v>1</v>
      </c>
      <c r="DM211" t="b">
        <f>AND(DATA!P1652,"AAAAAHt1r3Q=")</f>
        <v>1</v>
      </c>
      <c r="DN211" t="b">
        <f>AND(DATA!Q1652,"AAAAAHt1r3U=")</f>
        <v>1</v>
      </c>
      <c r="DO211" t="b">
        <f>AND(DATA!R1652,"AAAAAHt1r3Y=")</f>
        <v>1</v>
      </c>
      <c r="DP211" t="b">
        <f>AND(DATA!S1652,"AAAAAHt1r3c=")</f>
        <v>1</v>
      </c>
      <c r="DQ211" t="b">
        <f>AND(DATA!T1652,"AAAAAHt1r3g=")</f>
        <v>1</v>
      </c>
      <c r="DR211">
        <f>IF(DATA!1652:1652,"AAAAAHt1r3k=",0)</f>
        <v>0</v>
      </c>
      <c r="DS211" t="e">
        <f>AND(DATA!A1652,"AAAAAHt1r3o=")</f>
        <v>#VALUE!</v>
      </c>
      <c r="DT211" t="e">
        <f>AND(DATA!B1652,"AAAAAHt1r3s=")</f>
        <v>#VALUE!</v>
      </c>
      <c r="DU211" t="e">
        <f>AND(DATA!C1652,"AAAAAHt1r3w=")</f>
        <v>#VALUE!</v>
      </c>
      <c r="DV211" t="e">
        <f>AND(DATA!D1652,"AAAAAHt1r30=")</f>
        <v>#VALUE!</v>
      </c>
      <c r="DW211" t="e">
        <f>AND(DATA!E1652,"AAAAAHt1r34=")</f>
        <v>#VALUE!</v>
      </c>
      <c r="DX211" t="e">
        <f>AND(DATA!F1652,"AAAAAHt1r38=")</f>
        <v>#VALUE!</v>
      </c>
      <c r="DY211" t="e">
        <f>AND(DATA!G1652,"AAAAAHt1r4A=")</f>
        <v>#VALUE!</v>
      </c>
      <c r="DZ211" t="e">
        <f>AND(DATA!H1652,"AAAAAHt1r4E=")</f>
        <v>#VALUE!</v>
      </c>
      <c r="EA211" t="e">
        <f>AND(DATA!I1652,"AAAAAHt1r4I=")</f>
        <v>#VALUE!</v>
      </c>
      <c r="EB211" t="e">
        <f>AND(DATA!J1652,"AAAAAHt1r4M=")</f>
        <v>#VALUE!</v>
      </c>
      <c r="EC211" t="e">
        <f>AND(DATA!K1652,"AAAAAHt1r4Q=")</f>
        <v>#VALUE!</v>
      </c>
      <c r="ED211" t="b">
        <f>AND(DATA!L1653,"AAAAAHt1r4U=")</f>
        <v>1</v>
      </c>
      <c r="EE211" t="b">
        <f>AND(DATA!M1653,"AAAAAHt1r4Y=")</f>
        <v>1</v>
      </c>
      <c r="EF211" t="b">
        <f>AND(DATA!N1653,"AAAAAHt1r4c=")</f>
        <v>1</v>
      </c>
      <c r="EG211" t="b">
        <f>AND(DATA!O1653,"AAAAAHt1r4g=")</f>
        <v>1</v>
      </c>
      <c r="EH211" t="b">
        <f>AND(DATA!P1653,"AAAAAHt1r4k=")</f>
        <v>1</v>
      </c>
      <c r="EI211" t="b">
        <f>AND(DATA!Q1653,"AAAAAHt1r4o=")</f>
        <v>1</v>
      </c>
      <c r="EJ211" t="b">
        <f>AND(DATA!R1653,"AAAAAHt1r4s=")</f>
        <v>1</v>
      </c>
      <c r="EK211" t="b">
        <f>AND(DATA!S1653,"AAAAAHt1r4w=")</f>
        <v>1</v>
      </c>
      <c r="EL211" t="b">
        <f>AND(DATA!T1653,"AAAAAHt1r40=")</f>
        <v>1</v>
      </c>
      <c r="EM211">
        <f>IF(DATA!1653:1653,"AAAAAHt1r44=",0)</f>
        <v>0</v>
      </c>
      <c r="EN211" t="e">
        <f>AND(DATA!A1653,"AAAAAHt1r48=")</f>
        <v>#VALUE!</v>
      </c>
      <c r="EO211" t="e">
        <f>AND(DATA!B1653,"AAAAAHt1r5A=")</f>
        <v>#VALUE!</v>
      </c>
      <c r="EP211" t="e">
        <f>AND(DATA!C1653,"AAAAAHt1r5E=")</f>
        <v>#VALUE!</v>
      </c>
      <c r="EQ211" t="e">
        <f>AND(DATA!D1653,"AAAAAHt1r5I=")</f>
        <v>#VALUE!</v>
      </c>
      <c r="ER211" t="e">
        <f>AND(DATA!E1653,"AAAAAHt1r5M=")</f>
        <v>#VALUE!</v>
      </c>
      <c r="ES211" t="e">
        <f>AND(DATA!F1653,"AAAAAHt1r5Q=")</f>
        <v>#VALUE!</v>
      </c>
      <c r="ET211" t="e">
        <f>AND(DATA!G1653,"AAAAAHt1r5U=")</f>
        <v>#VALUE!</v>
      </c>
      <c r="EU211" t="e">
        <f>AND(DATA!H1653,"AAAAAHt1r5Y=")</f>
        <v>#VALUE!</v>
      </c>
      <c r="EV211" t="e">
        <f>AND(DATA!I1653,"AAAAAHt1r5c=")</f>
        <v>#VALUE!</v>
      </c>
      <c r="EW211" t="e">
        <f>AND(DATA!J1653,"AAAAAHt1r5g=")</f>
        <v>#VALUE!</v>
      </c>
      <c r="EX211" t="e">
        <f>AND(DATA!K1653,"AAAAAHt1r5k=")</f>
        <v>#VALUE!</v>
      </c>
      <c r="EY211" t="b">
        <f>AND(DATA!L1654,"AAAAAHt1r5o=")</f>
        <v>1</v>
      </c>
      <c r="EZ211" t="b">
        <f>AND(DATA!M1654,"AAAAAHt1r5s=")</f>
        <v>1</v>
      </c>
      <c r="FA211" t="b">
        <f>AND(DATA!N1654,"AAAAAHt1r5w=")</f>
        <v>1</v>
      </c>
      <c r="FB211" t="b">
        <f>AND(DATA!O1654,"AAAAAHt1r50=")</f>
        <v>1</v>
      </c>
      <c r="FC211" t="b">
        <f>AND(DATA!P1654,"AAAAAHt1r54=")</f>
        <v>1</v>
      </c>
      <c r="FD211" t="b">
        <f>AND(DATA!Q1654,"AAAAAHt1r58=")</f>
        <v>1</v>
      </c>
      <c r="FE211" t="b">
        <f>AND(DATA!R1654,"AAAAAHt1r6A=")</f>
        <v>1</v>
      </c>
      <c r="FF211" t="b">
        <f>AND(DATA!S1654,"AAAAAHt1r6E=")</f>
        <v>1</v>
      </c>
      <c r="FG211" t="b">
        <f>AND(DATA!T1654,"AAAAAHt1r6I=")</f>
        <v>1</v>
      </c>
      <c r="FH211">
        <f>IF(DATA!1654:1654,"AAAAAHt1r6M=",0)</f>
        <v>0</v>
      </c>
      <c r="FI211" t="e">
        <f>AND(DATA!A1654,"AAAAAHt1r6Q=")</f>
        <v>#VALUE!</v>
      </c>
      <c r="FJ211" t="e">
        <f>AND(DATA!B1654,"AAAAAHt1r6U=")</f>
        <v>#VALUE!</v>
      </c>
      <c r="FK211" t="e">
        <f>AND(DATA!C1654,"AAAAAHt1r6Y=")</f>
        <v>#VALUE!</v>
      </c>
      <c r="FL211" t="e">
        <f>AND(DATA!D1654,"AAAAAHt1r6c=")</f>
        <v>#VALUE!</v>
      </c>
      <c r="FM211" t="e">
        <f>AND(DATA!E1654,"AAAAAHt1r6g=")</f>
        <v>#VALUE!</v>
      </c>
      <c r="FN211" t="e">
        <f>AND(DATA!F1654,"AAAAAHt1r6k=")</f>
        <v>#VALUE!</v>
      </c>
      <c r="FO211" t="e">
        <f>AND(DATA!G1654,"AAAAAHt1r6o=")</f>
        <v>#VALUE!</v>
      </c>
      <c r="FP211" t="e">
        <f>AND(DATA!H1654,"AAAAAHt1r6s=")</f>
        <v>#VALUE!</v>
      </c>
      <c r="FQ211" t="e">
        <f>AND(DATA!I1654,"AAAAAHt1r6w=")</f>
        <v>#VALUE!</v>
      </c>
      <c r="FR211" t="e">
        <f>AND(DATA!J1654,"AAAAAHt1r60=")</f>
        <v>#VALUE!</v>
      </c>
      <c r="FS211" t="e">
        <f>AND(DATA!K1654,"AAAAAHt1r64=")</f>
        <v>#VALUE!</v>
      </c>
      <c r="FT211" t="b">
        <f>AND(DATA!L1655,"AAAAAHt1r68=")</f>
        <v>1</v>
      </c>
      <c r="FU211" t="b">
        <f>AND(DATA!M1655,"AAAAAHt1r7A=")</f>
        <v>1</v>
      </c>
      <c r="FV211" t="b">
        <f>AND(DATA!N1655,"AAAAAHt1r7E=")</f>
        <v>1</v>
      </c>
      <c r="FW211" t="b">
        <f>AND(DATA!O1655,"AAAAAHt1r7I=")</f>
        <v>1</v>
      </c>
      <c r="FX211" t="b">
        <f>AND(DATA!P1655,"AAAAAHt1r7M=")</f>
        <v>1</v>
      </c>
      <c r="FY211" t="b">
        <f>AND(DATA!Q1655,"AAAAAHt1r7Q=")</f>
        <v>1</v>
      </c>
      <c r="FZ211" t="b">
        <f>AND(DATA!R1655,"AAAAAHt1r7U=")</f>
        <v>1</v>
      </c>
      <c r="GA211" t="b">
        <f>AND(DATA!S1655,"AAAAAHt1r7Y=")</f>
        <v>1</v>
      </c>
      <c r="GB211" t="b">
        <f>AND(DATA!T1655,"AAAAAHt1r7c=")</f>
        <v>1</v>
      </c>
      <c r="GC211">
        <f>IF(DATA!1655:1655,"AAAAAHt1r7g=",0)</f>
        <v>0</v>
      </c>
      <c r="GD211" t="e">
        <f>AND(DATA!A1655,"AAAAAHt1r7k=")</f>
        <v>#VALUE!</v>
      </c>
      <c r="GE211" t="e">
        <f>AND(DATA!B1655,"AAAAAHt1r7o=")</f>
        <v>#VALUE!</v>
      </c>
      <c r="GF211" t="e">
        <f>AND(DATA!C1655,"AAAAAHt1r7s=")</f>
        <v>#VALUE!</v>
      </c>
      <c r="GG211" t="e">
        <f>AND(DATA!D1655,"AAAAAHt1r7w=")</f>
        <v>#VALUE!</v>
      </c>
      <c r="GH211" t="e">
        <f>AND(DATA!E1655,"AAAAAHt1r70=")</f>
        <v>#VALUE!</v>
      </c>
      <c r="GI211" t="e">
        <f>AND(DATA!F1655,"AAAAAHt1r74=")</f>
        <v>#VALUE!</v>
      </c>
      <c r="GJ211" t="e">
        <f>AND(DATA!G1655,"AAAAAHt1r78=")</f>
        <v>#VALUE!</v>
      </c>
      <c r="GK211" t="e">
        <f>AND(DATA!H1655,"AAAAAHt1r8A=")</f>
        <v>#VALUE!</v>
      </c>
      <c r="GL211" t="e">
        <f>AND(DATA!I1655,"AAAAAHt1r8E=")</f>
        <v>#VALUE!</v>
      </c>
      <c r="GM211" t="e">
        <f>AND(DATA!J1655,"AAAAAHt1r8I=")</f>
        <v>#VALUE!</v>
      </c>
      <c r="GN211" t="e">
        <f>AND(DATA!K1655,"AAAAAHt1r8M=")</f>
        <v>#VALUE!</v>
      </c>
      <c r="GO211" t="b">
        <f>AND(DATA!L1656,"AAAAAHt1r8Q=")</f>
        <v>1</v>
      </c>
      <c r="GP211" t="b">
        <f>AND(DATA!M1656,"AAAAAHt1r8U=")</f>
        <v>1</v>
      </c>
      <c r="GQ211" t="b">
        <f>AND(DATA!N1656,"AAAAAHt1r8Y=")</f>
        <v>1</v>
      </c>
      <c r="GR211" t="b">
        <f>AND(DATA!O1656,"AAAAAHt1r8c=")</f>
        <v>1</v>
      </c>
      <c r="GS211" t="b">
        <f>AND(DATA!P1656,"AAAAAHt1r8g=")</f>
        <v>1</v>
      </c>
      <c r="GT211" t="b">
        <f>AND(DATA!Q1656,"AAAAAHt1r8k=")</f>
        <v>1</v>
      </c>
      <c r="GU211" t="b">
        <f>AND(DATA!R1656,"AAAAAHt1r8o=")</f>
        <v>1</v>
      </c>
      <c r="GV211" t="b">
        <f>AND(DATA!S1656,"AAAAAHt1r8s=")</f>
        <v>1</v>
      </c>
      <c r="GW211" t="b">
        <f>AND(DATA!T1656,"AAAAAHt1r8w=")</f>
        <v>1</v>
      </c>
      <c r="GX211">
        <f>IF(DATA!1656:1656,"AAAAAHt1r80=",0)</f>
        <v>0</v>
      </c>
      <c r="GY211" t="e">
        <f>AND(DATA!A1656,"AAAAAHt1r84=")</f>
        <v>#VALUE!</v>
      </c>
      <c r="GZ211" t="e">
        <f>AND(DATA!B1656,"AAAAAHt1r88=")</f>
        <v>#VALUE!</v>
      </c>
      <c r="HA211" t="e">
        <f>AND(DATA!C1656,"AAAAAHt1r9A=")</f>
        <v>#VALUE!</v>
      </c>
      <c r="HB211" t="e">
        <f>AND(DATA!D1656,"AAAAAHt1r9E=")</f>
        <v>#VALUE!</v>
      </c>
      <c r="HC211" t="e">
        <f>AND(DATA!E1656,"AAAAAHt1r9I=")</f>
        <v>#VALUE!</v>
      </c>
      <c r="HD211" t="e">
        <f>AND(DATA!F1656,"AAAAAHt1r9M=")</f>
        <v>#VALUE!</v>
      </c>
      <c r="HE211" t="e">
        <f>AND(DATA!G1656,"AAAAAHt1r9Q=")</f>
        <v>#VALUE!</v>
      </c>
      <c r="HF211" t="e">
        <f>AND(DATA!H1656,"AAAAAHt1r9U=")</f>
        <v>#VALUE!</v>
      </c>
      <c r="HG211" t="e">
        <f>AND(DATA!I1656,"AAAAAHt1r9Y=")</f>
        <v>#VALUE!</v>
      </c>
      <c r="HH211" t="e">
        <f>AND(DATA!J1656,"AAAAAHt1r9c=")</f>
        <v>#VALUE!</v>
      </c>
      <c r="HI211" t="e">
        <f>AND(DATA!K1656,"AAAAAHt1r9g=")</f>
        <v>#VALUE!</v>
      </c>
      <c r="HJ211" t="b">
        <f>AND(DATA!L1657,"AAAAAHt1r9k=")</f>
        <v>1</v>
      </c>
      <c r="HK211" t="b">
        <f>AND(DATA!M1657,"AAAAAHt1r9o=")</f>
        <v>1</v>
      </c>
      <c r="HL211" t="b">
        <f>AND(DATA!N1657,"AAAAAHt1r9s=")</f>
        <v>1</v>
      </c>
      <c r="HM211" t="b">
        <f>AND(DATA!O1657,"AAAAAHt1r9w=")</f>
        <v>1</v>
      </c>
      <c r="HN211" t="b">
        <f>AND(DATA!P1657,"AAAAAHt1r90=")</f>
        <v>1</v>
      </c>
      <c r="HO211" t="b">
        <f>AND(DATA!Q1657,"AAAAAHt1r94=")</f>
        <v>1</v>
      </c>
      <c r="HP211" t="b">
        <f>AND(DATA!R1657,"AAAAAHt1r98=")</f>
        <v>1</v>
      </c>
      <c r="HQ211" t="b">
        <f>AND(DATA!S1657,"AAAAAHt1r+A=")</f>
        <v>1</v>
      </c>
      <c r="HR211" t="b">
        <f>AND(DATA!T1657,"AAAAAHt1r+E=")</f>
        <v>1</v>
      </c>
      <c r="HS211">
        <f>IF(DATA!1657:1657,"AAAAAHt1r+I=",0)</f>
        <v>0</v>
      </c>
      <c r="HT211" t="e">
        <f>AND(DATA!A1657,"AAAAAHt1r+M=")</f>
        <v>#VALUE!</v>
      </c>
      <c r="HU211" t="e">
        <f>AND(DATA!B1657,"AAAAAHt1r+Q=")</f>
        <v>#VALUE!</v>
      </c>
      <c r="HV211" t="e">
        <f>AND(DATA!C1657,"AAAAAHt1r+U=")</f>
        <v>#VALUE!</v>
      </c>
      <c r="HW211" t="e">
        <f>AND(DATA!D1657,"AAAAAHt1r+Y=")</f>
        <v>#VALUE!</v>
      </c>
      <c r="HX211" t="e">
        <f>AND(DATA!E1657,"AAAAAHt1r+c=")</f>
        <v>#VALUE!</v>
      </c>
      <c r="HY211" t="e">
        <f>AND(DATA!F1657,"AAAAAHt1r+g=")</f>
        <v>#VALUE!</v>
      </c>
      <c r="HZ211" t="e">
        <f>AND(DATA!G1657,"AAAAAHt1r+k=")</f>
        <v>#VALUE!</v>
      </c>
      <c r="IA211" t="e">
        <f>AND(DATA!H1657,"AAAAAHt1r+o=")</f>
        <v>#VALUE!</v>
      </c>
      <c r="IB211" t="e">
        <f>AND(DATA!I1657,"AAAAAHt1r+s=")</f>
        <v>#VALUE!</v>
      </c>
      <c r="IC211" t="e">
        <f>AND(DATA!J1657,"AAAAAHt1r+w=")</f>
        <v>#VALUE!</v>
      </c>
      <c r="ID211" t="e">
        <f>AND(DATA!K1657,"AAAAAHt1r+0=")</f>
        <v>#VALUE!</v>
      </c>
      <c r="IE211" t="b">
        <f>AND(DATA!L1658,"AAAAAHt1r+4=")</f>
        <v>1</v>
      </c>
      <c r="IF211" t="b">
        <f>AND(DATA!M1658,"AAAAAHt1r+8=")</f>
        <v>1</v>
      </c>
      <c r="IG211" t="b">
        <f>AND(DATA!N1658,"AAAAAHt1r/A=")</f>
        <v>1</v>
      </c>
      <c r="IH211" t="b">
        <f>AND(DATA!O1658,"AAAAAHt1r/E=")</f>
        <v>1</v>
      </c>
      <c r="II211" t="b">
        <f>AND(DATA!P1658,"AAAAAHt1r/I=")</f>
        <v>1</v>
      </c>
      <c r="IJ211" t="b">
        <f>AND(DATA!Q1658,"AAAAAHt1r/M=")</f>
        <v>1</v>
      </c>
      <c r="IK211" t="b">
        <f>AND(DATA!R1658,"AAAAAHt1r/Q=")</f>
        <v>1</v>
      </c>
      <c r="IL211" t="b">
        <f>AND(DATA!S1658,"AAAAAHt1r/U=")</f>
        <v>1</v>
      </c>
      <c r="IM211" t="b">
        <f>AND(DATA!T1658,"AAAAAHt1r/Y=")</f>
        <v>1</v>
      </c>
      <c r="IN211">
        <f>IF(DATA!1658:1658,"AAAAAHt1r/c=",0)</f>
        <v>0</v>
      </c>
      <c r="IO211" t="e">
        <f>AND(DATA!A1658,"AAAAAHt1r/g=")</f>
        <v>#VALUE!</v>
      </c>
      <c r="IP211" t="e">
        <f>AND(DATA!B1658,"AAAAAHt1r/k=")</f>
        <v>#VALUE!</v>
      </c>
      <c r="IQ211" t="e">
        <f>AND(DATA!C1658,"AAAAAHt1r/o=")</f>
        <v>#VALUE!</v>
      </c>
      <c r="IR211" t="e">
        <f>AND(DATA!D1658,"AAAAAHt1r/s=")</f>
        <v>#VALUE!</v>
      </c>
      <c r="IS211" t="e">
        <f>AND(DATA!E1658,"AAAAAHt1r/w=")</f>
        <v>#VALUE!</v>
      </c>
      <c r="IT211" t="e">
        <f>AND(DATA!F1658,"AAAAAHt1r/0=")</f>
        <v>#VALUE!</v>
      </c>
      <c r="IU211" t="e">
        <f>AND(DATA!G1658,"AAAAAHt1r/4=")</f>
        <v>#VALUE!</v>
      </c>
      <c r="IV211" t="e">
        <f>AND(DATA!H1658,"AAAAAHt1r/8=")</f>
        <v>#VALUE!</v>
      </c>
    </row>
    <row r="212" spans="1:256" x14ac:dyDescent="0.25">
      <c r="A212" t="e">
        <f>AND(DATA!I1658,"AAAAAH+/DwA=")</f>
        <v>#VALUE!</v>
      </c>
      <c r="B212" t="e">
        <f>AND(DATA!J1658,"AAAAAH+/DwE=")</f>
        <v>#VALUE!</v>
      </c>
      <c r="C212" t="e">
        <f>AND(DATA!K1658,"AAAAAH+/DwI=")</f>
        <v>#VALUE!</v>
      </c>
      <c r="D212" t="b">
        <f>AND(DATA!L1659,"AAAAAH+/DwM=")</f>
        <v>1</v>
      </c>
      <c r="E212" t="b">
        <f>AND(DATA!M1659,"AAAAAH+/DwQ=")</f>
        <v>1</v>
      </c>
      <c r="F212" t="b">
        <f>AND(DATA!N1659,"AAAAAH+/DwU=")</f>
        <v>1</v>
      </c>
      <c r="G212" t="b">
        <f>AND(DATA!O1659,"AAAAAH+/DwY=")</f>
        <v>1</v>
      </c>
      <c r="H212" t="b">
        <f>AND(DATA!P1659,"AAAAAH+/Dwc=")</f>
        <v>1</v>
      </c>
      <c r="I212" t="b">
        <f>AND(DATA!Q1659,"AAAAAH+/Dwg=")</f>
        <v>1</v>
      </c>
      <c r="J212" t="b">
        <f>AND(DATA!R1659,"AAAAAH+/Dwk=")</f>
        <v>1</v>
      </c>
      <c r="K212" t="b">
        <f>AND(DATA!S1659,"AAAAAH+/Dwo=")</f>
        <v>1</v>
      </c>
      <c r="L212" t="b">
        <f>AND(DATA!T1659,"AAAAAH+/Dws=")</f>
        <v>1</v>
      </c>
      <c r="M212" t="str">
        <f>IF(DATA!1659:1659,"AAAAAH+/Dww=",0)</f>
        <v>AAAAAH+/Dww=</v>
      </c>
      <c r="N212" t="e">
        <f>AND(DATA!A1659,"AAAAAH+/Dw0=")</f>
        <v>#VALUE!</v>
      </c>
      <c r="O212" t="e">
        <f>AND(DATA!B1659,"AAAAAH+/Dw4=")</f>
        <v>#VALUE!</v>
      </c>
      <c r="P212" t="e">
        <f>AND(DATA!C1659,"AAAAAH+/Dw8=")</f>
        <v>#VALUE!</v>
      </c>
      <c r="Q212" t="e">
        <f>AND(DATA!D1659,"AAAAAH+/DxA=")</f>
        <v>#VALUE!</v>
      </c>
      <c r="R212" t="e">
        <f>AND(DATA!E1659,"AAAAAH+/DxE=")</f>
        <v>#VALUE!</v>
      </c>
      <c r="S212" t="e">
        <f>AND(DATA!F1659,"AAAAAH+/DxI=")</f>
        <v>#VALUE!</v>
      </c>
      <c r="T212" t="e">
        <f>AND(DATA!G1659,"AAAAAH+/DxM=")</f>
        <v>#VALUE!</v>
      </c>
      <c r="U212" t="e">
        <f>AND(DATA!H1659,"AAAAAH+/DxQ=")</f>
        <v>#VALUE!</v>
      </c>
      <c r="V212" t="e">
        <f>AND(DATA!I1659,"AAAAAH+/DxU=")</f>
        <v>#VALUE!</v>
      </c>
      <c r="W212" t="e">
        <f>AND(DATA!J1659,"AAAAAH+/DxY=")</f>
        <v>#VALUE!</v>
      </c>
      <c r="X212" t="e">
        <f>AND(DATA!K1659,"AAAAAH+/Dxc=")</f>
        <v>#VALUE!</v>
      </c>
      <c r="Y212" t="b">
        <f>AND(DATA!L1660,"AAAAAH+/Dxg=")</f>
        <v>1</v>
      </c>
      <c r="Z212" t="b">
        <f>AND(DATA!M1660,"AAAAAH+/Dxk=")</f>
        <v>1</v>
      </c>
      <c r="AA212" t="b">
        <f>AND(DATA!N1660,"AAAAAH+/Dxo=")</f>
        <v>1</v>
      </c>
      <c r="AB212" t="b">
        <f>AND(DATA!O1660,"AAAAAH+/Dxs=")</f>
        <v>1</v>
      </c>
      <c r="AC212" t="b">
        <f>AND(DATA!P1660,"AAAAAH+/Dxw=")</f>
        <v>1</v>
      </c>
      <c r="AD212" t="b">
        <f>AND(DATA!Q1660,"AAAAAH+/Dx0=")</f>
        <v>1</v>
      </c>
      <c r="AE212" t="b">
        <f>AND(DATA!R1660,"AAAAAH+/Dx4=")</f>
        <v>1</v>
      </c>
      <c r="AF212" t="b">
        <f>AND(DATA!S1660,"AAAAAH+/Dx8=")</f>
        <v>1</v>
      </c>
      <c r="AG212" t="b">
        <f>AND(DATA!T1660,"AAAAAH+/DyA=")</f>
        <v>1</v>
      </c>
      <c r="AH212">
        <f>IF(DATA!1660:1660,"AAAAAH+/DyE=",0)</f>
        <v>0</v>
      </c>
      <c r="AI212" t="e">
        <f>AND(DATA!A1660,"AAAAAH+/DyI=")</f>
        <v>#VALUE!</v>
      </c>
      <c r="AJ212" t="e">
        <f>AND(DATA!B1660,"AAAAAH+/DyM=")</f>
        <v>#VALUE!</v>
      </c>
      <c r="AK212" t="e">
        <f>AND(DATA!C1660,"AAAAAH+/DyQ=")</f>
        <v>#VALUE!</v>
      </c>
      <c r="AL212" t="e">
        <f>AND(DATA!D1660,"AAAAAH+/DyU=")</f>
        <v>#VALUE!</v>
      </c>
      <c r="AM212" t="e">
        <f>AND(DATA!E1660,"AAAAAH+/DyY=")</f>
        <v>#VALUE!</v>
      </c>
      <c r="AN212" t="e">
        <f>AND(DATA!F1660,"AAAAAH+/Dyc=")</f>
        <v>#VALUE!</v>
      </c>
      <c r="AO212" t="e">
        <f>AND(DATA!G1660,"AAAAAH+/Dyg=")</f>
        <v>#VALUE!</v>
      </c>
      <c r="AP212" t="e">
        <f>AND(DATA!H1660,"AAAAAH+/Dyk=")</f>
        <v>#VALUE!</v>
      </c>
      <c r="AQ212" t="e">
        <f>AND(DATA!I1660,"AAAAAH+/Dyo=")</f>
        <v>#VALUE!</v>
      </c>
      <c r="AR212" t="e">
        <f>AND(DATA!J1660,"AAAAAH+/Dys=")</f>
        <v>#VALUE!</v>
      </c>
      <c r="AS212" t="e">
        <f>AND(DATA!K1660,"AAAAAH+/Dyw=")</f>
        <v>#VALUE!</v>
      </c>
      <c r="AT212" t="b">
        <f>AND(DATA!L1661,"AAAAAH+/Dy0=")</f>
        <v>1</v>
      </c>
      <c r="AU212" t="b">
        <f>AND(DATA!M1661,"AAAAAH+/Dy4=")</f>
        <v>1</v>
      </c>
      <c r="AV212" t="b">
        <f>AND(DATA!N1661,"AAAAAH+/Dy8=")</f>
        <v>1</v>
      </c>
      <c r="AW212" t="b">
        <f>AND(DATA!O1661,"AAAAAH+/DzA=")</f>
        <v>1</v>
      </c>
      <c r="AX212" t="b">
        <f>AND(DATA!P1661,"AAAAAH+/DzE=")</f>
        <v>1</v>
      </c>
      <c r="AY212" t="b">
        <f>AND(DATA!Q1661,"AAAAAH+/DzI=")</f>
        <v>1</v>
      </c>
      <c r="AZ212" t="b">
        <f>AND(DATA!R1661,"AAAAAH+/DzM=")</f>
        <v>1</v>
      </c>
      <c r="BA212" t="b">
        <f>AND(DATA!S1661,"AAAAAH+/DzQ=")</f>
        <v>1</v>
      </c>
      <c r="BB212" t="b">
        <f>AND(DATA!T1661,"AAAAAH+/DzU=")</f>
        <v>1</v>
      </c>
      <c r="BC212">
        <f>IF(DATA!1661:1661,"AAAAAH+/DzY=",0)</f>
        <v>0</v>
      </c>
      <c r="BD212" t="e">
        <f>AND(DATA!A1661,"AAAAAH+/Dzc=")</f>
        <v>#VALUE!</v>
      </c>
      <c r="BE212" t="e">
        <f>AND(DATA!B1661,"AAAAAH+/Dzg=")</f>
        <v>#VALUE!</v>
      </c>
      <c r="BF212" t="e">
        <f>AND(DATA!C1661,"AAAAAH+/Dzk=")</f>
        <v>#VALUE!</v>
      </c>
      <c r="BG212" t="e">
        <f>AND(DATA!D1661,"AAAAAH+/Dzo=")</f>
        <v>#VALUE!</v>
      </c>
      <c r="BH212" t="e">
        <f>AND(DATA!E1661,"AAAAAH+/Dzs=")</f>
        <v>#VALUE!</v>
      </c>
      <c r="BI212" t="e">
        <f>AND(DATA!F1661,"AAAAAH+/Dzw=")</f>
        <v>#VALUE!</v>
      </c>
      <c r="BJ212" t="e">
        <f>AND(DATA!G1661,"AAAAAH+/Dz0=")</f>
        <v>#VALUE!</v>
      </c>
      <c r="BK212" t="e">
        <f>AND(DATA!H1661,"AAAAAH+/Dz4=")</f>
        <v>#VALUE!</v>
      </c>
      <c r="BL212" t="e">
        <f>AND(DATA!I1661,"AAAAAH+/Dz8=")</f>
        <v>#VALUE!</v>
      </c>
      <c r="BM212" t="e">
        <f>AND(DATA!J1661,"AAAAAH+/D0A=")</f>
        <v>#VALUE!</v>
      </c>
      <c r="BN212" t="e">
        <f>AND(DATA!K1661,"AAAAAH+/D0E=")</f>
        <v>#VALUE!</v>
      </c>
      <c r="BO212" t="b">
        <f>AND(DATA!L1662,"AAAAAH+/D0I=")</f>
        <v>1</v>
      </c>
      <c r="BP212" t="b">
        <f>AND(DATA!M1662,"AAAAAH+/D0M=")</f>
        <v>1</v>
      </c>
      <c r="BQ212" t="b">
        <f>AND(DATA!N1662,"AAAAAH+/D0Q=")</f>
        <v>1</v>
      </c>
      <c r="BR212" t="b">
        <f>AND(DATA!O1662,"AAAAAH+/D0U=")</f>
        <v>1</v>
      </c>
      <c r="BS212" t="b">
        <f>AND(DATA!P1662,"AAAAAH+/D0Y=")</f>
        <v>1</v>
      </c>
      <c r="BT212" t="b">
        <f>AND(DATA!Q1662,"AAAAAH+/D0c=")</f>
        <v>1</v>
      </c>
      <c r="BU212" t="b">
        <f>AND(DATA!R1662,"AAAAAH+/D0g=")</f>
        <v>1</v>
      </c>
      <c r="BV212" t="b">
        <f>AND(DATA!S1662,"AAAAAH+/D0k=")</f>
        <v>1</v>
      </c>
      <c r="BW212" t="b">
        <f>AND(DATA!T1662,"AAAAAH+/D0o=")</f>
        <v>1</v>
      </c>
      <c r="BX212">
        <f>IF(DATA!1662:1662,"AAAAAH+/D0s=",0)</f>
        <v>0</v>
      </c>
      <c r="BY212" t="e">
        <f>AND(DATA!A1662,"AAAAAH+/D0w=")</f>
        <v>#VALUE!</v>
      </c>
      <c r="BZ212" t="e">
        <f>AND(DATA!B1662,"AAAAAH+/D00=")</f>
        <v>#VALUE!</v>
      </c>
      <c r="CA212" t="e">
        <f>AND(DATA!C1662,"AAAAAH+/D04=")</f>
        <v>#VALUE!</v>
      </c>
      <c r="CB212" t="e">
        <f>AND(DATA!D1662,"AAAAAH+/D08=")</f>
        <v>#VALUE!</v>
      </c>
      <c r="CC212" t="e">
        <f>AND(DATA!E1662,"AAAAAH+/D1A=")</f>
        <v>#VALUE!</v>
      </c>
      <c r="CD212" t="e">
        <f>AND(DATA!F1662,"AAAAAH+/D1E=")</f>
        <v>#VALUE!</v>
      </c>
      <c r="CE212" t="e">
        <f>AND(DATA!G1662,"AAAAAH+/D1I=")</f>
        <v>#VALUE!</v>
      </c>
      <c r="CF212" t="e">
        <f>AND(DATA!H1662,"AAAAAH+/D1M=")</f>
        <v>#VALUE!</v>
      </c>
      <c r="CG212" t="e">
        <f>AND(DATA!I1662,"AAAAAH+/D1Q=")</f>
        <v>#VALUE!</v>
      </c>
      <c r="CH212" t="e">
        <f>AND(DATA!J1662,"AAAAAH+/D1U=")</f>
        <v>#VALUE!</v>
      </c>
      <c r="CI212" t="e">
        <f>AND(DATA!K1662,"AAAAAH+/D1Y=")</f>
        <v>#VALUE!</v>
      </c>
      <c r="CJ212" t="b">
        <f>AND(DATA!L1663,"AAAAAH+/D1c=")</f>
        <v>1</v>
      </c>
      <c r="CK212" t="b">
        <f>AND(DATA!M1663,"AAAAAH+/D1g=")</f>
        <v>1</v>
      </c>
      <c r="CL212" t="b">
        <f>AND(DATA!N1663,"AAAAAH+/D1k=")</f>
        <v>1</v>
      </c>
      <c r="CM212" t="b">
        <f>AND(DATA!O1663,"AAAAAH+/D1o=")</f>
        <v>1</v>
      </c>
      <c r="CN212" t="b">
        <f>AND(DATA!P1663,"AAAAAH+/D1s=")</f>
        <v>1</v>
      </c>
      <c r="CO212" t="b">
        <f>AND(DATA!Q1663,"AAAAAH+/D1w=")</f>
        <v>1</v>
      </c>
      <c r="CP212" t="b">
        <f>AND(DATA!R1663,"AAAAAH+/D10=")</f>
        <v>1</v>
      </c>
      <c r="CQ212" t="b">
        <f>AND(DATA!S1663,"AAAAAH+/D14=")</f>
        <v>1</v>
      </c>
      <c r="CR212" t="b">
        <f>AND(DATA!T1663,"AAAAAH+/D18=")</f>
        <v>1</v>
      </c>
      <c r="CS212">
        <f>IF(DATA!1663:1663,"AAAAAH+/D2A=",0)</f>
        <v>0</v>
      </c>
      <c r="CT212" t="e">
        <f>AND(DATA!A1663,"AAAAAH+/D2E=")</f>
        <v>#VALUE!</v>
      </c>
      <c r="CU212" t="e">
        <f>AND(DATA!B1663,"AAAAAH+/D2I=")</f>
        <v>#VALUE!</v>
      </c>
      <c r="CV212" t="e">
        <f>AND(DATA!C1663,"AAAAAH+/D2M=")</f>
        <v>#VALUE!</v>
      </c>
      <c r="CW212" t="e">
        <f>AND(DATA!D1663,"AAAAAH+/D2Q=")</f>
        <v>#VALUE!</v>
      </c>
      <c r="CX212" t="e">
        <f>AND(DATA!E1663,"AAAAAH+/D2U=")</f>
        <v>#VALUE!</v>
      </c>
      <c r="CY212" t="e">
        <f>AND(DATA!F1663,"AAAAAH+/D2Y=")</f>
        <v>#VALUE!</v>
      </c>
      <c r="CZ212" t="e">
        <f>AND(DATA!G1663,"AAAAAH+/D2c=")</f>
        <v>#VALUE!</v>
      </c>
      <c r="DA212" t="e">
        <f>AND(DATA!H1663,"AAAAAH+/D2g=")</f>
        <v>#VALUE!</v>
      </c>
      <c r="DB212" t="e">
        <f>AND(DATA!I1663,"AAAAAH+/D2k=")</f>
        <v>#VALUE!</v>
      </c>
      <c r="DC212" t="e">
        <f>AND(DATA!J1663,"AAAAAH+/D2o=")</f>
        <v>#VALUE!</v>
      </c>
      <c r="DD212" t="e">
        <f>AND(DATA!K1663,"AAAAAH+/D2s=")</f>
        <v>#VALUE!</v>
      </c>
      <c r="DE212" t="b">
        <f>AND(DATA!L1664,"AAAAAH+/D2w=")</f>
        <v>1</v>
      </c>
      <c r="DF212" t="b">
        <f>AND(DATA!M1664,"AAAAAH+/D20=")</f>
        <v>1</v>
      </c>
      <c r="DG212" t="b">
        <f>AND(DATA!N1664,"AAAAAH+/D24=")</f>
        <v>1</v>
      </c>
      <c r="DH212" t="b">
        <f>AND(DATA!O1664,"AAAAAH+/D28=")</f>
        <v>1</v>
      </c>
      <c r="DI212" t="b">
        <f>AND(DATA!P1664,"AAAAAH+/D3A=")</f>
        <v>1</v>
      </c>
      <c r="DJ212" t="b">
        <f>AND(DATA!Q1664,"AAAAAH+/D3E=")</f>
        <v>1</v>
      </c>
      <c r="DK212" t="b">
        <f>AND(DATA!R1664,"AAAAAH+/D3I=")</f>
        <v>1</v>
      </c>
      <c r="DL212" t="b">
        <f>AND(DATA!S1664,"AAAAAH+/D3M=")</f>
        <v>1</v>
      </c>
      <c r="DM212" t="b">
        <f>AND(DATA!T1664,"AAAAAH+/D3Q=")</f>
        <v>1</v>
      </c>
      <c r="DN212">
        <f>IF(DATA!1664:1664,"AAAAAH+/D3U=",0)</f>
        <v>0</v>
      </c>
      <c r="DO212" t="e">
        <f>AND(DATA!A1664,"AAAAAH+/D3Y=")</f>
        <v>#VALUE!</v>
      </c>
      <c r="DP212" t="e">
        <f>AND(DATA!B1664,"AAAAAH+/D3c=")</f>
        <v>#VALUE!</v>
      </c>
      <c r="DQ212" t="e">
        <f>AND(DATA!C1664,"AAAAAH+/D3g=")</f>
        <v>#VALUE!</v>
      </c>
      <c r="DR212" t="e">
        <f>AND(DATA!D1664,"AAAAAH+/D3k=")</f>
        <v>#VALUE!</v>
      </c>
      <c r="DS212" t="e">
        <f>AND(DATA!E1664,"AAAAAH+/D3o=")</f>
        <v>#VALUE!</v>
      </c>
      <c r="DT212" t="e">
        <f>AND(DATA!F1664,"AAAAAH+/D3s=")</f>
        <v>#VALUE!</v>
      </c>
      <c r="DU212" t="e">
        <f>AND(DATA!G1664,"AAAAAH+/D3w=")</f>
        <v>#VALUE!</v>
      </c>
      <c r="DV212" t="e">
        <f>AND(DATA!H1664,"AAAAAH+/D30=")</f>
        <v>#VALUE!</v>
      </c>
      <c r="DW212" t="e">
        <f>AND(DATA!I1664,"AAAAAH+/D34=")</f>
        <v>#VALUE!</v>
      </c>
      <c r="DX212" t="e">
        <f>AND(DATA!J1664,"AAAAAH+/D38=")</f>
        <v>#VALUE!</v>
      </c>
      <c r="DY212" t="e">
        <f>AND(DATA!K1664,"AAAAAH+/D4A=")</f>
        <v>#VALUE!</v>
      </c>
      <c r="DZ212" t="b">
        <f>AND(DATA!L1665,"AAAAAH+/D4E=")</f>
        <v>1</v>
      </c>
      <c r="EA212" t="b">
        <f>AND(DATA!M1665,"AAAAAH+/D4I=")</f>
        <v>1</v>
      </c>
      <c r="EB212" t="b">
        <f>AND(DATA!N1665,"AAAAAH+/D4M=")</f>
        <v>1</v>
      </c>
      <c r="EC212" t="b">
        <f>AND(DATA!O1665,"AAAAAH+/D4Q=")</f>
        <v>1</v>
      </c>
      <c r="ED212" t="b">
        <f>AND(DATA!P1665,"AAAAAH+/D4U=")</f>
        <v>1</v>
      </c>
      <c r="EE212" t="b">
        <f>AND(DATA!Q1665,"AAAAAH+/D4Y=")</f>
        <v>1</v>
      </c>
      <c r="EF212" t="b">
        <f>AND(DATA!R1665,"AAAAAH+/D4c=")</f>
        <v>1</v>
      </c>
      <c r="EG212" t="b">
        <f>AND(DATA!S1665,"AAAAAH+/D4g=")</f>
        <v>1</v>
      </c>
      <c r="EH212" t="b">
        <f>AND(DATA!T1665,"AAAAAH+/D4k=")</f>
        <v>1</v>
      </c>
      <c r="EI212">
        <f>IF(DATA!1665:1665,"AAAAAH+/D4o=",0)</f>
        <v>0</v>
      </c>
      <c r="EJ212" t="e">
        <f>AND(DATA!A1665,"AAAAAH+/D4s=")</f>
        <v>#VALUE!</v>
      </c>
      <c r="EK212" t="e">
        <f>AND(DATA!B1665,"AAAAAH+/D4w=")</f>
        <v>#VALUE!</v>
      </c>
      <c r="EL212" t="e">
        <f>AND(DATA!C1665,"AAAAAH+/D40=")</f>
        <v>#VALUE!</v>
      </c>
      <c r="EM212" t="e">
        <f>AND(DATA!D1665,"AAAAAH+/D44=")</f>
        <v>#VALUE!</v>
      </c>
      <c r="EN212" t="e">
        <f>AND(DATA!E1665,"AAAAAH+/D48=")</f>
        <v>#VALUE!</v>
      </c>
      <c r="EO212" t="e">
        <f>AND(DATA!F1665,"AAAAAH+/D5A=")</f>
        <v>#VALUE!</v>
      </c>
      <c r="EP212" t="e">
        <f>AND(DATA!G1665,"AAAAAH+/D5E=")</f>
        <v>#VALUE!</v>
      </c>
      <c r="EQ212" t="e">
        <f>AND(DATA!H1665,"AAAAAH+/D5I=")</f>
        <v>#VALUE!</v>
      </c>
      <c r="ER212" t="e">
        <f>AND(DATA!I1665,"AAAAAH+/D5M=")</f>
        <v>#VALUE!</v>
      </c>
      <c r="ES212" t="e">
        <f>AND(DATA!J1665,"AAAAAH+/D5Q=")</f>
        <v>#VALUE!</v>
      </c>
      <c r="ET212" t="e">
        <f>AND(DATA!K1665,"AAAAAH+/D5U=")</f>
        <v>#VALUE!</v>
      </c>
      <c r="EU212" t="b">
        <f>AND(DATA!L1666,"AAAAAH+/D5Y=")</f>
        <v>1</v>
      </c>
      <c r="EV212" t="b">
        <f>AND(DATA!M1666,"AAAAAH+/D5c=")</f>
        <v>1</v>
      </c>
      <c r="EW212" t="b">
        <f>AND(DATA!N1666,"AAAAAH+/D5g=")</f>
        <v>1</v>
      </c>
      <c r="EX212" t="b">
        <f>AND(DATA!O1666,"AAAAAH+/D5k=")</f>
        <v>1</v>
      </c>
      <c r="EY212" t="b">
        <f>AND(DATA!P1666,"AAAAAH+/D5o=")</f>
        <v>1</v>
      </c>
      <c r="EZ212" t="b">
        <f>AND(DATA!Q1666,"AAAAAH+/D5s=")</f>
        <v>1</v>
      </c>
      <c r="FA212" t="b">
        <f>AND(DATA!R1666,"AAAAAH+/D5w=")</f>
        <v>1</v>
      </c>
      <c r="FB212" t="b">
        <f>AND(DATA!S1666,"AAAAAH+/D50=")</f>
        <v>1</v>
      </c>
      <c r="FC212" t="b">
        <f>AND(DATA!T1666,"AAAAAH+/D54=")</f>
        <v>1</v>
      </c>
      <c r="FD212">
        <f>IF(DATA!1666:1666,"AAAAAH+/D58=",0)</f>
        <v>0</v>
      </c>
      <c r="FE212" t="e">
        <f>AND(DATA!A1666,"AAAAAH+/D6A=")</f>
        <v>#VALUE!</v>
      </c>
      <c r="FF212" t="e">
        <f>AND(DATA!B1666,"AAAAAH+/D6E=")</f>
        <v>#VALUE!</v>
      </c>
      <c r="FG212" t="e">
        <f>AND(DATA!C1666,"AAAAAH+/D6I=")</f>
        <v>#VALUE!</v>
      </c>
      <c r="FH212" t="e">
        <f>AND(DATA!D1666,"AAAAAH+/D6M=")</f>
        <v>#VALUE!</v>
      </c>
      <c r="FI212" t="e">
        <f>AND(DATA!E1666,"AAAAAH+/D6Q=")</f>
        <v>#VALUE!</v>
      </c>
      <c r="FJ212" t="e">
        <f>AND(DATA!F1666,"AAAAAH+/D6U=")</f>
        <v>#VALUE!</v>
      </c>
      <c r="FK212" t="e">
        <f>AND(DATA!G1666,"AAAAAH+/D6Y=")</f>
        <v>#VALUE!</v>
      </c>
      <c r="FL212" t="e">
        <f>AND(DATA!H1666,"AAAAAH+/D6c=")</f>
        <v>#VALUE!</v>
      </c>
      <c r="FM212" t="e">
        <f>AND(DATA!I1666,"AAAAAH+/D6g=")</f>
        <v>#VALUE!</v>
      </c>
      <c r="FN212" t="e">
        <f>AND(DATA!J1666,"AAAAAH+/D6k=")</f>
        <v>#VALUE!</v>
      </c>
      <c r="FO212" t="e">
        <f>AND(DATA!K1666,"AAAAAH+/D6o=")</f>
        <v>#VALUE!</v>
      </c>
      <c r="FP212" t="b">
        <f>AND(DATA!L1667,"AAAAAH+/D6s=")</f>
        <v>1</v>
      </c>
      <c r="FQ212" t="b">
        <f>AND(DATA!M1667,"AAAAAH+/D6w=")</f>
        <v>1</v>
      </c>
      <c r="FR212" t="b">
        <f>AND(DATA!N1667,"AAAAAH+/D60=")</f>
        <v>1</v>
      </c>
      <c r="FS212" t="b">
        <f>AND(DATA!O1667,"AAAAAH+/D64=")</f>
        <v>1</v>
      </c>
      <c r="FT212" t="b">
        <f>AND(DATA!P1667,"AAAAAH+/D68=")</f>
        <v>1</v>
      </c>
      <c r="FU212" t="b">
        <f>AND(DATA!Q1667,"AAAAAH+/D7A=")</f>
        <v>1</v>
      </c>
      <c r="FV212" t="b">
        <f>AND(DATA!R1667,"AAAAAH+/D7E=")</f>
        <v>1</v>
      </c>
      <c r="FW212" t="b">
        <f>AND(DATA!S1667,"AAAAAH+/D7I=")</f>
        <v>1</v>
      </c>
      <c r="FX212" t="b">
        <f>AND(DATA!T1667,"AAAAAH+/D7M=")</f>
        <v>1</v>
      </c>
      <c r="FY212">
        <f>IF(DATA!1667:1667,"AAAAAH+/D7Q=",0)</f>
        <v>0</v>
      </c>
      <c r="FZ212" t="e">
        <f>AND(DATA!A1667,"AAAAAH+/D7U=")</f>
        <v>#VALUE!</v>
      </c>
      <c r="GA212" t="e">
        <f>AND(DATA!B1667,"AAAAAH+/D7Y=")</f>
        <v>#VALUE!</v>
      </c>
      <c r="GB212" t="e">
        <f>AND(DATA!C1667,"AAAAAH+/D7c=")</f>
        <v>#VALUE!</v>
      </c>
      <c r="GC212" t="e">
        <f>AND(DATA!D1667,"AAAAAH+/D7g=")</f>
        <v>#VALUE!</v>
      </c>
      <c r="GD212" t="e">
        <f>AND(DATA!E1667,"AAAAAH+/D7k=")</f>
        <v>#VALUE!</v>
      </c>
      <c r="GE212" t="e">
        <f>AND(DATA!F1667,"AAAAAH+/D7o=")</f>
        <v>#VALUE!</v>
      </c>
      <c r="GF212" t="e">
        <f>AND(DATA!G1667,"AAAAAH+/D7s=")</f>
        <v>#VALUE!</v>
      </c>
      <c r="GG212" t="e">
        <f>AND(DATA!H1667,"AAAAAH+/D7w=")</f>
        <v>#VALUE!</v>
      </c>
      <c r="GH212" t="e">
        <f>AND(DATA!I1667,"AAAAAH+/D70=")</f>
        <v>#VALUE!</v>
      </c>
      <c r="GI212" t="e">
        <f>AND(DATA!J1667,"AAAAAH+/D74=")</f>
        <v>#VALUE!</v>
      </c>
      <c r="GJ212" t="e">
        <f>AND(DATA!K1667,"AAAAAH+/D78=")</f>
        <v>#VALUE!</v>
      </c>
      <c r="GK212" t="b">
        <f>AND(DATA!L1668,"AAAAAH+/D8A=")</f>
        <v>1</v>
      </c>
      <c r="GL212" t="b">
        <f>AND(DATA!M1668,"AAAAAH+/D8E=")</f>
        <v>1</v>
      </c>
      <c r="GM212" t="b">
        <f>AND(DATA!N1668,"AAAAAH+/D8I=")</f>
        <v>1</v>
      </c>
      <c r="GN212" t="b">
        <f>AND(DATA!O1668,"AAAAAH+/D8M=")</f>
        <v>1</v>
      </c>
      <c r="GO212" t="b">
        <f>AND(DATA!P1668,"AAAAAH+/D8Q=")</f>
        <v>1</v>
      </c>
      <c r="GP212" t="b">
        <f>AND(DATA!Q1668,"AAAAAH+/D8U=")</f>
        <v>1</v>
      </c>
      <c r="GQ212" t="b">
        <f>AND(DATA!R1668,"AAAAAH+/D8Y=")</f>
        <v>1</v>
      </c>
      <c r="GR212" t="b">
        <f>AND(DATA!S1668,"AAAAAH+/D8c=")</f>
        <v>1</v>
      </c>
      <c r="GS212" t="b">
        <f>AND(DATA!T1668,"AAAAAH+/D8g=")</f>
        <v>1</v>
      </c>
      <c r="GT212">
        <f>IF(DATA!1668:1668,"AAAAAH+/D8k=",0)</f>
        <v>0</v>
      </c>
      <c r="GU212" t="e">
        <f>AND(DATA!A1668,"AAAAAH+/D8o=")</f>
        <v>#VALUE!</v>
      </c>
      <c r="GV212" t="e">
        <f>AND(DATA!B1668,"AAAAAH+/D8s=")</f>
        <v>#VALUE!</v>
      </c>
      <c r="GW212" t="e">
        <f>AND(DATA!C1668,"AAAAAH+/D8w=")</f>
        <v>#VALUE!</v>
      </c>
      <c r="GX212" t="e">
        <f>AND(DATA!D1668,"AAAAAH+/D80=")</f>
        <v>#VALUE!</v>
      </c>
      <c r="GY212" t="e">
        <f>AND(DATA!E1668,"AAAAAH+/D84=")</f>
        <v>#VALUE!</v>
      </c>
      <c r="GZ212" t="e">
        <f>AND(DATA!F1668,"AAAAAH+/D88=")</f>
        <v>#VALUE!</v>
      </c>
      <c r="HA212" t="e">
        <f>AND(DATA!G1668,"AAAAAH+/D9A=")</f>
        <v>#VALUE!</v>
      </c>
      <c r="HB212" t="e">
        <f>AND(DATA!H1668,"AAAAAH+/D9E=")</f>
        <v>#VALUE!</v>
      </c>
      <c r="HC212" t="e">
        <f>AND(DATA!I1668,"AAAAAH+/D9I=")</f>
        <v>#VALUE!</v>
      </c>
      <c r="HD212" t="e">
        <f>AND(DATA!J1668,"AAAAAH+/D9M=")</f>
        <v>#VALUE!</v>
      </c>
      <c r="HE212" t="e">
        <f>AND(DATA!K1668,"AAAAAH+/D9Q=")</f>
        <v>#VALUE!</v>
      </c>
      <c r="HF212" t="b">
        <f>AND(DATA!L1669,"AAAAAH+/D9U=")</f>
        <v>1</v>
      </c>
      <c r="HG212" t="b">
        <f>AND(DATA!M1669,"AAAAAH+/D9Y=")</f>
        <v>1</v>
      </c>
      <c r="HH212" t="b">
        <f>AND(DATA!N1669,"AAAAAH+/D9c=")</f>
        <v>1</v>
      </c>
      <c r="HI212" t="b">
        <f>AND(DATA!O1669,"AAAAAH+/D9g=")</f>
        <v>1</v>
      </c>
      <c r="HJ212" t="b">
        <f>AND(DATA!P1669,"AAAAAH+/D9k=")</f>
        <v>1</v>
      </c>
      <c r="HK212" t="b">
        <f>AND(DATA!Q1669,"AAAAAH+/D9o=")</f>
        <v>1</v>
      </c>
      <c r="HL212" t="b">
        <f>AND(DATA!R1669,"AAAAAH+/D9s=")</f>
        <v>1</v>
      </c>
      <c r="HM212" t="b">
        <f>AND(DATA!S1669,"AAAAAH+/D9w=")</f>
        <v>1</v>
      </c>
      <c r="HN212" t="b">
        <f>AND(DATA!T1669,"AAAAAH+/D90=")</f>
        <v>1</v>
      </c>
      <c r="HO212">
        <f>IF(DATA!1669:1669,"AAAAAH+/D94=",0)</f>
        <v>0</v>
      </c>
      <c r="HP212" t="e">
        <f>AND(DATA!A1669,"AAAAAH+/D98=")</f>
        <v>#VALUE!</v>
      </c>
      <c r="HQ212" t="e">
        <f>AND(DATA!B1669,"AAAAAH+/D+A=")</f>
        <v>#VALUE!</v>
      </c>
      <c r="HR212" t="e">
        <f>AND(DATA!C1669,"AAAAAH+/D+E=")</f>
        <v>#VALUE!</v>
      </c>
      <c r="HS212" t="e">
        <f>AND(DATA!D1669,"AAAAAH+/D+I=")</f>
        <v>#VALUE!</v>
      </c>
      <c r="HT212" t="e">
        <f>AND(DATA!E1669,"AAAAAH+/D+M=")</f>
        <v>#VALUE!</v>
      </c>
      <c r="HU212" t="e">
        <f>AND(DATA!F1669,"AAAAAH+/D+Q=")</f>
        <v>#VALUE!</v>
      </c>
      <c r="HV212" t="e">
        <f>AND(DATA!G1669,"AAAAAH+/D+U=")</f>
        <v>#VALUE!</v>
      </c>
      <c r="HW212" t="e">
        <f>AND(DATA!H1669,"AAAAAH+/D+Y=")</f>
        <v>#VALUE!</v>
      </c>
      <c r="HX212" t="e">
        <f>AND(DATA!I1669,"AAAAAH+/D+c=")</f>
        <v>#VALUE!</v>
      </c>
      <c r="HY212" t="e">
        <f>AND(DATA!J1669,"AAAAAH+/D+g=")</f>
        <v>#VALUE!</v>
      </c>
      <c r="HZ212" t="e">
        <f>AND(DATA!K1669,"AAAAAH+/D+k=")</f>
        <v>#VALUE!</v>
      </c>
      <c r="IA212" t="b">
        <f>AND(DATA!L1670,"AAAAAH+/D+o=")</f>
        <v>1</v>
      </c>
      <c r="IB212" t="b">
        <f>AND(DATA!M1670,"AAAAAH+/D+s=")</f>
        <v>1</v>
      </c>
      <c r="IC212" t="b">
        <f>AND(DATA!N1670,"AAAAAH+/D+w=")</f>
        <v>1</v>
      </c>
      <c r="ID212" t="b">
        <f>AND(DATA!O1670,"AAAAAH+/D+0=")</f>
        <v>1</v>
      </c>
      <c r="IE212" t="b">
        <f>AND(DATA!P1670,"AAAAAH+/D+4=")</f>
        <v>1</v>
      </c>
      <c r="IF212" t="b">
        <f>AND(DATA!Q1670,"AAAAAH+/D+8=")</f>
        <v>1</v>
      </c>
      <c r="IG212" t="b">
        <f>AND(DATA!R1670,"AAAAAH+/D/A=")</f>
        <v>1</v>
      </c>
      <c r="IH212" t="b">
        <f>AND(DATA!S1670,"AAAAAH+/D/E=")</f>
        <v>1</v>
      </c>
      <c r="II212" t="b">
        <f>AND(DATA!T1670,"AAAAAH+/D/I=")</f>
        <v>1</v>
      </c>
      <c r="IJ212">
        <f>IF(DATA!1670:1670,"AAAAAH+/D/M=",0)</f>
        <v>0</v>
      </c>
      <c r="IK212" t="e">
        <f>AND(DATA!A1670,"AAAAAH+/D/Q=")</f>
        <v>#VALUE!</v>
      </c>
      <c r="IL212" t="e">
        <f>AND(DATA!B1670,"AAAAAH+/D/U=")</f>
        <v>#VALUE!</v>
      </c>
      <c r="IM212" t="e">
        <f>AND(DATA!C1670,"AAAAAH+/D/Y=")</f>
        <v>#VALUE!</v>
      </c>
      <c r="IN212" t="e">
        <f>AND(DATA!D1670,"AAAAAH+/D/c=")</f>
        <v>#VALUE!</v>
      </c>
      <c r="IO212" t="e">
        <f>AND(DATA!E1670,"AAAAAH+/D/g=")</f>
        <v>#VALUE!</v>
      </c>
      <c r="IP212" t="e">
        <f>AND(DATA!F1670,"AAAAAH+/D/k=")</f>
        <v>#VALUE!</v>
      </c>
      <c r="IQ212" t="e">
        <f>AND(DATA!G1670,"AAAAAH+/D/o=")</f>
        <v>#VALUE!</v>
      </c>
      <c r="IR212" t="e">
        <f>AND(DATA!H1670,"AAAAAH+/D/s=")</f>
        <v>#VALUE!</v>
      </c>
      <c r="IS212" t="e">
        <f>AND(DATA!I1670,"AAAAAH+/D/w=")</f>
        <v>#VALUE!</v>
      </c>
      <c r="IT212" t="e">
        <f>AND(DATA!J1670,"AAAAAH+/D/0=")</f>
        <v>#VALUE!</v>
      </c>
      <c r="IU212" t="e">
        <f>AND(DATA!K1670,"AAAAAH+/D/4=")</f>
        <v>#VALUE!</v>
      </c>
      <c r="IV212" t="b">
        <f>AND(DATA!L1671,"AAAAAH+/D/8=")</f>
        <v>1</v>
      </c>
    </row>
    <row r="213" spans="1:256" x14ac:dyDescent="0.25">
      <c r="A213" t="b">
        <f>AND(DATA!M1671,"AAAAAD6/fgA=")</f>
        <v>1</v>
      </c>
      <c r="B213" t="b">
        <f>AND(DATA!N1671,"AAAAAD6/fgE=")</f>
        <v>1</v>
      </c>
      <c r="C213" t="b">
        <f>AND(DATA!O1671,"AAAAAD6/fgI=")</f>
        <v>1</v>
      </c>
      <c r="D213" t="b">
        <f>AND(DATA!P1671,"AAAAAD6/fgM=")</f>
        <v>1</v>
      </c>
      <c r="E213" t="b">
        <f>AND(DATA!Q1671,"AAAAAD6/fgQ=")</f>
        <v>1</v>
      </c>
      <c r="F213" t="b">
        <f>AND(DATA!R1671,"AAAAAD6/fgU=")</f>
        <v>1</v>
      </c>
      <c r="G213" t="b">
        <f>AND(DATA!S1671,"AAAAAD6/fgY=")</f>
        <v>1</v>
      </c>
      <c r="H213" t="b">
        <f>AND(DATA!T1671,"AAAAAD6/fgc=")</f>
        <v>1</v>
      </c>
      <c r="I213">
        <f>IF(DATA!1671:1671,"AAAAAD6/fgg=",0)</f>
        <v>0</v>
      </c>
      <c r="J213" t="e">
        <f>AND(DATA!A1671,"AAAAAD6/fgk=")</f>
        <v>#VALUE!</v>
      </c>
      <c r="K213" t="e">
        <f>AND(DATA!B1671,"AAAAAD6/fgo=")</f>
        <v>#VALUE!</v>
      </c>
      <c r="L213" t="e">
        <f>AND(DATA!C1671,"AAAAAD6/fgs=")</f>
        <v>#VALUE!</v>
      </c>
      <c r="M213" t="e">
        <f>AND(DATA!D1671,"AAAAAD6/fgw=")</f>
        <v>#VALUE!</v>
      </c>
      <c r="N213" t="e">
        <f>AND(DATA!E1671,"AAAAAD6/fg0=")</f>
        <v>#VALUE!</v>
      </c>
      <c r="O213" t="e">
        <f>AND(DATA!F1671,"AAAAAD6/fg4=")</f>
        <v>#VALUE!</v>
      </c>
      <c r="P213" t="e">
        <f>AND(DATA!G1671,"AAAAAD6/fg8=")</f>
        <v>#VALUE!</v>
      </c>
      <c r="Q213" t="e">
        <f>AND(DATA!H1671,"AAAAAD6/fhA=")</f>
        <v>#VALUE!</v>
      </c>
      <c r="R213" t="e">
        <f>AND(DATA!I1671,"AAAAAD6/fhE=")</f>
        <v>#VALUE!</v>
      </c>
      <c r="S213" t="e">
        <f>AND(DATA!J1671,"AAAAAD6/fhI=")</f>
        <v>#VALUE!</v>
      </c>
      <c r="T213" t="e">
        <f>AND(DATA!K1671,"AAAAAD6/fhM=")</f>
        <v>#VALUE!</v>
      </c>
      <c r="U213" t="b">
        <f>AND(DATA!L1672,"AAAAAD6/fhQ=")</f>
        <v>1</v>
      </c>
      <c r="V213" t="b">
        <f>AND(DATA!M1672,"AAAAAD6/fhU=")</f>
        <v>1</v>
      </c>
      <c r="W213" t="b">
        <f>AND(DATA!N1672,"AAAAAD6/fhY=")</f>
        <v>1</v>
      </c>
      <c r="X213" t="b">
        <f>AND(DATA!O1672,"AAAAAD6/fhc=")</f>
        <v>1</v>
      </c>
      <c r="Y213" t="b">
        <f>AND(DATA!P1672,"AAAAAD6/fhg=")</f>
        <v>1</v>
      </c>
      <c r="Z213" t="b">
        <f>AND(DATA!Q1672,"AAAAAD6/fhk=")</f>
        <v>1</v>
      </c>
      <c r="AA213" t="b">
        <f>AND(DATA!R1672,"AAAAAD6/fho=")</f>
        <v>1</v>
      </c>
      <c r="AB213" t="b">
        <f>AND(DATA!S1672,"AAAAAD6/fhs=")</f>
        <v>1</v>
      </c>
      <c r="AC213" t="b">
        <f>AND(DATA!T1672,"AAAAAD6/fhw=")</f>
        <v>1</v>
      </c>
      <c r="AD213">
        <f>IF(DATA!1672:1672,"AAAAAD6/fh0=",0)</f>
        <v>0</v>
      </c>
      <c r="AE213" t="e">
        <f>AND(DATA!A1672,"AAAAAD6/fh4=")</f>
        <v>#VALUE!</v>
      </c>
      <c r="AF213" t="e">
        <f>AND(DATA!B1672,"AAAAAD6/fh8=")</f>
        <v>#VALUE!</v>
      </c>
      <c r="AG213" t="e">
        <f>AND(DATA!C1672,"AAAAAD6/fiA=")</f>
        <v>#VALUE!</v>
      </c>
      <c r="AH213" t="e">
        <f>AND(DATA!D1672,"AAAAAD6/fiE=")</f>
        <v>#VALUE!</v>
      </c>
      <c r="AI213" t="e">
        <f>AND(DATA!E1672,"AAAAAD6/fiI=")</f>
        <v>#VALUE!</v>
      </c>
      <c r="AJ213" t="e">
        <f>AND(DATA!F1672,"AAAAAD6/fiM=")</f>
        <v>#VALUE!</v>
      </c>
      <c r="AK213" t="e">
        <f>AND(DATA!G1672,"AAAAAD6/fiQ=")</f>
        <v>#VALUE!</v>
      </c>
      <c r="AL213" t="e">
        <f>AND(DATA!H1672,"AAAAAD6/fiU=")</f>
        <v>#VALUE!</v>
      </c>
      <c r="AM213" t="e">
        <f>AND(DATA!I1672,"AAAAAD6/fiY=")</f>
        <v>#VALUE!</v>
      </c>
      <c r="AN213" t="e">
        <f>AND(DATA!J1672,"AAAAAD6/fic=")</f>
        <v>#VALUE!</v>
      </c>
      <c r="AO213" t="e">
        <f>AND(DATA!K1672,"AAAAAD6/fig=")</f>
        <v>#VALUE!</v>
      </c>
      <c r="AP213" t="b">
        <f>AND(DATA!L1673,"AAAAAD6/fik=")</f>
        <v>1</v>
      </c>
      <c r="AQ213" t="b">
        <f>AND(DATA!M1673,"AAAAAD6/fio=")</f>
        <v>1</v>
      </c>
      <c r="AR213" t="b">
        <f>AND(DATA!N1673,"AAAAAD6/fis=")</f>
        <v>1</v>
      </c>
      <c r="AS213" t="b">
        <f>AND(DATA!O1673,"AAAAAD6/fiw=")</f>
        <v>1</v>
      </c>
      <c r="AT213" t="b">
        <f>AND(DATA!P1673,"AAAAAD6/fi0=")</f>
        <v>1</v>
      </c>
      <c r="AU213" t="b">
        <f>AND(DATA!Q1673,"AAAAAD6/fi4=")</f>
        <v>1</v>
      </c>
      <c r="AV213" t="b">
        <f>AND(DATA!R1673,"AAAAAD6/fi8=")</f>
        <v>1</v>
      </c>
      <c r="AW213" t="b">
        <f>AND(DATA!S1673,"AAAAAD6/fjA=")</f>
        <v>1</v>
      </c>
      <c r="AX213" t="b">
        <f>AND(DATA!T1673,"AAAAAD6/fjE=")</f>
        <v>1</v>
      </c>
      <c r="AY213">
        <f>IF(DATA!1673:1673,"AAAAAD6/fjI=",0)</f>
        <v>0</v>
      </c>
      <c r="AZ213" t="e">
        <f>AND(DATA!A1673,"AAAAAD6/fjM=")</f>
        <v>#VALUE!</v>
      </c>
      <c r="BA213" t="e">
        <f>AND(DATA!B1673,"AAAAAD6/fjQ=")</f>
        <v>#VALUE!</v>
      </c>
      <c r="BB213" t="e">
        <f>AND(DATA!C1673,"AAAAAD6/fjU=")</f>
        <v>#VALUE!</v>
      </c>
      <c r="BC213" t="e">
        <f>AND(DATA!D1673,"AAAAAD6/fjY=")</f>
        <v>#VALUE!</v>
      </c>
      <c r="BD213" t="e">
        <f>AND(DATA!E1673,"AAAAAD6/fjc=")</f>
        <v>#VALUE!</v>
      </c>
      <c r="BE213" t="e">
        <f>AND(DATA!F1673,"AAAAAD6/fjg=")</f>
        <v>#VALUE!</v>
      </c>
      <c r="BF213" t="e">
        <f>AND(DATA!G1673,"AAAAAD6/fjk=")</f>
        <v>#VALUE!</v>
      </c>
      <c r="BG213" t="e">
        <f>AND(DATA!H1673,"AAAAAD6/fjo=")</f>
        <v>#VALUE!</v>
      </c>
      <c r="BH213" t="e">
        <f>AND(DATA!I1673,"AAAAAD6/fjs=")</f>
        <v>#VALUE!</v>
      </c>
      <c r="BI213" t="e">
        <f>AND(DATA!J1673,"AAAAAD6/fjw=")</f>
        <v>#VALUE!</v>
      </c>
      <c r="BJ213" t="e">
        <f>AND(DATA!K1673,"AAAAAD6/fj0=")</f>
        <v>#VALUE!</v>
      </c>
      <c r="BK213" t="b">
        <f>AND(DATA!L1674,"AAAAAD6/fj4=")</f>
        <v>1</v>
      </c>
      <c r="BL213" t="b">
        <f>AND(DATA!M1674,"AAAAAD6/fj8=")</f>
        <v>1</v>
      </c>
      <c r="BM213" t="b">
        <f>AND(DATA!N1674,"AAAAAD6/fkA=")</f>
        <v>1</v>
      </c>
      <c r="BN213" t="b">
        <f>AND(DATA!O1674,"AAAAAD6/fkE=")</f>
        <v>1</v>
      </c>
      <c r="BO213" t="b">
        <f>AND(DATA!P1674,"AAAAAD6/fkI=")</f>
        <v>1</v>
      </c>
      <c r="BP213" t="b">
        <f>AND(DATA!Q1674,"AAAAAD6/fkM=")</f>
        <v>1</v>
      </c>
      <c r="BQ213" t="b">
        <f>AND(DATA!R1674,"AAAAAD6/fkQ=")</f>
        <v>1</v>
      </c>
      <c r="BR213" t="b">
        <f>AND(DATA!S1674,"AAAAAD6/fkU=")</f>
        <v>1</v>
      </c>
      <c r="BS213" t="b">
        <f>AND(DATA!T1674,"AAAAAD6/fkY=")</f>
        <v>1</v>
      </c>
      <c r="BT213">
        <f>IF(DATA!1674:1674,"AAAAAD6/fkc=",0)</f>
        <v>0</v>
      </c>
      <c r="BU213" t="e">
        <f>AND(DATA!A1674,"AAAAAD6/fkg=")</f>
        <v>#VALUE!</v>
      </c>
      <c r="BV213" t="e">
        <f>AND(DATA!B1674,"AAAAAD6/fkk=")</f>
        <v>#VALUE!</v>
      </c>
      <c r="BW213" t="e">
        <f>AND(DATA!C1674,"AAAAAD6/fko=")</f>
        <v>#VALUE!</v>
      </c>
      <c r="BX213" t="e">
        <f>AND(DATA!D1674,"AAAAAD6/fks=")</f>
        <v>#VALUE!</v>
      </c>
      <c r="BY213" t="e">
        <f>AND(DATA!E1674,"AAAAAD6/fkw=")</f>
        <v>#VALUE!</v>
      </c>
      <c r="BZ213" t="e">
        <f>AND(DATA!F1674,"AAAAAD6/fk0=")</f>
        <v>#VALUE!</v>
      </c>
      <c r="CA213" t="e">
        <f>AND(DATA!G1674,"AAAAAD6/fk4=")</f>
        <v>#VALUE!</v>
      </c>
      <c r="CB213" t="e">
        <f>AND(DATA!H1674,"AAAAAD6/fk8=")</f>
        <v>#VALUE!</v>
      </c>
      <c r="CC213" t="e">
        <f>AND(DATA!I1674,"AAAAAD6/flA=")</f>
        <v>#VALUE!</v>
      </c>
      <c r="CD213" t="e">
        <f>AND(DATA!J1674,"AAAAAD6/flE=")</f>
        <v>#VALUE!</v>
      </c>
      <c r="CE213" t="e">
        <f>AND(DATA!K1674,"AAAAAD6/flI=")</f>
        <v>#VALUE!</v>
      </c>
      <c r="CF213" t="b">
        <f>AND(DATA!L1675,"AAAAAD6/flM=")</f>
        <v>1</v>
      </c>
      <c r="CG213" t="b">
        <f>AND(DATA!M1675,"AAAAAD6/flQ=")</f>
        <v>1</v>
      </c>
      <c r="CH213" t="b">
        <f>AND(DATA!N1675,"AAAAAD6/flU=")</f>
        <v>1</v>
      </c>
      <c r="CI213" t="b">
        <f>AND(DATA!O1675,"AAAAAD6/flY=")</f>
        <v>1</v>
      </c>
      <c r="CJ213" t="b">
        <f>AND(DATA!P1675,"AAAAAD6/flc=")</f>
        <v>1</v>
      </c>
      <c r="CK213" t="b">
        <f>AND(DATA!Q1675,"AAAAAD6/flg=")</f>
        <v>1</v>
      </c>
      <c r="CL213" t="b">
        <f>AND(DATA!R1675,"AAAAAD6/flk=")</f>
        <v>1</v>
      </c>
      <c r="CM213" t="b">
        <f>AND(DATA!S1675,"AAAAAD6/flo=")</f>
        <v>1</v>
      </c>
      <c r="CN213" t="b">
        <f>AND(DATA!T1675,"AAAAAD6/fls=")</f>
        <v>1</v>
      </c>
      <c r="CO213">
        <f>IF(DATA!1675:1675,"AAAAAD6/flw=",0)</f>
        <v>0</v>
      </c>
      <c r="CP213" t="e">
        <f>AND(DATA!A1675,"AAAAAD6/fl0=")</f>
        <v>#VALUE!</v>
      </c>
      <c r="CQ213" t="e">
        <f>AND(DATA!B1675,"AAAAAD6/fl4=")</f>
        <v>#VALUE!</v>
      </c>
      <c r="CR213" t="e">
        <f>AND(DATA!C1675,"AAAAAD6/fl8=")</f>
        <v>#VALUE!</v>
      </c>
      <c r="CS213" t="e">
        <f>AND(DATA!D1675,"AAAAAD6/fmA=")</f>
        <v>#VALUE!</v>
      </c>
      <c r="CT213" t="e">
        <f>AND(DATA!E1675,"AAAAAD6/fmE=")</f>
        <v>#VALUE!</v>
      </c>
      <c r="CU213" t="e">
        <f>AND(DATA!F1675,"AAAAAD6/fmI=")</f>
        <v>#VALUE!</v>
      </c>
      <c r="CV213" t="e">
        <f>AND(DATA!G1675,"AAAAAD6/fmM=")</f>
        <v>#VALUE!</v>
      </c>
      <c r="CW213" t="e">
        <f>AND(DATA!H1675,"AAAAAD6/fmQ=")</f>
        <v>#VALUE!</v>
      </c>
      <c r="CX213" t="e">
        <f>AND(DATA!I1675,"AAAAAD6/fmU=")</f>
        <v>#VALUE!</v>
      </c>
      <c r="CY213" t="e">
        <f>AND(DATA!J1675,"AAAAAD6/fmY=")</f>
        <v>#VALUE!</v>
      </c>
      <c r="CZ213" t="e">
        <f>AND(DATA!K1675,"AAAAAD6/fmc=")</f>
        <v>#VALUE!</v>
      </c>
      <c r="DA213" t="b">
        <f>AND(DATA!L1676,"AAAAAD6/fmg=")</f>
        <v>1</v>
      </c>
      <c r="DB213" t="b">
        <f>AND(DATA!M1676,"AAAAAD6/fmk=")</f>
        <v>1</v>
      </c>
      <c r="DC213" t="b">
        <f>AND(DATA!N1676,"AAAAAD6/fmo=")</f>
        <v>1</v>
      </c>
      <c r="DD213" t="b">
        <f>AND(DATA!O1676,"AAAAAD6/fms=")</f>
        <v>1</v>
      </c>
      <c r="DE213" t="b">
        <f>AND(DATA!P1676,"AAAAAD6/fmw=")</f>
        <v>1</v>
      </c>
      <c r="DF213" t="b">
        <f>AND(DATA!Q1676,"AAAAAD6/fm0=")</f>
        <v>1</v>
      </c>
      <c r="DG213" t="b">
        <f>AND(DATA!R1676,"AAAAAD6/fm4=")</f>
        <v>1</v>
      </c>
      <c r="DH213" t="b">
        <f>AND(DATA!S1676,"AAAAAD6/fm8=")</f>
        <v>1</v>
      </c>
      <c r="DI213" t="b">
        <f>AND(DATA!T1676,"AAAAAD6/fnA=")</f>
        <v>1</v>
      </c>
      <c r="DJ213">
        <f>IF(DATA!1676:1676,"AAAAAD6/fnE=",0)</f>
        <v>0</v>
      </c>
      <c r="DK213" t="e">
        <f>AND(DATA!A1676,"AAAAAD6/fnI=")</f>
        <v>#VALUE!</v>
      </c>
      <c r="DL213" t="e">
        <f>AND(DATA!B1676,"AAAAAD6/fnM=")</f>
        <v>#VALUE!</v>
      </c>
      <c r="DM213" t="e">
        <f>AND(DATA!C1676,"AAAAAD6/fnQ=")</f>
        <v>#VALUE!</v>
      </c>
      <c r="DN213" t="e">
        <f>AND(DATA!D1676,"AAAAAD6/fnU=")</f>
        <v>#VALUE!</v>
      </c>
      <c r="DO213" t="e">
        <f>AND(DATA!E1676,"AAAAAD6/fnY=")</f>
        <v>#VALUE!</v>
      </c>
      <c r="DP213" t="e">
        <f>AND(DATA!F1676,"AAAAAD6/fnc=")</f>
        <v>#VALUE!</v>
      </c>
      <c r="DQ213" t="e">
        <f>AND(DATA!G1676,"AAAAAD6/fng=")</f>
        <v>#VALUE!</v>
      </c>
      <c r="DR213" t="e">
        <f>AND(DATA!H1676,"AAAAAD6/fnk=")</f>
        <v>#VALUE!</v>
      </c>
      <c r="DS213" t="e">
        <f>AND(DATA!I1676,"AAAAAD6/fno=")</f>
        <v>#VALUE!</v>
      </c>
      <c r="DT213" t="e">
        <f>AND(DATA!J1676,"AAAAAD6/fns=")</f>
        <v>#VALUE!</v>
      </c>
      <c r="DU213" t="e">
        <f>AND(DATA!K1676,"AAAAAD6/fnw=")</f>
        <v>#VALUE!</v>
      </c>
      <c r="DV213" t="b">
        <f>AND(DATA!L1677,"AAAAAD6/fn0=")</f>
        <v>1</v>
      </c>
      <c r="DW213" t="b">
        <f>AND(DATA!M1677,"AAAAAD6/fn4=")</f>
        <v>1</v>
      </c>
      <c r="DX213" t="b">
        <f>AND(DATA!N1677,"AAAAAD6/fn8=")</f>
        <v>1</v>
      </c>
      <c r="DY213" t="b">
        <f>AND(DATA!O1677,"AAAAAD6/foA=")</f>
        <v>1</v>
      </c>
      <c r="DZ213" t="b">
        <f>AND(DATA!P1677,"AAAAAD6/foE=")</f>
        <v>1</v>
      </c>
      <c r="EA213" t="b">
        <f>AND(DATA!Q1677,"AAAAAD6/foI=")</f>
        <v>1</v>
      </c>
      <c r="EB213" t="b">
        <f>AND(DATA!R1677,"AAAAAD6/foM=")</f>
        <v>1</v>
      </c>
      <c r="EC213" t="b">
        <f>AND(DATA!S1677,"AAAAAD6/foQ=")</f>
        <v>1</v>
      </c>
      <c r="ED213" t="b">
        <f>AND(DATA!T1677,"AAAAAD6/foU=")</f>
        <v>1</v>
      </c>
      <c r="EE213">
        <f>IF(DATA!1677:1677,"AAAAAD6/foY=",0)</f>
        <v>0</v>
      </c>
      <c r="EF213" t="e">
        <f>AND(DATA!A1677,"AAAAAD6/foc=")</f>
        <v>#VALUE!</v>
      </c>
      <c r="EG213" t="e">
        <f>AND(DATA!B1677,"AAAAAD6/fog=")</f>
        <v>#VALUE!</v>
      </c>
      <c r="EH213" t="e">
        <f>AND(DATA!C1677,"AAAAAD6/fok=")</f>
        <v>#VALUE!</v>
      </c>
      <c r="EI213" t="e">
        <f>AND(DATA!D1677,"AAAAAD6/foo=")</f>
        <v>#VALUE!</v>
      </c>
      <c r="EJ213" t="e">
        <f>AND(DATA!E1677,"AAAAAD6/fos=")</f>
        <v>#VALUE!</v>
      </c>
      <c r="EK213" t="e">
        <f>AND(DATA!F1677,"AAAAAD6/fow=")</f>
        <v>#VALUE!</v>
      </c>
      <c r="EL213" t="e">
        <f>AND(DATA!G1677,"AAAAAD6/fo0=")</f>
        <v>#VALUE!</v>
      </c>
      <c r="EM213" t="e">
        <f>AND(DATA!H1677,"AAAAAD6/fo4=")</f>
        <v>#VALUE!</v>
      </c>
      <c r="EN213" t="e">
        <f>AND(DATA!I1677,"AAAAAD6/fo8=")</f>
        <v>#VALUE!</v>
      </c>
      <c r="EO213" t="e">
        <f>AND(DATA!J1677,"AAAAAD6/fpA=")</f>
        <v>#VALUE!</v>
      </c>
      <c r="EP213" t="e">
        <f>AND(DATA!K1677,"AAAAAD6/fpE=")</f>
        <v>#VALUE!</v>
      </c>
      <c r="EQ213" t="b">
        <f>AND(DATA!L1678,"AAAAAD6/fpI=")</f>
        <v>1</v>
      </c>
      <c r="ER213" t="b">
        <f>AND(DATA!M1678,"AAAAAD6/fpM=")</f>
        <v>1</v>
      </c>
      <c r="ES213" t="b">
        <f>AND(DATA!N1678,"AAAAAD6/fpQ=")</f>
        <v>1</v>
      </c>
      <c r="ET213" t="b">
        <f>AND(DATA!O1678,"AAAAAD6/fpU=")</f>
        <v>1</v>
      </c>
      <c r="EU213" t="b">
        <f>AND(DATA!P1678,"AAAAAD6/fpY=")</f>
        <v>1</v>
      </c>
      <c r="EV213" t="b">
        <f>AND(DATA!Q1678,"AAAAAD6/fpc=")</f>
        <v>1</v>
      </c>
      <c r="EW213" t="b">
        <f>AND(DATA!R1678,"AAAAAD6/fpg=")</f>
        <v>1</v>
      </c>
      <c r="EX213" t="b">
        <f>AND(DATA!S1678,"AAAAAD6/fpk=")</f>
        <v>1</v>
      </c>
      <c r="EY213" t="b">
        <f>AND(DATA!T1678,"AAAAAD6/fpo=")</f>
        <v>1</v>
      </c>
      <c r="EZ213">
        <f>IF(DATA!1678:1678,"AAAAAD6/fps=",0)</f>
        <v>0</v>
      </c>
      <c r="FA213" t="e">
        <f>AND(DATA!A1678,"AAAAAD6/fpw=")</f>
        <v>#VALUE!</v>
      </c>
      <c r="FB213" t="e">
        <f>AND(DATA!B1678,"AAAAAD6/fp0=")</f>
        <v>#VALUE!</v>
      </c>
      <c r="FC213" t="e">
        <f>AND(DATA!C1678,"AAAAAD6/fp4=")</f>
        <v>#VALUE!</v>
      </c>
      <c r="FD213" t="e">
        <f>AND(DATA!D1678,"AAAAAD6/fp8=")</f>
        <v>#VALUE!</v>
      </c>
      <c r="FE213" t="e">
        <f>AND(DATA!E1678,"AAAAAD6/fqA=")</f>
        <v>#VALUE!</v>
      </c>
      <c r="FF213" t="e">
        <f>AND(DATA!F1678,"AAAAAD6/fqE=")</f>
        <v>#VALUE!</v>
      </c>
      <c r="FG213" t="e">
        <f>AND(DATA!G1678,"AAAAAD6/fqI=")</f>
        <v>#VALUE!</v>
      </c>
      <c r="FH213" t="e">
        <f>AND(DATA!H1678,"AAAAAD6/fqM=")</f>
        <v>#VALUE!</v>
      </c>
      <c r="FI213" t="e">
        <f>AND(DATA!I1678,"AAAAAD6/fqQ=")</f>
        <v>#VALUE!</v>
      </c>
      <c r="FJ213" t="e">
        <f>AND(DATA!J1678,"AAAAAD6/fqU=")</f>
        <v>#VALUE!</v>
      </c>
      <c r="FK213" t="e">
        <f>AND(DATA!K1678,"AAAAAD6/fqY=")</f>
        <v>#VALUE!</v>
      </c>
      <c r="FL213" t="b">
        <f>AND(DATA!L1679,"AAAAAD6/fqc=")</f>
        <v>1</v>
      </c>
      <c r="FM213" t="b">
        <f>AND(DATA!M1679,"AAAAAD6/fqg=")</f>
        <v>1</v>
      </c>
      <c r="FN213" t="b">
        <f>AND(DATA!N1679,"AAAAAD6/fqk=")</f>
        <v>1</v>
      </c>
      <c r="FO213" t="b">
        <f>AND(DATA!O1679,"AAAAAD6/fqo=")</f>
        <v>1</v>
      </c>
      <c r="FP213" t="b">
        <f>AND(DATA!P1679,"AAAAAD6/fqs=")</f>
        <v>1</v>
      </c>
      <c r="FQ213" t="b">
        <f>AND(DATA!Q1679,"AAAAAD6/fqw=")</f>
        <v>1</v>
      </c>
      <c r="FR213" t="b">
        <f>AND(DATA!R1679,"AAAAAD6/fq0=")</f>
        <v>1</v>
      </c>
      <c r="FS213" t="b">
        <f>AND(DATA!S1679,"AAAAAD6/fq4=")</f>
        <v>1</v>
      </c>
      <c r="FT213" t="b">
        <f>AND(DATA!T1679,"AAAAAD6/fq8=")</f>
        <v>1</v>
      </c>
      <c r="FU213">
        <f>IF(DATA!1679:1679,"AAAAAD6/frA=",0)</f>
        <v>0</v>
      </c>
      <c r="FV213" t="e">
        <f>AND(DATA!A1679,"AAAAAD6/frE=")</f>
        <v>#VALUE!</v>
      </c>
      <c r="FW213" t="e">
        <f>AND(DATA!B1679,"AAAAAD6/frI=")</f>
        <v>#VALUE!</v>
      </c>
      <c r="FX213" t="e">
        <f>AND(DATA!C1679,"AAAAAD6/frM=")</f>
        <v>#VALUE!</v>
      </c>
      <c r="FY213" t="e">
        <f>AND(DATA!D1679,"AAAAAD6/frQ=")</f>
        <v>#VALUE!</v>
      </c>
      <c r="FZ213" t="e">
        <f>AND(DATA!E1679,"AAAAAD6/frU=")</f>
        <v>#VALUE!</v>
      </c>
      <c r="GA213" t="e">
        <f>AND(DATA!F1679,"AAAAAD6/frY=")</f>
        <v>#VALUE!</v>
      </c>
      <c r="GB213" t="e">
        <f>AND(DATA!G1679,"AAAAAD6/frc=")</f>
        <v>#VALUE!</v>
      </c>
      <c r="GC213" t="e">
        <f>AND(DATA!H1679,"AAAAAD6/frg=")</f>
        <v>#VALUE!</v>
      </c>
      <c r="GD213" t="e">
        <f>AND(DATA!I1679,"AAAAAD6/frk=")</f>
        <v>#VALUE!</v>
      </c>
      <c r="GE213" t="e">
        <f>AND(DATA!J1679,"AAAAAD6/fro=")</f>
        <v>#VALUE!</v>
      </c>
      <c r="GF213" t="e">
        <f>AND(DATA!K1679,"AAAAAD6/frs=")</f>
        <v>#VALUE!</v>
      </c>
      <c r="GG213" t="b">
        <f>AND(DATA!L1680,"AAAAAD6/frw=")</f>
        <v>1</v>
      </c>
      <c r="GH213" t="b">
        <f>AND(DATA!M1680,"AAAAAD6/fr0=")</f>
        <v>1</v>
      </c>
      <c r="GI213" t="b">
        <f>AND(DATA!N1680,"AAAAAD6/fr4=")</f>
        <v>1</v>
      </c>
      <c r="GJ213" t="b">
        <f>AND(DATA!O1680,"AAAAAD6/fr8=")</f>
        <v>1</v>
      </c>
      <c r="GK213" t="b">
        <f>AND(DATA!P1680,"AAAAAD6/fsA=")</f>
        <v>1</v>
      </c>
      <c r="GL213" t="b">
        <f>AND(DATA!Q1680,"AAAAAD6/fsE=")</f>
        <v>1</v>
      </c>
      <c r="GM213" t="b">
        <f>AND(DATA!R1680,"AAAAAD6/fsI=")</f>
        <v>1</v>
      </c>
      <c r="GN213" t="b">
        <f>AND(DATA!S1680,"AAAAAD6/fsM=")</f>
        <v>1</v>
      </c>
      <c r="GO213" t="b">
        <f>AND(DATA!T1680,"AAAAAD6/fsQ=")</f>
        <v>1</v>
      </c>
      <c r="GP213">
        <f>IF(DATA!1680:1680,"AAAAAD6/fsU=",0)</f>
        <v>0</v>
      </c>
      <c r="GQ213" t="e">
        <f>AND(DATA!A1680,"AAAAAD6/fsY=")</f>
        <v>#VALUE!</v>
      </c>
      <c r="GR213" t="e">
        <f>AND(DATA!B1680,"AAAAAD6/fsc=")</f>
        <v>#VALUE!</v>
      </c>
      <c r="GS213" t="e">
        <f>AND(DATA!C1680,"AAAAAD6/fsg=")</f>
        <v>#VALUE!</v>
      </c>
      <c r="GT213" t="e">
        <f>AND(DATA!D1680,"AAAAAD6/fsk=")</f>
        <v>#VALUE!</v>
      </c>
      <c r="GU213" t="e">
        <f>AND(DATA!E1680,"AAAAAD6/fso=")</f>
        <v>#VALUE!</v>
      </c>
      <c r="GV213" t="e">
        <f>AND(DATA!F1680,"AAAAAD6/fss=")</f>
        <v>#VALUE!</v>
      </c>
      <c r="GW213" t="e">
        <f>AND(DATA!G1680,"AAAAAD6/fsw=")</f>
        <v>#VALUE!</v>
      </c>
      <c r="GX213" t="e">
        <f>AND(DATA!H1680,"AAAAAD6/fs0=")</f>
        <v>#VALUE!</v>
      </c>
      <c r="GY213" t="e">
        <f>AND(DATA!I1680,"AAAAAD6/fs4=")</f>
        <v>#VALUE!</v>
      </c>
      <c r="GZ213" t="e">
        <f>AND(DATA!J1680,"AAAAAD6/fs8=")</f>
        <v>#VALUE!</v>
      </c>
      <c r="HA213" t="e">
        <f>AND(DATA!K1680,"AAAAAD6/ftA=")</f>
        <v>#VALUE!</v>
      </c>
      <c r="HB213" t="b">
        <f>AND(DATA!L1681,"AAAAAD6/ftE=")</f>
        <v>1</v>
      </c>
      <c r="HC213" t="b">
        <f>AND(DATA!M1681,"AAAAAD6/ftI=")</f>
        <v>1</v>
      </c>
      <c r="HD213" t="b">
        <f>AND(DATA!N1681,"AAAAAD6/ftM=")</f>
        <v>1</v>
      </c>
      <c r="HE213" t="b">
        <f>AND(DATA!O1681,"AAAAAD6/ftQ=")</f>
        <v>1</v>
      </c>
      <c r="HF213" t="b">
        <f>AND(DATA!P1681,"AAAAAD6/ftU=")</f>
        <v>1</v>
      </c>
      <c r="HG213" t="b">
        <f>AND(DATA!Q1681,"AAAAAD6/ftY=")</f>
        <v>1</v>
      </c>
      <c r="HH213" t="b">
        <f>AND(DATA!R1681,"AAAAAD6/ftc=")</f>
        <v>1</v>
      </c>
      <c r="HI213" t="b">
        <f>AND(DATA!S1681,"AAAAAD6/ftg=")</f>
        <v>1</v>
      </c>
      <c r="HJ213" t="b">
        <f>AND(DATA!T1681,"AAAAAD6/ftk=")</f>
        <v>1</v>
      </c>
      <c r="HK213">
        <f>IF(DATA!1681:1681,"AAAAAD6/fto=",0)</f>
        <v>0</v>
      </c>
      <c r="HL213" t="e">
        <f>AND(DATA!A1681,"AAAAAD6/fts=")</f>
        <v>#VALUE!</v>
      </c>
      <c r="HM213" t="e">
        <f>AND(DATA!B1681,"AAAAAD6/ftw=")</f>
        <v>#VALUE!</v>
      </c>
      <c r="HN213" t="e">
        <f>AND(DATA!C1681,"AAAAAD6/ft0=")</f>
        <v>#VALUE!</v>
      </c>
      <c r="HO213" t="e">
        <f>AND(DATA!D1681,"AAAAAD6/ft4=")</f>
        <v>#VALUE!</v>
      </c>
      <c r="HP213" t="e">
        <f>AND(DATA!E1681,"AAAAAD6/ft8=")</f>
        <v>#VALUE!</v>
      </c>
      <c r="HQ213" t="e">
        <f>AND(DATA!F1681,"AAAAAD6/fuA=")</f>
        <v>#VALUE!</v>
      </c>
      <c r="HR213" t="e">
        <f>AND(DATA!G1681,"AAAAAD6/fuE=")</f>
        <v>#VALUE!</v>
      </c>
      <c r="HS213" t="e">
        <f>AND(DATA!H1681,"AAAAAD6/fuI=")</f>
        <v>#VALUE!</v>
      </c>
      <c r="HT213" t="e">
        <f>AND(DATA!I1681,"AAAAAD6/fuM=")</f>
        <v>#VALUE!</v>
      </c>
      <c r="HU213" t="e">
        <f>AND(DATA!J1681,"AAAAAD6/fuQ=")</f>
        <v>#VALUE!</v>
      </c>
      <c r="HV213" t="e">
        <f>AND(DATA!K1681,"AAAAAD6/fuU=")</f>
        <v>#VALUE!</v>
      </c>
      <c r="HW213" t="b">
        <f>AND(DATA!L1682,"AAAAAD6/fuY=")</f>
        <v>1</v>
      </c>
      <c r="HX213" t="b">
        <f>AND(DATA!M1682,"AAAAAD6/fuc=")</f>
        <v>1</v>
      </c>
      <c r="HY213" t="b">
        <f>AND(DATA!N1682,"AAAAAD6/fug=")</f>
        <v>1</v>
      </c>
      <c r="HZ213" t="b">
        <f>AND(DATA!O1682,"AAAAAD6/fuk=")</f>
        <v>1</v>
      </c>
      <c r="IA213" t="b">
        <f>AND(DATA!P1682,"AAAAAD6/fuo=")</f>
        <v>1</v>
      </c>
      <c r="IB213" t="b">
        <f>AND(DATA!Q1682,"AAAAAD6/fus=")</f>
        <v>1</v>
      </c>
      <c r="IC213" t="b">
        <f>AND(DATA!R1682,"AAAAAD6/fuw=")</f>
        <v>1</v>
      </c>
      <c r="ID213" t="b">
        <f>AND(DATA!S1682,"AAAAAD6/fu0=")</f>
        <v>1</v>
      </c>
      <c r="IE213" t="b">
        <f>AND(DATA!T1682,"AAAAAD6/fu4=")</f>
        <v>1</v>
      </c>
      <c r="IF213">
        <f>IF(DATA!1682:1682,"AAAAAD6/fu8=",0)</f>
        <v>0</v>
      </c>
      <c r="IG213" t="e">
        <f>AND(DATA!A1682,"AAAAAD6/fvA=")</f>
        <v>#VALUE!</v>
      </c>
      <c r="IH213" t="e">
        <f>AND(DATA!B1682,"AAAAAD6/fvE=")</f>
        <v>#VALUE!</v>
      </c>
      <c r="II213" t="e">
        <f>AND(DATA!C1682,"AAAAAD6/fvI=")</f>
        <v>#VALUE!</v>
      </c>
      <c r="IJ213" t="e">
        <f>AND(DATA!D1682,"AAAAAD6/fvM=")</f>
        <v>#VALUE!</v>
      </c>
      <c r="IK213" t="e">
        <f>AND(DATA!E1682,"AAAAAD6/fvQ=")</f>
        <v>#VALUE!</v>
      </c>
      <c r="IL213" t="e">
        <f>AND(DATA!F1682,"AAAAAD6/fvU=")</f>
        <v>#VALUE!</v>
      </c>
      <c r="IM213" t="e">
        <f>AND(DATA!G1682,"AAAAAD6/fvY=")</f>
        <v>#VALUE!</v>
      </c>
      <c r="IN213" t="e">
        <f>AND(DATA!H1682,"AAAAAD6/fvc=")</f>
        <v>#VALUE!</v>
      </c>
      <c r="IO213" t="e">
        <f>AND(DATA!I1682,"AAAAAD6/fvg=")</f>
        <v>#VALUE!</v>
      </c>
      <c r="IP213" t="e">
        <f>AND(DATA!J1682,"AAAAAD6/fvk=")</f>
        <v>#VALUE!</v>
      </c>
      <c r="IQ213" t="e">
        <f>AND(DATA!K1682,"AAAAAD6/fvo=")</f>
        <v>#VALUE!</v>
      </c>
      <c r="IR213" t="b">
        <f>AND(DATA!L1683,"AAAAAD6/fvs=")</f>
        <v>1</v>
      </c>
      <c r="IS213" t="b">
        <f>AND(DATA!M1683,"AAAAAD6/fvw=")</f>
        <v>1</v>
      </c>
      <c r="IT213" t="b">
        <f>AND(DATA!N1683,"AAAAAD6/fv0=")</f>
        <v>1</v>
      </c>
      <c r="IU213" t="b">
        <f>AND(DATA!O1683,"AAAAAD6/fv4=")</f>
        <v>1</v>
      </c>
      <c r="IV213" t="b">
        <f>AND(DATA!P1683,"AAAAAD6/fv8=")</f>
        <v>1</v>
      </c>
    </row>
    <row r="214" spans="1:256" x14ac:dyDescent="0.25">
      <c r="A214" t="b">
        <f>AND(DATA!Q1683,"AAAAAH9+dwA=")</f>
        <v>1</v>
      </c>
      <c r="B214" t="b">
        <f>AND(DATA!R1683,"AAAAAH9+dwE=")</f>
        <v>1</v>
      </c>
      <c r="C214" t="b">
        <f>AND(DATA!S1683,"AAAAAH9+dwI=")</f>
        <v>1</v>
      </c>
      <c r="D214" t="b">
        <f>AND(DATA!T1683,"AAAAAH9+dwM=")</f>
        <v>1</v>
      </c>
      <c r="E214">
        <f>IF(DATA!1683:1683,"AAAAAH9+dwQ=",0)</f>
        <v>0</v>
      </c>
      <c r="F214" t="e">
        <f>AND(DATA!A1683,"AAAAAH9+dwU=")</f>
        <v>#VALUE!</v>
      </c>
      <c r="G214" t="e">
        <f>AND(DATA!B1683,"AAAAAH9+dwY=")</f>
        <v>#VALUE!</v>
      </c>
      <c r="H214" t="e">
        <f>AND(DATA!C1683,"AAAAAH9+dwc=")</f>
        <v>#VALUE!</v>
      </c>
      <c r="I214" t="e">
        <f>AND(DATA!D1683,"AAAAAH9+dwg=")</f>
        <v>#VALUE!</v>
      </c>
      <c r="J214" t="e">
        <f>AND(DATA!E1683,"AAAAAH9+dwk=")</f>
        <v>#VALUE!</v>
      </c>
      <c r="K214" t="e">
        <f>AND(DATA!F1683,"AAAAAH9+dwo=")</f>
        <v>#VALUE!</v>
      </c>
      <c r="L214" t="e">
        <f>AND(DATA!G1683,"AAAAAH9+dws=")</f>
        <v>#VALUE!</v>
      </c>
      <c r="M214" t="e">
        <f>AND(DATA!H1683,"AAAAAH9+dww=")</f>
        <v>#VALUE!</v>
      </c>
      <c r="N214" t="e">
        <f>AND(DATA!I1683,"AAAAAH9+dw0=")</f>
        <v>#VALUE!</v>
      </c>
      <c r="O214" t="e">
        <f>AND(DATA!J1683,"AAAAAH9+dw4=")</f>
        <v>#VALUE!</v>
      </c>
      <c r="P214" t="e">
        <f>AND(DATA!K1683,"AAAAAH9+dw8=")</f>
        <v>#VALUE!</v>
      </c>
      <c r="Q214" t="b">
        <f>AND(DATA!L1684,"AAAAAH9+dxA=")</f>
        <v>1</v>
      </c>
      <c r="R214" t="b">
        <f>AND(DATA!M1684,"AAAAAH9+dxE=")</f>
        <v>1</v>
      </c>
      <c r="S214" t="b">
        <f>AND(DATA!N1684,"AAAAAH9+dxI=")</f>
        <v>1</v>
      </c>
      <c r="T214" t="b">
        <f>AND(DATA!O1684,"AAAAAH9+dxM=")</f>
        <v>1</v>
      </c>
      <c r="U214" t="b">
        <f>AND(DATA!P1684,"AAAAAH9+dxQ=")</f>
        <v>1</v>
      </c>
      <c r="V214" t="b">
        <f>AND(DATA!Q1684,"AAAAAH9+dxU=")</f>
        <v>1</v>
      </c>
      <c r="W214" t="b">
        <f>AND(DATA!R1684,"AAAAAH9+dxY=")</f>
        <v>1</v>
      </c>
      <c r="X214" t="b">
        <f>AND(DATA!S1684,"AAAAAH9+dxc=")</f>
        <v>1</v>
      </c>
      <c r="Y214" t="b">
        <f>AND(DATA!T1684,"AAAAAH9+dxg=")</f>
        <v>1</v>
      </c>
      <c r="Z214">
        <f>IF(DATA!1684:1684,"AAAAAH9+dxk=",0)</f>
        <v>0</v>
      </c>
      <c r="AA214" t="e">
        <f>AND(DATA!A1684,"AAAAAH9+dxo=")</f>
        <v>#VALUE!</v>
      </c>
      <c r="AB214" t="e">
        <f>AND(DATA!B1684,"AAAAAH9+dxs=")</f>
        <v>#VALUE!</v>
      </c>
      <c r="AC214" t="e">
        <f>AND(DATA!C1684,"AAAAAH9+dxw=")</f>
        <v>#VALUE!</v>
      </c>
      <c r="AD214" t="e">
        <f>AND(DATA!D1684,"AAAAAH9+dx0=")</f>
        <v>#VALUE!</v>
      </c>
      <c r="AE214" t="e">
        <f>AND(DATA!E1684,"AAAAAH9+dx4=")</f>
        <v>#VALUE!</v>
      </c>
      <c r="AF214" t="e">
        <f>AND(DATA!F1684,"AAAAAH9+dx8=")</f>
        <v>#VALUE!</v>
      </c>
      <c r="AG214" t="e">
        <f>AND(DATA!G1684,"AAAAAH9+dyA=")</f>
        <v>#VALUE!</v>
      </c>
      <c r="AH214" t="e">
        <f>AND(DATA!H1684,"AAAAAH9+dyE=")</f>
        <v>#VALUE!</v>
      </c>
      <c r="AI214" t="e">
        <f>AND(DATA!I1684,"AAAAAH9+dyI=")</f>
        <v>#VALUE!</v>
      </c>
      <c r="AJ214" t="e">
        <f>AND(DATA!J1684,"AAAAAH9+dyM=")</f>
        <v>#VALUE!</v>
      </c>
      <c r="AK214" t="e">
        <f>AND(DATA!K1684,"AAAAAH9+dyQ=")</f>
        <v>#VALUE!</v>
      </c>
      <c r="AL214" t="b">
        <f>AND(DATA!L1685,"AAAAAH9+dyU=")</f>
        <v>1</v>
      </c>
      <c r="AM214" t="b">
        <f>AND(DATA!M1685,"AAAAAH9+dyY=")</f>
        <v>1</v>
      </c>
      <c r="AN214" t="b">
        <f>AND(DATA!N1685,"AAAAAH9+dyc=")</f>
        <v>1</v>
      </c>
      <c r="AO214" t="b">
        <f>AND(DATA!O1685,"AAAAAH9+dyg=")</f>
        <v>1</v>
      </c>
      <c r="AP214" t="b">
        <f>AND(DATA!P1685,"AAAAAH9+dyk=")</f>
        <v>1</v>
      </c>
      <c r="AQ214" t="b">
        <f>AND(DATA!Q1685,"AAAAAH9+dyo=")</f>
        <v>1</v>
      </c>
      <c r="AR214" t="b">
        <f>AND(DATA!R1685,"AAAAAH9+dys=")</f>
        <v>1</v>
      </c>
      <c r="AS214" t="b">
        <f>AND(DATA!S1685,"AAAAAH9+dyw=")</f>
        <v>1</v>
      </c>
      <c r="AT214" t="b">
        <f>AND(DATA!T1685,"AAAAAH9+dy0=")</f>
        <v>1</v>
      </c>
      <c r="AU214">
        <f>IF(DATA!1685:1685,"AAAAAH9+dy4=",0)</f>
        <v>0</v>
      </c>
      <c r="AV214" t="e">
        <f>AND(DATA!A1685,"AAAAAH9+dy8=")</f>
        <v>#VALUE!</v>
      </c>
      <c r="AW214" t="e">
        <f>AND(DATA!B1685,"AAAAAH9+dzA=")</f>
        <v>#VALUE!</v>
      </c>
      <c r="AX214" t="e">
        <f>AND(DATA!C1685,"AAAAAH9+dzE=")</f>
        <v>#VALUE!</v>
      </c>
      <c r="AY214" t="e">
        <f>AND(DATA!D1685,"AAAAAH9+dzI=")</f>
        <v>#VALUE!</v>
      </c>
      <c r="AZ214" t="e">
        <f>AND(DATA!E1685,"AAAAAH9+dzM=")</f>
        <v>#VALUE!</v>
      </c>
      <c r="BA214" t="e">
        <f>AND(DATA!F1685,"AAAAAH9+dzQ=")</f>
        <v>#VALUE!</v>
      </c>
      <c r="BB214" t="e">
        <f>AND(DATA!G1685,"AAAAAH9+dzU=")</f>
        <v>#VALUE!</v>
      </c>
      <c r="BC214" t="e">
        <f>AND(DATA!H1685,"AAAAAH9+dzY=")</f>
        <v>#VALUE!</v>
      </c>
      <c r="BD214" t="e">
        <f>AND(DATA!I1685,"AAAAAH9+dzc=")</f>
        <v>#VALUE!</v>
      </c>
      <c r="BE214" t="e">
        <f>AND(DATA!J1685,"AAAAAH9+dzg=")</f>
        <v>#VALUE!</v>
      </c>
      <c r="BF214" t="e">
        <f>AND(DATA!K1685,"AAAAAH9+dzk=")</f>
        <v>#VALUE!</v>
      </c>
      <c r="BG214" t="b">
        <f>AND(DATA!L1686,"AAAAAH9+dzo=")</f>
        <v>1</v>
      </c>
      <c r="BH214" t="b">
        <f>AND(DATA!M1686,"AAAAAH9+dzs=")</f>
        <v>1</v>
      </c>
      <c r="BI214" t="b">
        <f>AND(DATA!N1686,"AAAAAH9+dzw=")</f>
        <v>1</v>
      </c>
      <c r="BJ214" t="b">
        <f>AND(DATA!O1686,"AAAAAH9+dz0=")</f>
        <v>1</v>
      </c>
      <c r="BK214" t="b">
        <f>AND(DATA!P1686,"AAAAAH9+dz4=")</f>
        <v>1</v>
      </c>
      <c r="BL214" t="b">
        <f>AND(DATA!Q1686,"AAAAAH9+dz8=")</f>
        <v>1</v>
      </c>
      <c r="BM214" t="b">
        <f>AND(DATA!R1686,"AAAAAH9+d0A=")</f>
        <v>1</v>
      </c>
      <c r="BN214" t="b">
        <f>AND(DATA!S1686,"AAAAAH9+d0E=")</f>
        <v>1</v>
      </c>
      <c r="BO214" t="b">
        <f>AND(DATA!T1686,"AAAAAH9+d0I=")</f>
        <v>1</v>
      </c>
      <c r="BP214">
        <f>IF(DATA!1686:1686,"AAAAAH9+d0M=",0)</f>
        <v>0</v>
      </c>
      <c r="BQ214" t="e">
        <f>AND(DATA!A1686,"AAAAAH9+d0Q=")</f>
        <v>#VALUE!</v>
      </c>
      <c r="BR214" t="e">
        <f>AND(DATA!B1686,"AAAAAH9+d0U=")</f>
        <v>#VALUE!</v>
      </c>
      <c r="BS214" t="e">
        <f>AND(DATA!C1686,"AAAAAH9+d0Y=")</f>
        <v>#VALUE!</v>
      </c>
      <c r="BT214" t="e">
        <f>AND(DATA!D1686,"AAAAAH9+d0c=")</f>
        <v>#VALUE!</v>
      </c>
      <c r="BU214" t="e">
        <f>AND(DATA!E1686,"AAAAAH9+d0g=")</f>
        <v>#VALUE!</v>
      </c>
      <c r="BV214" t="e">
        <f>AND(DATA!F1686,"AAAAAH9+d0k=")</f>
        <v>#VALUE!</v>
      </c>
      <c r="BW214" t="e">
        <f>AND(DATA!G1686,"AAAAAH9+d0o=")</f>
        <v>#VALUE!</v>
      </c>
      <c r="BX214" t="e">
        <f>AND(DATA!H1686,"AAAAAH9+d0s=")</f>
        <v>#VALUE!</v>
      </c>
      <c r="BY214" t="e">
        <f>AND(DATA!I1686,"AAAAAH9+d0w=")</f>
        <v>#VALUE!</v>
      </c>
      <c r="BZ214" t="e">
        <f>AND(DATA!J1686,"AAAAAH9+d00=")</f>
        <v>#VALUE!</v>
      </c>
      <c r="CA214" t="e">
        <f>AND(DATA!K1686,"AAAAAH9+d04=")</f>
        <v>#VALUE!</v>
      </c>
      <c r="CB214" t="b">
        <f>AND(DATA!L1687,"AAAAAH9+d08=")</f>
        <v>1</v>
      </c>
      <c r="CC214" t="b">
        <f>AND(DATA!M1687,"AAAAAH9+d1A=")</f>
        <v>1</v>
      </c>
      <c r="CD214" t="b">
        <f>AND(DATA!N1687,"AAAAAH9+d1E=")</f>
        <v>1</v>
      </c>
      <c r="CE214" t="b">
        <f>AND(DATA!O1687,"AAAAAH9+d1I=")</f>
        <v>1</v>
      </c>
      <c r="CF214" t="b">
        <f>AND(DATA!P1687,"AAAAAH9+d1M=")</f>
        <v>1</v>
      </c>
      <c r="CG214" t="b">
        <f>AND(DATA!Q1687,"AAAAAH9+d1Q=")</f>
        <v>1</v>
      </c>
      <c r="CH214" t="b">
        <f>AND(DATA!R1687,"AAAAAH9+d1U=")</f>
        <v>1</v>
      </c>
      <c r="CI214" t="b">
        <f>AND(DATA!S1687,"AAAAAH9+d1Y=")</f>
        <v>1</v>
      </c>
      <c r="CJ214" t="b">
        <f>AND(DATA!T1687,"AAAAAH9+d1c=")</f>
        <v>1</v>
      </c>
      <c r="CK214">
        <f>IF(DATA!1687:1687,"AAAAAH9+d1g=",0)</f>
        <v>0</v>
      </c>
      <c r="CL214" t="e">
        <f>AND(DATA!A1687,"AAAAAH9+d1k=")</f>
        <v>#VALUE!</v>
      </c>
      <c r="CM214" t="e">
        <f>AND(DATA!B1687,"AAAAAH9+d1o=")</f>
        <v>#VALUE!</v>
      </c>
      <c r="CN214" t="e">
        <f>AND(DATA!C1687,"AAAAAH9+d1s=")</f>
        <v>#VALUE!</v>
      </c>
      <c r="CO214" t="e">
        <f>AND(DATA!D1687,"AAAAAH9+d1w=")</f>
        <v>#VALUE!</v>
      </c>
      <c r="CP214" t="e">
        <f>AND(DATA!E1687,"AAAAAH9+d10=")</f>
        <v>#VALUE!</v>
      </c>
      <c r="CQ214" t="e">
        <f>AND(DATA!F1687,"AAAAAH9+d14=")</f>
        <v>#VALUE!</v>
      </c>
      <c r="CR214" t="e">
        <f>AND(DATA!G1687,"AAAAAH9+d18=")</f>
        <v>#VALUE!</v>
      </c>
      <c r="CS214" t="e">
        <f>AND(DATA!H1687,"AAAAAH9+d2A=")</f>
        <v>#VALUE!</v>
      </c>
      <c r="CT214" t="e">
        <f>AND(DATA!I1687,"AAAAAH9+d2E=")</f>
        <v>#VALUE!</v>
      </c>
      <c r="CU214" t="e">
        <f>AND(DATA!J1687,"AAAAAH9+d2I=")</f>
        <v>#VALUE!</v>
      </c>
      <c r="CV214" t="e">
        <f>AND(DATA!K1687,"AAAAAH9+d2M=")</f>
        <v>#VALUE!</v>
      </c>
      <c r="CW214" t="b">
        <f>AND(DATA!L1688,"AAAAAH9+d2Q=")</f>
        <v>1</v>
      </c>
      <c r="CX214" t="b">
        <f>AND(DATA!M1688,"AAAAAH9+d2U=")</f>
        <v>1</v>
      </c>
      <c r="CY214" t="b">
        <f>AND(DATA!N1688,"AAAAAH9+d2Y=")</f>
        <v>1</v>
      </c>
      <c r="CZ214" t="b">
        <f>AND(DATA!O1688,"AAAAAH9+d2c=")</f>
        <v>1</v>
      </c>
      <c r="DA214" t="b">
        <f>AND(DATA!P1688,"AAAAAH9+d2g=")</f>
        <v>1</v>
      </c>
      <c r="DB214" t="b">
        <f>AND(DATA!Q1688,"AAAAAH9+d2k=")</f>
        <v>1</v>
      </c>
      <c r="DC214" t="b">
        <f>AND(DATA!R1688,"AAAAAH9+d2o=")</f>
        <v>1</v>
      </c>
      <c r="DD214" t="b">
        <f>AND(DATA!S1688,"AAAAAH9+d2s=")</f>
        <v>1</v>
      </c>
      <c r="DE214" t="b">
        <f>AND(DATA!T1688,"AAAAAH9+d2w=")</f>
        <v>1</v>
      </c>
      <c r="DF214">
        <f>IF(DATA!1688:1688,"AAAAAH9+d20=",0)</f>
        <v>0</v>
      </c>
      <c r="DG214" t="e">
        <f>AND(DATA!A1688,"AAAAAH9+d24=")</f>
        <v>#VALUE!</v>
      </c>
      <c r="DH214" t="e">
        <f>AND(DATA!B1688,"AAAAAH9+d28=")</f>
        <v>#VALUE!</v>
      </c>
      <c r="DI214" t="e">
        <f>AND(DATA!C1688,"AAAAAH9+d3A=")</f>
        <v>#VALUE!</v>
      </c>
      <c r="DJ214" t="e">
        <f>AND(DATA!D1688,"AAAAAH9+d3E=")</f>
        <v>#VALUE!</v>
      </c>
      <c r="DK214" t="e">
        <f>AND(DATA!E1688,"AAAAAH9+d3I=")</f>
        <v>#VALUE!</v>
      </c>
      <c r="DL214" t="e">
        <f>AND(DATA!F1688,"AAAAAH9+d3M=")</f>
        <v>#VALUE!</v>
      </c>
      <c r="DM214" t="e">
        <f>AND(DATA!G1688,"AAAAAH9+d3Q=")</f>
        <v>#VALUE!</v>
      </c>
      <c r="DN214" t="e">
        <f>AND(DATA!H1688,"AAAAAH9+d3U=")</f>
        <v>#VALUE!</v>
      </c>
      <c r="DO214" t="e">
        <f>AND(DATA!I1688,"AAAAAH9+d3Y=")</f>
        <v>#VALUE!</v>
      </c>
      <c r="DP214" t="e">
        <f>AND(DATA!J1688,"AAAAAH9+d3c=")</f>
        <v>#VALUE!</v>
      </c>
      <c r="DQ214" t="e">
        <f>AND(DATA!K1688,"AAAAAH9+d3g=")</f>
        <v>#VALUE!</v>
      </c>
      <c r="DR214" t="b">
        <f>AND(DATA!L1689,"AAAAAH9+d3k=")</f>
        <v>1</v>
      </c>
      <c r="DS214" t="b">
        <f>AND(DATA!M1689,"AAAAAH9+d3o=")</f>
        <v>1</v>
      </c>
      <c r="DT214" t="b">
        <f>AND(DATA!N1689,"AAAAAH9+d3s=")</f>
        <v>1</v>
      </c>
      <c r="DU214" t="b">
        <f>AND(DATA!O1689,"AAAAAH9+d3w=")</f>
        <v>1</v>
      </c>
      <c r="DV214" t="b">
        <f>AND(DATA!P1689,"AAAAAH9+d30=")</f>
        <v>1</v>
      </c>
      <c r="DW214" t="b">
        <f>AND(DATA!Q1689,"AAAAAH9+d34=")</f>
        <v>1</v>
      </c>
      <c r="DX214" t="b">
        <f>AND(DATA!R1689,"AAAAAH9+d38=")</f>
        <v>1</v>
      </c>
      <c r="DY214" t="b">
        <f>AND(DATA!S1689,"AAAAAH9+d4A=")</f>
        <v>1</v>
      </c>
      <c r="DZ214" t="b">
        <f>AND(DATA!T1689,"AAAAAH9+d4E=")</f>
        <v>1</v>
      </c>
      <c r="EA214">
        <f>IF(DATA!1689:1689,"AAAAAH9+d4I=",0)</f>
        <v>0</v>
      </c>
      <c r="EB214" t="e">
        <f>AND(DATA!A1689,"AAAAAH9+d4M=")</f>
        <v>#VALUE!</v>
      </c>
      <c r="EC214" t="e">
        <f>AND(DATA!B1689,"AAAAAH9+d4Q=")</f>
        <v>#VALUE!</v>
      </c>
      <c r="ED214" t="e">
        <f>AND(DATA!C1689,"AAAAAH9+d4U=")</f>
        <v>#VALUE!</v>
      </c>
      <c r="EE214" t="e">
        <f>AND(DATA!D1689,"AAAAAH9+d4Y=")</f>
        <v>#VALUE!</v>
      </c>
      <c r="EF214" t="e">
        <f>AND(DATA!E1689,"AAAAAH9+d4c=")</f>
        <v>#VALUE!</v>
      </c>
      <c r="EG214" t="e">
        <f>AND(DATA!F1689,"AAAAAH9+d4g=")</f>
        <v>#VALUE!</v>
      </c>
      <c r="EH214" t="e">
        <f>AND(DATA!G1689,"AAAAAH9+d4k=")</f>
        <v>#VALUE!</v>
      </c>
      <c r="EI214" t="e">
        <f>AND(DATA!H1689,"AAAAAH9+d4o=")</f>
        <v>#VALUE!</v>
      </c>
      <c r="EJ214" t="e">
        <f>AND(DATA!I1689,"AAAAAH9+d4s=")</f>
        <v>#VALUE!</v>
      </c>
      <c r="EK214" t="e">
        <f>AND(DATA!J1689,"AAAAAH9+d4w=")</f>
        <v>#VALUE!</v>
      </c>
      <c r="EL214" t="e">
        <f>AND(DATA!K1689,"AAAAAH9+d40=")</f>
        <v>#VALUE!</v>
      </c>
      <c r="EM214" t="b">
        <f>AND(DATA!L1690,"AAAAAH9+d44=")</f>
        <v>1</v>
      </c>
      <c r="EN214" t="b">
        <f>AND(DATA!M1690,"AAAAAH9+d48=")</f>
        <v>1</v>
      </c>
      <c r="EO214" t="b">
        <f>AND(DATA!N1690,"AAAAAH9+d5A=")</f>
        <v>1</v>
      </c>
      <c r="EP214" t="b">
        <f>AND(DATA!O1690,"AAAAAH9+d5E=")</f>
        <v>1</v>
      </c>
      <c r="EQ214" t="b">
        <f>AND(DATA!P1690,"AAAAAH9+d5I=")</f>
        <v>1</v>
      </c>
      <c r="ER214" t="b">
        <f>AND(DATA!Q1690,"AAAAAH9+d5M=")</f>
        <v>1</v>
      </c>
      <c r="ES214" t="b">
        <f>AND(DATA!R1690,"AAAAAH9+d5Q=")</f>
        <v>1</v>
      </c>
      <c r="ET214" t="b">
        <f>AND(DATA!S1690,"AAAAAH9+d5U=")</f>
        <v>1</v>
      </c>
      <c r="EU214" t="b">
        <f>AND(DATA!T1690,"AAAAAH9+d5Y=")</f>
        <v>1</v>
      </c>
      <c r="EV214">
        <f>IF(DATA!1690:1690,"AAAAAH9+d5c=",0)</f>
        <v>0</v>
      </c>
      <c r="EW214" t="e">
        <f>AND(DATA!A1690,"AAAAAH9+d5g=")</f>
        <v>#VALUE!</v>
      </c>
      <c r="EX214" t="e">
        <f>AND(DATA!B1690,"AAAAAH9+d5k=")</f>
        <v>#VALUE!</v>
      </c>
      <c r="EY214" t="e">
        <f>AND(DATA!C1690,"AAAAAH9+d5o=")</f>
        <v>#VALUE!</v>
      </c>
      <c r="EZ214" t="e">
        <f>AND(DATA!D1690,"AAAAAH9+d5s=")</f>
        <v>#VALUE!</v>
      </c>
      <c r="FA214" t="e">
        <f>AND(DATA!E1690,"AAAAAH9+d5w=")</f>
        <v>#VALUE!</v>
      </c>
      <c r="FB214" t="e">
        <f>AND(DATA!F1690,"AAAAAH9+d50=")</f>
        <v>#VALUE!</v>
      </c>
      <c r="FC214" t="e">
        <f>AND(DATA!G1690,"AAAAAH9+d54=")</f>
        <v>#VALUE!</v>
      </c>
      <c r="FD214" t="e">
        <f>AND(DATA!H1690,"AAAAAH9+d58=")</f>
        <v>#VALUE!</v>
      </c>
      <c r="FE214" t="e">
        <f>AND(DATA!I1690,"AAAAAH9+d6A=")</f>
        <v>#VALUE!</v>
      </c>
      <c r="FF214" t="e">
        <f>AND(DATA!J1690,"AAAAAH9+d6E=")</f>
        <v>#VALUE!</v>
      </c>
      <c r="FG214" t="e">
        <f>AND(DATA!K1690,"AAAAAH9+d6I=")</f>
        <v>#VALUE!</v>
      </c>
      <c r="FH214" t="b">
        <f>AND(DATA!L1691,"AAAAAH9+d6M=")</f>
        <v>1</v>
      </c>
      <c r="FI214" t="b">
        <f>AND(DATA!M1691,"AAAAAH9+d6Q=")</f>
        <v>1</v>
      </c>
      <c r="FJ214" t="b">
        <f>AND(DATA!N1691,"AAAAAH9+d6U=")</f>
        <v>1</v>
      </c>
      <c r="FK214" t="b">
        <f>AND(DATA!O1691,"AAAAAH9+d6Y=")</f>
        <v>1</v>
      </c>
      <c r="FL214" t="b">
        <f>AND(DATA!P1691,"AAAAAH9+d6c=")</f>
        <v>1</v>
      </c>
      <c r="FM214" t="b">
        <f>AND(DATA!Q1691,"AAAAAH9+d6g=")</f>
        <v>1</v>
      </c>
      <c r="FN214" t="b">
        <f>AND(DATA!R1691,"AAAAAH9+d6k=")</f>
        <v>1</v>
      </c>
      <c r="FO214" t="b">
        <f>AND(DATA!S1691,"AAAAAH9+d6o=")</f>
        <v>1</v>
      </c>
      <c r="FP214" t="b">
        <f>AND(DATA!T1691,"AAAAAH9+d6s=")</f>
        <v>1</v>
      </c>
      <c r="FQ214">
        <f>IF(DATA!1691:1691,"AAAAAH9+d6w=",0)</f>
        <v>0</v>
      </c>
      <c r="FR214" t="e">
        <f>AND(DATA!A1691,"AAAAAH9+d60=")</f>
        <v>#VALUE!</v>
      </c>
      <c r="FS214" t="e">
        <f>AND(DATA!B1691,"AAAAAH9+d64=")</f>
        <v>#VALUE!</v>
      </c>
      <c r="FT214" t="e">
        <f>AND(DATA!C1691,"AAAAAH9+d68=")</f>
        <v>#VALUE!</v>
      </c>
      <c r="FU214" t="e">
        <f>AND(DATA!D1691,"AAAAAH9+d7A=")</f>
        <v>#VALUE!</v>
      </c>
      <c r="FV214" t="e">
        <f>AND(DATA!E1691,"AAAAAH9+d7E=")</f>
        <v>#VALUE!</v>
      </c>
      <c r="FW214" t="e">
        <f>AND(DATA!F1691,"AAAAAH9+d7I=")</f>
        <v>#VALUE!</v>
      </c>
      <c r="FX214" t="e">
        <f>AND(DATA!G1691,"AAAAAH9+d7M=")</f>
        <v>#VALUE!</v>
      </c>
      <c r="FY214" t="e">
        <f>AND(DATA!H1691,"AAAAAH9+d7Q=")</f>
        <v>#VALUE!</v>
      </c>
      <c r="FZ214" t="e">
        <f>AND(DATA!I1691,"AAAAAH9+d7U=")</f>
        <v>#VALUE!</v>
      </c>
      <c r="GA214" t="e">
        <f>AND(DATA!J1691,"AAAAAH9+d7Y=")</f>
        <v>#VALUE!</v>
      </c>
      <c r="GB214" t="e">
        <f>AND(DATA!K1691,"AAAAAH9+d7c=")</f>
        <v>#VALUE!</v>
      </c>
      <c r="GC214" t="b">
        <f>AND(DATA!L1692,"AAAAAH9+d7g=")</f>
        <v>1</v>
      </c>
      <c r="GD214" t="b">
        <f>AND(DATA!M1692,"AAAAAH9+d7k=")</f>
        <v>1</v>
      </c>
      <c r="GE214" t="b">
        <f>AND(DATA!N1692,"AAAAAH9+d7o=")</f>
        <v>1</v>
      </c>
      <c r="GF214" t="b">
        <f>AND(DATA!O1692,"AAAAAH9+d7s=")</f>
        <v>1</v>
      </c>
      <c r="GG214" t="b">
        <f>AND(DATA!P1692,"AAAAAH9+d7w=")</f>
        <v>1</v>
      </c>
      <c r="GH214" t="b">
        <f>AND(DATA!Q1692,"AAAAAH9+d70=")</f>
        <v>1</v>
      </c>
      <c r="GI214" t="b">
        <f>AND(DATA!R1692,"AAAAAH9+d74=")</f>
        <v>1</v>
      </c>
      <c r="GJ214" t="b">
        <f>AND(DATA!S1692,"AAAAAH9+d78=")</f>
        <v>1</v>
      </c>
      <c r="GK214" t="b">
        <f>AND(DATA!T1692,"AAAAAH9+d8A=")</f>
        <v>1</v>
      </c>
      <c r="GL214">
        <f>IF(DATA!1692:1692,"AAAAAH9+d8E=",0)</f>
        <v>0</v>
      </c>
      <c r="GM214" t="e">
        <f>AND(DATA!A1692,"AAAAAH9+d8I=")</f>
        <v>#VALUE!</v>
      </c>
      <c r="GN214" t="e">
        <f>AND(DATA!B1692,"AAAAAH9+d8M=")</f>
        <v>#VALUE!</v>
      </c>
      <c r="GO214" t="e">
        <f>AND(DATA!C1692,"AAAAAH9+d8Q=")</f>
        <v>#VALUE!</v>
      </c>
      <c r="GP214" t="e">
        <f>AND(DATA!D1692,"AAAAAH9+d8U=")</f>
        <v>#VALUE!</v>
      </c>
      <c r="GQ214" t="e">
        <f>AND(DATA!E1692,"AAAAAH9+d8Y=")</f>
        <v>#VALUE!</v>
      </c>
      <c r="GR214" t="e">
        <f>AND(DATA!F1692,"AAAAAH9+d8c=")</f>
        <v>#VALUE!</v>
      </c>
      <c r="GS214" t="e">
        <f>AND(DATA!G1692,"AAAAAH9+d8g=")</f>
        <v>#VALUE!</v>
      </c>
      <c r="GT214" t="e">
        <f>AND(DATA!H1692,"AAAAAH9+d8k=")</f>
        <v>#VALUE!</v>
      </c>
      <c r="GU214" t="e">
        <f>AND(DATA!I1692,"AAAAAH9+d8o=")</f>
        <v>#VALUE!</v>
      </c>
      <c r="GV214" t="e">
        <f>AND(DATA!J1692,"AAAAAH9+d8s=")</f>
        <v>#VALUE!</v>
      </c>
      <c r="GW214" t="e">
        <f>AND(DATA!K1692,"AAAAAH9+d8w=")</f>
        <v>#VALUE!</v>
      </c>
      <c r="GX214" t="b">
        <f>AND(DATA!L1693,"AAAAAH9+d80=")</f>
        <v>1</v>
      </c>
      <c r="GY214" t="b">
        <f>AND(DATA!M1693,"AAAAAH9+d84=")</f>
        <v>1</v>
      </c>
      <c r="GZ214" t="b">
        <f>AND(DATA!N1693,"AAAAAH9+d88=")</f>
        <v>1</v>
      </c>
      <c r="HA214" t="b">
        <f>AND(DATA!O1693,"AAAAAH9+d9A=")</f>
        <v>1</v>
      </c>
      <c r="HB214" t="b">
        <f>AND(DATA!P1693,"AAAAAH9+d9E=")</f>
        <v>1</v>
      </c>
      <c r="HC214" t="b">
        <f>AND(DATA!Q1693,"AAAAAH9+d9I=")</f>
        <v>1</v>
      </c>
      <c r="HD214" t="b">
        <f>AND(DATA!R1693,"AAAAAH9+d9M=")</f>
        <v>1</v>
      </c>
      <c r="HE214" t="b">
        <f>AND(DATA!S1693,"AAAAAH9+d9Q=")</f>
        <v>1</v>
      </c>
      <c r="HF214" t="b">
        <f>AND(DATA!T1693,"AAAAAH9+d9U=")</f>
        <v>1</v>
      </c>
      <c r="HG214">
        <f>IF(DATA!1693:1693,"AAAAAH9+d9Y=",0)</f>
        <v>0</v>
      </c>
      <c r="HH214" t="e">
        <f>AND(DATA!A1693,"AAAAAH9+d9c=")</f>
        <v>#VALUE!</v>
      </c>
      <c r="HI214" t="e">
        <f>AND(DATA!B1693,"AAAAAH9+d9g=")</f>
        <v>#VALUE!</v>
      </c>
      <c r="HJ214" t="e">
        <f>AND(DATA!C1693,"AAAAAH9+d9k=")</f>
        <v>#VALUE!</v>
      </c>
      <c r="HK214" t="e">
        <f>AND(DATA!D1693,"AAAAAH9+d9o=")</f>
        <v>#VALUE!</v>
      </c>
      <c r="HL214" t="e">
        <f>AND(DATA!E1693,"AAAAAH9+d9s=")</f>
        <v>#VALUE!</v>
      </c>
      <c r="HM214" t="e">
        <f>AND(DATA!F1693,"AAAAAH9+d9w=")</f>
        <v>#VALUE!</v>
      </c>
      <c r="HN214" t="e">
        <f>AND(DATA!G1693,"AAAAAH9+d90=")</f>
        <v>#VALUE!</v>
      </c>
      <c r="HO214" t="e">
        <f>AND(DATA!H1693,"AAAAAH9+d94=")</f>
        <v>#VALUE!</v>
      </c>
      <c r="HP214" t="e">
        <f>AND(DATA!I1693,"AAAAAH9+d98=")</f>
        <v>#VALUE!</v>
      </c>
      <c r="HQ214" t="e">
        <f>AND(DATA!J1693,"AAAAAH9+d+A=")</f>
        <v>#VALUE!</v>
      </c>
      <c r="HR214" t="e">
        <f>AND(DATA!K1693,"AAAAAH9+d+E=")</f>
        <v>#VALUE!</v>
      </c>
      <c r="HS214" t="b">
        <f>AND(DATA!L1694,"AAAAAH9+d+I=")</f>
        <v>1</v>
      </c>
      <c r="HT214" t="b">
        <f>AND(DATA!M1694,"AAAAAH9+d+M=")</f>
        <v>1</v>
      </c>
      <c r="HU214" t="b">
        <f>AND(DATA!N1694,"AAAAAH9+d+Q=")</f>
        <v>1</v>
      </c>
      <c r="HV214" t="b">
        <f>AND(DATA!O1694,"AAAAAH9+d+U=")</f>
        <v>1</v>
      </c>
      <c r="HW214" t="b">
        <f>AND(DATA!P1694,"AAAAAH9+d+Y=")</f>
        <v>1</v>
      </c>
      <c r="HX214" t="b">
        <f>AND(DATA!Q1694,"AAAAAH9+d+c=")</f>
        <v>1</v>
      </c>
      <c r="HY214" t="b">
        <f>AND(DATA!R1694,"AAAAAH9+d+g=")</f>
        <v>1</v>
      </c>
      <c r="HZ214" t="b">
        <f>AND(DATA!S1694,"AAAAAH9+d+k=")</f>
        <v>1</v>
      </c>
      <c r="IA214" t="b">
        <f>AND(DATA!T1694,"AAAAAH9+d+o=")</f>
        <v>1</v>
      </c>
      <c r="IB214">
        <f>IF(DATA!1694:1694,"AAAAAH9+d+s=",0)</f>
        <v>0</v>
      </c>
      <c r="IC214" t="e">
        <f>AND(DATA!A1694,"AAAAAH9+d+w=")</f>
        <v>#VALUE!</v>
      </c>
      <c r="ID214" t="e">
        <f>AND(DATA!B1694,"AAAAAH9+d+0=")</f>
        <v>#VALUE!</v>
      </c>
      <c r="IE214" t="e">
        <f>AND(DATA!C1694,"AAAAAH9+d+4=")</f>
        <v>#VALUE!</v>
      </c>
      <c r="IF214" t="e">
        <f>AND(DATA!D1694,"AAAAAH9+d+8=")</f>
        <v>#VALUE!</v>
      </c>
      <c r="IG214" t="e">
        <f>AND(DATA!E1694,"AAAAAH9+d/A=")</f>
        <v>#VALUE!</v>
      </c>
      <c r="IH214" t="e">
        <f>AND(DATA!F1694,"AAAAAH9+d/E=")</f>
        <v>#VALUE!</v>
      </c>
      <c r="II214" t="e">
        <f>AND(DATA!G1694,"AAAAAH9+d/I=")</f>
        <v>#VALUE!</v>
      </c>
      <c r="IJ214" t="e">
        <f>AND(DATA!H1694,"AAAAAH9+d/M=")</f>
        <v>#VALUE!</v>
      </c>
      <c r="IK214" t="e">
        <f>AND(DATA!I1694,"AAAAAH9+d/Q=")</f>
        <v>#VALUE!</v>
      </c>
      <c r="IL214" t="e">
        <f>AND(DATA!J1694,"AAAAAH9+d/U=")</f>
        <v>#VALUE!</v>
      </c>
      <c r="IM214" t="e">
        <f>AND(DATA!K1694,"AAAAAH9+d/Y=")</f>
        <v>#VALUE!</v>
      </c>
      <c r="IN214" t="b">
        <f>AND(DATA!L1695,"AAAAAH9+d/c=")</f>
        <v>1</v>
      </c>
      <c r="IO214" t="b">
        <f>AND(DATA!M1695,"AAAAAH9+d/g=")</f>
        <v>1</v>
      </c>
      <c r="IP214" t="b">
        <f>AND(DATA!N1695,"AAAAAH9+d/k=")</f>
        <v>1</v>
      </c>
      <c r="IQ214" t="b">
        <f>AND(DATA!O1695,"AAAAAH9+d/o=")</f>
        <v>1</v>
      </c>
      <c r="IR214" t="b">
        <f>AND(DATA!P1695,"AAAAAH9+d/s=")</f>
        <v>1</v>
      </c>
      <c r="IS214" t="b">
        <f>AND(DATA!Q1695,"AAAAAH9+d/w=")</f>
        <v>1</v>
      </c>
      <c r="IT214" t="b">
        <f>AND(DATA!R1695,"AAAAAH9+d/0=")</f>
        <v>1</v>
      </c>
      <c r="IU214" t="b">
        <f>AND(DATA!S1695,"AAAAAH9+d/4=")</f>
        <v>1</v>
      </c>
      <c r="IV214" t="b">
        <f>AND(DATA!T1695,"AAAAAH9+d/8=")</f>
        <v>1</v>
      </c>
    </row>
    <row r="215" spans="1:256" x14ac:dyDescent="0.25">
      <c r="A215">
        <f>IF(DATA!1695:1695,"AAAAAD3J2wA=",0)</f>
        <v>0</v>
      </c>
      <c r="B215" t="e">
        <f>AND(DATA!A1695,"AAAAAD3J2wE=")</f>
        <v>#VALUE!</v>
      </c>
      <c r="C215" t="e">
        <f>AND(DATA!B1695,"AAAAAD3J2wI=")</f>
        <v>#VALUE!</v>
      </c>
      <c r="D215" t="e">
        <f>AND(DATA!C1695,"AAAAAD3J2wM=")</f>
        <v>#VALUE!</v>
      </c>
      <c r="E215" t="e">
        <f>AND(DATA!D1695,"AAAAAD3J2wQ=")</f>
        <v>#VALUE!</v>
      </c>
      <c r="F215" t="e">
        <f>AND(DATA!E1695,"AAAAAD3J2wU=")</f>
        <v>#VALUE!</v>
      </c>
      <c r="G215" t="e">
        <f>AND(DATA!F1695,"AAAAAD3J2wY=")</f>
        <v>#VALUE!</v>
      </c>
      <c r="H215" t="e">
        <f>AND(DATA!G1695,"AAAAAD3J2wc=")</f>
        <v>#VALUE!</v>
      </c>
      <c r="I215" t="e">
        <f>AND(DATA!H1695,"AAAAAD3J2wg=")</f>
        <v>#VALUE!</v>
      </c>
      <c r="J215" t="e">
        <f>AND(DATA!I1695,"AAAAAD3J2wk=")</f>
        <v>#VALUE!</v>
      </c>
      <c r="K215" t="e">
        <f>AND(DATA!J1695,"AAAAAD3J2wo=")</f>
        <v>#VALUE!</v>
      </c>
      <c r="L215" t="e">
        <f>AND(DATA!K1695,"AAAAAD3J2ws=")</f>
        <v>#VALUE!</v>
      </c>
      <c r="M215" t="b">
        <f>AND(DATA!L1696,"AAAAAD3J2ww=")</f>
        <v>1</v>
      </c>
      <c r="N215" t="b">
        <f>AND(DATA!M1696,"AAAAAD3J2w0=")</f>
        <v>1</v>
      </c>
      <c r="O215" t="b">
        <f>AND(DATA!N1696,"AAAAAD3J2w4=")</f>
        <v>1</v>
      </c>
      <c r="P215" t="b">
        <f>AND(DATA!O1696,"AAAAAD3J2w8=")</f>
        <v>1</v>
      </c>
      <c r="Q215" t="b">
        <f>AND(DATA!P1696,"AAAAAD3J2xA=")</f>
        <v>1</v>
      </c>
      <c r="R215" t="b">
        <f>AND(DATA!Q1696,"AAAAAD3J2xE=")</f>
        <v>1</v>
      </c>
      <c r="S215" t="b">
        <f>AND(DATA!R1696,"AAAAAD3J2xI=")</f>
        <v>1</v>
      </c>
      <c r="T215" t="b">
        <f>AND(DATA!S1696,"AAAAAD3J2xM=")</f>
        <v>1</v>
      </c>
      <c r="U215" t="b">
        <f>AND(DATA!T1696,"AAAAAD3J2xQ=")</f>
        <v>1</v>
      </c>
      <c r="V215">
        <f>IF(DATA!1696:1696,"AAAAAD3J2xU=",0)</f>
        <v>0</v>
      </c>
      <c r="W215" t="e">
        <f>AND(DATA!A1696,"AAAAAD3J2xY=")</f>
        <v>#VALUE!</v>
      </c>
      <c r="X215" t="e">
        <f>AND(DATA!B1696,"AAAAAD3J2xc=")</f>
        <v>#VALUE!</v>
      </c>
      <c r="Y215" t="e">
        <f>AND(DATA!C1696,"AAAAAD3J2xg=")</f>
        <v>#VALUE!</v>
      </c>
      <c r="Z215" t="e">
        <f>AND(DATA!D1696,"AAAAAD3J2xk=")</f>
        <v>#VALUE!</v>
      </c>
      <c r="AA215" t="e">
        <f>AND(DATA!E1696,"AAAAAD3J2xo=")</f>
        <v>#VALUE!</v>
      </c>
      <c r="AB215" t="e">
        <f>AND(DATA!F1696,"AAAAAD3J2xs=")</f>
        <v>#VALUE!</v>
      </c>
      <c r="AC215" t="e">
        <f>AND(DATA!G1696,"AAAAAD3J2xw=")</f>
        <v>#VALUE!</v>
      </c>
      <c r="AD215" t="e">
        <f>AND(DATA!H1696,"AAAAAD3J2x0=")</f>
        <v>#VALUE!</v>
      </c>
      <c r="AE215" t="e">
        <f>AND(DATA!I1696,"AAAAAD3J2x4=")</f>
        <v>#VALUE!</v>
      </c>
      <c r="AF215" t="e">
        <f>AND(DATA!J1696,"AAAAAD3J2x8=")</f>
        <v>#VALUE!</v>
      </c>
      <c r="AG215" t="e">
        <f>AND(DATA!K1696,"AAAAAD3J2yA=")</f>
        <v>#VALUE!</v>
      </c>
      <c r="AH215" t="b">
        <f>AND(DATA!L1697,"AAAAAD3J2yE=")</f>
        <v>1</v>
      </c>
      <c r="AI215" t="b">
        <f>AND(DATA!M1697,"AAAAAD3J2yI=")</f>
        <v>1</v>
      </c>
      <c r="AJ215" t="b">
        <f>AND(DATA!N1697,"AAAAAD3J2yM=")</f>
        <v>1</v>
      </c>
      <c r="AK215" t="b">
        <f>AND(DATA!O1697,"AAAAAD3J2yQ=")</f>
        <v>1</v>
      </c>
      <c r="AL215" t="b">
        <f>AND(DATA!P1697,"AAAAAD3J2yU=")</f>
        <v>1</v>
      </c>
      <c r="AM215" t="b">
        <f>AND(DATA!Q1697,"AAAAAD3J2yY=")</f>
        <v>1</v>
      </c>
      <c r="AN215" t="b">
        <f>AND(DATA!R1697,"AAAAAD3J2yc=")</f>
        <v>1</v>
      </c>
      <c r="AO215" t="b">
        <f>AND(DATA!S1697,"AAAAAD3J2yg=")</f>
        <v>1</v>
      </c>
      <c r="AP215" t="b">
        <f>AND(DATA!T1697,"AAAAAD3J2yk=")</f>
        <v>1</v>
      </c>
      <c r="AQ215">
        <f>IF(DATA!1697:1697,"AAAAAD3J2yo=",0)</f>
        <v>0</v>
      </c>
      <c r="AR215" t="e">
        <f>AND(DATA!A1697,"AAAAAD3J2ys=")</f>
        <v>#VALUE!</v>
      </c>
      <c r="AS215" t="e">
        <f>AND(DATA!B1697,"AAAAAD3J2yw=")</f>
        <v>#VALUE!</v>
      </c>
      <c r="AT215" t="e">
        <f>AND(DATA!C1697,"AAAAAD3J2y0=")</f>
        <v>#VALUE!</v>
      </c>
      <c r="AU215" t="e">
        <f>AND(DATA!D1697,"AAAAAD3J2y4=")</f>
        <v>#VALUE!</v>
      </c>
      <c r="AV215" t="e">
        <f>AND(DATA!E1697,"AAAAAD3J2y8=")</f>
        <v>#VALUE!</v>
      </c>
      <c r="AW215" t="e">
        <f>AND(DATA!F1697,"AAAAAD3J2zA=")</f>
        <v>#VALUE!</v>
      </c>
      <c r="AX215" t="e">
        <f>AND(DATA!G1697,"AAAAAD3J2zE=")</f>
        <v>#VALUE!</v>
      </c>
      <c r="AY215" t="e">
        <f>AND(DATA!H1697,"AAAAAD3J2zI=")</f>
        <v>#VALUE!</v>
      </c>
      <c r="AZ215" t="e">
        <f>AND(DATA!I1697,"AAAAAD3J2zM=")</f>
        <v>#VALUE!</v>
      </c>
      <c r="BA215" t="e">
        <f>AND(DATA!J1697,"AAAAAD3J2zQ=")</f>
        <v>#VALUE!</v>
      </c>
      <c r="BB215" t="e">
        <f>AND(DATA!K1697,"AAAAAD3J2zU=")</f>
        <v>#VALUE!</v>
      </c>
      <c r="BC215" t="b">
        <f>AND(DATA!L1698,"AAAAAD3J2zY=")</f>
        <v>1</v>
      </c>
      <c r="BD215" t="b">
        <f>AND(DATA!M1698,"AAAAAD3J2zc=")</f>
        <v>1</v>
      </c>
      <c r="BE215" t="b">
        <f>AND(DATA!N1698,"AAAAAD3J2zg=")</f>
        <v>1</v>
      </c>
      <c r="BF215" t="b">
        <f>AND(DATA!O1698,"AAAAAD3J2zk=")</f>
        <v>1</v>
      </c>
      <c r="BG215" t="b">
        <f>AND(DATA!P1698,"AAAAAD3J2zo=")</f>
        <v>1</v>
      </c>
      <c r="BH215" t="b">
        <f>AND(DATA!Q1698,"AAAAAD3J2zs=")</f>
        <v>1</v>
      </c>
      <c r="BI215" t="b">
        <f>AND(DATA!R1698,"AAAAAD3J2zw=")</f>
        <v>1</v>
      </c>
      <c r="BJ215" t="b">
        <f>AND(DATA!S1698,"AAAAAD3J2z0=")</f>
        <v>1</v>
      </c>
      <c r="BK215" t="b">
        <f>AND(DATA!T1698,"AAAAAD3J2z4=")</f>
        <v>1</v>
      </c>
      <c r="BL215">
        <f>IF(DATA!1698:1698,"AAAAAD3J2z8=",0)</f>
        <v>0</v>
      </c>
      <c r="BM215" t="e">
        <f>AND(DATA!A1698,"AAAAAD3J20A=")</f>
        <v>#VALUE!</v>
      </c>
      <c r="BN215" t="e">
        <f>AND(DATA!B1698,"AAAAAD3J20E=")</f>
        <v>#VALUE!</v>
      </c>
      <c r="BO215" t="e">
        <f>AND(DATA!C1698,"AAAAAD3J20I=")</f>
        <v>#VALUE!</v>
      </c>
      <c r="BP215" t="e">
        <f>AND(DATA!D1698,"AAAAAD3J20M=")</f>
        <v>#VALUE!</v>
      </c>
      <c r="BQ215" t="e">
        <f>AND(DATA!E1698,"AAAAAD3J20Q=")</f>
        <v>#VALUE!</v>
      </c>
      <c r="BR215" t="e">
        <f>AND(DATA!F1698,"AAAAAD3J20U=")</f>
        <v>#VALUE!</v>
      </c>
      <c r="BS215" t="e">
        <f>AND(DATA!G1698,"AAAAAD3J20Y=")</f>
        <v>#VALUE!</v>
      </c>
      <c r="BT215" t="e">
        <f>AND(DATA!H1698,"AAAAAD3J20c=")</f>
        <v>#VALUE!</v>
      </c>
      <c r="BU215" t="e">
        <f>AND(DATA!I1698,"AAAAAD3J20g=")</f>
        <v>#VALUE!</v>
      </c>
      <c r="BV215" t="e">
        <f>AND(DATA!J1698,"AAAAAD3J20k=")</f>
        <v>#VALUE!</v>
      </c>
      <c r="BW215" t="e">
        <f>AND(DATA!K1698,"AAAAAD3J20o=")</f>
        <v>#VALUE!</v>
      </c>
      <c r="BX215" t="b">
        <f>AND(DATA!L1699,"AAAAAD3J20s=")</f>
        <v>1</v>
      </c>
      <c r="BY215" t="b">
        <f>AND(DATA!M1699,"AAAAAD3J20w=")</f>
        <v>1</v>
      </c>
      <c r="BZ215" t="b">
        <f>AND(DATA!N1699,"AAAAAD3J200=")</f>
        <v>1</v>
      </c>
      <c r="CA215" t="b">
        <f>AND(DATA!O1699,"AAAAAD3J204=")</f>
        <v>1</v>
      </c>
      <c r="CB215" t="b">
        <f>AND(DATA!P1699,"AAAAAD3J208=")</f>
        <v>1</v>
      </c>
      <c r="CC215" t="b">
        <f>AND(DATA!Q1699,"AAAAAD3J21A=")</f>
        <v>1</v>
      </c>
      <c r="CD215" t="b">
        <f>AND(DATA!R1699,"AAAAAD3J21E=")</f>
        <v>1</v>
      </c>
      <c r="CE215" t="b">
        <f>AND(DATA!S1699,"AAAAAD3J21I=")</f>
        <v>1</v>
      </c>
      <c r="CF215" t="b">
        <f>AND(DATA!T1699,"AAAAAD3J21M=")</f>
        <v>1</v>
      </c>
      <c r="CG215">
        <f>IF(DATA!1699:1699,"AAAAAD3J21Q=",0)</f>
        <v>0</v>
      </c>
      <c r="CH215" t="e">
        <f>AND(DATA!A1699,"AAAAAD3J21U=")</f>
        <v>#VALUE!</v>
      </c>
      <c r="CI215" t="e">
        <f>AND(DATA!B1699,"AAAAAD3J21Y=")</f>
        <v>#VALUE!</v>
      </c>
      <c r="CJ215" t="e">
        <f>AND(DATA!C1699,"AAAAAD3J21c=")</f>
        <v>#VALUE!</v>
      </c>
      <c r="CK215" t="e">
        <f>AND(DATA!D1699,"AAAAAD3J21g=")</f>
        <v>#VALUE!</v>
      </c>
      <c r="CL215" t="e">
        <f>AND(DATA!E1699,"AAAAAD3J21k=")</f>
        <v>#VALUE!</v>
      </c>
      <c r="CM215" t="e">
        <f>AND(DATA!F1699,"AAAAAD3J21o=")</f>
        <v>#VALUE!</v>
      </c>
      <c r="CN215" t="e">
        <f>AND(DATA!G1699,"AAAAAD3J21s=")</f>
        <v>#VALUE!</v>
      </c>
      <c r="CO215" t="e">
        <f>AND(DATA!H1699,"AAAAAD3J21w=")</f>
        <v>#VALUE!</v>
      </c>
      <c r="CP215" t="e">
        <f>AND(DATA!I1699,"AAAAAD3J210=")</f>
        <v>#VALUE!</v>
      </c>
      <c r="CQ215" t="e">
        <f>AND(DATA!J1699,"AAAAAD3J214=")</f>
        <v>#VALUE!</v>
      </c>
      <c r="CR215" t="e">
        <f>AND(DATA!K1699,"AAAAAD3J218=")</f>
        <v>#VALUE!</v>
      </c>
      <c r="CS215" t="b">
        <f>AND(DATA!L1700,"AAAAAD3J22A=")</f>
        <v>1</v>
      </c>
      <c r="CT215" t="b">
        <f>AND(DATA!M1700,"AAAAAD3J22E=")</f>
        <v>1</v>
      </c>
      <c r="CU215" t="b">
        <f>AND(DATA!N1700,"AAAAAD3J22I=")</f>
        <v>1</v>
      </c>
      <c r="CV215" t="b">
        <f>AND(DATA!O1700,"AAAAAD3J22M=")</f>
        <v>1</v>
      </c>
      <c r="CW215" t="b">
        <f>AND(DATA!P1700,"AAAAAD3J22Q=")</f>
        <v>1</v>
      </c>
      <c r="CX215" t="b">
        <f>AND(DATA!Q1700,"AAAAAD3J22U=")</f>
        <v>1</v>
      </c>
      <c r="CY215" t="b">
        <f>AND(DATA!R1700,"AAAAAD3J22Y=")</f>
        <v>1</v>
      </c>
      <c r="CZ215" t="b">
        <f>AND(DATA!S1700,"AAAAAD3J22c=")</f>
        <v>1</v>
      </c>
      <c r="DA215" t="b">
        <f>AND(DATA!T1700,"AAAAAD3J22g=")</f>
        <v>1</v>
      </c>
      <c r="DB215">
        <f>IF(DATA!1700:1700,"AAAAAD3J22k=",0)</f>
        <v>0</v>
      </c>
      <c r="DC215" t="e">
        <f>AND(DATA!A1700,"AAAAAD3J22o=")</f>
        <v>#VALUE!</v>
      </c>
      <c r="DD215" t="e">
        <f>AND(DATA!B1700,"AAAAAD3J22s=")</f>
        <v>#VALUE!</v>
      </c>
      <c r="DE215" t="e">
        <f>AND(DATA!C1700,"AAAAAD3J22w=")</f>
        <v>#VALUE!</v>
      </c>
      <c r="DF215" t="e">
        <f>AND(DATA!D1700,"AAAAAD3J220=")</f>
        <v>#VALUE!</v>
      </c>
      <c r="DG215" t="e">
        <f>AND(DATA!E1700,"AAAAAD3J224=")</f>
        <v>#VALUE!</v>
      </c>
      <c r="DH215" t="e">
        <f>AND(DATA!F1700,"AAAAAD3J228=")</f>
        <v>#VALUE!</v>
      </c>
      <c r="DI215" t="e">
        <f>AND(DATA!G1700,"AAAAAD3J23A=")</f>
        <v>#VALUE!</v>
      </c>
      <c r="DJ215" t="e">
        <f>AND(DATA!H1700,"AAAAAD3J23E=")</f>
        <v>#VALUE!</v>
      </c>
      <c r="DK215" t="e">
        <f>AND(DATA!I1700,"AAAAAD3J23I=")</f>
        <v>#VALUE!</v>
      </c>
      <c r="DL215" t="e">
        <f>AND(DATA!J1700,"AAAAAD3J23M=")</f>
        <v>#VALUE!</v>
      </c>
      <c r="DM215" t="e">
        <f>AND(DATA!K1700,"AAAAAD3J23Q=")</f>
        <v>#VALUE!</v>
      </c>
      <c r="DN215" t="b">
        <f>AND(DATA!L1701,"AAAAAD3J23U=")</f>
        <v>1</v>
      </c>
      <c r="DO215" t="b">
        <f>AND(DATA!M1701,"AAAAAD3J23Y=")</f>
        <v>1</v>
      </c>
      <c r="DP215" t="b">
        <f>AND(DATA!N1701,"AAAAAD3J23c=")</f>
        <v>1</v>
      </c>
      <c r="DQ215" t="b">
        <f>AND(DATA!O1701,"AAAAAD3J23g=")</f>
        <v>1</v>
      </c>
      <c r="DR215" t="b">
        <f>AND(DATA!P1701,"AAAAAD3J23k=")</f>
        <v>1</v>
      </c>
      <c r="DS215" t="b">
        <f>AND(DATA!Q1701,"AAAAAD3J23o=")</f>
        <v>1</v>
      </c>
      <c r="DT215" t="b">
        <f>AND(DATA!R1701,"AAAAAD3J23s=")</f>
        <v>1</v>
      </c>
      <c r="DU215" t="b">
        <f>AND(DATA!S1701,"AAAAAD3J23w=")</f>
        <v>1</v>
      </c>
      <c r="DV215" t="b">
        <f>AND(DATA!T1701,"AAAAAD3J230=")</f>
        <v>1</v>
      </c>
      <c r="DW215">
        <f>IF(DATA!1701:1701,"AAAAAD3J234=",0)</f>
        <v>0</v>
      </c>
      <c r="DX215" t="e">
        <f>AND(DATA!A1701,"AAAAAD3J238=")</f>
        <v>#VALUE!</v>
      </c>
      <c r="DY215" t="e">
        <f>AND(DATA!B1701,"AAAAAD3J24A=")</f>
        <v>#VALUE!</v>
      </c>
      <c r="DZ215" t="e">
        <f>AND(DATA!C1701,"AAAAAD3J24E=")</f>
        <v>#VALUE!</v>
      </c>
      <c r="EA215" t="e">
        <f>AND(DATA!D1701,"AAAAAD3J24I=")</f>
        <v>#VALUE!</v>
      </c>
      <c r="EB215" t="e">
        <f>AND(DATA!E1701,"AAAAAD3J24M=")</f>
        <v>#VALUE!</v>
      </c>
      <c r="EC215" t="e">
        <f>AND(DATA!F1701,"AAAAAD3J24Q=")</f>
        <v>#VALUE!</v>
      </c>
      <c r="ED215" t="e">
        <f>AND(DATA!G1701,"AAAAAD3J24U=")</f>
        <v>#VALUE!</v>
      </c>
      <c r="EE215" t="e">
        <f>AND(DATA!H1701,"AAAAAD3J24Y=")</f>
        <v>#VALUE!</v>
      </c>
      <c r="EF215" t="e">
        <f>AND(DATA!I1701,"AAAAAD3J24c=")</f>
        <v>#VALUE!</v>
      </c>
      <c r="EG215" t="e">
        <f>AND(DATA!J1701,"AAAAAD3J24g=")</f>
        <v>#VALUE!</v>
      </c>
      <c r="EH215" t="e">
        <f>AND(DATA!K1701,"AAAAAD3J24k=")</f>
        <v>#VALUE!</v>
      </c>
      <c r="EI215" t="b">
        <f>AND(DATA!L1702,"AAAAAD3J24o=")</f>
        <v>1</v>
      </c>
      <c r="EJ215" t="b">
        <f>AND(DATA!M1702,"AAAAAD3J24s=")</f>
        <v>1</v>
      </c>
      <c r="EK215" t="b">
        <f>AND(DATA!N1702,"AAAAAD3J24w=")</f>
        <v>1</v>
      </c>
      <c r="EL215" t="b">
        <f>AND(DATA!O1702,"AAAAAD3J240=")</f>
        <v>1</v>
      </c>
      <c r="EM215" t="b">
        <f>AND(DATA!P1702,"AAAAAD3J244=")</f>
        <v>1</v>
      </c>
      <c r="EN215" t="b">
        <f>AND(DATA!Q1702,"AAAAAD3J248=")</f>
        <v>1</v>
      </c>
      <c r="EO215" t="b">
        <f>AND(DATA!R1702,"AAAAAD3J25A=")</f>
        <v>1</v>
      </c>
      <c r="EP215" t="b">
        <f>AND(DATA!S1702,"AAAAAD3J25E=")</f>
        <v>1</v>
      </c>
      <c r="EQ215" t="b">
        <f>AND(DATA!T1702,"AAAAAD3J25I=")</f>
        <v>1</v>
      </c>
      <c r="ER215">
        <f>IF(DATA!1702:1702,"AAAAAD3J25M=",0)</f>
        <v>0</v>
      </c>
      <c r="ES215" t="e">
        <f>AND(DATA!A1702,"AAAAAD3J25Q=")</f>
        <v>#VALUE!</v>
      </c>
      <c r="ET215" t="e">
        <f>AND(DATA!B1702,"AAAAAD3J25U=")</f>
        <v>#VALUE!</v>
      </c>
      <c r="EU215" t="e">
        <f>AND(DATA!C1702,"AAAAAD3J25Y=")</f>
        <v>#VALUE!</v>
      </c>
      <c r="EV215" t="e">
        <f>AND(DATA!D1702,"AAAAAD3J25c=")</f>
        <v>#VALUE!</v>
      </c>
      <c r="EW215" t="e">
        <f>AND(DATA!E1702,"AAAAAD3J25g=")</f>
        <v>#VALUE!</v>
      </c>
      <c r="EX215" t="e">
        <f>AND(DATA!F1702,"AAAAAD3J25k=")</f>
        <v>#VALUE!</v>
      </c>
      <c r="EY215" t="e">
        <f>AND(DATA!G1702,"AAAAAD3J25o=")</f>
        <v>#VALUE!</v>
      </c>
      <c r="EZ215" t="e">
        <f>AND(DATA!H1702,"AAAAAD3J25s=")</f>
        <v>#VALUE!</v>
      </c>
      <c r="FA215" t="e">
        <f>AND(DATA!I1702,"AAAAAD3J25w=")</f>
        <v>#VALUE!</v>
      </c>
      <c r="FB215" t="e">
        <f>AND(DATA!J1702,"AAAAAD3J250=")</f>
        <v>#VALUE!</v>
      </c>
      <c r="FC215" t="e">
        <f>AND(DATA!K1702,"AAAAAD3J254=")</f>
        <v>#VALUE!</v>
      </c>
      <c r="FD215" t="b">
        <f>AND(DATA!L1703,"AAAAAD3J258=")</f>
        <v>1</v>
      </c>
      <c r="FE215" t="b">
        <f>AND(DATA!M1703,"AAAAAD3J26A=")</f>
        <v>1</v>
      </c>
      <c r="FF215" t="b">
        <f>AND(DATA!N1703,"AAAAAD3J26E=")</f>
        <v>1</v>
      </c>
      <c r="FG215" t="b">
        <f>AND(DATA!O1703,"AAAAAD3J26I=")</f>
        <v>1</v>
      </c>
      <c r="FH215" t="b">
        <f>AND(DATA!P1703,"AAAAAD3J26M=")</f>
        <v>1</v>
      </c>
      <c r="FI215" t="b">
        <f>AND(DATA!Q1703,"AAAAAD3J26Q=")</f>
        <v>1</v>
      </c>
      <c r="FJ215" t="b">
        <f>AND(DATA!R1703,"AAAAAD3J26U=")</f>
        <v>1</v>
      </c>
      <c r="FK215" t="b">
        <f>AND(DATA!S1703,"AAAAAD3J26Y=")</f>
        <v>1</v>
      </c>
      <c r="FL215" t="b">
        <f>AND(DATA!T1703,"AAAAAD3J26c=")</f>
        <v>1</v>
      </c>
      <c r="FM215">
        <f>IF(DATA!1703:1703,"AAAAAD3J26g=",0)</f>
        <v>0</v>
      </c>
      <c r="FN215" t="e">
        <f>AND(DATA!A1703,"AAAAAD3J26k=")</f>
        <v>#VALUE!</v>
      </c>
      <c r="FO215" t="e">
        <f>AND(DATA!B1703,"AAAAAD3J26o=")</f>
        <v>#VALUE!</v>
      </c>
      <c r="FP215" t="e">
        <f>AND(DATA!C1703,"AAAAAD3J26s=")</f>
        <v>#VALUE!</v>
      </c>
      <c r="FQ215" t="e">
        <f>AND(DATA!D1703,"AAAAAD3J26w=")</f>
        <v>#VALUE!</v>
      </c>
      <c r="FR215" t="e">
        <f>AND(DATA!E1703,"AAAAAD3J260=")</f>
        <v>#VALUE!</v>
      </c>
      <c r="FS215" t="e">
        <f>AND(DATA!F1703,"AAAAAD3J264=")</f>
        <v>#VALUE!</v>
      </c>
      <c r="FT215" t="e">
        <f>AND(DATA!G1703,"AAAAAD3J268=")</f>
        <v>#VALUE!</v>
      </c>
      <c r="FU215" t="e">
        <f>AND(DATA!H1703,"AAAAAD3J27A=")</f>
        <v>#VALUE!</v>
      </c>
      <c r="FV215" t="e">
        <f>AND(DATA!I1703,"AAAAAD3J27E=")</f>
        <v>#VALUE!</v>
      </c>
      <c r="FW215" t="e">
        <f>AND(DATA!J1703,"AAAAAD3J27I=")</f>
        <v>#VALUE!</v>
      </c>
      <c r="FX215" t="e">
        <f>AND(DATA!K1703,"AAAAAD3J27M=")</f>
        <v>#VALUE!</v>
      </c>
      <c r="FY215" t="b">
        <f>AND(DATA!L1704,"AAAAAD3J27Q=")</f>
        <v>1</v>
      </c>
      <c r="FZ215" t="b">
        <f>AND(DATA!M1704,"AAAAAD3J27U=")</f>
        <v>1</v>
      </c>
      <c r="GA215" t="b">
        <f>AND(DATA!N1704,"AAAAAD3J27Y=")</f>
        <v>1</v>
      </c>
      <c r="GB215" t="b">
        <f>AND(DATA!O1704,"AAAAAD3J27c=")</f>
        <v>1</v>
      </c>
      <c r="GC215" t="b">
        <f>AND(DATA!P1704,"AAAAAD3J27g=")</f>
        <v>1</v>
      </c>
      <c r="GD215" t="b">
        <f>AND(DATA!Q1704,"AAAAAD3J27k=")</f>
        <v>1</v>
      </c>
      <c r="GE215" t="b">
        <f>AND(DATA!R1704,"AAAAAD3J27o=")</f>
        <v>1</v>
      </c>
      <c r="GF215" t="b">
        <f>AND(DATA!S1704,"AAAAAD3J27s=")</f>
        <v>1</v>
      </c>
      <c r="GG215" t="b">
        <f>AND(DATA!T1704,"AAAAAD3J27w=")</f>
        <v>1</v>
      </c>
      <c r="GH215">
        <f>IF(DATA!1704:1704,"AAAAAD3J270=",0)</f>
        <v>0</v>
      </c>
      <c r="GI215" t="e">
        <f>AND(DATA!A1704,"AAAAAD3J274=")</f>
        <v>#VALUE!</v>
      </c>
      <c r="GJ215" t="e">
        <f>AND(DATA!B1704,"AAAAAD3J278=")</f>
        <v>#VALUE!</v>
      </c>
      <c r="GK215" t="e">
        <f>AND(DATA!C1704,"AAAAAD3J28A=")</f>
        <v>#VALUE!</v>
      </c>
      <c r="GL215" t="e">
        <f>AND(DATA!D1704,"AAAAAD3J28E=")</f>
        <v>#VALUE!</v>
      </c>
      <c r="GM215" t="e">
        <f>AND(DATA!E1704,"AAAAAD3J28I=")</f>
        <v>#VALUE!</v>
      </c>
      <c r="GN215" t="e">
        <f>AND(DATA!F1704,"AAAAAD3J28M=")</f>
        <v>#VALUE!</v>
      </c>
      <c r="GO215" t="e">
        <f>AND(DATA!G1704,"AAAAAD3J28Q=")</f>
        <v>#VALUE!</v>
      </c>
      <c r="GP215" t="e">
        <f>AND(DATA!H1704,"AAAAAD3J28U=")</f>
        <v>#VALUE!</v>
      </c>
      <c r="GQ215" t="e">
        <f>AND(DATA!I1704,"AAAAAD3J28Y=")</f>
        <v>#VALUE!</v>
      </c>
      <c r="GR215" t="e">
        <f>AND(DATA!J1704,"AAAAAD3J28c=")</f>
        <v>#VALUE!</v>
      </c>
      <c r="GS215" t="e">
        <f>AND(DATA!K1704,"AAAAAD3J28g=")</f>
        <v>#VALUE!</v>
      </c>
      <c r="GT215" t="b">
        <f>AND(DATA!L1705,"AAAAAD3J28k=")</f>
        <v>1</v>
      </c>
      <c r="GU215" t="b">
        <f>AND(DATA!M1705,"AAAAAD3J28o=")</f>
        <v>1</v>
      </c>
      <c r="GV215" t="b">
        <f>AND(DATA!N1705,"AAAAAD3J28s=")</f>
        <v>1</v>
      </c>
      <c r="GW215" t="b">
        <f>AND(DATA!O1705,"AAAAAD3J28w=")</f>
        <v>1</v>
      </c>
      <c r="GX215" t="b">
        <f>AND(DATA!P1705,"AAAAAD3J280=")</f>
        <v>1</v>
      </c>
      <c r="GY215" t="b">
        <f>AND(DATA!Q1705,"AAAAAD3J284=")</f>
        <v>1</v>
      </c>
      <c r="GZ215" t="b">
        <f>AND(DATA!R1705,"AAAAAD3J288=")</f>
        <v>1</v>
      </c>
      <c r="HA215" t="b">
        <f>AND(DATA!S1705,"AAAAAD3J29A=")</f>
        <v>1</v>
      </c>
      <c r="HB215" t="b">
        <f>AND(DATA!T1705,"AAAAAD3J29E=")</f>
        <v>1</v>
      </c>
      <c r="HC215">
        <f>IF(DATA!1705:1705,"AAAAAD3J29I=",0)</f>
        <v>0</v>
      </c>
      <c r="HD215" t="e">
        <f>AND(DATA!A1705,"AAAAAD3J29M=")</f>
        <v>#VALUE!</v>
      </c>
      <c r="HE215" t="e">
        <f>AND(DATA!B1705,"AAAAAD3J29Q=")</f>
        <v>#VALUE!</v>
      </c>
      <c r="HF215" t="e">
        <f>AND(DATA!C1705,"AAAAAD3J29U=")</f>
        <v>#VALUE!</v>
      </c>
      <c r="HG215" t="e">
        <f>AND(DATA!D1705,"AAAAAD3J29Y=")</f>
        <v>#VALUE!</v>
      </c>
      <c r="HH215" t="e">
        <f>AND(DATA!E1705,"AAAAAD3J29c=")</f>
        <v>#VALUE!</v>
      </c>
      <c r="HI215" t="e">
        <f>AND(DATA!F1705,"AAAAAD3J29g=")</f>
        <v>#VALUE!</v>
      </c>
      <c r="HJ215" t="e">
        <f>AND(DATA!G1705,"AAAAAD3J29k=")</f>
        <v>#VALUE!</v>
      </c>
      <c r="HK215" t="e">
        <f>AND(DATA!H1705,"AAAAAD3J29o=")</f>
        <v>#VALUE!</v>
      </c>
      <c r="HL215" t="e">
        <f>AND(DATA!I1705,"AAAAAD3J29s=")</f>
        <v>#VALUE!</v>
      </c>
      <c r="HM215" t="e">
        <f>AND(DATA!J1705,"AAAAAD3J29w=")</f>
        <v>#VALUE!</v>
      </c>
      <c r="HN215" t="e">
        <f>AND(DATA!K1705,"AAAAAD3J290=")</f>
        <v>#VALUE!</v>
      </c>
      <c r="HO215" t="b">
        <f>AND(DATA!L1706,"AAAAAD3J294=")</f>
        <v>1</v>
      </c>
      <c r="HP215" t="b">
        <f>AND(DATA!M1706,"AAAAAD3J298=")</f>
        <v>1</v>
      </c>
      <c r="HQ215" t="b">
        <f>AND(DATA!N1706,"AAAAAD3J2+A=")</f>
        <v>1</v>
      </c>
      <c r="HR215" t="b">
        <f>AND(DATA!O1706,"AAAAAD3J2+E=")</f>
        <v>1</v>
      </c>
      <c r="HS215" t="b">
        <f>AND(DATA!P1706,"AAAAAD3J2+I=")</f>
        <v>1</v>
      </c>
      <c r="HT215" t="b">
        <f>AND(DATA!Q1706,"AAAAAD3J2+M=")</f>
        <v>1</v>
      </c>
      <c r="HU215" t="b">
        <f>AND(DATA!R1706,"AAAAAD3J2+Q=")</f>
        <v>1</v>
      </c>
      <c r="HV215" t="b">
        <f>AND(DATA!S1706,"AAAAAD3J2+U=")</f>
        <v>1</v>
      </c>
      <c r="HW215" t="b">
        <f>AND(DATA!T1706,"AAAAAD3J2+Y=")</f>
        <v>1</v>
      </c>
      <c r="HX215">
        <f>IF(DATA!1706:1706,"AAAAAD3J2+c=",0)</f>
        <v>0</v>
      </c>
      <c r="HY215" t="e">
        <f>AND(DATA!A1706,"AAAAAD3J2+g=")</f>
        <v>#VALUE!</v>
      </c>
      <c r="HZ215" t="e">
        <f>AND(DATA!B1706,"AAAAAD3J2+k=")</f>
        <v>#VALUE!</v>
      </c>
      <c r="IA215" t="e">
        <f>AND(DATA!C1706,"AAAAAD3J2+o=")</f>
        <v>#VALUE!</v>
      </c>
      <c r="IB215" t="e">
        <f>AND(DATA!D1706,"AAAAAD3J2+s=")</f>
        <v>#VALUE!</v>
      </c>
      <c r="IC215" t="e">
        <f>AND(DATA!E1706,"AAAAAD3J2+w=")</f>
        <v>#VALUE!</v>
      </c>
      <c r="ID215" t="e">
        <f>AND(DATA!F1706,"AAAAAD3J2+0=")</f>
        <v>#VALUE!</v>
      </c>
      <c r="IE215" t="e">
        <f>AND(DATA!G1706,"AAAAAD3J2+4=")</f>
        <v>#VALUE!</v>
      </c>
      <c r="IF215" t="e">
        <f>AND(DATA!H1706,"AAAAAD3J2+8=")</f>
        <v>#VALUE!</v>
      </c>
      <c r="IG215" t="e">
        <f>AND(DATA!I1706,"AAAAAD3J2/A=")</f>
        <v>#VALUE!</v>
      </c>
      <c r="IH215" t="e">
        <f>AND(DATA!J1706,"AAAAAD3J2/E=")</f>
        <v>#VALUE!</v>
      </c>
      <c r="II215" t="e">
        <f>AND(DATA!K1706,"AAAAAD3J2/I=")</f>
        <v>#VALUE!</v>
      </c>
      <c r="IJ215" t="b">
        <f>AND(DATA!L1707,"AAAAAD3J2/M=")</f>
        <v>1</v>
      </c>
      <c r="IK215" t="b">
        <f>AND(DATA!M1707,"AAAAAD3J2/Q=")</f>
        <v>1</v>
      </c>
      <c r="IL215" t="b">
        <f>AND(DATA!N1707,"AAAAAD3J2/U=")</f>
        <v>1</v>
      </c>
      <c r="IM215" t="b">
        <f>AND(DATA!O1707,"AAAAAD3J2/Y=")</f>
        <v>1</v>
      </c>
      <c r="IN215" t="b">
        <f>AND(DATA!P1707,"AAAAAD3J2/c=")</f>
        <v>1</v>
      </c>
      <c r="IO215" t="b">
        <f>AND(DATA!Q1707,"AAAAAD3J2/g=")</f>
        <v>1</v>
      </c>
      <c r="IP215" t="b">
        <f>AND(DATA!R1707,"AAAAAD3J2/k=")</f>
        <v>1</v>
      </c>
      <c r="IQ215" t="b">
        <f>AND(DATA!S1707,"AAAAAD3J2/o=")</f>
        <v>1</v>
      </c>
      <c r="IR215" t="b">
        <f>AND(DATA!T1707,"AAAAAD3J2/s=")</f>
        <v>1</v>
      </c>
      <c r="IS215">
        <f>IF(DATA!1707:1707,"AAAAAD3J2/w=",0)</f>
        <v>0</v>
      </c>
      <c r="IT215" t="e">
        <f>AND(DATA!A1707,"AAAAAD3J2/0=")</f>
        <v>#VALUE!</v>
      </c>
      <c r="IU215" t="e">
        <f>AND(DATA!B1707,"AAAAAD3J2/4=")</f>
        <v>#VALUE!</v>
      </c>
      <c r="IV215" t="e">
        <f>AND(DATA!C1707,"AAAAAD3J2/8=")</f>
        <v>#VALUE!</v>
      </c>
    </row>
    <row r="216" spans="1:256" x14ac:dyDescent="0.25">
      <c r="A216" t="e">
        <f>AND(DATA!D1707,"AAAAAD17vwA=")</f>
        <v>#VALUE!</v>
      </c>
      <c r="B216" t="e">
        <f>AND(DATA!E1707,"AAAAAD17vwE=")</f>
        <v>#VALUE!</v>
      </c>
      <c r="C216" t="e">
        <f>AND(DATA!F1707,"AAAAAD17vwI=")</f>
        <v>#VALUE!</v>
      </c>
      <c r="D216" t="e">
        <f>AND(DATA!G1707,"AAAAAD17vwM=")</f>
        <v>#VALUE!</v>
      </c>
      <c r="E216" t="e">
        <f>AND(DATA!H1707,"AAAAAD17vwQ=")</f>
        <v>#VALUE!</v>
      </c>
      <c r="F216" t="e">
        <f>AND(DATA!I1707,"AAAAAD17vwU=")</f>
        <v>#VALUE!</v>
      </c>
      <c r="G216" t="e">
        <f>AND(DATA!J1707,"AAAAAD17vwY=")</f>
        <v>#VALUE!</v>
      </c>
      <c r="H216" t="e">
        <f>AND(DATA!K1707,"AAAAAD17vwc=")</f>
        <v>#VALUE!</v>
      </c>
      <c r="I216" t="b">
        <f>AND(DATA!L1708,"AAAAAD17vwg=")</f>
        <v>1</v>
      </c>
      <c r="J216" t="b">
        <f>AND(DATA!M1708,"AAAAAD17vwk=")</f>
        <v>1</v>
      </c>
      <c r="K216" t="b">
        <f>AND(DATA!N1708,"AAAAAD17vwo=")</f>
        <v>1</v>
      </c>
      <c r="L216" t="b">
        <f>AND(DATA!O1708,"AAAAAD17vws=")</f>
        <v>1</v>
      </c>
      <c r="M216" t="b">
        <f>AND(DATA!P1708,"AAAAAD17vww=")</f>
        <v>1</v>
      </c>
      <c r="N216" t="b">
        <f>AND(DATA!Q1708,"AAAAAD17vw0=")</f>
        <v>1</v>
      </c>
      <c r="O216" t="b">
        <f>AND(DATA!R1708,"AAAAAD17vw4=")</f>
        <v>1</v>
      </c>
      <c r="P216" t="b">
        <f>AND(DATA!S1708,"AAAAAD17vw8=")</f>
        <v>1</v>
      </c>
      <c r="Q216" t="b">
        <f>AND(DATA!T1708,"AAAAAD17vxA=")</f>
        <v>1</v>
      </c>
      <c r="R216" t="str">
        <f>IF(DATA!1708:1708,"AAAAAD17vxE=",0)</f>
        <v>AAAAAD17vxE=</v>
      </c>
      <c r="S216" t="e">
        <f>AND(DATA!A1708,"AAAAAD17vxI=")</f>
        <v>#VALUE!</v>
      </c>
      <c r="T216" t="e">
        <f>AND(DATA!B1708,"AAAAAD17vxM=")</f>
        <v>#VALUE!</v>
      </c>
      <c r="U216" t="e">
        <f>AND(DATA!C1708,"AAAAAD17vxQ=")</f>
        <v>#VALUE!</v>
      </c>
      <c r="V216" t="e">
        <f>AND(DATA!D1708,"AAAAAD17vxU=")</f>
        <v>#VALUE!</v>
      </c>
      <c r="W216" t="e">
        <f>AND(DATA!E1708,"AAAAAD17vxY=")</f>
        <v>#VALUE!</v>
      </c>
      <c r="X216" t="e">
        <f>AND(DATA!F1708,"AAAAAD17vxc=")</f>
        <v>#VALUE!</v>
      </c>
      <c r="Y216" t="e">
        <f>AND(DATA!G1708,"AAAAAD17vxg=")</f>
        <v>#VALUE!</v>
      </c>
      <c r="Z216" t="e">
        <f>AND(DATA!H1708,"AAAAAD17vxk=")</f>
        <v>#VALUE!</v>
      </c>
      <c r="AA216" t="e">
        <f>AND(DATA!I1708,"AAAAAD17vxo=")</f>
        <v>#VALUE!</v>
      </c>
      <c r="AB216" t="e">
        <f>AND(DATA!J1708,"AAAAAD17vxs=")</f>
        <v>#VALUE!</v>
      </c>
      <c r="AC216" t="e">
        <f>AND(DATA!K1708,"AAAAAD17vxw=")</f>
        <v>#VALUE!</v>
      </c>
      <c r="AD216" t="b">
        <f>AND(DATA!L1709,"AAAAAD17vx0=")</f>
        <v>1</v>
      </c>
      <c r="AE216" t="b">
        <f>AND(DATA!M1709,"AAAAAD17vx4=")</f>
        <v>1</v>
      </c>
      <c r="AF216" t="b">
        <f>AND(DATA!N1709,"AAAAAD17vx8=")</f>
        <v>1</v>
      </c>
      <c r="AG216" t="b">
        <f>AND(DATA!O1709,"AAAAAD17vyA=")</f>
        <v>1</v>
      </c>
      <c r="AH216" t="b">
        <f>AND(DATA!P1709,"AAAAAD17vyE=")</f>
        <v>1</v>
      </c>
      <c r="AI216" t="b">
        <f>AND(DATA!Q1709,"AAAAAD17vyI=")</f>
        <v>1</v>
      </c>
      <c r="AJ216" t="b">
        <f>AND(DATA!R1709,"AAAAAD17vyM=")</f>
        <v>1</v>
      </c>
      <c r="AK216" t="b">
        <f>AND(DATA!S1709,"AAAAAD17vyQ=")</f>
        <v>1</v>
      </c>
      <c r="AL216" t="b">
        <f>AND(DATA!T1709,"AAAAAD17vyU=")</f>
        <v>1</v>
      </c>
      <c r="AM216">
        <f>IF(DATA!1709:1709,"AAAAAD17vyY=",0)</f>
        <v>0</v>
      </c>
      <c r="AN216" t="e">
        <f>AND(DATA!A1709,"AAAAAD17vyc=")</f>
        <v>#VALUE!</v>
      </c>
      <c r="AO216" t="e">
        <f>AND(DATA!B1709,"AAAAAD17vyg=")</f>
        <v>#VALUE!</v>
      </c>
      <c r="AP216" t="e">
        <f>AND(DATA!C1709,"AAAAAD17vyk=")</f>
        <v>#VALUE!</v>
      </c>
      <c r="AQ216" t="e">
        <f>AND(DATA!D1709,"AAAAAD17vyo=")</f>
        <v>#VALUE!</v>
      </c>
      <c r="AR216" t="e">
        <f>AND(DATA!E1709,"AAAAAD17vys=")</f>
        <v>#VALUE!</v>
      </c>
      <c r="AS216" t="e">
        <f>AND(DATA!F1709,"AAAAAD17vyw=")</f>
        <v>#VALUE!</v>
      </c>
      <c r="AT216" t="e">
        <f>AND(DATA!G1709,"AAAAAD17vy0=")</f>
        <v>#VALUE!</v>
      </c>
      <c r="AU216" t="e">
        <f>AND(DATA!H1709,"AAAAAD17vy4=")</f>
        <v>#VALUE!</v>
      </c>
      <c r="AV216" t="e">
        <f>AND(DATA!I1709,"AAAAAD17vy8=")</f>
        <v>#VALUE!</v>
      </c>
      <c r="AW216" t="e">
        <f>AND(DATA!J1709,"AAAAAD17vzA=")</f>
        <v>#VALUE!</v>
      </c>
      <c r="AX216" t="e">
        <f>AND(DATA!K1709,"AAAAAD17vzE=")</f>
        <v>#VALUE!</v>
      </c>
      <c r="AY216" t="b">
        <f>AND(DATA!L1710,"AAAAAD17vzI=")</f>
        <v>1</v>
      </c>
      <c r="AZ216" t="b">
        <f>AND(DATA!M1710,"AAAAAD17vzM=")</f>
        <v>1</v>
      </c>
      <c r="BA216" t="b">
        <f>AND(DATA!N1710,"AAAAAD17vzQ=")</f>
        <v>1</v>
      </c>
      <c r="BB216" t="b">
        <f>AND(DATA!O1710,"AAAAAD17vzU=")</f>
        <v>1</v>
      </c>
      <c r="BC216" t="b">
        <f>AND(DATA!P1710,"AAAAAD17vzY=")</f>
        <v>1</v>
      </c>
      <c r="BD216" t="b">
        <f>AND(DATA!Q1710,"AAAAAD17vzc=")</f>
        <v>1</v>
      </c>
      <c r="BE216" t="b">
        <f>AND(DATA!R1710,"AAAAAD17vzg=")</f>
        <v>1</v>
      </c>
      <c r="BF216" t="b">
        <f>AND(DATA!S1710,"AAAAAD17vzk=")</f>
        <v>1</v>
      </c>
      <c r="BG216" t="b">
        <f>AND(DATA!T1710,"AAAAAD17vzo=")</f>
        <v>1</v>
      </c>
      <c r="BH216">
        <f>IF(DATA!1710:1710,"AAAAAD17vzs=",0)</f>
        <v>0</v>
      </c>
      <c r="BI216" t="e">
        <f>AND(DATA!A1710,"AAAAAD17vzw=")</f>
        <v>#VALUE!</v>
      </c>
      <c r="BJ216" t="e">
        <f>AND(DATA!B1710,"AAAAAD17vz0=")</f>
        <v>#VALUE!</v>
      </c>
      <c r="BK216" t="e">
        <f>AND(DATA!C1710,"AAAAAD17vz4=")</f>
        <v>#VALUE!</v>
      </c>
      <c r="BL216" t="e">
        <f>AND(DATA!D1710,"AAAAAD17vz8=")</f>
        <v>#VALUE!</v>
      </c>
      <c r="BM216" t="e">
        <f>AND(DATA!E1710,"AAAAAD17v0A=")</f>
        <v>#VALUE!</v>
      </c>
      <c r="BN216" t="e">
        <f>AND(DATA!F1710,"AAAAAD17v0E=")</f>
        <v>#VALUE!</v>
      </c>
      <c r="BO216" t="e">
        <f>AND(DATA!G1710,"AAAAAD17v0I=")</f>
        <v>#VALUE!</v>
      </c>
      <c r="BP216" t="e">
        <f>AND(DATA!H1710,"AAAAAD17v0M=")</f>
        <v>#VALUE!</v>
      </c>
      <c r="BQ216" t="e">
        <f>AND(DATA!I1710,"AAAAAD17v0Q=")</f>
        <v>#VALUE!</v>
      </c>
      <c r="BR216" t="e">
        <f>AND(DATA!J1710,"AAAAAD17v0U=")</f>
        <v>#VALUE!</v>
      </c>
      <c r="BS216" t="e">
        <f>AND(DATA!K1710,"AAAAAD17v0Y=")</f>
        <v>#VALUE!</v>
      </c>
      <c r="BT216" t="b">
        <f>AND(DATA!L1711,"AAAAAD17v0c=")</f>
        <v>1</v>
      </c>
      <c r="BU216" t="b">
        <f>AND(DATA!M1711,"AAAAAD17v0g=")</f>
        <v>1</v>
      </c>
      <c r="BV216" t="b">
        <f>AND(DATA!N1711,"AAAAAD17v0k=")</f>
        <v>1</v>
      </c>
      <c r="BW216" t="b">
        <f>AND(DATA!O1711,"AAAAAD17v0o=")</f>
        <v>1</v>
      </c>
      <c r="BX216" t="b">
        <f>AND(DATA!P1711,"AAAAAD17v0s=")</f>
        <v>1</v>
      </c>
      <c r="BY216" t="b">
        <f>AND(DATA!Q1711,"AAAAAD17v0w=")</f>
        <v>1</v>
      </c>
      <c r="BZ216" t="b">
        <f>AND(DATA!R1711,"AAAAAD17v00=")</f>
        <v>1</v>
      </c>
      <c r="CA216" t="b">
        <f>AND(DATA!S1711,"AAAAAD17v04=")</f>
        <v>1</v>
      </c>
      <c r="CB216" t="b">
        <f>AND(DATA!T1711,"AAAAAD17v08=")</f>
        <v>1</v>
      </c>
      <c r="CC216">
        <f>IF(DATA!1711:1711,"AAAAAD17v1A=",0)</f>
        <v>0</v>
      </c>
      <c r="CD216" t="e">
        <f>AND(DATA!A1711,"AAAAAD17v1E=")</f>
        <v>#VALUE!</v>
      </c>
      <c r="CE216" t="e">
        <f>AND(DATA!B1711,"AAAAAD17v1I=")</f>
        <v>#VALUE!</v>
      </c>
      <c r="CF216" t="e">
        <f>AND(DATA!C1711,"AAAAAD17v1M=")</f>
        <v>#VALUE!</v>
      </c>
      <c r="CG216" t="e">
        <f>AND(DATA!D1711,"AAAAAD17v1Q=")</f>
        <v>#VALUE!</v>
      </c>
      <c r="CH216" t="e">
        <f>AND(DATA!E1711,"AAAAAD17v1U=")</f>
        <v>#VALUE!</v>
      </c>
      <c r="CI216" t="e">
        <f>AND(DATA!F1711,"AAAAAD17v1Y=")</f>
        <v>#VALUE!</v>
      </c>
      <c r="CJ216" t="e">
        <f>AND(DATA!G1711,"AAAAAD17v1c=")</f>
        <v>#VALUE!</v>
      </c>
      <c r="CK216" t="e">
        <f>AND(DATA!H1711,"AAAAAD17v1g=")</f>
        <v>#VALUE!</v>
      </c>
      <c r="CL216" t="e">
        <f>AND(DATA!I1711,"AAAAAD17v1k=")</f>
        <v>#VALUE!</v>
      </c>
      <c r="CM216" t="e">
        <f>AND(DATA!J1711,"AAAAAD17v1o=")</f>
        <v>#VALUE!</v>
      </c>
      <c r="CN216" t="e">
        <f>AND(DATA!K1711,"AAAAAD17v1s=")</f>
        <v>#VALUE!</v>
      </c>
      <c r="CO216" t="b">
        <f>AND(DATA!L1712,"AAAAAD17v1w=")</f>
        <v>1</v>
      </c>
      <c r="CP216" t="b">
        <f>AND(DATA!M1712,"AAAAAD17v10=")</f>
        <v>1</v>
      </c>
      <c r="CQ216" t="b">
        <f>AND(DATA!N1712,"AAAAAD17v14=")</f>
        <v>1</v>
      </c>
      <c r="CR216" t="b">
        <f>AND(DATA!O1712,"AAAAAD17v18=")</f>
        <v>1</v>
      </c>
      <c r="CS216" t="b">
        <f>AND(DATA!P1712,"AAAAAD17v2A=")</f>
        <v>1</v>
      </c>
      <c r="CT216" t="b">
        <f>AND(DATA!Q1712,"AAAAAD17v2E=")</f>
        <v>1</v>
      </c>
      <c r="CU216" t="b">
        <f>AND(DATA!R1712,"AAAAAD17v2I=")</f>
        <v>1</v>
      </c>
      <c r="CV216" t="b">
        <f>AND(DATA!S1712,"AAAAAD17v2M=")</f>
        <v>1</v>
      </c>
      <c r="CW216" t="b">
        <f>AND(DATA!T1712,"AAAAAD17v2Q=")</f>
        <v>1</v>
      </c>
      <c r="CX216">
        <f>IF(DATA!1712:1712,"AAAAAD17v2U=",0)</f>
        <v>0</v>
      </c>
      <c r="CY216" t="e">
        <f>AND(DATA!A1712,"AAAAAD17v2Y=")</f>
        <v>#VALUE!</v>
      </c>
      <c r="CZ216" t="e">
        <f>AND(DATA!B1712,"AAAAAD17v2c=")</f>
        <v>#VALUE!</v>
      </c>
      <c r="DA216" t="e">
        <f>AND(DATA!C1712,"AAAAAD17v2g=")</f>
        <v>#VALUE!</v>
      </c>
      <c r="DB216" t="e">
        <f>AND(DATA!D1712,"AAAAAD17v2k=")</f>
        <v>#VALUE!</v>
      </c>
      <c r="DC216" t="e">
        <f>AND(DATA!E1712,"AAAAAD17v2o=")</f>
        <v>#VALUE!</v>
      </c>
      <c r="DD216" t="e">
        <f>AND(DATA!F1712,"AAAAAD17v2s=")</f>
        <v>#VALUE!</v>
      </c>
      <c r="DE216" t="e">
        <f>AND(DATA!G1712,"AAAAAD17v2w=")</f>
        <v>#VALUE!</v>
      </c>
      <c r="DF216" t="e">
        <f>AND(DATA!H1712,"AAAAAD17v20=")</f>
        <v>#VALUE!</v>
      </c>
      <c r="DG216" t="e">
        <f>AND(DATA!I1712,"AAAAAD17v24=")</f>
        <v>#VALUE!</v>
      </c>
      <c r="DH216" t="e">
        <f>AND(DATA!J1712,"AAAAAD17v28=")</f>
        <v>#VALUE!</v>
      </c>
      <c r="DI216" t="e">
        <f>AND(DATA!K1712,"AAAAAD17v3A=")</f>
        <v>#VALUE!</v>
      </c>
      <c r="DJ216" t="b">
        <f>AND(DATA!L1713,"AAAAAD17v3E=")</f>
        <v>1</v>
      </c>
      <c r="DK216" t="b">
        <f>AND(DATA!M1713,"AAAAAD17v3I=")</f>
        <v>1</v>
      </c>
      <c r="DL216" t="b">
        <f>AND(DATA!N1713,"AAAAAD17v3M=")</f>
        <v>1</v>
      </c>
      <c r="DM216" t="b">
        <f>AND(DATA!O1713,"AAAAAD17v3Q=")</f>
        <v>1</v>
      </c>
      <c r="DN216" t="b">
        <f>AND(DATA!P1713,"AAAAAD17v3U=")</f>
        <v>1</v>
      </c>
      <c r="DO216" t="b">
        <f>AND(DATA!Q1713,"AAAAAD17v3Y=")</f>
        <v>1</v>
      </c>
      <c r="DP216" t="b">
        <f>AND(DATA!R1713,"AAAAAD17v3c=")</f>
        <v>1</v>
      </c>
      <c r="DQ216" t="b">
        <f>AND(DATA!S1713,"AAAAAD17v3g=")</f>
        <v>1</v>
      </c>
      <c r="DR216" t="b">
        <f>AND(DATA!T1713,"AAAAAD17v3k=")</f>
        <v>1</v>
      </c>
      <c r="DS216">
        <f>IF(DATA!1713:1713,"AAAAAD17v3o=",0)</f>
        <v>0</v>
      </c>
      <c r="DT216" t="e">
        <f>AND(DATA!A1713,"AAAAAD17v3s=")</f>
        <v>#VALUE!</v>
      </c>
      <c r="DU216" t="e">
        <f>AND(DATA!B1713,"AAAAAD17v3w=")</f>
        <v>#VALUE!</v>
      </c>
      <c r="DV216" t="e">
        <f>AND(DATA!C1713,"AAAAAD17v30=")</f>
        <v>#VALUE!</v>
      </c>
      <c r="DW216" t="e">
        <f>AND(DATA!D1713,"AAAAAD17v34=")</f>
        <v>#VALUE!</v>
      </c>
      <c r="DX216" t="e">
        <f>AND(DATA!E1713,"AAAAAD17v38=")</f>
        <v>#VALUE!</v>
      </c>
      <c r="DY216" t="e">
        <f>AND(DATA!F1713,"AAAAAD17v4A=")</f>
        <v>#VALUE!</v>
      </c>
      <c r="DZ216" t="e">
        <f>AND(DATA!G1713,"AAAAAD17v4E=")</f>
        <v>#VALUE!</v>
      </c>
      <c r="EA216" t="e">
        <f>AND(DATA!H1713,"AAAAAD17v4I=")</f>
        <v>#VALUE!</v>
      </c>
      <c r="EB216" t="e">
        <f>AND(DATA!I1713,"AAAAAD17v4M=")</f>
        <v>#VALUE!</v>
      </c>
      <c r="EC216" t="e">
        <f>AND(DATA!J1713,"AAAAAD17v4Q=")</f>
        <v>#VALUE!</v>
      </c>
      <c r="ED216" t="e">
        <f>AND(DATA!K1713,"AAAAAD17v4U=")</f>
        <v>#VALUE!</v>
      </c>
      <c r="EE216" t="b">
        <f>AND(DATA!L1714,"AAAAAD17v4Y=")</f>
        <v>1</v>
      </c>
      <c r="EF216" t="b">
        <f>AND(DATA!M1714,"AAAAAD17v4c=")</f>
        <v>1</v>
      </c>
      <c r="EG216" t="b">
        <f>AND(DATA!N1714,"AAAAAD17v4g=")</f>
        <v>1</v>
      </c>
      <c r="EH216" t="b">
        <f>AND(DATA!O1714,"AAAAAD17v4k=")</f>
        <v>1</v>
      </c>
      <c r="EI216" t="b">
        <f>AND(DATA!P1714,"AAAAAD17v4o=")</f>
        <v>1</v>
      </c>
      <c r="EJ216" t="b">
        <f>AND(DATA!Q1714,"AAAAAD17v4s=")</f>
        <v>1</v>
      </c>
      <c r="EK216" t="b">
        <f>AND(DATA!R1714,"AAAAAD17v4w=")</f>
        <v>1</v>
      </c>
      <c r="EL216" t="b">
        <f>AND(DATA!S1714,"AAAAAD17v40=")</f>
        <v>1</v>
      </c>
      <c r="EM216" t="b">
        <f>AND(DATA!T1714,"AAAAAD17v44=")</f>
        <v>1</v>
      </c>
      <c r="EN216">
        <f>IF(DATA!1714:1714,"AAAAAD17v48=",0)</f>
        <v>0</v>
      </c>
      <c r="EO216" t="e">
        <f>AND(DATA!A1714,"AAAAAD17v5A=")</f>
        <v>#VALUE!</v>
      </c>
      <c r="EP216" t="e">
        <f>AND(DATA!B1714,"AAAAAD17v5E=")</f>
        <v>#VALUE!</v>
      </c>
      <c r="EQ216" t="e">
        <f>AND(DATA!C1714,"AAAAAD17v5I=")</f>
        <v>#VALUE!</v>
      </c>
      <c r="ER216" t="e">
        <f>AND(DATA!D1714,"AAAAAD17v5M=")</f>
        <v>#VALUE!</v>
      </c>
      <c r="ES216" t="e">
        <f>AND(DATA!E1714,"AAAAAD17v5Q=")</f>
        <v>#VALUE!</v>
      </c>
      <c r="ET216" t="e">
        <f>AND(DATA!F1714,"AAAAAD17v5U=")</f>
        <v>#VALUE!</v>
      </c>
      <c r="EU216" t="e">
        <f>AND(DATA!G1714,"AAAAAD17v5Y=")</f>
        <v>#VALUE!</v>
      </c>
      <c r="EV216" t="e">
        <f>AND(DATA!H1714,"AAAAAD17v5c=")</f>
        <v>#VALUE!</v>
      </c>
      <c r="EW216" t="e">
        <f>AND(DATA!I1714,"AAAAAD17v5g=")</f>
        <v>#VALUE!</v>
      </c>
      <c r="EX216" t="e">
        <f>AND(DATA!J1714,"AAAAAD17v5k=")</f>
        <v>#VALUE!</v>
      </c>
      <c r="EY216" t="e">
        <f>AND(DATA!K1714,"AAAAAD17v5o=")</f>
        <v>#VALUE!</v>
      </c>
      <c r="EZ216" t="b">
        <f>AND(DATA!L1715,"AAAAAD17v5s=")</f>
        <v>1</v>
      </c>
      <c r="FA216" t="b">
        <f>AND(DATA!M1715,"AAAAAD17v5w=")</f>
        <v>1</v>
      </c>
      <c r="FB216" t="b">
        <f>AND(DATA!N1715,"AAAAAD17v50=")</f>
        <v>1</v>
      </c>
      <c r="FC216" t="b">
        <f>AND(DATA!O1715,"AAAAAD17v54=")</f>
        <v>1</v>
      </c>
      <c r="FD216" t="b">
        <f>AND(DATA!P1715,"AAAAAD17v58=")</f>
        <v>1</v>
      </c>
      <c r="FE216" t="b">
        <f>AND(DATA!Q1715,"AAAAAD17v6A=")</f>
        <v>1</v>
      </c>
      <c r="FF216" t="b">
        <f>AND(DATA!R1715,"AAAAAD17v6E=")</f>
        <v>1</v>
      </c>
      <c r="FG216" t="b">
        <f>AND(DATA!S1715,"AAAAAD17v6I=")</f>
        <v>1</v>
      </c>
      <c r="FH216" t="b">
        <f>AND(DATA!T1715,"AAAAAD17v6M=")</f>
        <v>1</v>
      </c>
      <c r="FI216">
        <f>IF(DATA!1715:1715,"AAAAAD17v6Q=",0)</f>
        <v>0</v>
      </c>
      <c r="FJ216" t="e">
        <f>AND(DATA!A1715,"AAAAAD17v6U=")</f>
        <v>#VALUE!</v>
      </c>
      <c r="FK216" t="e">
        <f>AND(DATA!B1715,"AAAAAD17v6Y=")</f>
        <v>#VALUE!</v>
      </c>
      <c r="FL216" t="e">
        <f>AND(DATA!C1715,"AAAAAD17v6c=")</f>
        <v>#VALUE!</v>
      </c>
      <c r="FM216" t="e">
        <f>AND(DATA!D1715,"AAAAAD17v6g=")</f>
        <v>#VALUE!</v>
      </c>
      <c r="FN216" t="e">
        <f>AND(DATA!E1715,"AAAAAD17v6k=")</f>
        <v>#VALUE!</v>
      </c>
      <c r="FO216" t="e">
        <f>AND(DATA!F1715,"AAAAAD17v6o=")</f>
        <v>#VALUE!</v>
      </c>
      <c r="FP216" t="e">
        <f>AND(DATA!G1715,"AAAAAD17v6s=")</f>
        <v>#VALUE!</v>
      </c>
      <c r="FQ216" t="e">
        <f>AND(DATA!H1715,"AAAAAD17v6w=")</f>
        <v>#VALUE!</v>
      </c>
      <c r="FR216" t="e">
        <f>AND(DATA!I1715,"AAAAAD17v60=")</f>
        <v>#VALUE!</v>
      </c>
      <c r="FS216" t="e">
        <f>AND(DATA!J1715,"AAAAAD17v64=")</f>
        <v>#VALUE!</v>
      </c>
      <c r="FT216" t="e">
        <f>AND(DATA!K1715,"AAAAAD17v68=")</f>
        <v>#VALUE!</v>
      </c>
      <c r="FU216" t="b">
        <f>AND(DATA!L1716,"AAAAAD17v7A=")</f>
        <v>1</v>
      </c>
      <c r="FV216" t="b">
        <f>AND(DATA!M1716,"AAAAAD17v7E=")</f>
        <v>1</v>
      </c>
      <c r="FW216" t="b">
        <f>AND(DATA!N1716,"AAAAAD17v7I=")</f>
        <v>1</v>
      </c>
      <c r="FX216" t="b">
        <f>AND(DATA!O1716,"AAAAAD17v7M=")</f>
        <v>1</v>
      </c>
      <c r="FY216" t="b">
        <f>AND(DATA!P1716,"AAAAAD17v7Q=")</f>
        <v>1</v>
      </c>
      <c r="FZ216" t="b">
        <f>AND(DATA!Q1716,"AAAAAD17v7U=")</f>
        <v>1</v>
      </c>
      <c r="GA216" t="b">
        <f>AND(DATA!R1716,"AAAAAD17v7Y=")</f>
        <v>1</v>
      </c>
      <c r="GB216" t="b">
        <f>AND(DATA!S1716,"AAAAAD17v7c=")</f>
        <v>1</v>
      </c>
      <c r="GC216" t="b">
        <f>AND(DATA!T1716,"AAAAAD17v7g=")</f>
        <v>1</v>
      </c>
      <c r="GD216">
        <f>IF(DATA!1716:1716,"AAAAAD17v7k=",0)</f>
        <v>0</v>
      </c>
      <c r="GE216" t="e">
        <f>AND(DATA!A1716,"AAAAAD17v7o=")</f>
        <v>#VALUE!</v>
      </c>
      <c r="GF216" t="e">
        <f>AND(DATA!B1716,"AAAAAD17v7s=")</f>
        <v>#VALUE!</v>
      </c>
      <c r="GG216" t="e">
        <f>AND(DATA!C1716,"AAAAAD17v7w=")</f>
        <v>#VALUE!</v>
      </c>
      <c r="GH216" t="e">
        <f>AND(DATA!D1716,"AAAAAD17v70=")</f>
        <v>#VALUE!</v>
      </c>
      <c r="GI216" t="e">
        <f>AND(DATA!E1716,"AAAAAD17v74=")</f>
        <v>#VALUE!</v>
      </c>
      <c r="GJ216" t="e">
        <f>AND(DATA!F1716,"AAAAAD17v78=")</f>
        <v>#VALUE!</v>
      </c>
      <c r="GK216" t="e">
        <f>AND(DATA!G1716,"AAAAAD17v8A=")</f>
        <v>#VALUE!</v>
      </c>
      <c r="GL216" t="e">
        <f>AND(DATA!H1716,"AAAAAD17v8E=")</f>
        <v>#VALUE!</v>
      </c>
      <c r="GM216" t="e">
        <f>AND(DATA!I1716,"AAAAAD17v8I=")</f>
        <v>#VALUE!</v>
      </c>
      <c r="GN216" t="e">
        <f>AND(DATA!J1716,"AAAAAD17v8M=")</f>
        <v>#VALUE!</v>
      </c>
      <c r="GO216" t="e">
        <f>AND(DATA!K1716,"AAAAAD17v8Q=")</f>
        <v>#VALUE!</v>
      </c>
      <c r="GP216" t="b">
        <f>AND(DATA!L1717,"AAAAAD17v8U=")</f>
        <v>1</v>
      </c>
      <c r="GQ216" t="b">
        <f>AND(DATA!M1717,"AAAAAD17v8Y=")</f>
        <v>1</v>
      </c>
      <c r="GR216" t="b">
        <f>AND(DATA!N1717,"AAAAAD17v8c=")</f>
        <v>1</v>
      </c>
      <c r="GS216" t="b">
        <f>AND(DATA!O1717,"AAAAAD17v8g=")</f>
        <v>1</v>
      </c>
      <c r="GT216" t="b">
        <f>AND(DATA!P1717,"AAAAAD17v8k=")</f>
        <v>1</v>
      </c>
      <c r="GU216" t="b">
        <f>AND(DATA!Q1717,"AAAAAD17v8o=")</f>
        <v>1</v>
      </c>
      <c r="GV216" t="b">
        <f>AND(DATA!R1717,"AAAAAD17v8s=")</f>
        <v>1</v>
      </c>
      <c r="GW216" t="b">
        <f>AND(DATA!S1717,"AAAAAD17v8w=")</f>
        <v>1</v>
      </c>
      <c r="GX216" t="b">
        <f>AND(DATA!T1717,"AAAAAD17v80=")</f>
        <v>1</v>
      </c>
      <c r="GY216">
        <f>IF(DATA!1717:1717,"AAAAAD17v84=",0)</f>
        <v>0</v>
      </c>
      <c r="GZ216" t="e">
        <f>AND(DATA!A1717,"AAAAAD17v88=")</f>
        <v>#VALUE!</v>
      </c>
      <c r="HA216" t="e">
        <f>AND(DATA!B1717,"AAAAAD17v9A=")</f>
        <v>#VALUE!</v>
      </c>
      <c r="HB216" t="e">
        <f>AND(DATA!C1717,"AAAAAD17v9E=")</f>
        <v>#VALUE!</v>
      </c>
      <c r="HC216" t="e">
        <f>AND(DATA!D1717,"AAAAAD17v9I=")</f>
        <v>#VALUE!</v>
      </c>
      <c r="HD216" t="e">
        <f>AND(DATA!E1717,"AAAAAD17v9M=")</f>
        <v>#VALUE!</v>
      </c>
      <c r="HE216" t="e">
        <f>AND(DATA!F1717,"AAAAAD17v9Q=")</f>
        <v>#VALUE!</v>
      </c>
      <c r="HF216" t="e">
        <f>AND(DATA!G1717,"AAAAAD17v9U=")</f>
        <v>#VALUE!</v>
      </c>
      <c r="HG216" t="e">
        <f>AND(DATA!H1717,"AAAAAD17v9Y=")</f>
        <v>#VALUE!</v>
      </c>
      <c r="HH216" t="e">
        <f>AND(DATA!I1717,"AAAAAD17v9c=")</f>
        <v>#VALUE!</v>
      </c>
      <c r="HI216" t="e">
        <f>AND(DATA!J1717,"AAAAAD17v9g=")</f>
        <v>#VALUE!</v>
      </c>
      <c r="HJ216" t="e">
        <f>AND(DATA!K1717,"AAAAAD17v9k=")</f>
        <v>#VALUE!</v>
      </c>
      <c r="HK216" t="b">
        <f>AND(DATA!L1718,"AAAAAD17v9o=")</f>
        <v>1</v>
      </c>
      <c r="HL216" t="b">
        <f>AND(DATA!M1718,"AAAAAD17v9s=")</f>
        <v>1</v>
      </c>
      <c r="HM216" t="b">
        <f>AND(DATA!N1718,"AAAAAD17v9w=")</f>
        <v>1</v>
      </c>
      <c r="HN216" t="b">
        <f>AND(DATA!O1718,"AAAAAD17v90=")</f>
        <v>1</v>
      </c>
      <c r="HO216" t="b">
        <f>AND(DATA!P1718,"AAAAAD17v94=")</f>
        <v>1</v>
      </c>
      <c r="HP216" t="b">
        <f>AND(DATA!Q1718,"AAAAAD17v98=")</f>
        <v>1</v>
      </c>
      <c r="HQ216" t="b">
        <f>AND(DATA!R1718,"AAAAAD17v+A=")</f>
        <v>1</v>
      </c>
      <c r="HR216" t="b">
        <f>AND(DATA!S1718,"AAAAAD17v+E=")</f>
        <v>1</v>
      </c>
      <c r="HS216" t="b">
        <f>AND(DATA!T1718,"AAAAAD17v+I=")</f>
        <v>1</v>
      </c>
      <c r="HT216">
        <f>IF(DATA!1718:1718,"AAAAAD17v+M=",0)</f>
        <v>0</v>
      </c>
      <c r="HU216" t="e">
        <f>AND(DATA!A1718,"AAAAAD17v+Q=")</f>
        <v>#VALUE!</v>
      </c>
      <c r="HV216" t="e">
        <f>AND(DATA!B1718,"AAAAAD17v+U=")</f>
        <v>#VALUE!</v>
      </c>
      <c r="HW216" t="e">
        <f>AND(DATA!C1718,"AAAAAD17v+Y=")</f>
        <v>#VALUE!</v>
      </c>
      <c r="HX216" t="e">
        <f>AND(DATA!D1718,"AAAAAD17v+c=")</f>
        <v>#VALUE!</v>
      </c>
      <c r="HY216" t="e">
        <f>AND(DATA!E1718,"AAAAAD17v+g=")</f>
        <v>#VALUE!</v>
      </c>
      <c r="HZ216" t="e">
        <f>AND(DATA!F1718,"AAAAAD17v+k=")</f>
        <v>#VALUE!</v>
      </c>
      <c r="IA216" t="e">
        <f>AND(DATA!G1718,"AAAAAD17v+o=")</f>
        <v>#VALUE!</v>
      </c>
      <c r="IB216" t="e">
        <f>AND(DATA!H1718,"AAAAAD17v+s=")</f>
        <v>#VALUE!</v>
      </c>
      <c r="IC216" t="e">
        <f>AND(DATA!I1718,"AAAAAD17v+w=")</f>
        <v>#VALUE!</v>
      </c>
      <c r="ID216" t="e">
        <f>AND(DATA!J1718,"AAAAAD17v+0=")</f>
        <v>#VALUE!</v>
      </c>
      <c r="IE216" t="e">
        <f>AND(DATA!K1718,"AAAAAD17v+4=")</f>
        <v>#VALUE!</v>
      </c>
      <c r="IF216" t="b">
        <f>AND(DATA!L1719,"AAAAAD17v+8=")</f>
        <v>1</v>
      </c>
      <c r="IG216" t="b">
        <f>AND(DATA!M1719,"AAAAAD17v/A=")</f>
        <v>1</v>
      </c>
      <c r="IH216" t="b">
        <f>AND(DATA!N1719,"AAAAAD17v/E=")</f>
        <v>1</v>
      </c>
      <c r="II216" t="b">
        <f>AND(DATA!O1719,"AAAAAD17v/I=")</f>
        <v>1</v>
      </c>
      <c r="IJ216" t="b">
        <f>AND(DATA!P1719,"AAAAAD17v/M=")</f>
        <v>1</v>
      </c>
      <c r="IK216" t="b">
        <f>AND(DATA!Q1719,"AAAAAD17v/Q=")</f>
        <v>1</v>
      </c>
      <c r="IL216" t="b">
        <f>AND(DATA!R1719,"AAAAAD17v/U=")</f>
        <v>1</v>
      </c>
      <c r="IM216" t="b">
        <f>AND(DATA!S1719,"AAAAAD17v/Y=")</f>
        <v>1</v>
      </c>
      <c r="IN216" t="b">
        <f>AND(DATA!T1719,"AAAAAD17v/c=")</f>
        <v>1</v>
      </c>
      <c r="IO216">
        <f>IF(DATA!1719:1719,"AAAAAD17v/g=",0)</f>
        <v>0</v>
      </c>
      <c r="IP216" t="e">
        <f>AND(DATA!A1719,"AAAAAD17v/k=")</f>
        <v>#VALUE!</v>
      </c>
      <c r="IQ216" t="e">
        <f>AND(DATA!B1719,"AAAAAD17v/o=")</f>
        <v>#VALUE!</v>
      </c>
      <c r="IR216" t="e">
        <f>AND(DATA!C1719,"AAAAAD17v/s=")</f>
        <v>#VALUE!</v>
      </c>
      <c r="IS216" t="e">
        <f>AND(DATA!D1719,"AAAAAD17v/w=")</f>
        <v>#VALUE!</v>
      </c>
      <c r="IT216" t="e">
        <f>AND(DATA!E1719,"AAAAAD17v/0=")</f>
        <v>#VALUE!</v>
      </c>
      <c r="IU216" t="e">
        <f>AND(DATA!F1719,"AAAAAD17v/4=")</f>
        <v>#VALUE!</v>
      </c>
      <c r="IV216" t="e">
        <f>AND(DATA!G1719,"AAAAAD17v/8=")</f>
        <v>#VALUE!</v>
      </c>
    </row>
    <row r="217" spans="1:256" x14ac:dyDescent="0.25">
      <c r="A217" t="e">
        <f>AND(DATA!H1719,"AAAAAH2H/wA=")</f>
        <v>#VALUE!</v>
      </c>
      <c r="B217" t="e">
        <f>AND(DATA!I1719,"AAAAAH2H/wE=")</f>
        <v>#VALUE!</v>
      </c>
      <c r="C217" t="e">
        <f>AND(DATA!J1719,"AAAAAH2H/wI=")</f>
        <v>#VALUE!</v>
      </c>
      <c r="D217" t="e">
        <f>AND(DATA!K1719,"AAAAAH2H/wM=")</f>
        <v>#VALUE!</v>
      </c>
      <c r="E217" t="b">
        <f>AND(DATA!L1720,"AAAAAH2H/wQ=")</f>
        <v>1</v>
      </c>
      <c r="F217" t="b">
        <f>AND(DATA!M1720,"AAAAAH2H/wU=")</f>
        <v>1</v>
      </c>
      <c r="G217" t="b">
        <f>AND(DATA!N1720,"AAAAAH2H/wY=")</f>
        <v>1</v>
      </c>
      <c r="H217" t="b">
        <f>AND(DATA!O1720,"AAAAAH2H/wc=")</f>
        <v>1</v>
      </c>
      <c r="I217" t="b">
        <f>AND(DATA!P1720,"AAAAAH2H/wg=")</f>
        <v>1</v>
      </c>
      <c r="J217" t="b">
        <f>AND(DATA!Q1720,"AAAAAH2H/wk=")</f>
        <v>1</v>
      </c>
      <c r="K217" t="b">
        <f>AND(DATA!R1720,"AAAAAH2H/wo=")</f>
        <v>1</v>
      </c>
      <c r="L217" t="b">
        <f>AND(DATA!S1720,"AAAAAH2H/ws=")</f>
        <v>1</v>
      </c>
      <c r="M217" t="b">
        <f>AND(DATA!T1720,"AAAAAH2H/ww=")</f>
        <v>1</v>
      </c>
      <c r="N217" t="str">
        <f>IF(DATA!1720:1720,"AAAAAH2H/w0=",0)</f>
        <v>AAAAAH2H/w0=</v>
      </c>
      <c r="O217" t="e">
        <f>AND(DATA!A1720,"AAAAAH2H/w4=")</f>
        <v>#VALUE!</v>
      </c>
      <c r="P217" t="e">
        <f>AND(DATA!B1720,"AAAAAH2H/w8=")</f>
        <v>#VALUE!</v>
      </c>
      <c r="Q217" t="e">
        <f>AND(DATA!C1720,"AAAAAH2H/xA=")</f>
        <v>#VALUE!</v>
      </c>
      <c r="R217" t="e">
        <f>AND(DATA!D1720,"AAAAAH2H/xE=")</f>
        <v>#VALUE!</v>
      </c>
      <c r="S217" t="e">
        <f>AND(DATA!E1720,"AAAAAH2H/xI=")</f>
        <v>#VALUE!</v>
      </c>
      <c r="T217" t="e">
        <f>AND(DATA!F1720,"AAAAAH2H/xM=")</f>
        <v>#VALUE!</v>
      </c>
      <c r="U217" t="e">
        <f>AND(DATA!G1720,"AAAAAH2H/xQ=")</f>
        <v>#VALUE!</v>
      </c>
      <c r="V217" t="e">
        <f>AND(DATA!H1720,"AAAAAH2H/xU=")</f>
        <v>#VALUE!</v>
      </c>
      <c r="W217" t="e">
        <f>AND(DATA!I1720,"AAAAAH2H/xY=")</f>
        <v>#VALUE!</v>
      </c>
      <c r="X217" t="e">
        <f>AND(DATA!J1720,"AAAAAH2H/xc=")</f>
        <v>#VALUE!</v>
      </c>
      <c r="Y217" t="e">
        <f>AND(DATA!K1720,"AAAAAH2H/xg=")</f>
        <v>#VALUE!</v>
      </c>
      <c r="Z217" t="b">
        <f>AND(DATA!L1721,"AAAAAH2H/xk=")</f>
        <v>1</v>
      </c>
      <c r="AA217" t="b">
        <f>AND(DATA!M1721,"AAAAAH2H/xo=")</f>
        <v>1</v>
      </c>
      <c r="AB217" t="b">
        <f>AND(DATA!N1721,"AAAAAH2H/xs=")</f>
        <v>1</v>
      </c>
      <c r="AC217" t="b">
        <f>AND(DATA!O1721,"AAAAAH2H/xw=")</f>
        <v>1</v>
      </c>
      <c r="AD217" t="b">
        <f>AND(DATA!P1721,"AAAAAH2H/x0=")</f>
        <v>1</v>
      </c>
      <c r="AE217" t="b">
        <f>AND(DATA!Q1721,"AAAAAH2H/x4=")</f>
        <v>1</v>
      </c>
      <c r="AF217" t="b">
        <f>AND(DATA!R1721,"AAAAAH2H/x8=")</f>
        <v>1</v>
      </c>
      <c r="AG217" t="b">
        <f>AND(DATA!S1721,"AAAAAH2H/yA=")</f>
        <v>1</v>
      </c>
      <c r="AH217" t="b">
        <f>AND(DATA!T1721,"AAAAAH2H/yE=")</f>
        <v>1</v>
      </c>
      <c r="AI217">
        <f>IF(DATA!1721:1721,"AAAAAH2H/yI=",0)</f>
        <v>0</v>
      </c>
      <c r="AJ217" t="e">
        <f>AND(DATA!A1721,"AAAAAH2H/yM=")</f>
        <v>#VALUE!</v>
      </c>
      <c r="AK217" t="e">
        <f>AND(DATA!B1721,"AAAAAH2H/yQ=")</f>
        <v>#VALUE!</v>
      </c>
      <c r="AL217" t="e">
        <f>AND(DATA!C1721,"AAAAAH2H/yU=")</f>
        <v>#VALUE!</v>
      </c>
      <c r="AM217" t="e">
        <f>AND(DATA!D1721,"AAAAAH2H/yY=")</f>
        <v>#VALUE!</v>
      </c>
      <c r="AN217" t="e">
        <f>AND(DATA!E1721,"AAAAAH2H/yc=")</f>
        <v>#VALUE!</v>
      </c>
      <c r="AO217" t="e">
        <f>AND(DATA!F1721,"AAAAAH2H/yg=")</f>
        <v>#VALUE!</v>
      </c>
      <c r="AP217" t="e">
        <f>AND(DATA!G1721,"AAAAAH2H/yk=")</f>
        <v>#VALUE!</v>
      </c>
      <c r="AQ217" t="e">
        <f>AND(DATA!H1721,"AAAAAH2H/yo=")</f>
        <v>#VALUE!</v>
      </c>
      <c r="AR217" t="e">
        <f>AND(DATA!I1721,"AAAAAH2H/ys=")</f>
        <v>#VALUE!</v>
      </c>
      <c r="AS217" t="e">
        <f>AND(DATA!J1721,"AAAAAH2H/yw=")</f>
        <v>#VALUE!</v>
      </c>
      <c r="AT217" t="e">
        <f>AND(DATA!K1721,"AAAAAH2H/y0=")</f>
        <v>#VALUE!</v>
      </c>
      <c r="AU217" t="b">
        <f>AND(DATA!L1722,"AAAAAH2H/y4=")</f>
        <v>1</v>
      </c>
      <c r="AV217" t="b">
        <f>AND(DATA!M1722,"AAAAAH2H/y8=")</f>
        <v>1</v>
      </c>
      <c r="AW217" t="b">
        <f>AND(DATA!N1722,"AAAAAH2H/zA=")</f>
        <v>1</v>
      </c>
      <c r="AX217" t="b">
        <f>AND(DATA!O1722,"AAAAAH2H/zE=")</f>
        <v>1</v>
      </c>
      <c r="AY217" t="b">
        <f>AND(DATA!P1722,"AAAAAH2H/zI=")</f>
        <v>1</v>
      </c>
      <c r="AZ217" t="b">
        <f>AND(DATA!Q1722,"AAAAAH2H/zM=")</f>
        <v>1</v>
      </c>
      <c r="BA217" t="b">
        <f>AND(DATA!R1722,"AAAAAH2H/zQ=")</f>
        <v>1</v>
      </c>
      <c r="BB217" t="b">
        <f>AND(DATA!S1722,"AAAAAH2H/zU=")</f>
        <v>1</v>
      </c>
      <c r="BC217" t="b">
        <f>AND(DATA!T1722,"AAAAAH2H/zY=")</f>
        <v>1</v>
      </c>
      <c r="BD217">
        <f>IF(DATA!1722:1722,"AAAAAH2H/zc=",0)</f>
        <v>0</v>
      </c>
      <c r="BE217" t="e">
        <f>AND(DATA!A1722,"AAAAAH2H/zg=")</f>
        <v>#VALUE!</v>
      </c>
      <c r="BF217" t="e">
        <f>AND(DATA!B1722,"AAAAAH2H/zk=")</f>
        <v>#VALUE!</v>
      </c>
      <c r="BG217" t="e">
        <f>AND(DATA!C1722,"AAAAAH2H/zo=")</f>
        <v>#VALUE!</v>
      </c>
      <c r="BH217" t="e">
        <f>AND(DATA!D1722,"AAAAAH2H/zs=")</f>
        <v>#VALUE!</v>
      </c>
      <c r="BI217" t="e">
        <f>AND(DATA!E1722,"AAAAAH2H/zw=")</f>
        <v>#VALUE!</v>
      </c>
      <c r="BJ217" t="e">
        <f>AND(DATA!F1722,"AAAAAH2H/z0=")</f>
        <v>#VALUE!</v>
      </c>
      <c r="BK217" t="e">
        <f>AND(DATA!G1722,"AAAAAH2H/z4=")</f>
        <v>#VALUE!</v>
      </c>
      <c r="BL217" t="e">
        <f>AND(DATA!H1722,"AAAAAH2H/z8=")</f>
        <v>#VALUE!</v>
      </c>
      <c r="BM217" t="e">
        <f>AND(DATA!I1722,"AAAAAH2H/0A=")</f>
        <v>#VALUE!</v>
      </c>
      <c r="BN217" t="e">
        <f>AND(DATA!J1722,"AAAAAH2H/0E=")</f>
        <v>#VALUE!</v>
      </c>
      <c r="BO217" t="e">
        <f>AND(DATA!K1722,"AAAAAH2H/0I=")</f>
        <v>#VALUE!</v>
      </c>
      <c r="BP217" t="b">
        <f>AND(DATA!L1723,"AAAAAH2H/0M=")</f>
        <v>1</v>
      </c>
      <c r="BQ217" t="b">
        <f>AND(DATA!M1723,"AAAAAH2H/0Q=")</f>
        <v>1</v>
      </c>
      <c r="BR217" t="b">
        <f>AND(DATA!N1723,"AAAAAH2H/0U=")</f>
        <v>1</v>
      </c>
      <c r="BS217" t="b">
        <f>AND(DATA!O1723,"AAAAAH2H/0Y=")</f>
        <v>1</v>
      </c>
      <c r="BT217" t="b">
        <f>AND(DATA!P1723,"AAAAAH2H/0c=")</f>
        <v>1</v>
      </c>
      <c r="BU217" t="b">
        <f>AND(DATA!Q1723,"AAAAAH2H/0g=")</f>
        <v>1</v>
      </c>
      <c r="BV217" t="b">
        <f>AND(DATA!R1723,"AAAAAH2H/0k=")</f>
        <v>1</v>
      </c>
      <c r="BW217" t="b">
        <f>AND(DATA!S1723,"AAAAAH2H/0o=")</f>
        <v>1</v>
      </c>
      <c r="BX217" t="b">
        <f>AND(DATA!T1723,"AAAAAH2H/0s=")</f>
        <v>1</v>
      </c>
      <c r="BY217">
        <f>IF(DATA!1723:1723,"AAAAAH2H/0w=",0)</f>
        <v>0</v>
      </c>
      <c r="BZ217" t="e">
        <f>AND(DATA!A1723,"AAAAAH2H/00=")</f>
        <v>#VALUE!</v>
      </c>
      <c r="CA217" t="e">
        <f>AND(DATA!B1723,"AAAAAH2H/04=")</f>
        <v>#VALUE!</v>
      </c>
      <c r="CB217" t="e">
        <f>AND(DATA!C1723,"AAAAAH2H/08=")</f>
        <v>#VALUE!</v>
      </c>
      <c r="CC217" t="e">
        <f>AND(DATA!D1723,"AAAAAH2H/1A=")</f>
        <v>#VALUE!</v>
      </c>
      <c r="CD217" t="e">
        <f>AND(DATA!E1723,"AAAAAH2H/1E=")</f>
        <v>#VALUE!</v>
      </c>
      <c r="CE217" t="e">
        <f>AND(DATA!F1723,"AAAAAH2H/1I=")</f>
        <v>#VALUE!</v>
      </c>
      <c r="CF217" t="e">
        <f>AND(DATA!G1723,"AAAAAH2H/1M=")</f>
        <v>#VALUE!</v>
      </c>
      <c r="CG217" t="e">
        <f>AND(DATA!H1723,"AAAAAH2H/1Q=")</f>
        <v>#VALUE!</v>
      </c>
      <c r="CH217" t="e">
        <f>AND(DATA!I1723,"AAAAAH2H/1U=")</f>
        <v>#VALUE!</v>
      </c>
      <c r="CI217" t="e">
        <f>AND(DATA!J1723,"AAAAAH2H/1Y=")</f>
        <v>#VALUE!</v>
      </c>
      <c r="CJ217" t="e">
        <f>AND(DATA!K1723,"AAAAAH2H/1c=")</f>
        <v>#VALUE!</v>
      </c>
      <c r="CK217" t="b">
        <f>AND(DATA!L1724,"AAAAAH2H/1g=")</f>
        <v>1</v>
      </c>
      <c r="CL217" t="b">
        <f>AND(DATA!M1724,"AAAAAH2H/1k=")</f>
        <v>1</v>
      </c>
      <c r="CM217" t="b">
        <f>AND(DATA!N1724,"AAAAAH2H/1o=")</f>
        <v>1</v>
      </c>
      <c r="CN217" t="b">
        <f>AND(DATA!O1724,"AAAAAH2H/1s=")</f>
        <v>1</v>
      </c>
      <c r="CO217" t="b">
        <f>AND(DATA!P1724,"AAAAAH2H/1w=")</f>
        <v>1</v>
      </c>
      <c r="CP217" t="b">
        <f>AND(DATA!Q1724,"AAAAAH2H/10=")</f>
        <v>1</v>
      </c>
      <c r="CQ217" t="b">
        <f>AND(DATA!R1724,"AAAAAH2H/14=")</f>
        <v>1</v>
      </c>
      <c r="CR217" t="b">
        <f>AND(DATA!S1724,"AAAAAH2H/18=")</f>
        <v>1</v>
      </c>
      <c r="CS217" t="b">
        <f>AND(DATA!T1724,"AAAAAH2H/2A=")</f>
        <v>1</v>
      </c>
      <c r="CT217">
        <f>IF(DATA!1724:1724,"AAAAAH2H/2E=",0)</f>
        <v>0</v>
      </c>
      <c r="CU217" t="e">
        <f>AND(DATA!A1724,"AAAAAH2H/2I=")</f>
        <v>#VALUE!</v>
      </c>
      <c r="CV217" t="e">
        <f>AND(DATA!B1724,"AAAAAH2H/2M=")</f>
        <v>#VALUE!</v>
      </c>
      <c r="CW217" t="e">
        <f>AND(DATA!C1724,"AAAAAH2H/2Q=")</f>
        <v>#VALUE!</v>
      </c>
      <c r="CX217" t="e">
        <f>AND(DATA!D1724,"AAAAAH2H/2U=")</f>
        <v>#VALUE!</v>
      </c>
      <c r="CY217" t="e">
        <f>AND(DATA!E1724,"AAAAAH2H/2Y=")</f>
        <v>#VALUE!</v>
      </c>
      <c r="CZ217" t="e">
        <f>AND(DATA!F1724,"AAAAAH2H/2c=")</f>
        <v>#VALUE!</v>
      </c>
      <c r="DA217" t="e">
        <f>AND(DATA!G1724,"AAAAAH2H/2g=")</f>
        <v>#VALUE!</v>
      </c>
      <c r="DB217" t="e">
        <f>AND(DATA!H1724,"AAAAAH2H/2k=")</f>
        <v>#VALUE!</v>
      </c>
      <c r="DC217" t="e">
        <f>AND(DATA!I1724,"AAAAAH2H/2o=")</f>
        <v>#VALUE!</v>
      </c>
      <c r="DD217" t="e">
        <f>AND(DATA!J1724,"AAAAAH2H/2s=")</f>
        <v>#VALUE!</v>
      </c>
      <c r="DE217" t="e">
        <f>AND(DATA!K1724,"AAAAAH2H/2w=")</f>
        <v>#VALUE!</v>
      </c>
      <c r="DF217" t="b">
        <f>AND(DATA!L1725,"AAAAAH2H/20=")</f>
        <v>1</v>
      </c>
      <c r="DG217" t="b">
        <f>AND(DATA!M1725,"AAAAAH2H/24=")</f>
        <v>1</v>
      </c>
      <c r="DH217" t="b">
        <f>AND(DATA!N1725,"AAAAAH2H/28=")</f>
        <v>1</v>
      </c>
      <c r="DI217" t="b">
        <f>AND(DATA!O1725,"AAAAAH2H/3A=")</f>
        <v>1</v>
      </c>
      <c r="DJ217" t="b">
        <f>AND(DATA!P1725,"AAAAAH2H/3E=")</f>
        <v>1</v>
      </c>
      <c r="DK217" t="b">
        <f>AND(DATA!Q1725,"AAAAAH2H/3I=")</f>
        <v>1</v>
      </c>
      <c r="DL217" t="b">
        <f>AND(DATA!R1725,"AAAAAH2H/3M=")</f>
        <v>1</v>
      </c>
      <c r="DM217" t="b">
        <f>AND(DATA!S1725,"AAAAAH2H/3Q=")</f>
        <v>1</v>
      </c>
      <c r="DN217" t="b">
        <f>AND(DATA!T1725,"AAAAAH2H/3U=")</f>
        <v>1</v>
      </c>
      <c r="DO217">
        <f>IF(DATA!1725:1725,"AAAAAH2H/3Y=",0)</f>
        <v>0</v>
      </c>
      <c r="DP217" t="e">
        <f>AND(DATA!A1725,"AAAAAH2H/3c=")</f>
        <v>#VALUE!</v>
      </c>
      <c r="DQ217" t="e">
        <f>AND(DATA!B1725,"AAAAAH2H/3g=")</f>
        <v>#VALUE!</v>
      </c>
      <c r="DR217" t="e">
        <f>AND(DATA!C1725,"AAAAAH2H/3k=")</f>
        <v>#VALUE!</v>
      </c>
      <c r="DS217" t="e">
        <f>AND(DATA!D1725,"AAAAAH2H/3o=")</f>
        <v>#VALUE!</v>
      </c>
      <c r="DT217" t="e">
        <f>AND(DATA!E1725,"AAAAAH2H/3s=")</f>
        <v>#VALUE!</v>
      </c>
      <c r="DU217" t="e">
        <f>AND(DATA!F1725,"AAAAAH2H/3w=")</f>
        <v>#VALUE!</v>
      </c>
      <c r="DV217" t="e">
        <f>AND(DATA!G1725,"AAAAAH2H/30=")</f>
        <v>#VALUE!</v>
      </c>
      <c r="DW217" t="e">
        <f>AND(DATA!H1725,"AAAAAH2H/34=")</f>
        <v>#VALUE!</v>
      </c>
      <c r="DX217" t="e">
        <f>AND(DATA!I1725,"AAAAAH2H/38=")</f>
        <v>#VALUE!</v>
      </c>
      <c r="DY217" t="e">
        <f>AND(DATA!J1725,"AAAAAH2H/4A=")</f>
        <v>#VALUE!</v>
      </c>
      <c r="DZ217" t="e">
        <f>AND(DATA!K1725,"AAAAAH2H/4E=")</f>
        <v>#VALUE!</v>
      </c>
      <c r="EA217" t="b">
        <f>AND(DATA!L1726,"AAAAAH2H/4I=")</f>
        <v>1</v>
      </c>
      <c r="EB217" t="b">
        <f>AND(DATA!M1726,"AAAAAH2H/4M=")</f>
        <v>1</v>
      </c>
      <c r="EC217" t="b">
        <f>AND(DATA!N1726,"AAAAAH2H/4Q=")</f>
        <v>1</v>
      </c>
      <c r="ED217" t="b">
        <f>AND(DATA!O1726,"AAAAAH2H/4U=")</f>
        <v>1</v>
      </c>
      <c r="EE217" t="b">
        <f>AND(DATA!P1726,"AAAAAH2H/4Y=")</f>
        <v>1</v>
      </c>
      <c r="EF217" t="b">
        <f>AND(DATA!Q1726,"AAAAAH2H/4c=")</f>
        <v>1</v>
      </c>
      <c r="EG217" t="b">
        <f>AND(DATA!R1726,"AAAAAH2H/4g=")</f>
        <v>1</v>
      </c>
      <c r="EH217" t="b">
        <f>AND(DATA!S1726,"AAAAAH2H/4k=")</f>
        <v>1</v>
      </c>
      <c r="EI217" t="b">
        <f>AND(DATA!T1726,"AAAAAH2H/4o=")</f>
        <v>1</v>
      </c>
      <c r="EJ217">
        <f>IF(DATA!1726:1726,"AAAAAH2H/4s=",0)</f>
        <v>0</v>
      </c>
      <c r="EK217" t="e">
        <f>AND(DATA!A1726,"AAAAAH2H/4w=")</f>
        <v>#VALUE!</v>
      </c>
      <c r="EL217" t="e">
        <f>AND(DATA!B1726,"AAAAAH2H/40=")</f>
        <v>#VALUE!</v>
      </c>
      <c r="EM217" t="e">
        <f>AND(DATA!C1726,"AAAAAH2H/44=")</f>
        <v>#VALUE!</v>
      </c>
      <c r="EN217" t="e">
        <f>AND(DATA!D1726,"AAAAAH2H/48=")</f>
        <v>#VALUE!</v>
      </c>
      <c r="EO217" t="e">
        <f>AND(DATA!E1726,"AAAAAH2H/5A=")</f>
        <v>#VALUE!</v>
      </c>
      <c r="EP217" t="e">
        <f>AND(DATA!F1726,"AAAAAH2H/5E=")</f>
        <v>#VALUE!</v>
      </c>
      <c r="EQ217" t="e">
        <f>AND(DATA!G1726,"AAAAAH2H/5I=")</f>
        <v>#VALUE!</v>
      </c>
      <c r="ER217" t="e">
        <f>AND(DATA!H1726,"AAAAAH2H/5M=")</f>
        <v>#VALUE!</v>
      </c>
      <c r="ES217" t="e">
        <f>AND(DATA!I1726,"AAAAAH2H/5Q=")</f>
        <v>#VALUE!</v>
      </c>
      <c r="ET217" t="e">
        <f>AND(DATA!J1726,"AAAAAH2H/5U=")</f>
        <v>#VALUE!</v>
      </c>
      <c r="EU217" t="e">
        <f>AND(DATA!K1726,"AAAAAH2H/5Y=")</f>
        <v>#VALUE!</v>
      </c>
      <c r="EV217" t="b">
        <f>AND(DATA!L1727,"AAAAAH2H/5c=")</f>
        <v>1</v>
      </c>
      <c r="EW217" t="b">
        <f>AND(DATA!M1727,"AAAAAH2H/5g=")</f>
        <v>1</v>
      </c>
      <c r="EX217" t="b">
        <f>AND(DATA!N1727,"AAAAAH2H/5k=")</f>
        <v>1</v>
      </c>
      <c r="EY217" t="b">
        <f>AND(DATA!O1727,"AAAAAH2H/5o=")</f>
        <v>1</v>
      </c>
      <c r="EZ217" t="b">
        <f>AND(DATA!P1727,"AAAAAH2H/5s=")</f>
        <v>1</v>
      </c>
      <c r="FA217" t="b">
        <f>AND(DATA!Q1727,"AAAAAH2H/5w=")</f>
        <v>1</v>
      </c>
      <c r="FB217" t="b">
        <f>AND(DATA!R1727,"AAAAAH2H/50=")</f>
        <v>1</v>
      </c>
      <c r="FC217" t="b">
        <f>AND(DATA!S1727,"AAAAAH2H/54=")</f>
        <v>1</v>
      </c>
      <c r="FD217" t="b">
        <f>AND(DATA!T1727,"AAAAAH2H/58=")</f>
        <v>1</v>
      </c>
      <c r="FE217">
        <f>IF(DATA!1727:1727,"AAAAAH2H/6A=",0)</f>
        <v>0</v>
      </c>
      <c r="FF217" t="e">
        <f>AND(DATA!A1727,"AAAAAH2H/6E=")</f>
        <v>#VALUE!</v>
      </c>
      <c r="FG217" t="e">
        <f>AND(DATA!B1727,"AAAAAH2H/6I=")</f>
        <v>#VALUE!</v>
      </c>
      <c r="FH217" t="e">
        <f>AND(DATA!C1727,"AAAAAH2H/6M=")</f>
        <v>#VALUE!</v>
      </c>
      <c r="FI217" t="e">
        <f>AND(DATA!D1727,"AAAAAH2H/6Q=")</f>
        <v>#VALUE!</v>
      </c>
      <c r="FJ217" t="e">
        <f>AND(DATA!E1727,"AAAAAH2H/6U=")</f>
        <v>#VALUE!</v>
      </c>
      <c r="FK217" t="e">
        <f>AND(DATA!F1727,"AAAAAH2H/6Y=")</f>
        <v>#VALUE!</v>
      </c>
      <c r="FL217" t="e">
        <f>AND(DATA!G1727,"AAAAAH2H/6c=")</f>
        <v>#VALUE!</v>
      </c>
      <c r="FM217" t="e">
        <f>AND(DATA!H1727,"AAAAAH2H/6g=")</f>
        <v>#VALUE!</v>
      </c>
      <c r="FN217" t="e">
        <f>AND(DATA!I1727,"AAAAAH2H/6k=")</f>
        <v>#VALUE!</v>
      </c>
      <c r="FO217" t="e">
        <f>AND(DATA!J1727,"AAAAAH2H/6o=")</f>
        <v>#VALUE!</v>
      </c>
      <c r="FP217" t="e">
        <f>AND(DATA!K1727,"AAAAAH2H/6s=")</f>
        <v>#VALUE!</v>
      </c>
      <c r="FQ217" t="b">
        <f>AND(DATA!L1728,"AAAAAH2H/6w=")</f>
        <v>1</v>
      </c>
      <c r="FR217" t="b">
        <f>AND(DATA!M1728,"AAAAAH2H/60=")</f>
        <v>1</v>
      </c>
      <c r="FS217" t="b">
        <f>AND(DATA!N1728,"AAAAAH2H/64=")</f>
        <v>1</v>
      </c>
      <c r="FT217" t="b">
        <f>AND(DATA!O1728,"AAAAAH2H/68=")</f>
        <v>1</v>
      </c>
      <c r="FU217" t="b">
        <f>AND(DATA!P1728,"AAAAAH2H/7A=")</f>
        <v>1</v>
      </c>
      <c r="FV217" t="b">
        <f>AND(DATA!Q1728,"AAAAAH2H/7E=")</f>
        <v>1</v>
      </c>
      <c r="FW217" t="b">
        <f>AND(DATA!R1728,"AAAAAH2H/7I=")</f>
        <v>1</v>
      </c>
      <c r="FX217" t="b">
        <f>AND(DATA!S1728,"AAAAAH2H/7M=")</f>
        <v>1</v>
      </c>
      <c r="FY217" t="b">
        <f>AND(DATA!T1728,"AAAAAH2H/7Q=")</f>
        <v>1</v>
      </c>
      <c r="FZ217">
        <f>IF(DATA!1728:1728,"AAAAAH2H/7U=",0)</f>
        <v>0</v>
      </c>
      <c r="GA217" t="e">
        <f>AND(DATA!A1728,"AAAAAH2H/7Y=")</f>
        <v>#VALUE!</v>
      </c>
      <c r="GB217" t="e">
        <f>AND(DATA!B1728,"AAAAAH2H/7c=")</f>
        <v>#VALUE!</v>
      </c>
      <c r="GC217" t="e">
        <f>AND(DATA!C1728,"AAAAAH2H/7g=")</f>
        <v>#VALUE!</v>
      </c>
      <c r="GD217" t="e">
        <f>AND(DATA!D1728,"AAAAAH2H/7k=")</f>
        <v>#VALUE!</v>
      </c>
      <c r="GE217" t="e">
        <f>AND(DATA!E1728,"AAAAAH2H/7o=")</f>
        <v>#VALUE!</v>
      </c>
      <c r="GF217" t="e">
        <f>AND(DATA!F1728,"AAAAAH2H/7s=")</f>
        <v>#VALUE!</v>
      </c>
      <c r="GG217" t="e">
        <f>AND(DATA!G1728,"AAAAAH2H/7w=")</f>
        <v>#VALUE!</v>
      </c>
      <c r="GH217" t="e">
        <f>AND(DATA!H1728,"AAAAAH2H/70=")</f>
        <v>#VALUE!</v>
      </c>
      <c r="GI217" t="e">
        <f>AND(DATA!I1728,"AAAAAH2H/74=")</f>
        <v>#VALUE!</v>
      </c>
      <c r="GJ217" t="e">
        <f>AND(DATA!J1728,"AAAAAH2H/78=")</f>
        <v>#VALUE!</v>
      </c>
      <c r="GK217" t="e">
        <f>AND(DATA!K1728,"AAAAAH2H/8A=")</f>
        <v>#VALUE!</v>
      </c>
      <c r="GL217" t="b">
        <f>AND(DATA!L1729,"AAAAAH2H/8E=")</f>
        <v>1</v>
      </c>
      <c r="GM217" t="b">
        <f>AND(DATA!M1729,"AAAAAH2H/8I=")</f>
        <v>1</v>
      </c>
      <c r="GN217" t="b">
        <f>AND(DATA!N1729,"AAAAAH2H/8M=")</f>
        <v>1</v>
      </c>
      <c r="GO217" t="b">
        <f>AND(DATA!O1729,"AAAAAH2H/8Q=")</f>
        <v>1</v>
      </c>
      <c r="GP217" t="b">
        <f>AND(DATA!P1729,"AAAAAH2H/8U=")</f>
        <v>1</v>
      </c>
      <c r="GQ217" t="b">
        <f>AND(DATA!Q1729,"AAAAAH2H/8Y=")</f>
        <v>1</v>
      </c>
      <c r="GR217" t="b">
        <f>AND(DATA!R1729,"AAAAAH2H/8c=")</f>
        <v>1</v>
      </c>
      <c r="GS217" t="b">
        <f>AND(DATA!S1729,"AAAAAH2H/8g=")</f>
        <v>1</v>
      </c>
      <c r="GT217" t="b">
        <f>AND(DATA!T1729,"AAAAAH2H/8k=")</f>
        <v>1</v>
      </c>
      <c r="GU217">
        <f>IF(DATA!1729:1729,"AAAAAH2H/8o=",0)</f>
        <v>0</v>
      </c>
      <c r="GV217" t="e">
        <f>AND(DATA!A1729,"AAAAAH2H/8s=")</f>
        <v>#VALUE!</v>
      </c>
      <c r="GW217" t="e">
        <f>AND(DATA!B1729,"AAAAAH2H/8w=")</f>
        <v>#VALUE!</v>
      </c>
      <c r="GX217" t="e">
        <f>AND(DATA!C1729,"AAAAAH2H/80=")</f>
        <v>#VALUE!</v>
      </c>
      <c r="GY217" t="e">
        <f>AND(DATA!D1729,"AAAAAH2H/84=")</f>
        <v>#VALUE!</v>
      </c>
      <c r="GZ217" t="e">
        <f>AND(DATA!E1729,"AAAAAH2H/88=")</f>
        <v>#VALUE!</v>
      </c>
      <c r="HA217" t="e">
        <f>AND(DATA!F1729,"AAAAAH2H/9A=")</f>
        <v>#VALUE!</v>
      </c>
      <c r="HB217" t="e">
        <f>AND(DATA!G1729,"AAAAAH2H/9E=")</f>
        <v>#VALUE!</v>
      </c>
      <c r="HC217" t="e">
        <f>AND(DATA!H1729,"AAAAAH2H/9I=")</f>
        <v>#VALUE!</v>
      </c>
      <c r="HD217" t="e">
        <f>AND(DATA!I1729,"AAAAAH2H/9M=")</f>
        <v>#VALUE!</v>
      </c>
      <c r="HE217" t="e">
        <f>AND(DATA!J1729,"AAAAAH2H/9Q=")</f>
        <v>#VALUE!</v>
      </c>
      <c r="HF217" t="e">
        <f>AND(DATA!K1729,"AAAAAH2H/9U=")</f>
        <v>#VALUE!</v>
      </c>
      <c r="HG217" t="b">
        <f>AND(DATA!L1730,"AAAAAH2H/9Y=")</f>
        <v>1</v>
      </c>
      <c r="HH217" t="b">
        <f>AND(DATA!M1730,"AAAAAH2H/9c=")</f>
        <v>1</v>
      </c>
      <c r="HI217" t="b">
        <f>AND(DATA!N1730,"AAAAAH2H/9g=")</f>
        <v>1</v>
      </c>
      <c r="HJ217" t="b">
        <f>AND(DATA!O1730,"AAAAAH2H/9k=")</f>
        <v>1</v>
      </c>
      <c r="HK217" t="b">
        <f>AND(DATA!P1730,"AAAAAH2H/9o=")</f>
        <v>1</v>
      </c>
      <c r="HL217" t="b">
        <f>AND(DATA!Q1730,"AAAAAH2H/9s=")</f>
        <v>1</v>
      </c>
      <c r="HM217" t="b">
        <f>AND(DATA!R1730,"AAAAAH2H/9w=")</f>
        <v>1</v>
      </c>
      <c r="HN217" t="b">
        <f>AND(DATA!S1730,"AAAAAH2H/90=")</f>
        <v>1</v>
      </c>
      <c r="HO217" t="b">
        <f>AND(DATA!T1730,"AAAAAH2H/94=")</f>
        <v>1</v>
      </c>
      <c r="HP217">
        <f>IF(DATA!1730:1730,"AAAAAH2H/98=",0)</f>
        <v>0</v>
      </c>
      <c r="HQ217" t="e">
        <f>AND(DATA!A1730,"AAAAAH2H/+A=")</f>
        <v>#VALUE!</v>
      </c>
      <c r="HR217" t="e">
        <f>AND(DATA!B1730,"AAAAAH2H/+E=")</f>
        <v>#VALUE!</v>
      </c>
      <c r="HS217" t="e">
        <f>AND(DATA!C1730,"AAAAAH2H/+I=")</f>
        <v>#VALUE!</v>
      </c>
      <c r="HT217" t="e">
        <f>AND(DATA!D1730,"AAAAAH2H/+M=")</f>
        <v>#VALUE!</v>
      </c>
      <c r="HU217" t="e">
        <f>AND(DATA!E1730,"AAAAAH2H/+Q=")</f>
        <v>#VALUE!</v>
      </c>
      <c r="HV217" t="e">
        <f>AND(DATA!F1730,"AAAAAH2H/+U=")</f>
        <v>#VALUE!</v>
      </c>
      <c r="HW217" t="e">
        <f>AND(DATA!G1730,"AAAAAH2H/+Y=")</f>
        <v>#VALUE!</v>
      </c>
      <c r="HX217" t="e">
        <f>AND(DATA!H1730,"AAAAAH2H/+c=")</f>
        <v>#VALUE!</v>
      </c>
      <c r="HY217" t="e">
        <f>AND(DATA!I1730,"AAAAAH2H/+g=")</f>
        <v>#VALUE!</v>
      </c>
      <c r="HZ217" t="e">
        <f>AND(DATA!J1730,"AAAAAH2H/+k=")</f>
        <v>#VALUE!</v>
      </c>
      <c r="IA217" t="e">
        <f>AND(DATA!K1730,"AAAAAH2H/+o=")</f>
        <v>#VALUE!</v>
      </c>
      <c r="IB217" t="b">
        <f>AND(DATA!L1731,"AAAAAH2H/+s=")</f>
        <v>1</v>
      </c>
      <c r="IC217" t="b">
        <f>AND(DATA!M1731,"AAAAAH2H/+w=")</f>
        <v>1</v>
      </c>
      <c r="ID217" t="b">
        <f>AND(DATA!N1731,"AAAAAH2H/+0=")</f>
        <v>1</v>
      </c>
      <c r="IE217" t="b">
        <f>AND(DATA!O1731,"AAAAAH2H/+4=")</f>
        <v>1</v>
      </c>
      <c r="IF217" t="b">
        <f>AND(DATA!P1731,"AAAAAH2H/+8=")</f>
        <v>1</v>
      </c>
      <c r="IG217" t="b">
        <f>AND(DATA!Q1731,"AAAAAH2H//A=")</f>
        <v>1</v>
      </c>
      <c r="IH217" t="b">
        <f>AND(DATA!R1731,"AAAAAH2H//E=")</f>
        <v>1</v>
      </c>
      <c r="II217" t="b">
        <f>AND(DATA!S1731,"AAAAAH2H//I=")</f>
        <v>1</v>
      </c>
      <c r="IJ217" t="b">
        <f>AND(DATA!T1731,"AAAAAH2H//M=")</f>
        <v>1</v>
      </c>
      <c r="IK217">
        <f>IF(DATA!1731:1731,"AAAAAH2H//Q=",0)</f>
        <v>0</v>
      </c>
      <c r="IL217" t="e">
        <f>AND(DATA!A1731,"AAAAAH2H//U=")</f>
        <v>#VALUE!</v>
      </c>
      <c r="IM217" t="e">
        <f>AND(DATA!B1731,"AAAAAH2H//Y=")</f>
        <v>#VALUE!</v>
      </c>
      <c r="IN217" t="e">
        <f>AND(DATA!C1731,"AAAAAH2H//c=")</f>
        <v>#VALUE!</v>
      </c>
      <c r="IO217" t="e">
        <f>AND(DATA!D1731,"AAAAAH2H//g=")</f>
        <v>#VALUE!</v>
      </c>
      <c r="IP217" t="e">
        <f>AND(DATA!E1731,"AAAAAH2H//k=")</f>
        <v>#VALUE!</v>
      </c>
      <c r="IQ217" t="e">
        <f>AND(DATA!F1731,"AAAAAH2H//o=")</f>
        <v>#VALUE!</v>
      </c>
      <c r="IR217" t="e">
        <f>AND(DATA!G1731,"AAAAAH2H//s=")</f>
        <v>#VALUE!</v>
      </c>
      <c r="IS217" t="e">
        <f>AND(DATA!H1731,"AAAAAH2H//w=")</f>
        <v>#VALUE!</v>
      </c>
      <c r="IT217" t="e">
        <f>AND(DATA!I1731,"AAAAAH2H//0=")</f>
        <v>#VALUE!</v>
      </c>
      <c r="IU217" t="e">
        <f>AND(DATA!J1731,"AAAAAH2H//4=")</f>
        <v>#VALUE!</v>
      </c>
      <c r="IV217" t="e">
        <f>AND(DATA!K1731,"AAAAAH2H//8=")</f>
        <v>#VALUE!</v>
      </c>
    </row>
    <row r="218" spans="1:256" x14ac:dyDescent="0.25">
      <c r="A218" t="b">
        <f>AND(DATA!L1732,"AAAAAB5+rwA=")</f>
        <v>1</v>
      </c>
      <c r="B218" t="b">
        <f>AND(DATA!M1732,"AAAAAB5+rwE=")</f>
        <v>1</v>
      </c>
      <c r="C218" t="b">
        <f>AND(DATA!N1732,"AAAAAB5+rwI=")</f>
        <v>1</v>
      </c>
      <c r="D218" t="b">
        <f>AND(DATA!O1732,"AAAAAB5+rwM=")</f>
        <v>1</v>
      </c>
      <c r="E218" t="b">
        <f>AND(DATA!P1732,"AAAAAB5+rwQ=")</f>
        <v>1</v>
      </c>
      <c r="F218" t="b">
        <f>AND(DATA!Q1732,"AAAAAB5+rwU=")</f>
        <v>1</v>
      </c>
      <c r="G218" t="b">
        <f>AND(DATA!R1732,"AAAAAB5+rwY=")</f>
        <v>1</v>
      </c>
      <c r="H218" t="b">
        <f>AND(DATA!S1732,"AAAAAB5+rwc=")</f>
        <v>1</v>
      </c>
      <c r="I218" t="b">
        <f>AND(DATA!T1732,"AAAAAB5+rwg=")</f>
        <v>1</v>
      </c>
      <c r="J218">
        <f>IF(DATA!1732:1732,"AAAAAB5+rwk=",0)</f>
        <v>0</v>
      </c>
      <c r="K218" t="e">
        <f>AND(DATA!A1732,"AAAAAB5+rwo=")</f>
        <v>#VALUE!</v>
      </c>
      <c r="L218" t="e">
        <f>AND(DATA!B1732,"AAAAAB5+rws=")</f>
        <v>#VALUE!</v>
      </c>
      <c r="M218" t="e">
        <f>AND(DATA!C1732,"AAAAAB5+rww=")</f>
        <v>#VALUE!</v>
      </c>
      <c r="N218" t="e">
        <f>AND(DATA!D1732,"AAAAAB5+rw0=")</f>
        <v>#VALUE!</v>
      </c>
      <c r="O218" t="e">
        <f>AND(DATA!E1732,"AAAAAB5+rw4=")</f>
        <v>#VALUE!</v>
      </c>
      <c r="P218" t="e">
        <f>AND(DATA!F1732,"AAAAAB5+rw8=")</f>
        <v>#VALUE!</v>
      </c>
      <c r="Q218" t="e">
        <f>AND(DATA!G1732,"AAAAAB5+rxA=")</f>
        <v>#VALUE!</v>
      </c>
      <c r="R218" t="e">
        <f>AND(DATA!H1732,"AAAAAB5+rxE=")</f>
        <v>#VALUE!</v>
      </c>
      <c r="S218" t="e">
        <f>AND(DATA!I1732,"AAAAAB5+rxI=")</f>
        <v>#VALUE!</v>
      </c>
      <c r="T218" t="e">
        <f>AND(DATA!J1732,"AAAAAB5+rxM=")</f>
        <v>#VALUE!</v>
      </c>
      <c r="U218" t="e">
        <f>AND(DATA!K1732,"AAAAAB5+rxQ=")</f>
        <v>#VALUE!</v>
      </c>
      <c r="V218" t="b">
        <f>AND(DATA!L1733,"AAAAAB5+rxU=")</f>
        <v>1</v>
      </c>
      <c r="W218" t="b">
        <f>AND(DATA!M1733,"AAAAAB5+rxY=")</f>
        <v>1</v>
      </c>
      <c r="X218" t="b">
        <f>AND(DATA!N1733,"AAAAAB5+rxc=")</f>
        <v>1</v>
      </c>
      <c r="Y218" t="b">
        <f>AND(DATA!O1733,"AAAAAB5+rxg=")</f>
        <v>1</v>
      </c>
      <c r="Z218" t="b">
        <f>AND(DATA!P1733,"AAAAAB5+rxk=")</f>
        <v>1</v>
      </c>
      <c r="AA218" t="b">
        <f>AND(DATA!Q1733,"AAAAAB5+rxo=")</f>
        <v>1</v>
      </c>
      <c r="AB218" t="b">
        <f>AND(DATA!R1733,"AAAAAB5+rxs=")</f>
        <v>1</v>
      </c>
      <c r="AC218" t="b">
        <f>AND(DATA!S1733,"AAAAAB5+rxw=")</f>
        <v>1</v>
      </c>
      <c r="AD218" t="b">
        <f>AND(DATA!T1733,"AAAAAB5+rx0=")</f>
        <v>1</v>
      </c>
      <c r="AE218">
        <f>IF(DATA!1733:1733,"AAAAAB5+rx4=",0)</f>
        <v>0</v>
      </c>
      <c r="AF218" t="e">
        <f>AND(DATA!A1733,"AAAAAB5+rx8=")</f>
        <v>#VALUE!</v>
      </c>
      <c r="AG218" t="e">
        <f>AND(DATA!B1733,"AAAAAB5+ryA=")</f>
        <v>#VALUE!</v>
      </c>
      <c r="AH218" t="e">
        <f>AND(DATA!C1733,"AAAAAB5+ryE=")</f>
        <v>#VALUE!</v>
      </c>
      <c r="AI218" t="e">
        <f>AND(DATA!D1733,"AAAAAB5+ryI=")</f>
        <v>#VALUE!</v>
      </c>
      <c r="AJ218" t="e">
        <f>AND(DATA!E1733,"AAAAAB5+ryM=")</f>
        <v>#VALUE!</v>
      </c>
      <c r="AK218" t="e">
        <f>AND(DATA!F1733,"AAAAAB5+ryQ=")</f>
        <v>#VALUE!</v>
      </c>
      <c r="AL218" t="e">
        <f>AND(DATA!G1733,"AAAAAB5+ryU=")</f>
        <v>#VALUE!</v>
      </c>
      <c r="AM218" t="e">
        <f>AND(DATA!H1733,"AAAAAB5+ryY=")</f>
        <v>#VALUE!</v>
      </c>
      <c r="AN218" t="e">
        <f>AND(DATA!I1733,"AAAAAB5+ryc=")</f>
        <v>#VALUE!</v>
      </c>
      <c r="AO218" t="e">
        <f>AND(DATA!J1733,"AAAAAB5+ryg=")</f>
        <v>#VALUE!</v>
      </c>
      <c r="AP218" t="e">
        <f>AND(DATA!K1733,"AAAAAB5+ryk=")</f>
        <v>#VALUE!</v>
      </c>
      <c r="AQ218" t="b">
        <f>AND(DATA!L1734,"AAAAAB5+ryo=")</f>
        <v>1</v>
      </c>
      <c r="AR218" t="b">
        <f>AND(DATA!M1734,"AAAAAB5+rys=")</f>
        <v>1</v>
      </c>
      <c r="AS218" t="b">
        <f>AND(DATA!N1734,"AAAAAB5+ryw=")</f>
        <v>1</v>
      </c>
      <c r="AT218" t="b">
        <f>AND(DATA!O1734,"AAAAAB5+ry0=")</f>
        <v>1</v>
      </c>
      <c r="AU218" t="b">
        <f>AND(DATA!P1734,"AAAAAB5+ry4=")</f>
        <v>1</v>
      </c>
      <c r="AV218" t="b">
        <f>AND(DATA!Q1734,"AAAAAB5+ry8=")</f>
        <v>1</v>
      </c>
      <c r="AW218" t="b">
        <f>AND(DATA!R1734,"AAAAAB5+rzA=")</f>
        <v>1</v>
      </c>
      <c r="AX218" t="b">
        <f>AND(DATA!S1734,"AAAAAB5+rzE=")</f>
        <v>1</v>
      </c>
      <c r="AY218" t="b">
        <f>AND(DATA!T1734,"AAAAAB5+rzI=")</f>
        <v>1</v>
      </c>
      <c r="AZ218">
        <f>IF(DATA!1734:1734,"AAAAAB5+rzM=",0)</f>
        <v>0</v>
      </c>
      <c r="BA218" t="e">
        <f>AND(DATA!A1734,"AAAAAB5+rzQ=")</f>
        <v>#VALUE!</v>
      </c>
      <c r="BB218" t="e">
        <f>AND(DATA!B1734,"AAAAAB5+rzU=")</f>
        <v>#VALUE!</v>
      </c>
      <c r="BC218" t="e">
        <f>AND(DATA!C1734,"AAAAAB5+rzY=")</f>
        <v>#VALUE!</v>
      </c>
      <c r="BD218" t="e">
        <f>AND(DATA!D1734,"AAAAAB5+rzc=")</f>
        <v>#VALUE!</v>
      </c>
      <c r="BE218" t="e">
        <f>AND(DATA!E1734,"AAAAAB5+rzg=")</f>
        <v>#VALUE!</v>
      </c>
      <c r="BF218" t="e">
        <f>AND(DATA!F1734,"AAAAAB5+rzk=")</f>
        <v>#VALUE!</v>
      </c>
      <c r="BG218" t="e">
        <f>AND(DATA!G1734,"AAAAAB5+rzo=")</f>
        <v>#VALUE!</v>
      </c>
      <c r="BH218" t="e">
        <f>AND(DATA!H1734,"AAAAAB5+rzs=")</f>
        <v>#VALUE!</v>
      </c>
      <c r="BI218" t="e">
        <f>AND(DATA!I1734,"AAAAAB5+rzw=")</f>
        <v>#VALUE!</v>
      </c>
      <c r="BJ218" t="e">
        <f>AND(DATA!J1734,"AAAAAB5+rz0=")</f>
        <v>#VALUE!</v>
      </c>
      <c r="BK218" t="e">
        <f>AND(DATA!K1734,"AAAAAB5+rz4=")</f>
        <v>#VALUE!</v>
      </c>
      <c r="BL218" t="b">
        <f>AND(DATA!L1735,"AAAAAB5+rz8=")</f>
        <v>1</v>
      </c>
      <c r="BM218" t="b">
        <f>AND(DATA!M1735,"AAAAAB5+r0A=")</f>
        <v>1</v>
      </c>
      <c r="BN218" t="b">
        <f>AND(DATA!N1735,"AAAAAB5+r0E=")</f>
        <v>1</v>
      </c>
      <c r="BO218" t="b">
        <f>AND(DATA!O1735,"AAAAAB5+r0I=")</f>
        <v>1</v>
      </c>
      <c r="BP218" t="b">
        <f>AND(DATA!P1735,"AAAAAB5+r0M=")</f>
        <v>1</v>
      </c>
      <c r="BQ218" t="b">
        <f>AND(DATA!Q1735,"AAAAAB5+r0Q=")</f>
        <v>1</v>
      </c>
      <c r="BR218" t="b">
        <f>AND(DATA!R1735,"AAAAAB5+r0U=")</f>
        <v>1</v>
      </c>
      <c r="BS218" t="b">
        <f>AND(DATA!S1735,"AAAAAB5+r0Y=")</f>
        <v>1</v>
      </c>
      <c r="BT218" t="b">
        <f>AND(DATA!T1735,"AAAAAB5+r0c=")</f>
        <v>1</v>
      </c>
      <c r="BU218">
        <f>IF(DATA!1735:1735,"AAAAAB5+r0g=",0)</f>
        <v>0</v>
      </c>
      <c r="BV218" t="e">
        <f>AND(DATA!A1735,"AAAAAB5+r0k=")</f>
        <v>#VALUE!</v>
      </c>
      <c r="BW218" t="e">
        <f>AND(DATA!B1735,"AAAAAB5+r0o=")</f>
        <v>#VALUE!</v>
      </c>
      <c r="BX218" t="e">
        <f>AND(DATA!C1735,"AAAAAB5+r0s=")</f>
        <v>#VALUE!</v>
      </c>
      <c r="BY218" t="e">
        <f>AND(DATA!D1735,"AAAAAB5+r0w=")</f>
        <v>#VALUE!</v>
      </c>
      <c r="BZ218" t="e">
        <f>AND(DATA!E1735,"AAAAAB5+r00=")</f>
        <v>#VALUE!</v>
      </c>
      <c r="CA218" t="e">
        <f>AND(DATA!F1735,"AAAAAB5+r04=")</f>
        <v>#VALUE!</v>
      </c>
      <c r="CB218" t="e">
        <f>AND(DATA!G1735,"AAAAAB5+r08=")</f>
        <v>#VALUE!</v>
      </c>
      <c r="CC218" t="e">
        <f>AND(DATA!H1735,"AAAAAB5+r1A=")</f>
        <v>#VALUE!</v>
      </c>
      <c r="CD218" t="e">
        <f>AND(DATA!I1735,"AAAAAB5+r1E=")</f>
        <v>#VALUE!</v>
      </c>
      <c r="CE218" t="e">
        <f>AND(DATA!J1735,"AAAAAB5+r1I=")</f>
        <v>#VALUE!</v>
      </c>
      <c r="CF218" t="e">
        <f>AND(DATA!K1735,"AAAAAB5+r1M=")</f>
        <v>#VALUE!</v>
      </c>
      <c r="CG218" t="b">
        <f>AND(DATA!L1736,"AAAAAB5+r1Q=")</f>
        <v>1</v>
      </c>
      <c r="CH218" t="b">
        <f>AND(DATA!M1736,"AAAAAB5+r1U=")</f>
        <v>1</v>
      </c>
      <c r="CI218" t="b">
        <f>AND(DATA!N1736,"AAAAAB5+r1Y=")</f>
        <v>1</v>
      </c>
      <c r="CJ218" t="b">
        <f>AND(DATA!O1736,"AAAAAB5+r1c=")</f>
        <v>1</v>
      </c>
      <c r="CK218" t="b">
        <f>AND(DATA!P1736,"AAAAAB5+r1g=")</f>
        <v>1</v>
      </c>
      <c r="CL218" t="b">
        <f>AND(DATA!Q1736,"AAAAAB5+r1k=")</f>
        <v>1</v>
      </c>
      <c r="CM218" t="b">
        <f>AND(DATA!R1736,"AAAAAB5+r1o=")</f>
        <v>1</v>
      </c>
      <c r="CN218" t="b">
        <f>AND(DATA!S1736,"AAAAAB5+r1s=")</f>
        <v>1</v>
      </c>
      <c r="CO218" t="b">
        <f>AND(DATA!T1736,"AAAAAB5+r1w=")</f>
        <v>1</v>
      </c>
      <c r="CP218">
        <f>IF(DATA!1736:1736,"AAAAAB5+r10=",0)</f>
        <v>0</v>
      </c>
      <c r="CQ218" t="e">
        <f>AND(DATA!A1736,"AAAAAB5+r14=")</f>
        <v>#VALUE!</v>
      </c>
      <c r="CR218" t="e">
        <f>AND(DATA!B1736,"AAAAAB5+r18=")</f>
        <v>#VALUE!</v>
      </c>
      <c r="CS218" t="e">
        <f>AND(DATA!C1736,"AAAAAB5+r2A=")</f>
        <v>#VALUE!</v>
      </c>
      <c r="CT218" t="e">
        <f>AND(DATA!D1736,"AAAAAB5+r2E=")</f>
        <v>#VALUE!</v>
      </c>
      <c r="CU218" t="e">
        <f>AND(DATA!E1736,"AAAAAB5+r2I=")</f>
        <v>#VALUE!</v>
      </c>
      <c r="CV218" t="e">
        <f>AND(DATA!F1736,"AAAAAB5+r2M=")</f>
        <v>#VALUE!</v>
      </c>
      <c r="CW218" t="e">
        <f>AND(DATA!G1736,"AAAAAB5+r2Q=")</f>
        <v>#VALUE!</v>
      </c>
      <c r="CX218" t="e">
        <f>AND(DATA!H1736,"AAAAAB5+r2U=")</f>
        <v>#VALUE!</v>
      </c>
      <c r="CY218" t="e">
        <f>AND(DATA!I1736,"AAAAAB5+r2Y=")</f>
        <v>#VALUE!</v>
      </c>
      <c r="CZ218" t="e">
        <f>AND(DATA!J1736,"AAAAAB5+r2c=")</f>
        <v>#VALUE!</v>
      </c>
      <c r="DA218" t="e">
        <f>AND(DATA!K1736,"AAAAAB5+r2g=")</f>
        <v>#VALUE!</v>
      </c>
      <c r="DB218" t="b">
        <f>AND(DATA!L1737,"AAAAAB5+r2k=")</f>
        <v>1</v>
      </c>
      <c r="DC218" t="b">
        <f>AND(DATA!M1737,"AAAAAB5+r2o=")</f>
        <v>1</v>
      </c>
      <c r="DD218" t="b">
        <f>AND(DATA!N1737,"AAAAAB5+r2s=")</f>
        <v>1</v>
      </c>
      <c r="DE218" t="b">
        <f>AND(DATA!O1737,"AAAAAB5+r2w=")</f>
        <v>1</v>
      </c>
      <c r="DF218" t="b">
        <f>AND(DATA!P1737,"AAAAAB5+r20=")</f>
        <v>1</v>
      </c>
      <c r="DG218" t="b">
        <f>AND(DATA!Q1737,"AAAAAB5+r24=")</f>
        <v>1</v>
      </c>
      <c r="DH218" t="b">
        <f>AND(DATA!R1737,"AAAAAB5+r28=")</f>
        <v>1</v>
      </c>
      <c r="DI218" t="b">
        <f>AND(DATA!S1737,"AAAAAB5+r3A=")</f>
        <v>1</v>
      </c>
      <c r="DJ218" t="b">
        <f>AND(DATA!T1737,"AAAAAB5+r3E=")</f>
        <v>1</v>
      </c>
      <c r="DK218">
        <f>IF(DATA!1737:1737,"AAAAAB5+r3I=",0)</f>
        <v>0</v>
      </c>
      <c r="DL218" t="e">
        <f>AND(DATA!A1737,"AAAAAB5+r3M=")</f>
        <v>#VALUE!</v>
      </c>
      <c r="DM218" t="e">
        <f>AND(DATA!B1737,"AAAAAB5+r3Q=")</f>
        <v>#VALUE!</v>
      </c>
      <c r="DN218" t="e">
        <f>AND(DATA!C1737,"AAAAAB5+r3U=")</f>
        <v>#VALUE!</v>
      </c>
      <c r="DO218" t="e">
        <f>AND(DATA!D1737,"AAAAAB5+r3Y=")</f>
        <v>#VALUE!</v>
      </c>
      <c r="DP218" t="e">
        <f>AND(DATA!E1737,"AAAAAB5+r3c=")</f>
        <v>#VALUE!</v>
      </c>
      <c r="DQ218" t="e">
        <f>AND(DATA!F1737,"AAAAAB5+r3g=")</f>
        <v>#VALUE!</v>
      </c>
      <c r="DR218" t="e">
        <f>AND(DATA!G1737,"AAAAAB5+r3k=")</f>
        <v>#VALUE!</v>
      </c>
      <c r="DS218" t="e">
        <f>AND(DATA!H1737,"AAAAAB5+r3o=")</f>
        <v>#VALUE!</v>
      </c>
      <c r="DT218" t="e">
        <f>AND(DATA!I1737,"AAAAAB5+r3s=")</f>
        <v>#VALUE!</v>
      </c>
      <c r="DU218" t="e">
        <f>AND(DATA!J1737,"AAAAAB5+r3w=")</f>
        <v>#VALUE!</v>
      </c>
      <c r="DV218" t="e">
        <f>AND(DATA!K1737,"AAAAAB5+r30=")</f>
        <v>#VALUE!</v>
      </c>
      <c r="DW218" t="b">
        <f>AND(DATA!L1738,"AAAAAB5+r34=")</f>
        <v>1</v>
      </c>
      <c r="DX218" t="b">
        <f>AND(DATA!M1738,"AAAAAB5+r38=")</f>
        <v>1</v>
      </c>
      <c r="DY218" t="b">
        <f>AND(DATA!N1738,"AAAAAB5+r4A=")</f>
        <v>1</v>
      </c>
      <c r="DZ218" t="b">
        <f>AND(DATA!O1738,"AAAAAB5+r4E=")</f>
        <v>1</v>
      </c>
      <c r="EA218" t="b">
        <f>AND(DATA!P1738,"AAAAAB5+r4I=")</f>
        <v>1</v>
      </c>
      <c r="EB218" t="b">
        <f>AND(DATA!Q1738,"AAAAAB5+r4M=")</f>
        <v>1</v>
      </c>
      <c r="EC218" t="b">
        <f>AND(DATA!R1738,"AAAAAB5+r4Q=")</f>
        <v>1</v>
      </c>
      <c r="ED218" t="b">
        <f>AND(DATA!S1738,"AAAAAB5+r4U=")</f>
        <v>1</v>
      </c>
      <c r="EE218" t="b">
        <f>AND(DATA!T1738,"AAAAAB5+r4Y=")</f>
        <v>1</v>
      </c>
      <c r="EF218">
        <f>IF(DATA!1738:1738,"AAAAAB5+r4c=",0)</f>
        <v>0</v>
      </c>
      <c r="EG218" t="e">
        <f>AND(DATA!A1738,"AAAAAB5+r4g=")</f>
        <v>#VALUE!</v>
      </c>
      <c r="EH218" t="e">
        <f>AND(DATA!B1738,"AAAAAB5+r4k=")</f>
        <v>#VALUE!</v>
      </c>
      <c r="EI218" t="e">
        <f>AND(DATA!C1738,"AAAAAB5+r4o=")</f>
        <v>#VALUE!</v>
      </c>
      <c r="EJ218" t="e">
        <f>AND(DATA!D1738,"AAAAAB5+r4s=")</f>
        <v>#VALUE!</v>
      </c>
      <c r="EK218" t="e">
        <f>AND(DATA!E1738,"AAAAAB5+r4w=")</f>
        <v>#VALUE!</v>
      </c>
      <c r="EL218" t="e">
        <f>AND(DATA!F1738,"AAAAAB5+r40=")</f>
        <v>#VALUE!</v>
      </c>
      <c r="EM218" t="e">
        <f>AND(DATA!G1738,"AAAAAB5+r44=")</f>
        <v>#VALUE!</v>
      </c>
      <c r="EN218" t="e">
        <f>AND(DATA!H1738,"AAAAAB5+r48=")</f>
        <v>#VALUE!</v>
      </c>
      <c r="EO218" t="e">
        <f>AND(DATA!I1738,"AAAAAB5+r5A=")</f>
        <v>#VALUE!</v>
      </c>
      <c r="EP218" t="e">
        <f>AND(DATA!J1738,"AAAAAB5+r5E=")</f>
        <v>#VALUE!</v>
      </c>
      <c r="EQ218" t="e">
        <f>AND(DATA!K1738,"AAAAAB5+r5I=")</f>
        <v>#VALUE!</v>
      </c>
      <c r="ER218" t="b">
        <f>AND(DATA!L1739,"AAAAAB5+r5M=")</f>
        <v>1</v>
      </c>
      <c r="ES218" t="b">
        <f>AND(DATA!M1739,"AAAAAB5+r5Q=")</f>
        <v>1</v>
      </c>
      <c r="ET218" t="b">
        <f>AND(DATA!N1739,"AAAAAB5+r5U=")</f>
        <v>1</v>
      </c>
      <c r="EU218" t="b">
        <f>AND(DATA!O1739,"AAAAAB5+r5Y=")</f>
        <v>1</v>
      </c>
      <c r="EV218" t="b">
        <f>AND(DATA!P1739,"AAAAAB5+r5c=")</f>
        <v>1</v>
      </c>
      <c r="EW218" t="b">
        <f>AND(DATA!Q1739,"AAAAAB5+r5g=")</f>
        <v>1</v>
      </c>
      <c r="EX218" t="b">
        <f>AND(DATA!R1739,"AAAAAB5+r5k=")</f>
        <v>1</v>
      </c>
      <c r="EY218" t="b">
        <f>AND(DATA!S1739,"AAAAAB5+r5o=")</f>
        <v>1</v>
      </c>
      <c r="EZ218" t="b">
        <f>AND(DATA!T1739,"AAAAAB5+r5s=")</f>
        <v>1</v>
      </c>
      <c r="FA218">
        <f>IF(DATA!1739:1739,"AAAAAB5+r5w=",0)</f>
        <v>0</v>
      </c>
      <c r="FB218" t="e">
        <f>AND(DATA!A1739,"AAAAAB5+r50=")</f>
        <v>#VALUE!</v>
      </c>
      <c r="FC218" t="e">
        <f>AND(DATA!B1739,"AAAAAB5+r54=")</f>
        <v>#VALUE!</v>
      </c>
      <c r="FD218" t="e">
        <f>AND(DATA!C1739,"AAAAAB5+r58=")</f>
        <v>#VALUE!</v>
      </c>
      <c r="FE218" t="e">
        <f>AND(DATA!D1739,"AAAAAB5+r6A=")</f>
        <v>#VALUE!</v>
      </c>
      <c r="FF218" t="e">
        <f>AND(DATA!E1739,"AAAAAB5+r6E=")</f>
        <v>#VALUE!</v>
      </c>
      <c r="FG218" t="e">
        <f>AND(DATA!F1739,"AAAAAB5+r6I=")</f>
        <v>#VALUE!</v>
      </c>
      <c r="FH218" t="e">
        <f>AND(DATA!G1739,"AAAAAB5+r6M=")</f>
        <v>#VALUE!</v>
      </c>
      <c r="FI218" t="e">
        <f>AND(DATA!H1739,"AAAAAB5+r6Q=")</f>
        <v>#VALUE!</v>
      </c>
      <c r="FJ218" t="e">
        <f>AND(DATA!I1739,"AAAAAB5+r6U=")</f>
        <v>#VALUE!</v>
      </c>
      <c r="FK218" t="e">
        <f>AND(DATA!J1739,"AAAAAB5+r6Y=")</f>
        <v>#VALUE!</v>
      </c>
      <c r="FL218" t="e">
        <f>AND(DATA!K1739,"AAAAAB5+r6c=")</f>
        <v>#VALUE!</v>
      </c>
      <c r="FM218" t="b">
        <f>AND(DATA!L1740,"AAAAAB5+r6g=")</f>
        <v>1</v>
      </c>
      <c r="FN218" t="b">
        <f>AND(DATA!M1740,"AAAAAB5+r6k=")</f>
        <v>1</v>
      </c>
      <c r="FO218" t="b">
        <f>AND(DATA!N1740,"AAAAAB5+r6o=")</f>
        <v>1</v>
      </c>
      <c r="FP218" t="b">
        <f>AND(DATA!O1740,"AAAAAB5+r6s=")</f>
        <v>1</v>
      </c>
      <c r="FQ218" t="b">
        <f>AND(DATA!P1740,"AAAAAB5+r6w=")</f>
        <v>1</v>
      </c>
      <c r="FR218" t="b">
        <f>AND(DATA!Q1740,"AAAAAB5+r60=")</f>
        <v>1</v>
      </c>
      <c r="FS218" t="b">
        <f>AND(DATA!R1740,"AAAAAB5+r64=")</f>
        <v>1</v>
      </c>
      <c r="FT218" t="b">
        <f>AND(DATA!S1740,"AAAAAB5+r68=")</f>
        <v>1</v>
      </c>
      <c r="FU218" t="b">
        <f>AND(DATA!T1740,"AAAAAB5+r7A=")</f>
        <v>1</v>
      </c>
      <c r="FV218">
        <f>IF(DATA!1740:1740,"AAAAAB5+r7E=",0)</f>
        <v>0</v>
      </c>
      <c r="FW218" t="e">
        <f>AND(DATA!A1740,"AAAAAB5+r7I=")</f>
        <v>#VALUE!</v>
      </c>
      <c r="FX218" t="e">
        <f>AND(DATA!B1740,"AAAAAB5+r7M=")</f>
        <v>#VALUE!</v>
      </c>
      <c r="FY218" t="e">
        <f>AND(DATA!C1740,"AAAAAB5+r7Q=")</f>
        <v>#VALUE!</v>
      </c>
      <c r="FZ218" t="e">
        <f>AND(DATA!D1740,"AAAAAB5+r7U=")</f>
        <v>#VALUE!</v>
      </c>
      <c r="GA218" t="e">
        <f>AND(DATA!E1740,"AAAAAB5+r7Y=")</f>
        <v>#VALUE!</v>
      </c>
      <c r="GB218" t="e">
        <f>AND(DATA!F1740,"AAAAAB5+r7c=")</f>
        <v>#VALUE!</v>
      </c>
      <c r="GC218" t="e">
        <f>AND(DATA!G1740,"AAAAAB5+r7g=")</f>
        <v>#VALUE!</v>
      </c>
      <c r="GD218" t="e">
        <f>AND(DATA!H1740,"AAAAAB5+r7k=")</f>
        <v>#VALUE!</v>
      </c>
      <c r="GE218" t="e">
        <f>AND(DATA!I1740,"AAAAAB5+r7o=")</f>
        <v>#VALUE!</v>
      </c>
      <c r="GF218" t="e">
        <f>AND(DATA!J1740,"AAAAAB5+r7s=")</f>
        <v>#VALUE!</v>
      </c>
      <c r="GG218" t="e">
        <f>AND(DATA!K1740,"AAAAAB5+r7w=")</f>
        <v>#VALUE!</v>
      </c>
      <c r="GH218" t="b">
        <f>AND(DATA!L1741,"AAAAAB5+r70=")</f>
        <v>1</v>
      </c>
      <c r="GI218" t="b">
        <f>AND(DATA!M1741,"AAAAAB5+r74=")</f>
        <v>1</v>
      </c>
      <c r="GJ218" t="b">
        <f>AND(DATA!N1741,"AAAAAB5+r78=")</f>
        <v>1</v>
      </c>
      <c r="GK218" t="b">
        <f>AND(DATA!O1741,"AAAAAB5+r8A=")</f>
        <v>1</v>
      </c>
      <c r="GL218" t="b">
        <f>AND(DATA!P1741,"AAAAAB5+r8E=")</f>
        <v>1</v>
      </c>
      <c r="GM218" t="b">
        <f>AND(DATA!Q1741,"AAAAAB5+r8I=")</f>
        <v>1</v>
      </c>
      <c r="GN218" t="b">
        <f>AND(DATA!R1741,"AAAAAB5+r8M=")</f>
        <v>1</v>
      </c>
      <c r="GO218" t="b">
        <f>AND(DATA!S1741,"AAAAAB5+r8Q=")</f>
        <v>1</v>
      </c>
      <c r="GP218" t="b">
        <f>AND(DATA!T1741,"AAAAAB5+r8U=")</f>
        <v>1</v>
      </c>
      <c r="GQ218">
        <f>IF(DATA!1741:1741,"AAAAAB5+r8Y=",0)</f>
        <v>0</v>
      </c>
      <c r="GR218" t="e">
        <f>AND(DATA!A1741,"AAAAAB5+r8c=")</f>
        <v>#VALUE!</v>
      </c>
      <c r="GS218" t="e">
        <f>AND(DATA!B1741,"AAAAAB5+r8g=")</f>
        <v>#VALUE!</v>
      </c>
      <c r="GT218" t="e">
        <f>AND(DATA!C1741,"AAAAAB5+r8k=")</f>
        <v>#VALUE!</v>
      </c>
      <c r="GU218" t="e">
        <f>AND(DATA!D1741,"AAAAAB5+r8o=")</f>
        <v>#VALUE!</v>
      </c>
      <c r="GV218" t="e">
        <f>AND(DATA!E1741,"AAAAAB5+r8s=")</f>
        <v>#VALUE!</v>
      </c>
      <c r="GW218" t="e">
        <f>AND(DATA!F1741,"AAAAAB5+r8w=")</f>
        <v>#VALUE!</v>
      </c>
      <c r="GX218" t="e">
        <f>AND(DATA!G1741,"AAAAAB5+r80=")</f>
        <v>#VALUE!</v>
      </c>
      <c r="GY218" t="e">
        <f>AND(DATA!H1741,"AAAAAB5+r84=")</f>
        <v>#VALUE!</v>
      </c>
      <c r="GZ218" t="e">
        <f>AND(DATA!I1741,"AAAAAB5+r88=")</f>
        <v>#VALUE!</v>
      </c>
      <c r="HA218" t="e">
        <f>AND(DATA!J1741,"AAAAAB5+r9A=")</f>
        <v>#VALUE!</v>
      </c>
      <c r="HB218" t="e">
        <f>AND(DATA!K1741,"AAAAAB5+r9E=")</f>
        <v>#VALUE!</v>
      </c>
      <c r="HC218" t="b">
        <f>AND(DATA!L1742,"AAAAAB5+r9I=")</f>
        <v>1</v>
      </c>
      <c r="HD218" t="b">
        <f>AND(DATA!M1742,"AAAAAB5+r9M=")</f>
        <v>1</v>
      </c>
      <c r="HE218" t="b">
        <f>AND(DATA!N1742,"AAAAAB5+r9Q=")</f>
        <v>1</v>
      </c>
      <c r="HF218" t="b">
        <f>AND(DATA!O1742,"AAAAAB5+r9U=")</f>
        <v>1</v>
      </c>
      <c r="HG218" t="b">
        <f>AND(DATA!P1742,"AAAAAB5+r9Y=")</f>
        <v>1</v>
      </c>
      <c r="HH218" t="b">
        <f>AND(DATA!Q1742,"AAAAAB5+r9c=")</f>
        <v>1</v>
      </c>
      <c r="HI218" t="b">
        <f>AND(DATA!R1742,"AAAAAB5+r9g=")</f>
        <v>1</v>
      </c>
      <c r="HJ218" t="b">
        <f>AND(DATA!S1742,"AAAAAB5+r9k=")</f>
        <v>1</v>
      </c>
      <c r="HK218" t="b">
        <f>AND(DATA!T1742,"AAAAAB5+r9o=")</f>
        <v>1</v>
      </c>
      <c r="HL218">
        <f>IF(DATA!1742:1742,"AAAAAB5+r9s=",0)</f>
        <v>0</v>
      </c>
      <c r="HM218" t="e">
        <f>AND(DATA!A1742,"AAAAAB5+r9w=")</f>
        <v>#VALUE!</v>
      </c>
      <c r="HN218" t="e">
        <f>AND(DATA!B1742,"AAAAAB5+r90=")</f>
        <v>#VALUE!</v>
      </c>
      <c r="HO218" t="e">
        <f>AND(DATA!C1742,"AAAAAB5+r94=")</f>
        <v>#VALUE!</v>
      </c>
      <c r="HP218" t="e">
        <f>AND(DATA!D1742,"AAAAAB5+r98=")</f>
        <v>#VALUE!</v>
      </c>
      <c r="HQ218" t="e">
        <f>AND(DATA!E1742,"AAAAAB5+r+A=")</f>
        <v>#VALUE!</v>
      </c>
      <c r="HR218" t="e">
        <f>AND(DATA!F1742,"AAAAAB5+r+E=")</f>
        <v>#VALUE!</v>
      </c>
      <c r="HS218" t="e">
        <f>AND(DATA!G1742,"AAAAAB5+r+I=")</f>
        <v>#VALUE!</v>
      </c>
      <c r="HT218" t="e">
        <f>AND(DATA!H1742,"AAAAAB5+r+M=")</f>
        <v>#VALUE!</v>
      </c>
      <c r="HU218" t="e">
        <f>AND(DATA!I1742,"AAAAAB5+r+Q=")</f>
        <v>#VALUE!</v>
      </c>
      <c r="HV218" t="e">
        <f>AND(DATA!J1742,"AAAAAB5+r+U=")</f>
        <v>#VALUE!</v>
      </c>
      <c r="HW218" t="e">
        <f>AND(DATA!K1742,"AAAAAB5+r+Y=")</f>
        <v>#VALUE!</v>
      </c>
      <c r="HX218" t="b">
        <f>AND(DATA!L1743,"AAAAAB5+r+c=")</f>
        <v>1</v>
      </c>
      <c r="HY218" t="b">
        <f>AND(DATA!M1743,"AAAAAB5+r+g=")</f>
        <v>1</v>
      </c>
      <c r="HZ218" t="b">
        <f>AND(DATA!N1743,"AAAAAB5+r+k=")</f>
        <v>1</v>
      </c>
      <c r="IA218" t="b">
        <f>AND(DATA!O1743,"AAAAAB5+r+o=")</f>
        <v>1</v>
      </c>
      <c r="IB218" t="b">
        <f>AND(DATA!P1743,"AAAAAB5+r+s=")</f>
        <v>1</v>
      </c>
      <c r="IC218" t="b">
        <f>AND(DATA!Q1743,"AAAAAB5+r+w=")</f>
        <v>1</v>
      </c>
      <c r="ID218" t="b">
        <f>AND(DATA!R1743,"AAAAAB5+r+0=")</f>
        <v>1</v>
      </c>
      <c r="IE218" t="b">
        <f>AND(DATA!S1743,"AAAAAB5+r+4=")</f>
        <v>1</v>
      </c>
      <c r="IF218" t="b">
        <f>AND(DATA!T1743,"AAAAAB5+r+8=")</f>
        <v>1</v>
      </c>
      <c r="IG218">
        <f>IF(DATA!1743:1743,"AAAAAB5+r/A=",0)</f>
        <v>0</v>
      </c>
      <c r="IH218" t="e">
        <f>AND(DATA!A1743,"AAAAAB5+r/E=")</f>
        <v>#VALUE!</v>
      </c>
      <c r="II218" t="e">
        <f>AND(DATA!B1743,"AAAAAB5+r/I=")</f>
        <v>#VALUE!</v>
      </c>
      <c r="IJ218" t="e">
        <f>AND(DATA!C1743,"AAAAAB5+r/M=")</f>
        <v>#VALUE!</v>
      </c>
      <c r="IK218" t="e">
        <f>AND(DATA!D1743,"AAAAAB5+r/Q=")</f>
        <v>#VALUE!</v>
      </c>
      <c r="IL218" t="e">
        <f>AND(DATA!E1743,"AAAAAB5+r/U=")</f>
        <v>#VALUE!</v>
      </c>
      <c r="IM218" t="e">
        <f>AND(DATA!F1743,"AAAAAB5+r/Y=")</f>
        <v>#VALUE!</v>
      </c>
      <c r="IN218" t="e">
        <f>AND(DATA!G1743,"AAAAAB5+r/c=")</f>
        <v>#VALUE!</v>
      </c>
      <c r="IO218" t="e">
        <f>AND(DATA!H1743,"AAAAAB5+r/g=")</f>
        <v>#VALUE!</v>
      </c>
      <c r="IP218" t="e">
        <f>AND(DATA!I1743,"AAAAAB5+r/k=")</f>
        <v>#VALUE!</v>
      </c>
      <c r="IQ218" t="e">
        <f>AND(DATA!J1743,"AAAAAB5+r/o=")</f>
        <v>#VALUE!</v>
      </c>
      <c r="IR218" t="e">
        <f>AND(DATA!K1743,"AAAAAB5+r/s=")</f>
        <v>#VALUE!</v>
      </c>
      <c r="IS218" t="b">
        <f>AND(DATA!L1744,"AAAAAB5+r/w=")</f>
        <v>1</v>
      </c>
      <c r="IT218" t="b">
        <f>AND(DATA!M1744,"AAAAAB5+r/0=")</f>
        <v>1</v>
      </c>
      <c r="IU218" t="b">
        <f>AND(DATA!N1744,"AAAAAB5+r/4=")</f>
        <v>1</v>
      </c>
      <c r="IV218" t="b">
        <f>AND(DATA!O1744,"AAAAAB5+r/8=")</f>
        <v>1</v>
      </c>
    </row>
    <row r="219" spans="1:256" x14ac:dyDescent="0.25">
      <c r="A219" t="b">
        <f>AND(DATA!P1744,"AAAAAH8ntgA=")</f>
        <v>1</v>
      </c>
      <c r="B219" t="b">
        <f>AND(DATA!Q1744,"AAAAAH8ntgE=")</f>
        <v>1</v>
      </c>
      <c r="C219" t="b">
        <f>AND(DATA!R1744,"AAAAAH8ntgI=")</f>
        <v>1</v>
      </c>
      <c r="D219" t="b">
        <f>AND(DATA!S1744,"AAAAAH8ntgM=")</f>
        <v>1</v>
      </c>
      <c r="E219" t="b">
        <f>AND(DATA!T1744,"AAAAAH8ntgQ=")</f>
        <v>1</v>
      </c>
      <c r="F219">
        <f>IF(DATA!1744:1744,"AAAAAH8ntgU=",0)</f>
        <v>0</v>
      </c>
      <c r="G219" t="e">
        <f>AND(DATA!A1744,"AAAAAH8ntgY=")</f>
        <v>#VALUE!</v>
      </c>
      <c r="H219" t="e">
        <f>AND(DATA!B1744,"AAAAAH8ntgc=")</f>
        <v>#VALUE!</v>
      </c>
      <c r="I219" t="e">
        <f>AND(DATA!C1744,"AAAAAH8ntgg=")</f>
        <v>#VALUE!</v>
      </c>
      <c r="J219" t="e">
        <f>AND(DATA!D1744,"AAAAAH8ntgk=")</f>
        <v>#VALUE!</v>
      </c>
      <c r="K219" t="e">
        <f>AND(DATA!E1744,"AAAAAH8ntgo=")</f>
        <v>#VALUE!</v>
      </c>
      <c r="L219" t="e">
        <f>AND(DATA!F1744,"AAAAAH8ntgs=")</f>
        <v>#VALUE!</v>
      </c>
      <c r="M219" t="e">
        <f>AND(DATA!G1744,"AAAAAH8ntgw=")</f>
        <v>#VALUE!</v>
      </c>
      <c r="N219" t="e">
        <f>AND(DATA!H1744,"AAAAAH8ntg0=")</f>
        <v>#VALUE!</v>
      </c>
      <c r="O219" t="e">
        <f>AND(DATA!I1744,"AAAAAH8ntg4=")</f>
        <v>#VALUE!</v>
      </c>
      <c r="P219" t="e">
        <f>AND(DATA!J1744,"AAAAAH8ntg8=")</f>
        <v>#VALUE!</v>
      </c>
      <c r="Q219" t="e">
        <f>AND(DATA!K1744,"AAAAAH8nthA=")</f>
        <v>#VALUE!</v>
      </c>
      <c r="R219" t="b">
        <f>AND(DATA!L1745,"AAAAAH8nthE=")</f>
        <v>1</v>
      </c>
      <c r="S219" t="b">
        <f>AND(DATA!M1745,"AAAAAH8nthI=")</f>
        <v>1</v>
      </c>
      <c r="T219" t="b">
        <f>AND(DATA!N1745,"AAAAAH8nthM=")</f>
        <v>1</v>
      </c>
      <c r="U219" t="b">
        <f>AND(DATA!O1745,"AAAAAH8nthQ=")</f>
        <v>1</v>
      </c>
      <c r="V219" t="b">
        <f>AND(DATA!P1745,"AAAAAH8nthU=")</f>
        <v>1</v>
      </c>
      <c r="W219" t="b">
        <f>AND(DATA!Q1745,"AAAAAH8nthY=")</f>
        <v>1</v>
      </c>
      <c r="X219" t="b">
        <f>AND(DATA!R1745,"AAAAAH8nthc=")</f>
        <v>1</v>
      </c>
      <c r="Y219" t="b">
        <f>AND(DATA!S1745,"AAAAAH8nthg=")</f>
        <v>1</v>
      </c>
      <c r="Z219" t="b">
        <f>AND(DATA!T1745,"AAAAAH8nthk=")</f>
        <v>1</v>
      </c>
      <c r="AA219">
        <f>IF(DATA!1745:1745,"AAAAAH8ntho=",0)</f>
        <v>0</v>
      </c>
      <c r="AB219" t="e">
        <f>AND(DATA!A1745,"AAAAAH8nths=")</f>
        <v>#VALUE!</v>
      </c>
      <c r="AC219" t="e">
        <f>AND(DATA!B1745,"AAAAAH8nthw=")</f>
        <v>#VALUE!</v>
      </c>
      <c r="AD219" t="e">
        <f>AND(DATA!C1745,"AAAAAH8nth0=")</f>
        <v>#VALUE!</v>
      </c>
      <c r="AE219" t="e">
        <f>AND(DATA!D1745,"AAAAAH8nth4=")</f>
        <v>#VALUE!</v>
      </c>
      <c r="AF219" t="e">
        <f>AND(DATA!E1745,"AAAAAH8nth8=")</f>
        <v>#VALUE!</v>
      </c>
      <c r="AG219" t="e">
        <f>AND(DATA!F1745,"AAAAAH8ntiA=")</f>
        <v>#VALUE!</v>
      </c>
      <c r="AH219" t="e">
        <f>AND(DATA!G1745,"AAAAAH8ntiE=")</f>
        <v>#VALUE!</v>
      </c>
      <c r="AI219" t="e">
        <f>AND(DATA!H1745,"AAAAAH8ntiI=")</f>
        <v>#VALUE!</v>
      </c>
      <c r="AJ219" t="e">
        <f>AND(DATA!I1745,"AAAAAH8ntiM=")</f>
        <v>#VALUE!</v>
      </c>
      <c r="AK219" t="e">
        <f>AND(DATA!J1745,"AAAAAH8ntiQ=")</f>
        <v>#VALUE!</v>
      </c>
      <c r="AL219" t="e">
        <f>AND(DATA!K1745,"AAAAAH8ntiU=")</f>
        <v>#VALUE!</v>
      </c>
      <c r="AM219" t="b">
        <f>AND(DATA!L1746,"AAAAAH8ntiY=")</f>
        <v>1</v>
      </c>
      <c r="AN219" t="b">
        <f>AND(DATA!M1746,"AAAAAH8ntic=")</f>
        <v>1</v>
      </c>
      <c r="AO219" t="b">
        <f>AND(DATA!N1746,"AAAAAH8ntig=")</f>
        <v>1</v>
      </c>
      <c r="AP219" t="b">
        <f>AND(DATA!O1746,"AAAAAH8ntik=")</f>
        <v>1</v>
      </c>
      <c r="AQ219" t="b">
        <f>AND(DATA!P1746,"AAAAAH8ntio=")</f>
        <v>1</v>
      </c>
      <c r="AR219" t="b">
        <f>AND(DATA!Q1746,"AAAAAH8ntis=")</f>
        <v>1</v>
      </c>
      <c r="AS219" t="b">
        <f>AND(DATA!R1746,"AAAAAH8ntiw=")</f>
        <v>1</v>
      </c>
      <c r="AT219" t="b">
        <f>AND(DATA!S1746,"AAAAAH8nti0=")</f>
        <v>1</v>
      </c>
      <c r="AU219" t="b">
        <f>AND(DATA!T1746,"AAAAAH8nti4=")</f>
        <v>1</v>
      </c>
      <c r="AV219">
        <f>IF(DATA!1746:1746,"AAAAAH8nti8=",0)</f>
        <v>0</v>
      </c>
      <c r="AW219" t="e">
        <f>AND(DATA!A1746,"AAAAAH8ntjA=")</f>
        <v>#VALUE!</v>
      </c>
      <c r="AX219" t="e">
        <f>AND(DATA!B1746,"AAAAAH8ntjE=")</f>
        <v>#VALUE!</v>
      </c>
      <c r="AY219" t="e">
        <f>AND(DATA!C1746,"AAAAAH8ntjI=")</f>
        <v>#VALUE!</v>
      </c>
      <c r="AZ219" t="e">
        <f>AND(DATA!D1746,"AAAAAH8ntjM=")</f>
        <v>#VALUE!</v>
      </c>
      <c r="BA219" t="e">
        <f>AND(DATA!E1746,"AAAAAH8ntjQ=")</f>
        <v>#VALUE!</v>
      </c>
      <c r="BB219" t="e">
        <f>AND(DATA!F1746,"AAAAAH8ntjU=")</f>
        <v>#VALUE!</v>
      </c>
      <c r="BC219" t="e">
        <f>AND(DATA!G1746,"AAAAAH8ntjY=")</f>
        <v>#VALUE!</v>
      </c>
      <c r="BD219" t="e">
        <f>AND(DATA!H1746,"AAAAAH8ntjc=")</f>
        <v>#VALUE!</v>
      </c>
      <c r="BE219" t="e">
        <f>AND(DATA!I1746,"AAAAAH8ntjg=")</f>
        <v>#VALUE!</v>
      </c>
      <c r="BF219" t="e">
        <f>AND(DATA!J1746,"AAAAAH8ntjk=")</f>
        <v>#VALUE!</v>
      </c>
      <c r="BG219" t="e">
        <f>AND(DATA!K1746,"AAAAAH8ntjo=")</f>
        <v>#VALUE!</v>
      </c>
      <c r="BH219" t="b">
        <f>AND(DATA!L1747,"AAAAAH8ntjs=")</f>
        <v>1</v>
      </c>
      <c r="BI219" t="b">
        <f>AND(DATA!M1747,"AAAAAH8ntjw=")</f>
        <v>1</v>
      </c>
      <c r="BJ219" t="b">
        <f>AND(DATA!N1747,"AAAAAH8ntj0=")</f>
        <v>1</v>
      </c>
      <c r="BK219" t="b">
        <f>AND(DATA!O1747,"AAAAAH8ntj4=")</f>
        <v>1</v>
      </c>
      <c r="BL219" t="b">
        <f>AND(DATA!P1747,"AAAAAH8ntj8=")</f>
        <v>1</v>
      </c>
      <c r="BM219" t="b">
        <f>AND(DATA!Q1747,"AAAAAH8ntkA=")</f>
        <v>1</v>
      </c>
      <c r="BN219" t="b">
        <f>AND(DATA!R1747,"AAAAAH8ntkE=")</f>
        <v>1</v>
      </c>
      <c r="BO219" t="b">
        <f>AND(DATA!S1747,"AAAAAH8ntkI=")</f>
        <v>1</v>
      </c>
      <c r="BP219" t="b">
        <f>AND(DATA!T1747,"AAAAAH8ntkM=")</f>
        <v>1</v>
      </c>
      <c r="BQ219">
        <f>IF(DATA!1747:1747,"AAAAAH8ntkQ=",0)</f>
        <v>0</v>
      </c>
      <c r="BR219" t="e">
        <f>AND(DATA!A1747,"AAAAAH8ntkU=")</f>
        <v>#VALUE!</v>
      </c>
      <c r="BS219" t="e">
        <f>AND(DATA!B1747,"AAAAAH8ntkY=")</f>
        <v>#VALUE!</v>
      </c>
      <c r="BT219" t="e">
        <f>AND(DATA!C1747,"AAAAAH8ntkc=")</f>
        <v>#VALUE!</v>
      </c>
      <c r="BU219" t="e">
        <f>AND(DATA!D1747,"AAAAAH8ntkg=")</f>
        <v>#VALUE!</v>
      </c>
      <c r="BV219" t="e">
        <f>AND(DATA!E1747,"AAAAAH8ntkk=")</f>
        <v>#VALUE!</v>
      </c>
      <c r="BW219" t="e">
        <f>AND(DATA!F1747,"AAAAAH8ntko=")</f>
        <v>#VALUE!</v>
      </c>
      <c r="BX219" t="e">
        <f>AND(DATA!G1747,"AAAAAH8ntks=")</f>
        <v>#VALUE!</v>
      </c>
      <c r="BY219" t="e">
        <f>AND(DATA!H1747,"AAAAAH8ntkw=")</f>
        <v>#VALUE!</v>
      </c>
      <c r="BZ219" t="e">
        <f>AND(DATA!I1747,"AAAAAH8ntk0=")</f>
        <v>#VALUE!</v>
      </c>
      <c r="CA219" t="e">
        <f>AND(DATA!J1747,"AAAAAH8ntk4=")</f>
        <v>#VALUE!</v>
      </c>
      <c r="CB219" t="e">
        <f>AND(DATA!K1747,"AAAAAH8ntk8=")</f>
        <v>#VALUE!</v>
      </c>
      <c r="CC219" t="b">
        <f>AND(DATA!L1748,"AAAAAH8ntlA=")</f>
        <v>1</v>
      </c>
      <c r="CD219" t="b">
        <f>AND(DATA!M1748,"AAAAAH8ntlE=")</f>
        <v>1</v>
      </c>
      <c r="CE219" t="b">
        <f>AND(DATA!N1748,"AAAAAH8ntlI=")</f>
        <v>1</v>
      </c>
      <c r="CF219" t="b">
        <f>AND(DATA!O1748,"AAAAAH8ntlM=")</f>
        <v>1</v>
      </c>
      <c r="CG219" t="b">
        <f>AND(DATA!P1748,"AAAAAH8ntlQ=")</f>
        <v>1</v>
      </c>
      <c r="CH219" t="b">
        <f>AND(DATA!Q1748,"AAAAAH8ntlU=")</f>
        <v>1</v>
      </c>
      <c r="CI219" t="b">
        <f>AND(DATA!R1748,"AAAAAH8ntlY=")</f>
        <v>1</v>
      </c>
      <c r="CJ219" t="b">
        <f>AND(DATA!S1748,"AAAAAH8ntlc=")</f>
        <v>1</v>
      </c>
      <c r="CK219" t="b">
        <f>AND(DATA!T1748,"AAAAAH8ntlg=")</f>
        <v>1</v>
      </c>
      <c r="CL219">
        <f>IF(DATA!1748:1748,"AAAAAH8ntlk=",0)</f>
        <v>0</v>
      </c>
      <c r="CM219" t="e">
        <f>AND(DATA!A1748,"AAAAAH8ntlo=")</f>
        <v>#VALUE!</v>
      </c>
      <c r="CN219" t="e">
        <f>AND(DATA!B1748,"AAAAAH8ntls=")</f>
        <v>#VALUE!</v>
      </c>
      <c r="CO219" t="e">
        <f>AND(DATA!C1748,"AAAAAH8ntlw=")</f>
        <v>#VALUE!</v>
      </c>
      <c r="CP219" t="e">
        <f>AND(DATA!D1748,"AAAAAH8ntl0=")</f>
        <v>#VALUE!</v>
      </c>
      <c r="CQ219" t="e">
        <f>AND(DATA!E1748,"AAAAAH8ntl4=")</f>
        <v>#VALUE!</v>
      </c>
      <c r="CR219" t="e">
        <f>AND(DATA!F1748,"AAAAAH8ntl8=")</f>
        <v>#VALUE!</v>
      </c>
      <c r="CS219" t="e">
        <f>AND(DATA!G1748,"AAAAAH8ntmA=")</f>
        <v>#VALUE!</v>
      </c>
      <c r="CT219" t="e">
        <f>AND(DATA!H1748,"AAAAAH8ntmE=")</f>
        <v>#VALUE!</v>
      </c>
      <c r="CU219" t="e">
        <f>AND(DATA!I1748,"AAAAAH8ntmI=")</f>
        <v>#VALUE!</v>
      </c>
      <c r="CV219" t="e">
        <f>AND(DATA!J1748,"AAAAAH8ntmM=")</f>
        <v>#VALUE!</v>
      </c>
      <c r="CW219" t="e">
        <f>AND(DATA!K1748,"AAAAAH8ntmQ=")</f>
        <v>#VALUE!</v>
      </c>
      <c r="CX219" t="b">
        <f>AND(DATA!L1749,"AAAAAH8ntmU=")</f>
        <v>1</v>
      </c>
      <c r="CY219" t="b">
        <f>AND(DATA!M1749,"AAAAAH8ntmY=")</f>
        <v>1</v>
      </c>
      <c r="CZ219" t="b">
        <f>AND(DATA!N1749,"AAAAAH8ntmc=")</f>
        <v>1</v>
      </c>
      <c r="DA219" t="b">
        <f>AND(DATA!O1749,"AAAAAH8ntmg=")</f>
        <v>1</v>
      </c>
      <c r="DB219" t="b">
        <f>AND(DATA!P1749,"AAAAAH8ntmk=")</f>
        <v>1</v>
      </c>
      <c r="DC219" t="b">
        <f>AND(DATA!Q1749,"AAAAAH8ntmo=")</f>
        <v>1</v>
      </c>
      <c r="DD219" t="b">
        <f>AND(DATA!R1749,"AAAAAH8ntms=")</f>
        <v>1</v>
      </c>
      <c r="DE219" t="b">
        <f>AND(DATA!S1749,"AAAAAH8ntmw=")</f>
        <v>1</v>
      </c>
      <c r="DF219" t="b">
        <f>AND(DATA!T1749,"AAAAAH8ntm0=")</f>
        <v>1</v>
      </c>
      <c r="DG219">
        <f>IF(DATA!1749:1749,"AAAAAH8ntm4=",0)</f>
        <v>0</v>
      </c>
      <c r="DH219" t="e">
        <f>AND(DATA!A1749,"AAAAAH8ntm8=")</f>
        <v>#VALUE!</v>
      </c>
      <c r="DI219" t="e">
        <f>AND(DATA!B1749,"AAAAAH8ntnA=")</f>
        <v>#VALUE!</v>
      </c>
      <c r="DJ219" t="e">
        <f>AND(DATA!C1749,"AAAAAH8ntnE=")</f>
        <v>#VALUE!</v>
      </c>
      <c r="DK219" t="e">
        <f>AND(DATA!D1749,"AAAAAH8ntnI=")</f>
        <v>#VALUE!</v>
      </c>
      <c r="DL219" t="e">
        <f>AND(DATA!E1749,"AAAAAH8ntnM=")</f>
        <v>#VALUE!</v>
      </c>
      <c r="DM219" t="e">
        <f>AND(DATA!F1749,"AAAAAH8ntnQ=")</f>
        <v>#VALUE!</v>
      </c>
      <c r="DN219" t="e">
        <f>AND(DATA!G1749,"AAAAAH8ntnU=")</f>
        <v>#VALUE!</v>
      </c>
      <c r="DO219" t="e">
        <f>AND(DATA!H1749,"AAAAAH8ntnY=")</f>
        <v>#VALUE!</v>
      </c>
      <c r="DP219" t="e">
        <f>AND(DATA!I1749,"AAAAAH8ntnc=")</f>
        <v>#VALUE!</v>
      </c>
      <c r="DQ219" t="e">
        <f>AND(DATA!J1749,"AAAAAH8ntng=")</f>
        <v>#VALUE!</v>
      </c>
      <c r="DR219" t="e">
        <f>AND(DATA!K1749,"AAAAAH8ntnk=")</f>
        <v>#VALUE!</v>
      </c>
      <c r="DS219" t="b">
        <f>AND(DATA!L1750,"AAAAAH8ntno=")</f>
        <v>1</v>
      </c>
      <c r="DT219" t="b">
        <f>AND(DATA!M1750,"AAAAAH8ntns=")</f>
        <v>1</v>
      </c>
      <c r="DU219" t="b">
        <f>AND(DATA!N1750,"AAAAAH8ntnw=")</f>
        <v>1</v>
      </c>
      <c r="DV219" t="b">
        <f>AND(DATA!O1750,"AAAAAH8ntn0=")</f>
        <v>1</v>
      </c>
      <c r="DW219" t="b">
        <f>AND(DATA!P1750,"AAAAAH8ntn4=")</f>
        <v>1</v>
      </c>
      <c r="DX219" t="b">
        <f>AND(DATA!Q1750,"AAAAAH8ntn8=")</f>
        <v>1</v>
      </c>
      <c r="DY219" t="b">
        <f>AND(DATA!R1750,"AAAAAH8ntoA=")</f>
        <v>1</v>
      </c>
      <c r="DZ219" t="b">
        <f>AND(DATA!S1750,"AAAAAH8ntoE=")</f>
        <v>1</v>
      </c>
      <c r="EA219" t="b">
        <f>AND(DATA!T1750,"AAAAAH8ntoI=")</f>
        <v>1</v>
      </c>
      <c r="EB219">
        <f>IF(DATA!1750:1750,"AAAAAH8ntoM=",0)</f>
        <v>0</v>
      </c>
      <c r="EC219" t="e">
        <f>AND(DATA!A1750,"AAAAAH8ntoQ=")</f>
        <v>#VALUE!</v>
      </c>
      <c r="ED219" t="e">
        <f>AND(DATA!B1750,"AAAAAH8ntoU=")</f>
        <v>#VALUE!</v>
      </c>
      <c r="EE219" t="e">
        <f>AND(DATA!C1750,"AAAAAH8ntoY=")</f>
        <v>#VALUE!</v>
      </c>
      <c r="EF219" t="e">
        <f>AND(DATA!D1750,"AAAAAH8ntoc=")</f>
        <v>#VALUE!</v>
      </c>
      <c r="EG219" t="e">
        <f>AND(DATA!E1750,"AAAAAH8ntog=")</f>
        <v>#VALUE!</v>
      </c>
      <c r="EH219" t="e">
        <f>AND(DATA!F1750,"AAAAAH8ntok=")</f>
        <v>#VALUE!</v>
      </c>
      <c r="EI219" t="e">
        <f>AND(DATA!G1750,"AAAAAH8ntoo=")</f>
        <v>#VALUE!</v>
      </c>
      <c r="EJ219" t="e">
        <f>AND(DATA!H1750,"AAAAAH8ntos=")</f>
        <v>#VALUE!</v>
      </c>
      <c r="EK219" t="e">
        <f>AND(DATA!I1750,"AAAAAH8ntow=")</f>
        <v>#VALUE!</v>
      </c>
      <c r="EL219" t="e">
        <f>AND(DATA!J1750,"AAAAAH8nto0=")</f>
        <v>#VALUE!</v>
      </c>
      <c r="EM219" t="e">
        <f>AND(DATA!K1750,"AAAAAH8nto4=")</f>
        <v>#VALUE!</v>
      </c>
      <c r="EN219" t="b">
        <f>AND(DATA!L1751,"AAAAAH8nto8=")</f>
        <v>1</v>
      </c>
      <c r="EO219" t="b">
        <f>AND(DATA!M1751,"AAAAAH8ntpA=")</f>
        <v>1</v>
      </c>
      <c r="EP219" t="b">
        <f>AND(DATA!N1751,"AAAAAH8ntpE=")</f>
        <v>1</v>
      </c>
      <c r="EQ219" t="b">
        <f>AND(DATA!O1751,"AAAAAH8ntpI=")</f>
        <v>1</v>
      </c>
      <c r="ER219" t="b">
        <f>AND(DATA!P1751,"AAAAAH8ntpM=")</f>
        <v>1</v>
      </c>
      <c r="ES219" t="b">
        <f>AND(DATA!Q1751,"AAAAAH8ntpQ=")</f>
        <v>1</v>
      </c>
      <c r="ET219" t="b">
        <f>AND(DATA!R1751,"AAAAAH8ntpU=")</f>
        <v>1</v>
      </c>
      <c r="EU219" t="b">
        <f>AND(DATA!S1751,"AAAAAH8ntpY=")</f>
        <v>1</v>
      </c>
      <c r="EV219" t="b">
        <f>AND(DATA!T1751,"AAAAAH8ntpc=")</f>
        <v>1</v>
      </c>
      <c r="EW219">
        <f>IF(DATA!1751:1751,"AAAAAH8ntpg=",0)</f>
        <v>0</v>
      </c>
      <c r="EX219" t="e">
        <f>AND(DATA!A1751,"AAAAAH8ntpk=")</f>
        <v>#VALUE!</v>
      </c>
      <c r="EY219" t="e">
        <f>AND(DATA!B1751,"AAAAAH8ntpo=")</f>
        <v>#VALUE!</v>
      </c>
      <c r="EZ219" t="e">
        <f>AND(DATA!C1751,"AAAAAH8ntps=")</f>
        <v>#VALUE!</v>
      </c>
      <c r="FA219" t="e">
        <f>AND(DATA!D1751,"AAAAAH8ntpw=")</f>
        <v>#VALUE!</v>
      </c>
      <c r="FB219" t="e">
        <f>AND(DATA!E1751,"AAAAAH8ntp0=")</f>
        <v>#VALUE!</v>
      </c>
      <c r="FC219" t="e">
        <f>AND(DATA!F1751,"AAAAAH8ntp4=")</f>
        <v>#VALUE!</v>
      </c>
      <c r="FD219" t="e">
        <f>AND(DATA!G1751,"AAAAAH8ntp8=")</f>
        <v>#VALUE!</v>
      </c>
      <c r="FE219" t="e">
        <f>AND(DATA!H1751,"AAAAAH8ntqA=")</f>
        <v>#VALUE!</v>
      </c>
      <c r="FF219" t="e">
        <f>AND(DATA!I1751,"AAAAAH8ntqE=")</f>
        <v>#VALUE!</v>
      </c>
      <c r="FG219" t="e">
        <f>AND(DATA!J1751,"AAAAAH8ntqI=")</f>
        <v>#VALUE!</v>
      </c>
      <c r="FH219" t="e">
        <f>AND(DATA!K1751,"AAAAAH8ntqM=")</f>
        <v>#VALUE!</v>
      </c>
      <c r="FI219" t="b">
        <f>AND(DATA!L1752,"AAAAAH8ntqQ=")</f>
        <v>1</v>
      </c>
      <c r="FJ219" t="b">
        <f>AND(DATA!M1752,"AAAAAH8ntqU=")</f>
        <v>1</v>
      </c>
      <c r="FK219" t="b">
        <f>AND(DATA!N1752,"AAAAAH8ntqY=")</f>
        <v>1</v>
      </c>
      <c r="FL219" t="b">
        <f>AND(DATA!O1752,"AAAAAH8ntqc=")</f>
        <v>1</v>
      </c>
      <c r="FM219" t="b">
        <f>AND(DATA!P1752,"AAAAAH8ntqg=")</f>
        <v>1</v>
      </c>
      <c r="FN219" t="b">
        <f>AND(DATA!Q1752,"AAAAAH8ntqk=")</f>
        <v>1</v>
      </c>
      <c r="FO219" t="b">
        <f>AND(DATA!R1752,"AAAAAH8ntqo=")</f>
        <v>1</v>
      </c>
      <c r="FP219" t="b">
        <f>AND(DATA!S1752,"AAAAAH8ntqs=")</f>
        <v>1</v>
      </c>
      <c r="FQ219" t="b">
        <f>AND(DATA!T1752,"AAAAAH8ntqw=")</f>
        <v>1</v>
      </c>
      <c r="FR219">
        <f>IF(DATA!1752:1752,"AAAAAH8ntq0=",0)</f>
        <v>0</v>
      </c>
      <c r="FS219" t="e">
        <f>AND(DATA!A1752,"AAAAAH8ntq4=")</f>
        <v>#VALUE!</v>
      </c>
      <c r="FT219" t="e">
        <f>AND(DATA!B1752,"AAAAAH8ntq8=")</f>
        <v>#VALUE!</v>
      </c>
      <c r="FU219" t="e">
        <f>AND(DATA!C1752,"AAAAAH8ntrA=")</f>
        <v>#VALUE!</v>
      </c>
      <c r="FV219" t="e">
        <f>AND(DATA!D1752,"AAAAAH8ntrE=")</f>
        <v>#VALUE!</v>
      </c>
      <c r="FW219" t="e">
        <f>AND(DATA!E1752,"AAAAAH8ntrI=")</f>
        <v>#VALUE!</v>
      </c>
      <c r="FX219" t="e">
        <f>AND(DATA!F1752,"AAAAAH8ntrM=")</f>
        <v>#VALUE!</v>
      </c>
      <c r="FY219" t="e">
        <f>AND(DATA!G1752,"AAAAAH8ntrQ=")</f>
        <v>#VALUE!</v>
      </c>
      <c r="FZ219" t="e">
        <f>AND(DATA!H1752,"AAAAAH8ntrU=")</f>
        <v>#VALUE!</v>
      </c>
      <c r="GA219" t="e">
        <f>AND(DATA!I1752,"AAAAAH8ntrY=")</f>
        <v>#VALUE!</v>
      </c>
      <c r="GB219" t="e">
        <f>AND(DATA!J1752,"AAAAAH8ntrc=")</f>
        <v>#VALUE!</v>
      </c>
      <c r="GC219" t="e">
        <f>AND(DATA!K1752,"AAAAAH8ntrg=")</f>
        <v>#VALUE!</v>
      </c>
      <c r="GD219" t="b">
        <f>AND(DATA!L1753,"AAAAAH8ntrk=")</f>
        <v>1</v>
      </c>
      <c r="GE219" t="b">
        <f>AND(DATA!M1753,"AAAAAH8ntro=")</f>
        <v>1</v>
      </c>
      <c r="GF219" t="b">
        <f>AND(DATA!N1753,"AAAAAH8ntrs=")</f>
        <v>1</v>
      </c>
      <c r="GG219" t="b">
        <f>AND(DATA!O1753,"AAAAAH8ntrw=")</f>
        <v>1</v>
      </c>
      <c r="GH219" t="b">
        <f>AND(DATA!P1753,"AAAAAH8ntr0=")</f>
        <v>1</v>
      </c>
      <c r="GI219" t="b">
        <f>AND(DATA!Q1753,"AAAAAH8ntr4=")</f>
        <v>1</v>
      </c>
      <c r="GJ219" t="b">
        <f>AND(DATA!R1753,"AAAAAH8ntr8=")</f>
        <v>1</v>
      </c>
      <c r="GK219" t="b">
        <f>AND(DATA!S1753,"AAAAAH8ntsA=")</f>
        <v>1</v>
      </c>
      <c r="GL219" t="b">
        <f>AND(DATA!T1753,"AAAAAH8ntsE=")</f>
        <v>1</v>
      </c>
      <c r="GM219">
        <f>IF(DATA!1753:1753,"AAAAAH8ntsI=",0)</f>
        <v>0</v>
      </c>
      <c r="GN219" t="e">
        <f>AND(DATA!A1753,"AAAAAH8ntsM=")</f>
        <v>#VALUE!</v>
      </c>
      <c r="GO219" t="e">
        <f>AND(DATA!B1753,"AAAAAH8ntsQ=")</f>
        <v>#VALUE!</v>
      </c>
      <c r="GP219" t="e">
        <f>AND(DATA!C1753,"AAAAAH8ntsU=")</f>
        <v>#VALUE!</v>
      </c>
      <c r="GQ219" t="e">
        <f>AND(DATA!D1753,"AAAAAH8ntsY=")</f>
        <v>#VALUE!</v>
      </c>
      <c r="GR219" t="e">
        <f>AND(DATA!E1753,"AAAAAH8ntsc=")</f>
        <v>#VALUE!</v>
      </c>
      <c r="GS219" t="e">
        <f>AND(DATA!F1753,"AAAAAH8ntsg=")</f>
        <v>#VALUE!</v>
      </c>
      <c r="GT219" t="e">
        <f>AND(DATA!G1753,"AAAAAH8ntsk=")</f>
        <v>#VALUE!</v>
      </c>
      <c r="GU219" t="e">
        <f>AND(DATA!H1753,"AAAAAH8ntso=")</f>
        <v>#VALUE!</v>
      </c>
      <c r="GV219" t="e">
        <f>AND(DATA!I1753,"AAAAAH8ntss=")</f>
        <v>#VALUE!</v>
      </c>
      <c r="GW219" t="e">
        <f>AND(DATA!J1753,"AAAAAH8ntsw=")</f>
        <v>#VALUE!</v>
      </c>
      <c r="GX219" t="e">
        <f>AND(DATA!K1753,"AAAAAH8nts0=")</f>
        <v>#VALUE!</v>
      </c>
      <c r="GY219" t="b">
        <f>AND(DATA!L1754,"AAAAAH8nts4=")</f>
        <v>1</v>
      </c>
      <c r="GZ219" t="b">
        <f>AND(DATA!M1754,"AAAAAH8nts8=")</f>
        <v>1</v>
      </c>
      <c r="HA219" t="b">
        <f>AND(DATA!N1754,"AAAAAH8nttA=")</f>
        <v>1</v>
      </c>
      <c r="HB219" t="b">
        <f>AND(DATA!O1754,"AAAAAH8nttE=")</f>
        <v>1</v>
      </c>
      <c r="HC219" t="b">
        <f>AND(DATA!P1754,"AAAAAH8nttI=")</f>
        <v>1</v>
      </c>
      <c r="HD219" t="b">
        <f>AND(DATA!Q1754,"AAAAAH8nttM=")</f>
        <v>1</v>
      </c>
      <c r="HE219" t="b">
        <f>AND(DATA!R1754,"AAAAAH8nttQ=")</f>
        <v>1</v>
      </c>
      <c r="HF219" t="b">
        <f>AND(DATA!S1754,"AAAAAH8nttU=")</f>
        <v>1</v>
      </c>
      <c r="HG219" t="b">
        <f>AND(DATA!T1754,"AAAAAH8nttY=")</f>
        <v>1</v>
      </c>
      <c r="HH219">
        <f>IF(DATA!1754:1754,"AAAAAH8nttc=",0)</f>
        <v>0</v>
      </c>
      <c r="HI219" t="e">
        <f>AND(DATA!A1754,"AAAAAH8nttg=")</f>
        <v>#VALUE!</v>
      </c>
      <c r="HJ219" t="e">
        <f>AND(DATA!B1754,"AAAAAH8nttk=")</f>
        <v>#VALUE!</v>
      </c>
      <c r="HK219" t="e">
        <f>AND(DATA!C1754,"AAAAAH8ntto=")</f>
        <v>#VALUE!</v>
      </c>
      <c r="HL219" t="e">
        <f>AND(DATA!D1754,"AAAAAH8ntts=")</f>
        <v>#VALUE!</v>
      </c>
      <c r="HM219" t="e">
        <f>AND(DATA!E1754,"AAAAAH8nttw=")</f>
        <v>#VALUE!</v>
      </c>
      <c r="HN219" t="e">
        <f>AND(DATA!F1754,"AAAAAH8ntt0=")</f>
        <v>#VALUE!</v>
      </c>
      <c r="HO219" t="e">
        <f>AND(DATA!G1754,"AAAAAH8ntt4=")</f>
        <v>#VALUE!</v>
      </c>
      <c r="HP219" t="e">
        <f>AND(DATA!H1754,"AAAAAH8ntt8=")</f>
        <v>#VALUE!</v>
      </c>
      <c r="HQ219" t="e">
        <f>AND(DATA!I1754,"AAAAAH8ntuA=")</f>
        <v>#VALUE!</v>
      </c>
      <c r="HR219" t="e">
        <f>AND(DATA!J1754,"AAAAAH8ntuE=")</f>
        <v>#VALUE!</v>
      </c>
      <c r="HS219" t="e">
        <f>AND(DATA!K1754,"AAAAAH8ntuI=")</f>
        <v>#VALUE!</v>
      </c>
      <c r="HT219" t="b">
        <f>AND(DATA!L1755,"AAAAAH8ntuM=")</f>
        <v>1</v>
      </c>
      <c r="HU219" t="b">
        <f>AND(DATA!M1755,"AAAAAH8ntuQ=")</f>
        <v>1</v>
      </c>
      <c r="HV219" t="b">
        <f>AND(DATA!N1755,"AAAAAH8ntuU=")</f>
        <v>1</v>
      </c>
      <c r="HW219" t="b">
        <f>AND(DATA!O1755,"AAAAAH8ntuY=")</f>
        <v>1</v>
      </c>
      <c r="HX219" t="b">
        <f>AND(DATA!P1755,"AAAAAH8ntuc=")</f>
        <v>1</v>
      </c>
      <c r="HY219" t="b">
        <f>AND(DATA!Q1755,"AAAAAH8ntug=")</f>
        <v>1</v>
      </c>
      <c r="HZ219" t="b">
        <f>AND(DATA!R1755,"AAAAAH8ntuk=")</f>
        <v>1</v>
      </c>
      <c r="IA219" t="b">
        <f>AND(DATA!S1755,"AAAAAH8ntuo=")</f>
        <v>1</v>
      </c>
      <c r="IB219" t="b">
        <f>AND(DATA!T1755,"AAAAAH8ntus=")</f>
        <v>1</v>
      </c>
      <c r="IC219">
        <f>IF(DATA!1755:1755,"AAAAAH8ntuw=",0)</f>
        <v>0</v>
      </c>
      <c r="ID219" t="e">
        <f>AND(DATA!A1755,"AAAAAH8ntu0=")</f>
        <v>#VALUE!</v>
      </c>
      <c r="IE219" t="e">
        <f>AND(DATA!B1755,"AAAAAH8ntu4=")</f>
        <v>#VALUE!</v>
      </c>
      <c r="IF219" t="e">
        <f>AND(DATA!C1755,"AAAAAH8ntu8=")</f>
        <v>#VALUE!</v>
      </c>
      <c r="IG219" t="e">
        <f>AND(DATA!D1755,"AAAAAH8ntvA=")</f>
        <v>#VALUE!</v>
      </c>
      <c r="IH219" t="e">
        <f>AND(DATA!E1755,"AAAAAH8ntvE=")</f>
        <v>#VALUE!</v>
      </c>
      <c r="II219" t="e">
        <f>AND(DATA!F1755,"AAAAAH8ntvI=")</f>
        <v>#VALUE!</v>
      </c>
      <c r="IJ219" t="e">
        <f>AND(DATA!G1755,"AAAAAH8ntvM=")</f>
        <v>#VALUE!</v>
      </c>
      <c r="IK219" t="e">
        <f>AND(DATA!H1755,"AAAAAH8ntvQ=")</f>
        <v>#VALUE!</v>
      </c>
      <c r="IL219" t="e">
        <f>AND(DATA!I1755,"AAAAAH8ntvU=")</f>
        <v>#VALUE!</v>
      </c>
      <c r="IM219" t="e">
        <f>AND(DATA!J1755,"AAAAAH8ntvY=")</f>
        <v>#VALUE!</v>
      </c>
      <c r="IN219" t="e">
        <f>AND(DATA!K1755,"AAAAAH8ntvc=")</f>
        <v>#VALUE!</v>
      </c>
      <c r="IO219" t="b">
        <f>AND(DATA!L1756,"AAAAAH8ntvg=")</f>
        <v>1</v>
      </c>
      <c r="IP219" t="b">
        <f>AND(DATA!M1756,"AAAAAH8ntvk=")</f>
        <v>1</v>
      </c>
      <c r="IQ219" t="b">
        <f>AND(DATA!N1756,"AAAAAH8ntvo=")</f>
        <v>1</v>
      </c>
      <c r="IR219" t="b">
        <f>AND(DATA!O1756,"AAAAAH8ntvs=")</f>
        <v>1</v>
      </c>
      <c r="IS219" t="b">
        <f>AND(DATA!P1756,"AAAAAH8ntvw=")</f>
        <v>1</v>
      </c>
      <c r="IT219" t="b">
        <f>AND(DATA!Q1756,"AAAAAH8ntv0=")</f>
        <v>1</v>
      </c>
      <c r="IU219" t="b">
        <f>AND(DATA!R1756,"AAAAAH8ntv4=")</f>
        <v>1</v>
      </c>
      <c r="IV219" t="b">
        <f>AND(DATA!S1756,"AAAAAH8ntv8=")</f>
        <v>1</v>
      </c>
    </row>
    <row r="220" spans="1:256" x14ac:dyDescent="0.25">
      <c r="A220" t="b">
        <f>AND(DATA!T1756,"AAAAAE7f6QA=")</f>
        <v>1</v>
      </c>
      <c r="B220">
        <f>IF(DATA!1756:1756,"AAAAAE7f6QE=",0)</f>
        <v>0</v>
      </c>
      <c r="C220" t="e">
        <f>AND(DATA!A1756,"AAAAAE7f6QI=")</f>
        <v>#VALUE!</v>
      </c>
      <c r="D220" t="e">
        <f>AND(DATA!B1756,"AAAAAE7f6QM=")</f>
        <v>#VALUE!</v>
      </c>
      <c r="E220" t="e">
        <f>AND(DATA!C1756,"AAAAAE7f6QQ=")</f>
        <v>#VALUE!</v>
      </c>
      <c r="F220" t="e">
        <f>AND(DATA!D1756,"AAAAAE7f6QU=")</f>
        <v>#VALUE!</v>
      </c>
      <c r="G220" t="e">
        <f>AND(DATA!E1756,"AAAAAE7f6QY=")</f>
        <v>#VALUE!</v>
      </c>
      <c r="H220" t="e">
        <f>AND(DATA!F1756,"AAAAAE7f6Qc=")</f>
        <v>#VALUE!</v>
      </c>
      <c r="I220" t="e">
        <f>AND(DATA!G1756,"AAAAAE7f6Qg=")</f>
        <v>#VALUE!</v>
      </c>
      <c r="J220" t="e">
        <f>AND(DATA!H1756,"AAAAAE7f6Qk=")</f>
        <v>#VALUE!</v>
      </c>
      <c r="K220" t="e">
        <f>AND(DATA!I1756,"AAAAAE7f6Qo=")</f>
        <v>#VALUE!</v>
      </c>
      <c r="L220" t="e">
        <f>AND(DATA!J1756,"AAAAAE7f6Qs=")</f>
        <v>#VALUE!</v>
      </c>
      <c r="M220" t="e">
        <f>AND(DATA!K1756,"AAAAAE7f6Qw=")</f>
        <v>#VALUE!</v>
      </c>
      <c r="N220" t="b">
        <f>AND(DATA!L1757,"AAAAAE7f6Q0=")</f>
        <v>1</v>
      </c>
      <c r="O220" t="b">
        <f>AND(DATA!M1757,"AAAAAE7f6Q4=")</f>
        <v>1</v>
      </c>
      <c r="P220" t="b">
        <f>AND(DATA!N1757,"AAAAAE7f6Q8=")</f>
        <v>1</v>
      </c>
      <c r="Q220" t="b">
        <f>AND(DATA!O1757,"AAAAAE7f6RA=")</f>
        <v>1</v>
      </c>
      <c r="R220" t="b">
        <f>AND(DATA!P1757,"AAAAAE7f6RE=")</f>
        <v>1</v>
      </c>
      <c r="S220" t="b">
        <f>AND(DATA!Q1757,"AAAAAE7f6RI=")</f>
        <v>1</v>
      </c>
      <c r="T220" t="b">
        <f>AND(DATA!R1757,"AAAAAE7f6RM=")</f>
        <v>1</v>
      </c>
      <c r="U220" t="b">
        <f>AND(DATA!S1757,"AAAAAE7f6RQ=")</f>
        <v>1</v>
      </c>
      <c r="V220" t="b">
        <f>AND(DATA!T1757,"AAAAAE7f6RU=")</f>
        <v>1</v>
      </c>
      <c r="W220">
        <f>IF(DATA!1757:1757,"AAAAAE7f6RY=",0)</f>
        <v>0</v>
      </c>
      <c r="X220" t="e">
        <f>AND(DATA!A1757,"AAAAAE7f6Rc=")</f>
        <v>#VALUE!</v>
      </c>
      <c r="Y220" t="e">
        <f>AND(DATA!B1757,"AAAAAE7f6Rg=")</f>
        <v>#VALUE!</v>
      </c>
      <c r="Z220" t="e">
        <f>AND(DATA!C1757,"AAAAAE7f6Rk=")</f>
        <v>#VALUE!</v>
      </c>
      <c r="AA220" t="e">
        <f>AND(DATA!D1757,"AAAAAE7f6Ro=")</f>
        <v>#VALUE!</v>
      </c>
      <c r="AB220" t="e">
        <f>AND(DATA!E1757,"AAAAAE7f6Rs=")</f>
        <v>#VALUE!</v>
      </c>
      <c r="AC220" t="e">
        <f>AND(DATA!F1757,"AAAAAE7f6Rw=")</f>
        <v>#VALUE!</v>
      </c>
      <c r="AD220" t="e">
        <f>AND(DATA!G1757,"AAAAAE7f6R0=")</f>
        <v>#VALUE!</v>
      </c>
      <c r="AE220" t="e">
        <f>AND(DATA!H1757,"AAAAAE7f6R4=")</f>
        <v>#VALUE!</v>
      </c>
      <c r="AF220" t="e">
        <f>AND(DATA!I1757,"AAAAAE7f6R8=")</f>
        <v>#VALUE!</v>
      </c>
      <c r="AG220" t="e">
        <f>AND(DATA!J1757,"AAAAAE7f6SA=")</f>
        <v>#VALUE!</v>
      </c>
      <c r="AH220" t="e">
        <f>AND(DATA!K1757,"AAAAAE7f6SE=")</f>
        <v>#VALUE!</v>
      </c>
      <c r="AI220" t="b">
        <f>AND(DATA!L1758,"AAAAAE7f6SI=")</f>
        <v>1</v>
      </c>
      <c r="AJ220" t="b">
        <f>AND(DATA!M1758,"AAAAAE7f6SM=")</f>
        <v>1</v>
      </c>
      <c r="AK220" t="b">
        <f>AND(DATA!N1758,"AAAAAE7f6SQ=")</f>
        <v>1</v>
      </c>
      <c r="AL220" t="b">
        <f>AND(DATA!O1758,"AAAAAE7f6SU=")</f>
        <v>1</v>
      </c>
      <c r="AM220" t="b">
        <f>AND(DATA!P1758,"AAAAAE7f6SY=")</f>
        <v>1</v>
      </c>
      <c r="AN220" t="b">
        <f>AND(DATA!Q1758,"AAAAAE7f6Sc=")</f>
        <v>1</v>
      </c>
      <c r="AO220" t="b">
        <f>AND(DATA!R1758,"AAAAAE7f6Sg=")</f>
        <v>1</v>
      </c>
      <c r="AP220" t="b">
        <f>AND(DATA!S1758,"AAAAAE7f6Sk=")</f>
        <v>1</v>
      </c>
      <c r="AQ220" t="b">
        <f>AND(DATA!T1758,"AAAAAE7f6So=")</f>
        <v>1</v>
      </c>
      <c r="AR220">
        <f>IF(DATA!1758:1758,"AAAAAE7f6Ss=",0)</f>
        <v>0</v>
      </c>
      <c r="AS220" t="e">
        <f>AND(DATA!A1758,"AAAAAE7f6Sw=")</f>
        <v>#VALUE!</v>
      </c>
      <c r="AT220" t="e">
        <f>AND(DATA!B1758,"AAAAAE7f6S0=")</f>
        <v>#VALUE!</v>
      </c>
      <c r="AU220" t="e">
        <f>AND(DATA!C1758,"AAAAAE7f6S4=")</f>
        <v>#VALUE!</v>
      </c>
      <c r="AV220" t="e">
        <f>AND(DATA!D1758,"AAAAAE7f6S8=")</f>
        <v>#VALUE!</v>
      </c>
      <c r="AW220" t="e">
        <f>AND(DATA!E1758,"AAAAAE7f6TA=")</f>
        <v>#VALUE!</v>
      </c>
      <c r="AX220" t="e">
        <f>AND(DATA!F1758,"AAAAAE7f6TE=")</f>
        <v>#VALUE!</v>
      </c>
      <c r="AY220" t="e">
        <f>AND(DATA!G1758,"AAAAAE7f6TI=")</f>
        <v>#VALUE!</v>
      </c>
      <c r="AZ220" t="e">
        <f>AND(DATA!H1758,"AAAAAE7f6TM=")</f>
        <v>#VALUE!</v>
      </c>
      <c r="BA220" t="e">
        <f>AND(DATA!I1758,"AAAAAE7f6TQ=")</f>
        <v>#VALUE!</v>
      </c>
      <c r="BB220" t="e">
        <f>AND(DATA!J1758,"AAAAAE7f6TU=")</f>
        <v>#VALUE!</v>
      </c>
      <c r="BC220" t="e">
        <f>AND(DATA!K1758,"AAAAAE7f6TY=")</f>
        <v>#VALUE!</v>
      </c>
      <c r="BD220" t="b">
        <f>AND(DATA!L1759,"AAAAAE7f6Tc=")</f>
        <v>1</v>
      </c>
      <c r="BE220" t="b">
        <f>AND(DATA!M1759,"AAAAAE7f6Tg=")</f>
        <v>1</v>
      </c>
      <c r="BF220" t="b">
        <f>AND(DATA!N1759,"AAAAAE7f6Tk=")</f>
        <v>1</v>
      </c>
      <c r="BG220" t="b">
        <f>AND(DATA!O1759,"AAAAAE7f6To=")</f>
        <v>1</v>
      </c>
      <c r="BH220" t="b">
        <f>AND(DATA!P1759,"AAAAAE7f6Ts=")</f>
        <v>1</v>
      </c>
      <c r="BI220" t="b">
        <f>AND(DATA!Q1759,"AAAAAE7f6Tw=")</f>
        <v>1</v>
      </c>
      <c r="BJ220" t="b">
        <f>AND(DATA!R1759,"AAAAAE7f6T0=")</f>
        <v>1</v>
      </c>
      <c r="BK220" t="b">
        <f>AND(DATA!S1759,"AAAAAE7f6T4=")</f>
        <v>1</v>
      </c>
      <c r="BL220" t="b">
        <f>AND(DATA!T1759,"AAAAAE7f6T8=")</f>
        <v>1</v>
      </c>
      <c r="BM220">
        <f>IF(DATA!1759:1759,"AAAAAE7f6UA=",0)</f>
        <v>0</v>
      </c>
      <c r="BN220" t="e">
        <f>AND(DATA!A1759,"AAAAAE7f6UE=")</f>
        <v>#VALUE!</v>
      </c>
      <c r="BO220" t="e">
        <f>AND(DATA!B1759,"AAAAAE7f6UI=")</f>
        <v>#VALUE!</v>
      </c>
      <c r="BP220" t="e">
        <f>AND(DATA!C1759,"AAAAAE7f6UM=")</f>
        <v>#VALUE!</v>
      </c>
      <c r="BQ220" t="e">
        <f>AND(DATA!D1759,"AAAAAE7f6UQ=")</f>
        <v>#VALUE!</v>
      </c>
      <c r="BR220" t="e">
        <f>AND(DATA!E1759,"AAAAAE7f6UU=")</f>
        <v>#VALUE!</v>
      </c>
      <c r="BS220" t="e">
        <f>AND(DATA!F1759,"AAAAAE7f6UY=")</f>
        <v>#VALUE!</v>
      </c>
      <c r="BT220" t="e">
        <f>AND(DATA!G1759,"AAAAAE7f6Uc=")</f>
        <v>#VALUE!</v>
      </c>
      <c r="BU220" t="e">
        <f>AND(DATA!H1759,"AAAAAE7f6Ug=")</f>
        <v>#VALUE!</v>
      </c>
      <c r="BV220" t="e">
        <f>AND(DATA!I1759,"AAAAAE7f6Uk=")</f>
        <v>#VALUE!</v>
      </c>
      <c r="BW220" t="e">
        <f>AND(DATA!J1759,"AAAAAE7f6Uo=")</f>
        <v>#VALUE!</v>
      </c>
      <c r="BX220" t="e">
        <f>AND(DATA!K1759,"AAAAAE7f6Us=")</f>
        <v>#VALUE!</v>
      </c>
      <c r="BY220" t="b">
        <f>AND(DATA!L1760,"AAAAAE7f6Uw=")</f>
        <v>1</v>
      </c>
      <c r="BZ220" t="b">
        <f>AND(DATA!M1760,"AAAAAE7f6U0=")</f>
        <v>1</v>
      </c>
      <c r="CA220" t="b">
        <f>AND(DATA!N1760,"AAAAAE7f6U4=")</f>
        <v>1</v>
      </c>
      <c r="CB220" t="b">
        <f>AND(DATA!O1760,"AAAAAE7f6U8=")</f>
        <v>1</v>
      </c>
      <c r="CC220" t="b">
        <f>AND(DATA!P1760,"AAAAAE7f6VA=")</f>
        <v>1</v>
      </c>
      <c r="CD220" t="b">
        <f>AND(DATA!Q1760,"AAAAAE7f6VE=")</f>
        <v>1</v>
      </c>
      <c r="CE220" t="b">
        <f>AND(DATA!R1760,"AAAAAE7f6VI=")</f>
        <v>1</v>
      </c>
      <c r="CF220" t="b">
        <f>AND(DATA!S1760,"AAAAAE7f6VM=")</f>
        <v>1</v>
      </c>
      <c r="CG220" t="b">
        <f>AND(DATA!T1760,"AAAAAE7f6VQ=")</f>
        <v>1</v>
      </c>
      <c r="CH220">
        <f>IF(DATA!1760:1760,"AAAAAE7f6VU=",0)</f>
        <v>0</v>
      </c>
      <c r="CI220" t="e">
        <f>AND(DATA!A1760,"AAAAAE7f6VY=")</f>
        <v>#VALUE!</v>
      </c>
      <c r="CJ220" t="e">
        <f>AND(DATA!B1760,"AAAAAE7f6Vc=")</f>
        <v>#VALUE!</v>
      </c>
      <c r="CK220" t="e">
        <f>AND(DATA!C1760,"AAAAAE7f6Vg=")</f>
        <v>#VALUE!</v>
      </c>
      <c r="CL220" t="e">
        <f>AND(DATA!D1760,"AAAAAE7f6Vk=")</f>
        <v>#VALUE!</v>
      </c>
      <c r="CM220" t="e">
        <f>AND(DATA!E1760,"AAAAAE7f6Vo=")</f>
        <v>#VALUE!</v>
      </c>
      <c r="CN220" t="e">
        <f>AND(DATA!F1760,"AAAAAE7f6Vs=")</f>
        <v>#VALUE!</v>
      </c>
      <c r="CO220" t="e">
        <f>AND(DATA!G1760,"AAAAAE7f6Vw=")</f>
        <v>#VALUE!</v>
      </c>
      <c r="CP220" t="e">
        <f>AND(DATA!H1760,"AAAAAE7f6V0=")</f>
        <v>#VALUE!</v>
      </c>
      <c r="CQ220" t="e">
        <f>AND(DATA!I1760,"AAAAAE7f6V4=")</f>
        <v>#VALUE!</v>
      </c>
      <c r="CR220" t="e">
        <f>AND(DATA!J1760,"AAAAAE7f6V8=")</f>
        <v>#VALUE!</v>
      </c>
      <c r="CS220" t="e">
        <f>AND(DATA!K1760,"AAAAAE7f6WA=")</f>
        <v>#VALUE!</v>
      </c>
      <c r="CT220" t="b">
        <f>AND(DATA!L1761,"AAAAAE7f6WE=")</f>
        <v>1</v>
      </c>
      <c r="CU220" t="b">
        <f>AND(DATA!M1761,"AAAAAE7f6WI=")</f>
        <v>1</v>
      </c>
      <c r="CV220" t="b">
        <f>AND(DATA!N1761,"AAAAAE7f6WM=")</f>
        <v>1</v>
      </c>
      <c r="CW220" t="b">
        <f>AND(DATA!O1761,"AAAAAE7f6WQ=")</f>
        <v>1</v>
      </c>
      <c r="CX220" t="b">
        <f>AND(DATA!P1761,"AAAAAE7f6WU=")</f>
        <v>1</v>
      </c>
      <c r="CY220" t="b">
        <f>AND(DATA!Q1761,"AAAAAE7f6WY=")</f>
        <v>1</v>
      </c>
      <c r="CZ220" t="b">
        <f>AND(DATA!R1761,"AAAAAE7f6Wc=")</f>
        <v>1</v>
      </c>
      <c r="DA220" t="b">
        <f>AND(DATA!S1761,"AAAAAE7f6Wg=")</f>
        <v>1</v>
      </c>
      <c r="DB220" t="b">
        <f>AND(DATA!T1761,"AAAAAE7f6Wk=")</f>
        <v>1</v>
      </c>
      <c r="DC220">
        <f>IF(DATA!1761:1761,"AAAAAE7f6Wo=",0)</f>
        <v>0</v>
      </c>
      <c r="DD220" t="e">
        <f>AND(DATA!A1761,"AAAAAE7f6Ws=")</f>
        <v>#VALUE!</v>
      </c>
      <c r="DE220" t="e">
        <f>AND(DATA!B1761,"AAAAAE7f6Ww=")</f>
        <v>#VALUE!</v>
      </c>
      <c r="DF220" t="e">
        <f>AND(DATA!C1761,"AAAAAE7f6W0=")</f>
        <v>#VALUE!</v>
      </c>
      <c r="DG220" t="e">
        <f>AND(DATA!D1761,"AAAAAE7f6W4=")</f>
        <v>#VALUE!</v>
      </c>
      <c r="DH220" t="e">
        <f>AND(DATA!E1761,"AAAAAE7f6W8=")</f>
        <v>#VALUE!</v>
      </c>
      <c r="DI220" t="e">
        <f>AND(DATA!F1761,"AAAAAE7f6XA=")</f>
        <v>#VALUE!</v>
      </c>
      <c r="DJ220" t="e">
        <f>AND(DATA!G1761,"AAAAAE7f6XE=")</f>
        <v>#VALUE!</v>
      </c>
      <c r="DK220" t="e">
        <f>AND(DATA!H1761,"AAAAAE7f6XI=")</f>
        <v>#VALUE!</v>
      </c>
      <c r="DL220" t="e">
        <f>AND(DATA!I1761,"AAAAAE7f6XM=")</f>
        <v>#VALUE!</v>
      </c>
      <c r="DM220" t="e">
        <f>AND(DATA!J1761,"AAAAAE7f6XQ=")</f>
        <v>#VALUE!</v>
      </c>
      <c r="DN220" t="e">
        <f>AND(DATA!K1761,"AAAAAE7f6XU=")</f>
        <v>#VALUE!</v>
      </c>
      <c r="DO220" t="b">
        <f>AND(DATA!L1762,"AAAAAE7f6XY=")</f>
        <v>1</v>
      </c>
      <c r="DP220" t="b">
        <f>AND(DATA!M1762,"AAAAAE7f6Xc=")</f>
        <v>1</v>
      </c>
      <c r="DQ220" t="b">
        <f>AND(DATA!N1762,"AAAAAE7f6Xg=")</f>
        <v>1</v>
      </c>
      <c r="DR220" t="b">
        <f>AND(DATA!O1762,"AAAAAE7f6Xk=")</f>
        <v>1</v>
      </c>
      <c r="DS220" t="b">
        <f>AND(DATA!P1762,"AAAAAE7f6Xo=")</f>
        <v>1</v>
      </c>
      <c r="DT220" t="b">
        <f>AND(DATA!Q1762,"AAAAAE7f6Xs=")</f>
        <v>1</v>
      </c>
      <c r="DU220" t="b">
        <f>AND(DATA!R1762,"AAAAAE7f6Xw=")</f>
        <v>1</v>
      </c>
      <c r="DV220" t="b">
        <f>AND(DATA!S1762,"AAAAAE7f6X0=")</f>
        <v>1</v>
      </c>
      <c r="DW220" t="b">
        <f>AND(DATA!T1762,"AAAAAE7f6X4=")</f>
        <v>1</v>
      </c>
      <c r="DX220">
        <f>IF(DATA!1762:1762,"AAAAAE7f6X8=",0)</f>
        <v>0</v>
      </c>
      <c r="DY220" t="e">
        <f>AND(DATA!A1762,"AAAAAE7f6YA=")</f>
        <v>#VALUE!</v>
      </c>
      <c r="DZ220" t="e">
        <f>AND(DATA!B1762,"AAAAAE7f6YE=")</f>
        <v>#VALUE!</v>
      </c>
      <c r="EA220" t="e">
        <f>AND(DATA!C1762,"AAAAAE7f6YI=")</f>
        <v>#VALUE!</v>
      </c>
      <c r="EB220" t="e">
        <f>AND(DATA!D1762,"AAAAAE7f6YM=")</f>
        <v>#VALUE!</v>
      </c>
      <c r="EC220" t="e">
        <f>AND(DATA!E1762,"AAAAAE7f6YQ=")</f>
        <v>#VALUE!</v>
      </c>
      <c r="ED220" t="e">
        <f>AND(DATA!F1762,"AAAAAE7f6YU=")</f>
        <v>#VALUE!</v>
      </c>
      <c r="EE220" t="e">
        <f>AND(DATA!G1762,"AAAAAE7f6YY=")</f>
        <v>#VALUE!</v>
      </c>
      <c r="EF220" t="e">
        <f>AND(DATA!H1762,"AAAAAE7f6Yc=")</f>
        <v>#VALUE!</v>
      </c>
      <c r="EG220" t="e">
        <f>AND(DATA!I1762,"AAAAAE7f6Yg=")</f>
        <v>#VALUE!</v>
      </c>
      <c r="EH220" t="e">
        <f>AND(DATA!J1762,"AAAAAE7f6Yk=")</f>
        <v>#VALUE!</v>
      </c>
      <c r="EI220" t="e">
        <f>AND(DATA!K1762,"AAAAAE7f6Yo=")</f>
        <v>#VALUE!</v>
      </c>
      <c r="EJ220" t="b">
        <f>AND(DATA!L1763,"AAAAAE7f6Ys=")</f>
        <v>1</v>
      </c>
      <c r="EK220" t="b">
        <f>AND(DATA!M1763,"AAAAAE7f6Yw=")</f>
        <v>1</v>
      </c>
      <c r="EL220" t="b">
        <f>AND(DATA!N1763,"AAAAAE7f6Y0=")</f>
        <v>1</v>
      </c>
      <c r="EM220" t="b">
        <f>AND(DATA!O1763,"AAAAAE7f6Y4=")</f>
        <v>1</v>
      </c>
      <c r="EN220" t="b">
        <f>AND(DATA!P1763,"AAAAAE7f6Y8=")</f>
        <v>1</v>
      </c>
      <c r="EO220" t="b">
        <f>AND(DATA!Q1763,"AAAAAE7f6ZA=")</f>
        <v>1</v>
      </c>
      <c r="EP220" t="b">
        <f>AND(DATA!R1763,"AAAAAE7f6ZE=")</f>
        <v>1</v>
      </c>
      <c r="EQ220" t="b">
        <f>AND(DATA!S1763,"AAAAAE7f6ZI=")</f>
        <v>1</v>
      </c>
      <c r="ER220" t="b">
        <f>AND(DATA!T1763,"AAAAAE7f6ZM=")</f>
        <v>1</v>
      </c>
      <c r="ES220">
        <f>IF(DATA!1763:1763,"AAAAAE7f6ZQ=",0)</f>
        <v>0</v>
      </c>
      <c r="ET220" t="e">
        <f>AND(DATA!A1763,"AAAAAE7f6ZU=")</f>
        <v>#VALUE!</v>
      </c>
      <c r="EU220" t="e">
        <f>AND(DATA!B1763,"AAAAAE7f6ZY=")</f>
        <v>#VALUE!</v>
      </c>
      <c r="EV220" t="e">
        <f>AND(DATA!C1763,"AAAAAE7f6Zc=")</f>
        <v>#VALUE!</v>
      </c>
      <c r="EW220" t="e">
        <f>AND(DATA!D1763,"AAAAAE7f6Zg=")</f>
        <v>#VALUE!</v>
      </c>
      <c r="EX220" t="e">
        <f>AND(DATA!E1763,"AAAAAE7f6Zk=")</f>
        <v>#VALUE!</v>
      </c>
      <c r="EY220" t="e">
        <f>AND(DATA!F1763,"AAAAAE7f6Zo=")</f>
        <v>#VALUE!</v>
      </c>
      <c r="EZ220" t="e">
        <f>AND(DATA!G1763,"AAAAAE7f6Zs=")</f>
        <v>#VALUE!</v>
      </c>
      <c r="FA220" t="e">
        <f>AND(DATA!H1763,"AAAAAE7f6Zw=")</f>
        <v>#VALUE!</v>
      </c>
      <c r="FB220" t="e">
        <f>AND(DATA!I1763,"AAAAAE7f6Z0=")</f>
        <v>#VALUE!</v>
      </c>
      <c r="FC220" t="e">
        <f>AND(DATA!J1763,"AAAAAE7f6Z4=")</f>
        <v>#VALUE!</v>
      </c>
      <c r="FD220" t="e">
        <f>AND(DATA!K1763,"AAAAAE7f6Z8=")</f>
        <v>#VALUE!</v>
      </c>
      <c r="FE220" t="b">
        <f>AND(DATA!L1764,"AAAAAE7f6aA=")</f>
        <v>1</v>
      </c>
      <c r="FF220" t="b">
        <f>AND(DATA!M1764,"AAAAAE7f6aE=")</f>
        <v>1</v>
      </c>
      <c r="FG220" t="b">
        <f>AND(DATA!N1764,"AAAAAE7f6aI=")</f>
        <v>1</v>
      </c>
      <c r="FH220" t="b">
        <f>AND(DATA!O1764,"AAAAAE7f6aM=")</f>
        <v>1</v>
      </c>
      <c r="FI220" t="b">
        <f>AND(DATA!P1764,"AAAAAE7f6aQ=")</f>
        <v>1</v>
      </c>
      <c r="FJ220" t="b">
        <f>AND(DATA!Q1764,"AAAAAE7f6aU=")</f>
        <v>1</v>
      </c>
      <c r="FK220" t="b">
        <f>AND(DATA!R1764,"AAAAAE7f6aY=")</f>
        <v>1</v>
      </c>
      <c r="FL220" t="b">
        <f>AND(DATA!S1764,"AAAAAE7f6ac=")</f>
        <v>1</v>
      </c>
      <c r="FM220" t="b">
        <f>AND(DATA!T1764,"AAAAAE7f6ag=")</f>
        <v>1</v>
      </c>
      <c r="FN220">
        <f>IF(DATA!1764:1764,"AAAAAE7f6ak=",0)</f>
        <v>0</v>
      </c>
      <c r="FO220" t="e">
        <f>AND(DATA!A1764,"AAAAAE7f6ao=")</f>
        <v>#VALUE!</v>
      </c>
      <c r="FP220" t="e">
        <f>AND(DATA!B1764,"AAAAAE7f6as=")</f>
        <v>#VALUE!</v>
      </c>
      <c r="FQ220" t="e">
        <f>AND(DATA!C1764,"AAAAAE7f6aw=")</f>
        <v>#VALUE!</v>
      </c>
      <c r="FR220" t="e">
        <f>AND(DATA!D1764,"AAAAAE7f6a0=")</f>
        <v>#VALUE!</v>
      </c>
      <c r="FS220" t="e">
        <f>AND(DATA!E1764,"AAAAAE7f6a4=")</f>
        <v>#VALUE!</v>
      </c>
      <c r="FT220" t="e">
        <f>AND(DATA!F1764,"AAAAAE7f6a8=")</f>
        <v>#VALUE!</v>
      </c>
      <c r="FU220" t="e">
        <f>AND(DATA!G1764,"AAAAAE7f6bA=")</f>
        <v>#VALUE!</v>
      </c>
      <c r="FV220" t="e">
        <f>AND(DATA!H1764,"AAAAAE7f6bE=")</f>
        <v>#VALUE!</v>
      </c>
      <c r="FW220" t="e">
        <f>AND(DATA!I1764,"AAAAAE7f6bI=")</f>
        <v>#VALUE!</v>
      </c>
      <c r="FX220" t="e">
        <f>AND(DATA!J1764,"AAAAAE7f6bM=")</f>
        <v>#VALUE!</v>
      </c>
      <c r="FY220" t="e">
        <f>AND(DATA!K1764,"AAAAAE7f6bQ=")</f>
        <v>#VALUE!</v>
      </c>
      <c r="FZ220" t="b">
        <f>AND(DATA!L1765,"AAAAAE7f6bU=")</f>
        <v>1</v>
      </c>
      <c r="GA220" t="b">
        <f>AND(DATA!M1765,"AAAAAE7f6bY=")</f>
        <v>1</v>
      </c>
      <c r="GB220" t="b">
        <f>AND(DATA!N1765,"AAAAAE7f6bc=")</f>
        <v>1</v>
      </c>
      <c r="GC220" t="b">
        <f>AND(DATA!O1765,"AAAAAE7f6bg=")</f>
        <v>1</v>
      </c>
      <c r="GD220" t="b">
        <f>AND(DATA!P1765,"AAAAAE7f6bk=")</f>
        <v>1</v>
      </c>
      <c r="GE220" t="b">
        <f>AND(DATA!Q1765,"AAAAAE7f6bo=")</f>
        <v>1</v>
      </c>
      <c r="GF220" t="b">
        <f>AND(DATA!R1765,"AAAAAE7f6bs=")</f>
        <v>1</v>
      </c>
      <c r="GG220" t="b">
        <f>AND(DATA!S1765,"AAAAAE7f6bw=")</f>
        <v>1</v>
      </c>
      <c r="GH220" t="b">
        <f>AND(DATA!T1765,"AAAAAE7f6b0=")</f>
        <v>1</v>
      </c>
      <c r="GI220">
        <f>IF(DATA!1765:1765,"AAAAAE7f6b4=",0)</f>
        <v>0</v>
      </c>
      <c r="GJ220" t="e">
        <f>AND(DATA!A1765,"AAAAAE7f6b8=")</f>
        <v>#VALUE!</v>
      </c>
      <c r="GK220" t="e">
        <f>AND(DATA!B1765,"AAAAAE7f6cA=")</f>
        <v>#VALUE!</v>
      </c>
      <c r="GL220" t="e">
        <f>AND(DATA!C1765,"AAAAAE7f6cE=")</f>
        <v>#VALUE!</v>
      </c>
      <c r="GM220" t="e">
        <f>AND(DATA!D1765,"AAAAAE7f6cI=")</f>
        <v>#VALUE!</v>
      </c>
      <c r="GN220" t="e">
        <f>AND(DATA!E1765,"AAAAAE7f6cM=")</f>
        <v>#VALUE!</v>
      </c>
      <c r="GO220" t="e">
        <f>AND(DATA!F1765,"AAAAAE7f6cQ=")</f>
        <v>#VALUE!</v>
      </c>
      <c r="GP220" t="e">
        <f>AND(DATA!G1765,"AAAAAE7f6cU=")</f>
        <v>#VALUE!</v>
      </c>
      <c r="GQ220" t="e">
        <f>AND(DATA!H1765,"AAAAAE7f6cY=")</f>
        <v>#VALUE!</v>
      </c>
      <c r="GR220" t="e">
        <f>AND(DATA!I1765,"AAAAAE7f6cc=")</f>
        <v>#VALUE!</v>
      </c>
      <c r="GS220" t="e">
        <f>AND(DATA!J1765,"AAAAAE7f6cg=")</f>
        <v>#VALUE!</v>
      </c>
      <c r="GT220" t="e">
        <f>AND(DATA!K1765,"AAAAAE7f6ck=")</f>
        <v>#VALUE!</v>
      </c>
      <c r="GU220" t="b">
        <f>AND(DATA!L1766,"AAAAAE7f6co=")</f>
        <v>1</v>
      </c>
      <c r="GV220" t="b">
        <f>AND(DATA!M1766,"AAAAAE7f6cs=")</f>
        <v>1</v>
      </c>
      <c r="GW220" t="b">
        <f>AND(DATA!N1766,"AAAAAE7f6cw=")</f>
        <v>1</v>
      </c>
      <c r="GX220" t="b">
        <f>AND(DATA!O1766,"AAAAAE7f6c0=")</f>
        <v>1</v>
      </c>
      <c r="GY220" t="b">
        <f>AND(DATA!P1766,"AAAAAE7f6c4=")</f>
        <v>1</v>
      </c>
      <c r="GZ220" t="b">
        <f>AND(DATA!Q1766,"AAAAAE7f6c8=")</f>
        <v>1</v>
      </c>
      <c r="HA220" t="b">
        <f>AND(DATA!R1766,"AAAAAE7f6dA=")</f>
        <v>1</v>
      </c>
      <c r="HB220" t="b">
        <f>AND(DATA!S1766,"AAAAAE7f6dE=")</f>
        <v>1</v>
      </c>
      <c r="HC220" t="b">
        <f>AND(DATA!T1766,"AAAAAE7f6dI=")</f>
        <v>1</v>
      </c>
      <c r="HD220">
        <f>IF(DATA!1766:1766,"AAAAAE7f6dM=",0)</f>
        <v>0</v>
      </c>
      <c r="HE220" t="e">
        <f>AND(DATA!A1766,"AAAAAE7f6dQ=")</f>
        <v>#VALUE!</v>
      </c>
      <c r="HF220" t="e">
        <f>AND(DATA!B1766,"AAAAAE7f6dU=")</f>
        <v>#VALUE!</v>
      </c>
      <c r="HG220" t="e">
        <f>AND(DATA!C1766,"AAAAAE7f6dY=")</f>
        <v>#VALUE!</v>
      </c>
      <c r="HH220" t="e">
        <f>AND(DATA!D1766,"AAAAAE7f6dc=")</f>
        <v>#VALUE!</v>
      </c>
      <c r="HI220" t="e">
        <f>AND(DATA!E1766,"AAAAAE7f6dg=")</f>
        <v>#VALUE!</v>
      </c>
      <c r="HJ220" t="e">
        <f>AND(DATA!F1766,"AAAAAE7f6dk=")</f>
        <v>#VALUE!</v>
      </c>
      <c r="HK220" t="e">
        <f>AND(DATA!G1766,"AAAAAE7f6do=")</f>
        <v>#VALUE!</v>
      </c>
      <c r="HL220" t="e">
        <f>AND(DATA!H1766,"AAAAAE7f6ds=")</f>
        <v>#VALUE!</v>
      </c>
      <c r="HM220" t="e">
        <f>AND(DATA!I1766,"AAAAAE7f6dw=")</f>
        <v>#VALUE!</v>
      </c>
      <c r="HN220" t="e">
        <f>AND(DATA!J1766,"AAAAAE7f6d0=")</f>
        <v>#VALUE!</v>
      </c>
      <c r="HO220" t="e">
        <f>AND(DATA!K1766,"AAAAAE7f6d4=")</f>
        <v>#VALUE!</v>
      </c>
      <c r="HP220" t="b">
        <f>AND(DATA!L1767,"AAAAAE7f6d8=")</f>
        <v>1</v>
      </c>
      <c r="HQ220" t="b">
        <f>AND(DATA!M1767,"AAAAAE7f6eA=")</f>
        <v>1</v>
      </c>
      <c r="HR220" t="b">
        <f>AND(DATA!N1767,"AAAAAE7f6eE=")</f>
        <v>1</v>
      </c>
      <c r="HS220" t="b">
        <f>AND(DATA!O1767,"AAAAAE7f6eI=")</f>
        <v>1</v>
      </c>
      <c r="HT220" t="b">
        <f>AND(DATA!P1767,"AAAAAE7f6eM=")</f>
        <v>1</v>
      </c>
      <c r="HU220" t="b">
        <f>AND(DATA!Q1767,"AAAAAE7f6eQ=")</f>
        <v>1</v>
      </c>
      <c r="HV220" t="b">
        <f>AND(DATA!R1767,"AAAAAE7f6eU=")</f>
        <v>1</v>
      </c>
      <c r="HW220" t="b">
        <f>AND(DATA!S1767,"AAAAAE7f6eY=")</f>
        <v>1</v>
      </c>
      <c r="HX220" t="b">
        <f>AND(DATA!T1767,"AAAAAE7f6ec=")</f>
        <v>1</v>
      </c>
      <c r="HY220">
        <f>IF(DATA!1767:1767,"AAAAAE7f6eg=",0)</f>
        <v>0</v>
      </c>
      <c r="HZ220" t="e">
        <f>AND(DATA!A1767,"AAAAAE7f6ek=")</f>
        <v>#VALUE!</v>
      </c>
      <c r="IA220" t="e">
        <f>AND(DATA!B1767,"AAAAAE7f6eo=")</f>
        <v>#VALUE!</v>
      </c>
      <c r="IB220" t="e">
        <f>AND(DATA!C1767,"AAAAAE7f6es=")</f>
        <v>#VALUE!</v>
      </c>
      <c r="IC220" t="e">
        <f>AND(DATA!D1767,"AAAAAE7f6ew=")</f>
        <v>#VALUE!</v>
      </c>
      <c r="ID220" t="e">
        <f>AND(DATA!E1767,"AAAAAE7f6e0=")</f>
        <v>#VALUE!</v>
      </c>
      <c r="IE220" t="e">
        <f>AND(DATA!F1767,"AAAAAE7f6e4=")</f>
        <v>#VALUE!</v>
      </c>
      <c r="IF220" t="e">
        <f>AND(DATA!G1767,"AAAAAE7f6e8=")</f>
        <v>#VALUE!</v>
      </c>
      <c r="IG220" t="e">
        <f>AND(DATA!H1767,"AAAAAE7f6fA=")</f>
        <v>#VALUE!</v>
      </c>
      <c r="IH220" t="e">
        <f>AND(DATA!I1767,"AAAAAE7f6fE=")</f>
        <v>#VALUE!</v>
      </c>
      <c r="II220" t="e">
        <f>AND(DATA!J1767,"AAAAAE7f6fI=")</f>
        <v>#VALUE!</v>
      </c>
      <c r="IJ220" t="e">
        <f>AND(DATA!K1767,"AAAAAE7f6fM=")</f>
        <v>#VALUE!</v>
      </c>
      <c r="IK220" t="b">
        <f>AND(DATA!L1768,"AAAAAE7f6fQ=")</f>
        <v>1</v>
      </c>
      <c r="IL220" t="b">
        <f>AND(DATA!M1768,"AAAAAE7f6fU=")</f>
        <v>1</v>
      </c>
      <c r="IM220" t="b">
        <f>AND(DATA!N1768,"AAAAAE7f6fY=")</f>
        <v>1</v>
      </c>
      <c r="IN220" t="b">
        <f>AND(DATA!O1768,"AAAAAE7f6fc=")</f>
        <v>1</v>
      </c>
      <c r="IO220" t="b">
        <f>AND(DATA!P1768,"AAAAAE7f6fg=")</f>
        <v>1</v>
      </c>
      <c r="IP220" t="b">
        <f>AND(DATA!Q1768,"AAAAAE7f6fk=")</f>
        <v>1</v>
      </c>
      <c r="IQ220" t="b">
        <f>AND(DATA!R1768,"AAAAAE7f6fo=")</f>
        <v>1</v>
      </c>
      <c r="IR220" t="b">
        <f>AND(DATA!S1768,"AAAAAE7f6fs=")</f>
        <v>1</v>
      </c>
      <c r="IS220" t="b">
        <f>AND(DATA!T1768,"AAAAAE7f6fw=")</f>
        <v>1</v>
      </c>
      <c r="IT220">
        <f>IF(DATA!1768:1768,"AAAAAE7f6f0=",0)</f>
        <v>0</v>
      </c>
      <c r="IU220" t="e">
        <f>AND(DATA!A1768,"AAAAAE7f6f4=")</f>
        <v>#VALUE!</v>
      </c>
      <c r="IV220" t="e">
        <f>AND(DATA!B1768,"AAAAAE7f6f8=")</f>
        <v>#VALUE!</v>
      </c>
    </row>
    <row r="221" spans="1:256" x14ac:dyDescent="0.25">
      <c r="A221" t="e">
        <f>AND(DATA!C1768,"AAAAAB8v5QA=")</f>
        <v>#VALUE!</v>
      </c>
      <c r="B221" t="e">
        <f>AND(DATA!D1768,"AAAAAB8v5QE=")</f>
        <v>#VALUE!</v>
      </c>
      <c r="C221" t="e">
        <f>AND(DATA!E1768,"AAAAAB8v5QI=")</f>
        <v>#VALUE!</v>
      </c>
      <c r="D221" t="e">
        <f>AND(DATA!F1768,"AAAAAB8v5QM=")</f>
        <v>#VALUE!</v>
      </c>
      <c r="E221" t="e">
        <f>AND(DATA!G1768,"AAAAAB8v5QQ=")</f>
        <v>#VALUE!</v>
      </c>
      <c r="F221" t="e">
        <f>AND(DATA!H1768,"AAAAAB8v5QU=")</f>
        <v>#VALUE!</v>
      </c>
      <c r="G221" t="e">
        <f>AND(DATA!I1768,"AAAAAB8v5QY=")</f>
        <v>#VALUE!</v>
      </c>
      <c r="H221" t="e">
        <f>AND(DATA!J1768,"AAAAAB8v5Qc=")</f>
        <v>#VALUE!</v>
      </c>
      <c r="I221" t="e">
        <f>AND(DATA!K1768,"AAAAAB8v5Qg=")</f>
        <v>#VALUE!</v>
      </c>
      <c r="J221" t="b">
        <f>AND(DATA!L1769,"AAAAAB8v5Qk=")</f>
        <v>1</v>
      </c>
      <c r="K221" t="b">
        <f>AND(DATA!M1769,"AAAAAB8v5Qo=")</f>
        <v>1</v>
      </c>
      <c r="L221" t="b">
        <f>AND(DATA!N1769,"AAAAAB8v5Qs=")</f>
        <v>1</v>
      </c>
      <c r="M221" t="b">
        <f>AND(DATA!O1769,"AAAAAB8v5Qw=")</f>
        <v>1</v>
      </c>
      <c r="N221" t="b">
        <f>AND(DATA!P1769,"AAAAAB8v5Q0=")</f>
        <v>1</v>
      </c>
      <c r="O221" t="b">
        <f>AND(DATA!Q1769,"AAAAAB8v5Q4=")</f>
        <v>1</v>
      </c>
      <c r="P221" t="b">
        <f>AND(DATA!R1769,"AAAAAB8v5Q8=")</f>
        <v>1</v>
      </c>
      <c r="Q221" t="b">
        <f>AND(DATA!S1769,"AAAAAB8v5RA=")</f>
        <v>1</v>
      </c>
      <c r="R221" t="b">
        <f>AND(DATA!T1769,"AAAAAB8v5RE=")</f>
        <v>1</v>
      </c>
      <c r="S221" t="str">
        <f>IF(DATA!1769:1769,"AAAAAB8v5RI=",0)</f>
        <v>AAAAAB8v5RI=</v>
      </c>
      <c r="T221" t="e">
        <f>AND(DATA!A1769,"AAAAAB8v5RM=")</f>
        <v>#VALUE!</v>
      </c>
      <c r="U221" t="e">
        <f>AND(DATA!B1769,"AAAAAB8v5RQ=")</f>
        <v>#VALUE!</v>
      </c>
      <c r="V221" t="e">
        <f>AND(DATA!C1769,"AAAAAB8v5RU=")</f>
        <v>#VALUE!</v>
      </c>
      <c r="W221" t="e">
        <f>AND(DATA!D1769,"AAAAAB8v5RY=")</f>
        <v>#VALUE!</v>
      </c>
      <c r="X221" t="e">
        <f>AND(DATA!E1769,"AAAAAB8v5Rc=")</f>
        <v>#VALUE!</v>
      </c>
      <c r="Y221" t="e">
        <f>AND(DATA!F1769,"AAAAAB8v5Rg=")</f>
        <v>#VALUE!</v>
      </c>
      <c r="Z221" t="e">
        <f>AND(DATA!G1769,"AAAAAB8v5Rk=")</f>
        <v>#VALUE!</v>
      </c>
      <c r="AA221" t="e">
        <f>AND(DATA!H1769,"AAAAAB8v5Ro=")</f>
        <v>#VALUE!</v>
      </c>
      <c r="AB221" t="e">
        <f>AND(DATA!I1769,"AAAAAB8v5Rs=")</f>
        <v>#VALUE!</v>
      </c>
      <c r="AC221" t="e">
        <f>AND(DATA!J1769,"AAAAAB8v5Rw=")</f>
        <v>#VALUE!</v>
      </c>
      <c r="AD221" t="e">
        <f>AND(DATA!K1769,"AAAAAB8v5R0=")</f>
        <v>#VALUE!</v>
      </c>
      <c r="AE221" t="b">
        <f>AND(DATA!L1770,"AAAAAB8v5R4=")</f>
        <v>1</v>
      </c>
      <c r="AF221" t="b">
        <f>AND(DATA!M1770,"AAAAAB8v5R8=")</f>
        <v>1</v>
      </c>
      <c r="AG221" t="b">
        <f>AND(DATA!N1770,"AAAAAB8v5SA=")</f>
        <v>1</v>
      </c>
      <c r="AH221" t="b">
        <f>AND(DATA!O1770,"AAAAAB8v5SE=")</f>
        <v>1</v>
      </c>
      <c r="AI221" t="b">
        <f>AND(DATA!P1770,"AAAAAB8v5SI=")</f>
        <v>1</v>
      </c>
      <c r="AJ221" t="b">
        <f>AND(DATA!Q1770,"AAAAAB8v5SM=")</f>
        <v>1</v>
      </c>
      <c r="AK221" t="b">
        <f>AND(DATA!R1770,"AAAAAB8v5SQ=")</f>
        <v>1</v>
      </c>
      <c r="AL221" t="b">
        <f>AND(DATA!S1770,"AAAAAB8v5SU=")</f>
        <v>1</v>
      </c>
      <c r="AM221" t="b">
        <f>AND(DATA!T1770,"AAAAAB8v5SY=")</f>
        <v>1</v>
      </c>
      <c r="AN221">
        <f>IF(DATA!1770:1770,"AAAAAB8v5Sc=",0)</f>
        <v>0</v>
      </c>
      <c r="AO221" t="e">
        <f>AND(DATA!A1770,"AAAAAB8v5Sg=")</f>
        <v>#VALUE!</v>
      </c>
      <c r="AP221" t="e">
        <f>AND(DATA!B1770,"AAAAAB8v5Sk=")</f>
        <v>#VALUE!</v>
      </c>
      <c r="AQ221" t="e">
        <f>AND(DATA!C1770,"AAAAAB8v5So=")</f>
        <v>#VALUE!</v>
      </c>
      <c r="AR221" t="e">
        <f>AND(DATA!D1770,"AAAAAB8v5Ss=")</f>
        <v>#VALUE!</v>
      </c>
      <c r="AS221" t="e">
        <f>AND(DATA!E1770,"AAAAAB8v5Sw=")</f>
        <v>#VALUE!</v>
      </c>
      <c r="AT221" t="e">
        <f>AND(DATA!F1770,"AAAAAB8v5S0=")</f>
        <v>#VALUE!</v>
      </c>
      <c r="AU221" t="e">
        <f>AND(DATA!G1770,"AAAAAB8v5S4=")</f>
        <v>#VALUE!</v>
      </c>
      <c r="AV221" t="e">
        <f>AND(DATA!H1770,"AAAAAB8v5S8=")</f>
        <v>#VALUE!</v>
      </c>
      <c r="AW221" t="e">
        <f>AND(DATA!I1770,"AAAAAB8v5TA=")</f>
        <v>#VALUE!</v>
      </c>
      <c r="AX221" t="e">
        <f>AND(DATA!J1770,"AAAAAB8v5TE=")</f>
        <v>#VALUE!</v>
      </c>
      <c r="AY221" t="e">
        <f>AND(DATA!K1770,"AAAAAB8v5TI=")</f>
        <v>#VALUE!</v>
      </c>
      <c r="AZ221" t="b">
        <f>AND(DATA!L1771,"AAAAAB8v5TM=")</f>
        <v>1</v>
      </c>
      <c r="BA221" t="b">
        <f>AND(DATA!M1771,"AAAAAB8v5TQ=")</f>
        <v>1</v>
      </c>
      <c r="BB221" t="b">
        <f>AND(DATA!N1771,"AAAAAB8v5TU=")</f>
        <v>1</v>
      </c>
      <c r="BC221" t="b">
        <f>AND(DATA!O1771,"AAAAAB8v5TY=")</f>
        <v>1</v>
      </c>
      <c r="BD221" t="b">
        <f>AND(DATA!P1771,"AAAAAB8v5Tc=")</f>
        <v>1</v>
      </c>
      <c r="BE221" t="b">
        <f>AND(DATA!Q1771,"AAAAAB8v5Tg=")</f>
        <v>1</v>
      </c>
      <c r="BF221" t="b">
        <f>AND(DATA!R1771,"AAAAAB8v5Tk=")</f>
        <v>1</v>
      </c>
      <c r="BG221" t="b">
        <f>AND(DATA!S1771,"AAAAAB8v5To=")</f>
        <v>1</v>
      </c>
      <c r="BH221" t="b">
        <f>AND(DATA!T1771,"AAAAAB8v5Ts=")</f>
        <v>1</v>
      </c>
      <c r="BI221">
        <f>IF(DATA!1771:1771,"AAAAAB8v5Tw=",0)</f>
        <v>0</v>
      </c>
      <c r="BJ221" t="e">
        <f>AND(DATA!A1771,"AAAAAB8v5T0=")</f>
        <v>#VALUE!</v>
      </c>
      <c r="BK221" t="e">
        <f>AND(DATA!B1771,"AAAAAB8v5T4=")</f>
        <v>#VALUE!</v>
      </c>
      <c r="BL221" t="e">
        <f>AND(DATA!C1771,"AAAAAB8v5T8=")</f>
        <v>#VALUE!</v>
      </c>
      <c r="BM221" t="e">
        <f>AND(DATA!D1771,"AAAAAB8v5UA=")</f>
        <v>#VALUE!</v>
      </c>
      <c r="BN221" t="e">
        <f>AND(DATA!E1771,"AAAAAB8v5UE=")</f>
        <v>#VALUE!</v>
      </c>
      <c r="BO221" t="e">
        <f>AND(DATA!F1771,"AAAAAB8v5UI=")</f>
        <v>#VALUE!</v>
      </c>
      <c r="BP221" t="e">
        <f>AND(DATA!G1771,"AAAAAB8v5UM=")</f>
        <v>#VALUE!</v>
      </c>
      <c r="BQ221" t="e">
        <f>AND(DATA!H1771,"AAAAAB8v5UQ=")</f>
        <v>#VALUE!</v>
      </c>
      <c r="BR221" t="e">
        <f>AND(DATA!I1771,"AAAAAB8v5UU=")</f>
        <v>#VALUE!</v>
      </c>
      <c r="BS221" t="e">
        <f>AND(DATA!J1771,"AAAAAB8v5UY=")</f>
        <v>#VALUE!</v>
      </c>
      <c r="BT221" t="e">
        <f>AND(DATA!K1771,"AAAAAB8v5Uc=")</f>
        <v>#VALUE!</v>
      </c>
      <c r="BU221" t="b">
        <f>AND(DATA!L1772,"AAAAAB8v5Ug=")</f>
        <v>1</v>
      </c>
      <c r="BV221" t="b">
        <f>AND(DATA!M1772,"AAAAAB8v5Uk=")</f>
        <v>1</v>
      </c>
      <c r="BW221" t="b">
        <f>AND(DATA!N1772,"AAAAAB8v5Uo=")</f>
        <v>1</v>
      </c>
      <c r="BX221" t="b">
        <f>AND(DATA!O1772,"AAAAAB8v5Us=")</f>
        <v>1</v>
      </c>
      <c r="BY221" t="b">
        <f>AND(DATA!P1772,"AAAAAB8v5Uw=")</f>
        <v>1</v>
      </c>
      <c r="BZ221" t="b">
        <f>AND(DATA!Q1772,"AAAAAB8v5U0=")</f>
        <v>1</v>
      </c>
      <c r="CA221" t="b">
        <f>AND(DATA!R1772,"AAAAAB8v5U4=")</f>
        <v>1</v>
      </c>
      <c r="CB221" t="b">
        <f>AND(DATA!S1772,"AAAAAB8v5U8=")</f>
        <v>1</v>
      </c>
      <c r="CC221" t="b">
        <f>AND(DATA!T1772,"AAAAAB8v5VA=")</f>
        <v>1</v>
      </c>
      <c r="CD221">
        <f>IF(DATA!1772:1772,"AAAAAB8v5VE=",0)</f>
        <v>0</v>
      </c>
      <c r="CE221" t="e">
        <f>AND(DATA!A1772,"AAAAAB8v5VI=")</f>
        <v>#VALUE!</v>
      </c>
      <c r="CF221" t="e">
        <f>AND(DATA!B1772,"AAAAAB8v5VM=")</f>
        <v>#VALUE!</v>
      </c>
      <c r="CG221" t="e">
        <f>AND(DATA!C1772,"AAAAAB8v5VQ=")</f>
        <v>#VALUE!</v>
      </c>
      <c r="CH221" t="e">
        <f>AND(DATA!D1772,"AAAAAB8v5VU=")</f>
        <v>#VALUE!</v>
      </c>
      <c r="CI221" t="e">
        <f>AND(DATA!E1772,"AAAAAB8v5VY=")</f>
        <v>#VALUE!</v>
      </c>
      <c r="CJ221" t="e">
        <f>AND(DATA!F1772,"AAAAAB8v5Vc=")</f>
        <v>#VALUE!</v>
      </c>
      <c r="CK221" t="e">
        <f>AND(DATA!G1772,"AAAAAB8v5Vg=")</f>
        <v>#VALUE!</v>
      </c>
      <c r="CL221" t="e">
        <f>AND(DATA!H1772,"AAAAAB8v5Vk=")</f>
        <v>#VALUE!</v>
      </c>
      <c r="CM221" t="e">
        <f>AND(DATA!I1772,"AAAAAB8v5Vo=")</f>
        <v>#VALUE!</v>
      </c>
      <c r="CN221" t="e">
        <f>AND(DATA!J1772,"AAAAAB8v5Vs=")</f>
        <v>#VALUE!</v>
      </c>
      <c r="CO221" t="e">
        <f>AND(DATA!K1772,"AAAAAB8v5Vw=")</f>
        <v>#VALUE!</v>
      </c>
      <c r="CP221" t="b">
        <f>AND(DATA!L1773,"AAAAAB8v5V0=")</f>
        <v>1</v>
      </c>
      <c r="CQ221" t="b">
        <f>AND(DATA!M1773,"AAAAAB8v5V4=")</f>
        <v>1</v>
      </c>
      <c r="CR221" t="b">
        <f>AND(DATA!N1773,"AAAAAB8v5V8=")</f>
        <v>1</v>
      </c>
      <c r="CS221" t="b">
        <f>AND(DATA!O1773,"AAAAAB8v5WA=")</f>
        <v>1</v>
      </c>
      <c r="CT221" t="b">
        <f>AND(DATA!P1773,"AAAAAB8v5WE=")</f>
        <v>1</v>
      </c>
      <c r="CU221" t="b">
        <f>AND(DATA!Q1773,"AAAAAB8v5WI=")</f>
        <v>1</v>
      </c>
      <c r="CV221" t="b">
        <f>AND(DATA!R1773,"AAAAAB8v5WM=")</f>
        <v>1</v>
      </c>
      <c r="CW221" t="b">
        <f>AND(DATA!S1773,"AAAAAB8v5WQ=")</f>
        <v>1</v>
      </c>
      <c r="CX221" t="b">
        <f>AND(DATA!T1773,"AAAAAB8v5WU=")</f>
        <v>1</v>
      </c>
      <c r="CY221">
        <f>IF(DATA!1773:1773,"AAAAAB8v5WY=",0)</f>
        <v>0</v>
      </c>
      <c r="CZ221" t="e">
        <f>AND(DATA!A1773,"AAAAAB8v5Wc=")</f>
        <v>#VALUE!</v>
      </c>
      <c r="DA221" t="e">
        <f>AND(DATA!B1773,"AAAAAB8v5Wg=")</f>
        <v>#VALUE!</v>
      </c>
      <c r="DB221" t="e">
        <f>AND(DATA!C1773,"AAAAAB8v5Wk=")</f>
        <v>#VALUE!</v>
      </c>
      <c r="DC221" t="e">
        <f>AND(DATA!D1773,"AAAAAB8v5Wo=")</f>
        <v>#VALUE!</v>
      </c>
      <c r="DD221" t="e">
        <f>AND(DATA!E1773,"AAAAAB8v5Ws=")</f>
        <v>#VALUE!</v>
      </c>
      <c r="DE221" t="e">
        <f>AND(DATA!F1773,"AAAAAB8v5Ww=")</f>
        <v>#VALUE!</v>
      </c>
      <c r="DF221" t="e">
        <f>AND(DATA!G1773,"AAAAAB8v5W0=")</f>
        <v>#VALUE!</v>
      </c>
      <c r="DG221" t="e">
        <f>AND(DATA!H1773,"AAAAAB8v5W4=")</f>
        <v>#VALUE!</v>
      </c>
      <c r="DH221" t="e">
        <f>AND(DATA!I1773,"AAAAAB8v5W8=")</f>
        <v>#VALUE!</v>
      </c>
      <c r="DI221" t="e">
        <f>AND(DATA!J1773,"AAAAAB8v5XA=")</f>
        <v>#VALUE!</v>
      </c>
      <c r="DJ221" t="e">
        <f>AND(DATA!K1773,"AAAAAB8v5XE=")</f>
        <v>#VALUE!</v>
      </c>
      <c r="DK221" t="b">
        <f>AND(DATA!L1774,"AAAAAB8v5XI=")</f>
        <v>1</v>
      </c>
      <c r="DL221" t="b">
        <f>AND(DATA!M1774,"AAAAAB8v5XM=")</f>
        <v>1</v>
      </c>
      <c r="DM221" t="b">
        <f>AND(DATA!N1774,"AAAAAB8v5XQ=")</f>
        <v>1</v>
      </c>
      <c r="DN221" t="b">
        <f>AND(DATA!O1774,"AAAAAB8v5XU=")</f>
        <v>1</v>
      </c>
      <c r="DO221" t="b">
        <f>AND(DATA!P1774,"AAAAAB8v5XY=")</f>
        <v>1</v>
      </c>
      <c r="DP221" t="b">
        <f>AND(DATA!Q1774,"AAAAAB8v5Xc=")</f>
        <v>1</v>
      </c>
      <c r="DQ221" t="b">
        <f>AND(DATA!R1774,"AAAAAB8v5Xg=")</f>
        <v>1</v>
      </c>
      <c r="DR221" t="b">
        <f>AND(DATA!S1774,"AAAAAB8v5Xk=")</f>
        <v>1</v>
      </c>
      <c r="DS221" t="b">
        <f>AND(DATA!T1774,"AAAAAB8v5Xo=")</f>
        <v>1</v>
      </c>
      <c r="DT221">
        <f>IF(DATA!1774:1774,"AAAAAB8v5Xs=",0)</f>
        <v>0</v>
      </c>
      <c r="DU221" t="e">
        <f>AND(DATA!A1774,"AAAAAB8v5Xw=")</f>
        <v>#VALUE!</v>
      </c>
      <c r="DV221" t="e">
        <f>AND(DATA!B1774,"AAAAAB8v5X0=")</f>
        <v>#VALUE!</v>
      </c>
      <c r="DW221" t="e">
        <f>AND(DATA!C1774,"AAAAAB8v5X4=")</f>
        <v>#VALUE!</v>
      </c>
      <c r="DX221" t="e">
        <f>AND(DATA!D1774,"AAAAAB8v5X8=")</f>
        <v>#VALUE!</v>
      </c>
      <c r="DY221" t="e">
        <f>AND(DATA!E1774,"AAAAAB8v5YA=")</f>
        <v>#VALUE!</v>
      </c>
      <c r="DZ221" t="e">
        <f>AND(DATA!F1774,"AAAAAB8v5YE=")</f>
        <v>#VALUE!</v>
      </c>
      <c r="EA221" t="e">
        <f>AND(DATA!G1774,"AAAAAB8v5YI=")</f>
        <v>#VALUE!</v>
      </c>
      <c r="EB221" t="e">
        <f>AND(DATA!H1774,"AAAAAB8v5YM=")</f>
        <v>#VALUE!</v>
      </c>
      <c r="EC221" t="e">
        <f>AND(DATA!I1774,"AAAAAB8v5YQ=")</f>
        <v>#VALUE!</v>
      </c>
      <c r="ED221" t="e">
        <f>AND(DATA!J1774,"AAAAAB8v5YU=")</f>
        <v>#VALUE!</v>
      </c>
      <c r="EE221" t="e">
        <f>AND(DATA!K1774,"AAAAAB8v5YY=")</f>
        <v>#VALUE!</v>
      </c>
      <c r="EF221" t="b">
        <f>AND(DATA!L1775,"AAAAAB8v5Yc=")</f>
        <v>1</v>
      </c>
      <c r="EG221" t="b">
        <f>AND(DATA!M1775,"AAAAAB8v5Yg=")</f>
        <v>1</v>
      </c>
      <c r="EH221" t="b">
        <f>AND(DATA!N1775,"AAAAAB8v5Yk=")</f>
        <v>1</v>
      </c>
      <c r="EI221" t="b">
        <f>AND(DATA!O1775,"AAAAAB8v5Yo=")</f>
        <v>1</v>
      </c>
      <c r="EJ221" t="b">
        <f>AND(DATA!P1775,"AAAAAB8v5Ys=")</f>
        <v>1</v>
      </c>
      <c r="EK221" t="b">
        <f>AND(DATA!Q1775,"AAAAAB8v5Yw=")</f>
        <v>1</v>
      </c>
      <c r="EL221" t="b">
        <f>AND(DATA!R1775,"AAAAAB8v5Y0=")</f>
        <v>1</v>
      </c>
      <c r="EM221" t="b">
        <f>AND(DATA!S1775,"AAAAAB8v5Y4=")</f>
        <v>1</v>
      </c>
      <c r="EN221" t="b">
        <f>AND(DATA!T1775,"AAAAAB8v5Y8=")</f>
        <v>1</v>
      </c>
      <c r="EO221">
        <f>IF(DATA!1775:1775,"AAAAAB8v5ZA=",0)</f>
        <v>0</v>
      </c>
      <c r="EP221" t="e">
        <f>AND(DATA!A1775,"AAAAAB8v5ZE=")</f>
        <v>#VALUE!</v>
      </c>
      <c r="EQ221" t="e">
        <f>AND(DATA!B1775,"AAAAAB8v5ZI=")</f>
        <v>#VALUE!</v>
      </c>
      <c r="ER221" t="e">
        <f>AND(DATA!C1775,"AAAAAB8v5ZM=")</f>
        <v>#VALUE!</v>
      </c>
      <c r="ES221" t="e">
        <f>AND(DATA!D1775,"AAAAAB8v5ZQ=")</f>
        <v>#VALUE!</v>
      </c>
      <c r="ET221" t="e">
        <f>AND(DATA!E1775,"AAAAAB8v5ZU=")</f>
        <v>#VALUE!</v>
      </c>
      <c r="EU221" t="e">
        <f>AND(DATA!F1775,"AAAAAB8v5ZY=")</f>
        <v>#VALUE!</v>
      </c>
      <c r="EV221" t="e">
        <f>AND(DATA!G1775,"AAAAAB8v5Zc=")</f>
        <v>#VALUE!</v>
      </c>
      <c r="EW221" t="e">
        <f>AND(DATA!H1775,"AAAAAB8v5Zg=")</f>
        <v>#VALUE!</v>
      </c>
      <c r="EX221" t="e">
        <f>AND(DATA!I1775,"AAAAAB8v5Zk=")</f>
        <v>#VALUE!</v>
      </c>
      <c r="EY221" t="e">
        <f>AND(DATA!J1775,"AAAAAB8v5Zo=")</f>
        <v>#VALUE!</v>
      </c>
      <c r="EZ221" t="e">
        <f>AND(DATA!K1775,"AAAAAB8v5Zs=")</f>
        <v>#VALUE!</v>
      </c>
      <c r="FA221" t="b">
        <f>AND(DATA!L1776,"AAAAAB8v5Zw=")</f>
        <v>1</v>
      </c>
      <c r="FB221" t="b">
        <f>AND(DATA!M1776,"AAAAAB8v5Z0=")</f>
        <v>1</v>
      </c>
      <c r="FC221" t="b">
        <f>AND(DATA!N1776,"AAAAAB8v5Z4=")</f>
        <v>1</v>
      </c>
      <c r="FD221" t="b">
        <f>AND(DATA!O1776,"AAAAAB8v5Z8=")</f>
        <v>1</v>
      </c>
      <c r="FE221" t="b">
        <f>AND(DATA!P1776,"AAAAAB8v5aA=")</f>
        <v>1</v>
      </c>
      <c r="FF221" t="b">
        <f>AND(DATA!Q1776,"AAAAAB8v5aE=")</f>
        <v>1</v>
      </c>
      <c r="FG221" t="b">
        <f>AND(DATA!R1776,"AAAAAB8v5aI=")</f>
        <v>1</v>
      </c>
      <c r="FH221" t="b">
        <f>AND(DATA!S1776,"AAAAAB8v5aM=")</f>
        <v>1</v>
      </c>
      <c r="FI221" t="b">
        <f>AND(DATA!T1776,"AAAAAB8v5aQ=")</f>
        <v>1</v>
      </c>
      <c r="FJ221">
        <f>IF(DATA!1776:1776,"AAAAAB8v5aU=",0)</f>
        <v>0</v>
      </c>
      <c r="FK221" t="e">
        <f>AND(DATA!A1776,"AAAAAB8v5aY=")</f>
        <v>#VALUE!</v>
      </c>
      <c r="FL221" t="e">
        <f>AND(DATA!B1776,"AAAAAB8v5ac=")</f>
        <v>#VALUE!</v>
      </c>
      <c r="FM221" t="e">
        <f>AND(DATA!C1776,"AAAAAB8v5ag=")</f>
        <v>#VALUE!</v>
      </c>
      <c r="FN221" t="e">
        <f>AND(DATA!D1776,"AAAAAB8v5ak=")</f>
        <v>#VALUE!</v>
      </c>
      <c r="FO221" t="e">
        <f>AND(DATA!E1776,"AAAAAB8v5ao=")</f>
        <v>#VALUE!</v>
      </c>
      <c r="FP221" t="e">
        <f>AND(DATA!F1776,"AAAAAB8v5as=")</f>
        <v>#VALUE!</v>
      </c>
      <c r="FQ221" t="e">
        <f>AND(DATA!G1776,"AAAAAB8v5aw=")</f>
        <v>#VALUE!</v>
      </c>
      <c r="FR221" t="e">
        <f>AND(DATA!H1776,"AAAAAB8v5a0=")</f>
        <v>#VALUE!</v>
      </c>
      <c r="FS221" t="e">
        <f>AND(DATA!I1776,"AAAAAB8v5a4=")</f>
        <v>#VALUE!</v>
      </c>
      <c r="FT221" t="e">
        <f>AND(DATA!J1776,"AAAAAB8v5a8=")</f>
        <v>#VALUE!</v>
      </c>
      <c r="FU221" t="e">
        <f>AND(DATA!K1776,"AAAAAB8v5bA=")</f>
        <v>#VALUE!</v>
      </c>
      <c r="FV221" t="b">
        <f>AND(DATA!L1777,"AAAAAB8v5bE=")</f>
        <v>1</v>
      </c>
      <c r="FW221" t="b">
        <f>AND(DATA!M1777,"AAAAAB8v5bI=")</f>
        <v>1</v>
      </c>
      <c r="FX221" t="b">
        <f>AND(DATA!N1777,"AAAAAB8v5bM=")</f>
        <v>1</v>
      </c>
      <c r="FY221" t="b">
        <f>AND(DATA!O1777,"AAAAAB8v5bQ=")</f>
        <v>1</v>
      </c>
      <c r="FZ221" t="b">
        <f>AND(DATA!P1777,"AAAAAB8v5bU=")</f>
        <v>1</v>
      </c>
      <c r="GA221" t="b">
        <f>AND(DATA!Q1777,"AAAAAB8v5bY=")</f>
        <v>1</v>
      </c>
      <c r="GB221" t="b">
        <f>AND(DATA!R1777,"AAAAAB8v5bc=")</f>
        <v>1</v>
      </c>
      <c r="GC221" t="b">
        <f>AND(DATA!S1777,"AAAAAB8v5bg=")</f>
        <v>1</v>
      </c>
      <c r="GD221" t="b">
        <f>AND(DATA!T1777,"AAAAAB8v5bk=")</f>
        <v>1</v>
      </c>
      <c r="GE221">
        <f>IF(DATA!1777:1777,"AAAAAB8v5bo=",0)</f>
        <v>0</v>
      </c>
      <c r="GF221" t="e">
        <f>AND(DATA!A1777,"AAAAAB8v5bs=")</f>
        <v>#VALUE!</v>
      </c>
      <c r="GG221" t="e">
        <f>AND(DATA!B1777,"AAAAAB8v5bw=")</f>
        <v>#VALUE!</v>
      </c>
      <c r="GH221" t="e">
        <f>AND(DATA!C1777,"AAAAAB8v5b0=")</f>
        <v>#VALUE!</v>
      </c>
      <c r="GI221" t="e">
        <f>AND(DATA!D1777,"AAAAAB8v5b4=")</f>
        <v>#VALUE!</v>
      </c>
      <c r="GJ221" t="e">
        <f>AND(DATA!E1777,"AAAAAB8v5b8=")</f>
        <v>#VALUE!</v>
      </c>
      <c r="GK221" t="e">
        <f>AND(DATA!F1777,"AAAAAB8v5cA=")</f>
        <v>#VALUE!</v>
      </c>
      <c r="GL221" t="e">
        <f>AND(DATA!G1777,"AAAAAB8v5cE=")</f>
        <v>#VALUE!</v>
      </c>
      <c r="GM221" t="e">
        <f>AND(DATA!H1777,"AAAAAB8v5cI=")</f>
        <v>#VALUE!</v>
      </c>
      <c r="GN221" t="e">
        <f>AND(DATA!I1777,"AAAAAB8v5cM=")</f>
        <v>#VALUE!</v>
      </c>
      <c r="GO221" t="e">
        <f>AND(DATA!J1777,"AAAAAB8v5cQ=")</f>
        <v>#VALUE!</v>
      </c>
      <c r="GP221" t="e">
        <f>AND(DATA!K1777,"AAAAAB8v5cU=")</f>
        <v>#VALUE!</v>
      </c>
      <c r="GQ221" t="b">
        <f>AND(DATA!L1778,"AAAAAB8v5cY=")</f>
        <v>1</v>
      </c>
      <c r="GR221" t="b">
        <f>AND(DATA!M1778,"AAAAAB8v5cc=")</f>
        <v>1</v>
      </c>
      <c r="GS221" t="b">
        <f>AND(DATA!N1778,"AAAAAB8v5cg=")</f>
        <v>1</v>
      </c>
      <c r="GT221" t="b">
        <f>AND(DATA!O1778,"AAAAAB8v5ck=")</f>
        <v>1</v>
      </c>
      <c r="GU221" t="b">
        <f>AND(DATA!P1778,"AAAAAB8v5co=")</f>
        <v>1</v>
      </c>
      <c r="GV221" t="b">
        <f>AND(DATA!Q1778,"AAAAAB8v5cs=")</f>
        <v>1</v>
      </c>
      <c r="GW221" t="b">
        <f>AND(DATA!R1778,"AAAAAB8v5cw=")</f>
        <v>1</v>
      </c>
      <c r="GX221" t="b">
        <f>AND(DATA!S1778,"AAAAAB8v5c0=")</f>
        <v>1</v>
      </c>
      <c r="GY221" t="b">
        <f>AND(DATA!T1778,"AAAAAB8v5c4=")</f>
        <v>1</v>
      </c>
      <c r="GZ221">
        <f>IF(DATA!1778:1778,"AAAAAB8v5c8=",0)</f>
        <v>0</v>
      </c>
      <c r="HA221" t="e">
        <f>AND(DATA!A1778,"AAAAAB8v5dA=")</f>
        <v>#VALUE!</v>
      </c>
      <c r="HB221" t="e">
        <f>AND(DATA!B1778,"AAAAAB8v5dE=")</f>
        <v>#VALUE!</v>
      </c>
      <c r="HC221" t="e">
        <f>AND(DATA!C1778,"AAAAAB8v5dI=")</f>
        <v>#VALUE!</v>
      </c>
      <c r="HD221" t="e">
        <f>AND(DATA!D1778,"AAAAAB8v5dM=")</f>
        <v>#VALUE!</v>
      </c>
      <c r="HE221" t="e">
        <f>AND(DATA!E1778,"AAAAAB8v5dQ=")</f>
        <v>#VALUE!</v>
      </c>
      <c r="HF221" t="e">
        <f>AND(DATA!F1778,"AAAAAB8v5dU=")</f>
        <v>#VALUE!</v>
      </c>
      <c r="HG221" t="e">
        <f>AND(DATA!G1778,"AAAAAB8v5dY=")</f>
        <v>#VALUE!</v>
      </c>
      <c r="HH221" t="e">
        <f>AND(DATA!H1778,"AAAAAB8v5dc=")</f>
        <v>#VALUE!</v>
      </c>
      <c r="HI221" t="e">
        <f>AND(DATA!I1778,"AAAAAB8v5dg=")</f>
        <v>#VALUE!</v>
      </c>
      <c r="HJ221" t="e">
        <f>AND(DATA!J1778,"AAAAAB8v5dk=")</f>
        <v>#VALUE!</v>
      </c>
      <c r="HK221" t="e">
        <f>AND(DATA!K1778,"AAAAAB8v5do=")</f>
        <v>#VALUE!</v>
      </c>
      <c r="HL221" t="b">
        <f>AND(DATA!L1779,"AAAAAB8v5ds=")</f>
        <v>1</v>
      </c>
      <c r="HM221" t="b">
        <f>AND(DATA!M1779,"AAAAAB8v5dw=")</f>
        <v>1</v>
      </c>
      <c r="HN221" t="b">
        <f>AND(DATA!N1779,"AAAAAB8v5d0=")</f>
        <v>1</v>
      </c>
      <c r="HO221" t="b">
        <f>AND(DATA!O1779,"AAAAAB8v5d4=")</f>
        <v>1</v>
      </c>
      <c r="HP221" t="b">
        <f>AND(DATA!P1779,"AAAAAB8v5d8=")</f>
        <v>1</v>
      </c>
      <c r="HQ221" t="b">
        <f>AND(DATA!Q1779,"AAAAAB8v5eA=")</f>
        <v>1</v>
      </c>
      <c r="HR221" t="b">
        <f>AND(DATA!R1779,"AAAAAB8v5eE=")</f>
        <v>1</v>
      </c>
      <c r="HS221" t="b">
        <f>AND(DATA!S1779,"AAAAAB8v5eI=")</f>
        <v>1</v>
      </c>
      <c r="HT221" t="b">
        <f>AND(DATA!T1779,"AAAAAB8v5eM=")</f>
        <v>1</v>
      </c>
      <c r="HU221">
        <f>IF(DATA!1779:1779,"AAAAAB8v5eQ=",0)</f>
        <v>0</v>
      </c>
      <c r="HV221" t="e">
        <f>AND(DATA!A1779,"AAAAAB8v5eU=")</f>
        <v>#VALUE!</v>
      </c>
      <c r="HW221" t="e">
        <f>AND(DATA!B1779,"AAAAAB8v5eY=")</f>
        <v>#VALUE!</v>
      </c>
      <c r="HX221" t="e">
        <f>AND(DATA!C1779,"AAAAAB8v5ec=")</f>
        <v>#VALUE!</v>
      </c>
      <c r="HY221" t="e">
        <f>AND(DATA!D1779,"AAAAAB8v5eg=")</f>
        <v>#VALUE!</v>
      </c>
      <c r="HZ221" t="e">
        <f>AND(DATA!E1779,"AAAAAB8v5ek=")</f>
        <v>#VALUE!</v>
      </c>
      <c r="IA221" t="e">
        <f>AND(DATA!F1779,"AAAAAB8v5eo=")</f>
        <v>#VALUE!</v>
      </c>
      <c r="IB221" t="e">
        <f>AND(DATA!G1779,"AAAAAB8v5es=")</f>
        <v>#VALUE!</v>
      </c>
      <c r="IC221" t="e">
        <f>AND(DATA!H1779,"AAAAAB8v5ew=")</f>
        <v>#VALUE!</v>
      </c>
      <c r="ID221" t="e">
        <f>AND(DATA!I1779,"AAAAAB8v5e0=")</f>
        <v>#VALUE!</v>
      </c>
      <c r="IE221" t="e">
        <f>AND(DATA!J1779,"AAAAAB8v5e4=")</f>
        <v>#VALUE!</v>
      </c>
      <c r="IF221" t="e">
        <f>AND(DATA!K1779,"AAAAAB8v5e8=")</f>
        <v>#VALUE!</v>
      </c>
      <c r="IG221" t="b">
        <f>AND(DATA!L1780,"AAAAAB8v5fA=")</f>
        <v>1</v>
      </c>
      <c r="IH221" t="b">
        <f>AND(DATA!M1780,"AAAAAB8v5fE=")</f>
        <v>1</v>
      </c>
      <c r="II221" t="b">
        <f>AND(DATA!N1780,"AAAAAB8v5fI=")</f>
        <v>1</v>
      </c>
      <c r="IJ221" t="b">
        <f>AND(DATA!O1780,"AAAAAB8v5fM=")</f>
        <v>1</v>
      </c>
      <c r="IK221" t="b">
        <f>AND(DATA!P1780,"AAAAAB8v5fQ=")</f>
        <v>1</v>
      </c>
      <c r="IL221" t="b">
        <f>AND(DATA!Q1780,"AAAAAB8v5fU=")</f>
        <v>1</v>
      </c>
      <c r="IM221" t="b">
        <f>AND(DATA!R1780,"AAAAAB8v5fY=")</f>
        <v>1</v>
      </c>
      <c r="IN221" t="b">
        <f>AND(DATA!S1780,"AAAAAB8v5fc=")</f>
        <v>1</v>
      </c>
      <c r="IO221" t="b">
        <f>AND(DATA!T1780,"AAAAAB8v5fg=")</f>
        <v>1</v>
      </c>
      <c r="IP221">
        <f>IF(DATA!1780:1780,"AAAAAB8v5fk=",0)</f>
        <v>0</v>
      </c>
      <c r="IQ221" t="e">
        <f>AND(DATA!A1780,"AAAAAB8v5fo=")</f>
        <v>#VALUE!</v>
      </c>
      <c r="IR221" t="e">
        <f>AND(DATA!B1780,"AAAAAB8v5fs=")</f>
        <v>#VALUE!</v>
      </c>
      <c r="IS221" t="e">
        <f>AND(DATA!C1780,"AAAAAB8v5fw=")</f>
        <v>#VALUE!</v>
      </c>
      <c r="IT221" t="e">
        <f>AND(DATA!D1780,"AAAAAB8v5f0=")</f>
        <v>#VALUE!</v>
      </c>
      <c r="IU221" t="e">
        <f>AND(DATA!E1780,"AAAAAB8v5f4=")</f>
        <v>#VALUE!</v>
      </c>
      <c r="IV221" t="e">
        <f>AND(DATA!F1780,"AAAAAB8v5f8=")</f>
        <v>#VALUE!</v>
      </c>
    </row>
    <row r="222" spans="1:256" x14ac:dyDescent="0.25">
      <c r="A222" t="e">
        <f>AND(DATA!G1780,"AAAAAFdvewA=")</f>
        <v>#VALUE!</v>
      </c>
      <c r="B222" t="e">
        <f>AND(DATA!H1780,"AAAAAFdvewE=")</f>
        <v>#VALUE!</v>
      </c>
      <c r="C222" t="e">
        <f>AND(DATA!I1780,"AAAAAFdvewI=")</f>
        <v>#VALUE!</v>
      </c>
      <c r="D222" t="e">
        <f>AND(DATA!J1780,"AAAAAFdvewM=")</f>
        <v>#VALUE!</v>
      </c>
      <c r="E222" t="e">
        <f>AND(DATA!K1780,"AAAAAFdvewQ=")</f>
        <v>#VALUE!</v>
      </c>
      <c r="F222" t="b">
        <f>AND(DATA!L1781,"AAAAAFdvewU=")</f>
        <v>1</v>
      </c>
      <c r="G222" t="b">
        <f>AND(DATA!M1781,"AAAAAFdvewY=")</f>
        <v>1</v>
      </c>
      <c r="H222" t="b">
        <f>AND(DATA!N1781,"AAAAAFdvewc=")</f>
        <v>1</v>
      </c>
      <c r="I222" t="b">
        <f>AND(DATA!O1781,"AAAAAFdvewg=")</f>
        <v>1</v>
      </c>
      <c r="J222" t="b">
        <f>AND(DATA!P1781,"AAAAAFdvewk=")</f>
        <v>1</v>
      </c>
      <c r="K222" t="b">
        <f>AND(DATA!Q1781,"AAAAAFdvewo=")</f>
        <v>1</v>
      </c>
      <c r="L222" t="b">
        <f>AND(DATA!R1781,"AAAAAFdvews=")</f>
        <v>1</v>
      </c>
      <c r="M222" t="b">
        <f>AND(DATA!S1781,"AAAAAFdveww=")</f>
        <v>1</v>
      </c>
      <c r="N222" t="b">
        <f>AND(DATA!T1781,"AAAAAFdvew0=")</f>
        <v>1</v>
      </c>
      <c r="O222" t="str">
        <f>IF(DATA!1781:1781,"AAAAAFdvew4=",0)</f>
        <v>AAAAAFdvew4=</v>
      </c>
      <c r="P222" t="e">
        <f>AND(DATA!A1781,"AAAAAFdvew8=")</f>
        <v>#VALUE!</v>
      </c>
      <c r="Q222" t="e">
        <f>AND(DATA!B1781,"AAAAAFdvexA=")</f>
        <v>#VALUE!</v>
      </c>
      <c r="R222" t="e">
        <f>AND(DATA!C1781,"AAAAAFdvexE=")</f>
        <v>#VALUE!</v>
      </c>
      <c r="S222" t="e">
        <f>AND(DATA!D1781,"AAAAAFdvexI=")</f>
        <v>#VALUE!</v>
      </c>
      <c r="T222" t="e">
        <f>AND(DATA!E1781,"AAAAAFdvexM=")</f>
        <v>#VALUE!</v>
      </c>
      <c r="U222" t="e">
        <f>AND(DATA!F1781,"AAAAAFdvexQ=")</f>
        <v>#VALUE!</v>
      </c>
      <c r="V222" t="e">
        <f>AND(DATA!G1781,"AAAAAFdvexU=")</f>
        <v>#VALUE!</v>
      </c>
      <c r="W222" t="e">
        <f>AND(DATA!H1781,"AAAAAFdvexY=")</f>
        <v>#VALUE!</v>
      </c>
      <c r="X222" t="e">
        <f>AND(DATA!I1781,"AAAAAFdvexc=")</f>
        <v>#VALUE!</v>
      </c>
      <c r="Y222" t="e">
        <f>AND(DATA!J1781,"AAAAAFdvexg=")</f>
        <v>#VALUE!</v>
      </c>
      <c r="Z222" t="e">
        <f>AND(DATA!K1781,"AAAAAFdvexk=")</f>
        <v>#VALUE!</v>
      </c>
      <c r="AA222" t="b">
        <f>AND(DATA!L1782,"AAAAAFdvexo=")</f>
        <v>1</v>
      </c>
      <c r="AB222" t="b">
        <f>AND(DATA!M1782,"AAAAAFdvexs=")</f>
        <v>1</v>
      </c>
      <c r="AC222" t="b">
        <f>AND(DATA!N1782,"AAAAAFdvexw=")</f>
        <v>1</v>
      </c>
      <c r="AD222" t="b">
        <f>AND(DATA!O1782,"AAAAAFdvex0=")</f>
        <v>1</v>
      </c>
      <c r="AE222" t="b">
        <f>AND(DATA!P1782,"AAAAAFdvex4=")</f>
        <v>1</v>
      </c>
      <c r="AF222" t="b">
        <f>AND(DATA!Q1782,"AAAAAFdvex8=")</f>
        <v>1</v>
      </c>
      <c r="AG222" t="b">
        <f>AND(DATA!R1782,"AAAAAFdveyA=")</f>
        <v>1</v>
      </c>
      <c r="AH222" t="b">
        <f>AND(DATA!S1782,"AAAAAFdveyE=")</f>
        <v>1</v>
      </c>
      <c r="AI222" t="b">
        <f>AND(DATA!T1782,"AAAAAFdveyI=")</f>
        <v>1</v>
      </c>
      <c r="AJ222">
        <f>IF(DATA!1782:1782,"AAAAAFdveyM=",0)</f>
        <v>0</v>
      </c>
      <c r="AK222" t="e">
        <f>AND(DATA!A1782,"AAAAAFdveyQ=")</f>
        <v>#VALUE!</v>
      </c>
      <c r="AL222" t="e">
        <f>AND(DATA!B1782,"AAAAAFdveyU=")</f>
        <v>#VALUE!</v>
      </c>
      <c r="AM222" t="e">
        <f>AND(DATA!C1782,"AAAAAFdveyY=")</f>
        <v>#VALUE!</v>
      </c>
      <c r="AN222" t="e">
        <f>AND(DATA!D1782,"AAAAAFdveyc=")</f>
        <v>#VALUE!</v>
      </c>
      <c r="AO222" t="e">
        <f>AND(DATA!E1782,"AAAAAFdveyg=")</f>
        <v>#VALUE!</v>
      </c>
      <c r="AP222" t="e">
        <f>AND(DATA!F1782,"AAAAAFdveyk=")</f>
        <v>#VALUE!</v>
      </c>
      <c r="AQ222" t="e">
        <f>AND(DATA!G1782,"AAAAAFdveyo=")</f>
        <v>#VALUE!</v>
      </c>
      <c r="AR222" t="e">
        <f>AND(DATA!H1782,"AAAAAFdveys=")</f>
        <v>#VALUE!</v>
      </c>
      <c r="AS222" t="e">
        <f>AND(DATA!I1782,"AAAAAFdveyw=")</f>
        <v>#VALUE!</v>
      </c>
      <c r="AT222" t="e">
        <f>AND(DATA!J1782,"AAAAAFdvey0=")</f>
        <v>#VALUE!</v>
      </c>
      <c r="AU222" t="e">
        <f>AND(DATA!K1782,"AAAAAFdvey4=")</f>
        <v>#VALUE!</v>
      </c>
      <c r="AV222" t="b">
        <f>AND(DATA!L1783,"AAAAAFdvey8=")</f>
        <v>1</v>
      </c>
      <c r="AW222" t="b">
        <f>AND(DATA!M1783,"AAAAAFdvezA=")</f>
        <v>1</v>
      </c>
      <c r="AX222" t="b">
        <f>AND(DATA!N1783,"AAAAAFdvezE=")</f>
        <v>1</v>
      </c>
      <c r="AY222" t="b">
        <f>AND(DATA!O1783,"AAAAAFdvezI=")</f>
        <v>1</v>
      </c>
      <c r="AZ222" t="b">
        <f>AND(DATA!P1783,"AAAAAFdvezM=")</f>
        <v>1</v>
      </c>
      <c r="BA222" t="b">
        <f>AND(DATA!Q1783,"AAAAAFdvezQ=")</f>
        <v>1</v>
      </c>
      <c r="BB222" t="b">
        <f>AND(DATA!R1783,"AAAAAFdvezU=")</f>
        <v>1</v>
      </c>
      <c r="BC222" t="b">
        <f>AND(DATA!S1783,"AAAAAFdvezY=")</f>
        <v>1</v>
      </c>
      <c r="BD222" t="b">
        <f>AND(DATA!T1783,"AAAAAFdvezc=")</f>
        <v>1</v>
      </c>
      <c r="BE222">
        <f>IF(DATA!1783:1783,"AAAAAFdvezg=",0)</f>
        <v>0</v>
      </c>
      <c r="BF222" t="e">
        <f>AND(DATA!A1783,"AAAAAFdvezk=")</f>
        <v>#VALUE!</v>
      </c>
      <c r="BG222" t="e">
        <f>AND(DATA!B1783,"AAAAAFdvezo=")</f>
        <v>#VALUE!</v>
      </c>
      <c r="BH222" t="e">
        <f>AND(DATA!C1783,"AAAAAFdvezs=")</f>
        <v>#VALUE!</v>
      </c>
      <c r="BI222" t="e">
        <f>AND(DATA!D1783,"AAAAAFdvezw=")</f>
        <v>#VALUE!</v>
      </c>
      <c r="BJ222" t="e">
        <f>AND(DATA!E1783,"AAAAAFdvez0=")</f>
        <v>#VALUE!</v>
      </c>
      <c r="BK222" t="e">
        <f>AND(DATA!F1783,"AAAAAFdvez4=")</f>
        <v>#VALUE!</v>
      </c>
      <c r="BL222" t="e">
        <f>AND(DATA!G1783,"AAAAAFdvez8=")</f>
        <v>#VALUE!</v>
      </c>
      <c r="BM222" t="e">
        <f>AND(DATA!H1783,"AAAAAFdve0A=")</f>
        <v>#VALUE!</v>
      </c>
      <c r="BN222" t="e">
        <f>AND(DATA!I1783,"AAAAAFdve0E=")</f>
        <v>#VALUE!</v>
      </c>
      <c r="BO222" t="e">
        <f>AND(DATA!J1783,"AAAAAFdve0I=")</f>
        <v>#VALUE!</v>
      </c>
      <c r="BP222" t="e">
        <f>AND(DATA!K1783,"AAAAAFdve0M=")</f>
        <v>#VALUE!</v>
      </c>
      <c r="BQ222" t="b">
        <f>AND(DATA!L1784,"AAAAAFdve0Q=")</f>
        <v>1</v>
      </c>
      <c r="BR222" t="b">
        <f>AND(DATA!M1784,"AAAAAFdve0U=")</f>
        <v>1</v>
      </c>
      <c r="BS222" t="b">
        <f>AND(DATA!N1784,"AAAAAFdve0Y=")</f>
        <v>1</v>
      </c>
      <c r="BT222" t="b">
        <f>AND(DATA!O1784,"AAAAAFdve0c=")</f>
        <v>1</v>
      </c>
      <c r="BU222" t="b">
        <f>AND(DATA!P1784,"AAAAAFdve0g=")</f>
        <v>1</v>
      </c>
      <c r="BV222" t="b">
        <f>AND(DATA!Q1784,"AAAAAFdve0k=")</f>
        <v>1</v>
      </c>
      <c r="BW222" t="b">
        <f>AND(DATA!R1784,"AAAAAFdve0o=")</f>
        <v>1</v>
      </c>
      <c r="BX222" t="b">
        <f>AND(DATA!S1784,"AAAAAFdve0s=")</f>
        <v>1</v>
      </c>
      <c r="BY222" t="b">
        <f>AND(DATA!T1784,"AAAAAFdve0w=")</f>
        <v>1</v>
      </c>
      <c r="BZ222">
        <f>IF(DATA!1784:1784,"AAAAAFdve00=",0)</f>
        <v>0</v>
      </c>
      <c r="CA222" t="e">
        <f>AND(DATA!A1784,"AAAAAFdve04=")</f>
        <v>#VALUE!</v>
      </c>
      <c r="CB222" t="e">
        <f>AND(DATA!B1784,"AAAAAFdve08=")</f>
        <v>#VALUE!</v>
      </c>
      <c r="CC222" t="e">
        <f>AND(DATA!C1784,"AAAAAFdve1A=")</f>
        <v>#VALUE!</v>
      </c>
      <c r="CD222" t="e">
        <f>AND(DATA!D1784,"AAAAAFdve1E=")</f>
        <v>#VALUE!</v>
      </c>
      <c r="CE222" t="e">
        <f>AND(DATA!E1784,"AAAAAFdve1I=")</f>
        <v>#VALUE!</v>
      </c>
      <c r="CF222" t="e">
        <f>AND(DATA!F1784,"AAAAAFdve1M=")</f>
        <v>#VALUE!</v>
      </c>
      <c r="CG222" t="e">
        <f>AND(DATA!G1784,"AAAAAFdve1Q=")</f>
        <v>#VALUE!</v>
      </c>
      <c r="CH222" t="e">
        <f>AND(DATA!H1784,"AAAAAFdve1U=")</f>
        <v>#VALUE!</v>
      </c>
      <c r="CI222" t="e">
        <f>AND(DATA!I1784,"AAAAAFdve1Y=")</f>
        <v>#VALUE!</v>
      </c>
      <c r="CJ222" t="e">
        <f>AND(DATA!J1784,"AAAAAFdve1c=")</f>
        <v>#VALUE!</v>
      </c>
      <c r="CK222" t="e">
        <f>AND(DATA!K1784,"AAAAAFdve1g=")</f>
        <v>#VALUE!</v>
      </c>
      <c r="CL222" t="b">
        <f>AND(DATA!L1785,"AAAAAFdve1k=")</f>
        <v>1</v>
      </c>
      <c r="CM222" t="b">
        <f>AND(DATA!M1785,"AAAAAFdve1o=")</f>
        <v>1</v>
      </c>
      <c r="CN222" t="b">
        <f>AND(DATA!N1785,"AAAAAFdve1s=")</f>
        <v>1</v>
      </c>
      <c r="CO222" t="b">
        <f>AND(DATA!O1785,"AAAAAFdve1w=")</f>
        <v>1</v>
      </c>
      <c r="CP222" t="b">
        <f>AND(DATA!P1785,"AAAAAFdve10=")</f>
        <v>1</v>
      </c>
      <c r="CQ222" t="b">
        <f>AND(DATA!Q1785,"AAAAAFdve14=")</f>
        <v>1</v>
      </c>
      <c r="CR222" t="b">
        <f>AND(DATA!R1785,"AAAAAFdve18=")</f>
        <v>1</v>
      </c>
      <c r="CS222" t="b">
        <f>AND(DATA!S1785,"AAAAAFdve2A=")</f>
        <v>1</v>
      </c>
      <c r="CT222" t="b">
        <f>AND(DATA!T1785,"AAAAAFdve2E=")</f>
        <v>1</v>
      </c>
      <c r="CU222">
        <f>IF(DATA!1785:1785,"AAAAAFdve2I=",0)</f>
        <v>0</v>
      </c>
      <c r="CV222" t="e">
        <f>AND(DATA!A1785,"AAAAAFdve2M=")</f>
        <v>#VALUE!</v>
      </c>
      <c r="CW222" t="e">
        <f>AND(DATA!B1785,"AAAAAFdve2Q=")</f>
        <v>#VALUE!</v>
      </c>
      <c r="CX222" t="e">
        <f>AND(DATA!C1785,"AAAAAFdve2U=")</f>
        <v>#VALUE!</v>
      </c>
      <c r="CY222" t="e">
        <f>AND(DATA!D1785,"AAAAAFdve2Y=")</f>
        <v>#VALUE!</v>
      </c>
      <c r="CZ222" t="e">
        <f>AND(DATA!E1785,"AAAAAFdve2c=")</f>
        <v>#VALUE!</v>
      </c>
      <c r="DA222" t="e">
        <f>AND(DATA!F1785,"AAAAAFdve2g=")</f>
        <v>#VALUE!</v>
      </c>
      <c r="DB222" t="e">
        <f>AND(DATA!G1785,"AAAAAFdve2k=")</f>
        <v>#VALUE!</v>
      </c>
      <c r="DC222" t="e">
        <f>AND(DATA!H1785,"AAAAAFdve2o=")</f>
        <v>#VALUE!</v>
      </c>
      <c r="DD222" t="e">
        <f>AND(DATA!I1785,"AAAAAFdve2s=")</f>
        <v>#VALUE!</v>
      </c>
      <c r="DE222" t="e">
        <f>AND(DATA!J1785,"AAAAAFdve2w=")</f>
        <v>#VALUE!</v>
      </c>
      <c r="DF222" t="e">
        <f>AND(DATA!K1785,"AAAAAFdve20=")</f>
        <v>#VALUE!</v>
      </c>
      <c r="DG222" t="b">
        <f>AND(DATA!L1786,"AAAAAFdve24=")</f>
        <v>1</v>
      </c>
      <c r="DH222" t="b">
        <f>AND(DATA!M1786,"AAAAAFdve28=")</f>
        <v>1</v>
      </c>
      <c r="DI222" t="b">
        <f>AND(DATA!N1786,"AAAAAFdve3A=")</f>
        <v>1</v>
      </c>
      <c r="DJ222" t="b">
        <f>AND(DATA!O1786,"AAAAAFdve3E=")</f>
        <v>1</v>
      </c>
      <c r="DK222" t="b">
        <f>AND(DATA!P1786,"AAAAAFdve3I=")</f>
        <v>1</v>
      </c>
      <c r="DL222" t="b">
        <f>AND(DATA!Q1786,"AAAAAFdve3M=")</f>
        <v>1</v>
      </c>
      <c r="DM222" t="b">
        <f>AND(DATA!R1786,"AAAAAFdve3Q=")</f>
        <v>1</v>
      </c>
      <c r="DN222" t="b">
        <f>AND(DATA!S1786,"AAAAAFdve3U=")</f>
        <v>1</v>
      </c>
      <c r="DO222" t="b">
        <f>AND(DATA!T1786,"AAAAAFdve3Y=")</f>
        <v>1</v>
      </c>
      <c r="DP222">
        <f>IF(DATA!1786:1786,"AAAAAFdve3c=",0)</f>
        <v>0</v>
      </c>
      <c r="DQ222" t="e">
        <f>AND(DATA!A1786,"AAAAAFdve3g=")</f>
        <v>#VALUE!</v>
      </c>
      <c r="DR222" t="e">
        <f>AND(DATA!B1786,"AAAAAFdve3k=")</f>
        <v>#VALUE!</v>
      </c>
      <c r="DS222" t="e">
        <f>AND(DATA!C1786,"AAAAAFdve3o=")</f>
        <v>#VALUE!</v>
      </c>
      <c r="DT222" t="e">
        <f>AND(DATA!D1786,"AAAAAFdve3s=")</f>
        <v>#VALUE!</v>
      </c>
      <c r="DU222" t="e">
        <f>AND(DATA!E1786,"AAAAAFdve3w=")</f>
        <v>#VALUE!</v>
      </c>
      <c r="DV222" t="e">
        <f>AND(DATA!F1786,"AAAAAFdve30=")</f>
        <v>#VALUE!</v>
      </c>
      <c r="DW222" t="e">
        <f>AND(DATA!G1786,"AAAAAFdve34=")</f>
        <v>#VALUE!</v>
      </c>
      <c r="DX222" t="e">
        <f>AND(DATA!H1786,"AAAAAFdve38=")</f>
        <v>#VALUE!</v>
      </c>
      <c r="DY222" t="e">
        <f>AND(DATA!I1786,"AAAAAFdve4A=")</f>
        <v>#VALUE!</v>
      </c>
      <c r="DZ222" t="e">
        <f>AND(DATA!J1786,"AAAAAFdve4E=")</f>
        <v>#VALUE!</v>
      </c>
      <c r="EA222" t="e">
        <f>AND(DATA!K1786,"AAAAAFdve4I=")</f>
        <v>#VALUE!</v>
      </c>
      <c r="EB222" t="b">
        <f>AND(DATA!L1787,"AAAAAFdve4M=")</f>
        <v>1</v>
      </c>
      <c r="EC222" t="b">
        <f>AND(DATA!M1787,"AAAAAFdve4Q=")</f>
        <v>1</v>
      </c>
      <c r="ED222" t="b">
        <f>AND(DATA!N1787,"AAAAAFdve4U=")</f>
        <v>1</v>
      </c>
      <c r="EE222" t="b">
        <f>AND(DATA!O1787,"AAAAAFdve4Y=")</f>
        <v>1</v>
      </c>
      <c r="EF222" t="b">
        <f>AND(DATA!P1787,"AAAAAFdve4c=")</f>
        <v>1</v>
      </c>
      <c r="EG222" t="b">
        <f>AND(DATA!Q1787,"AAAAAFdve4g=")</f>
        <v>1</v>
      </c>
      <c r="EH222" t="b">
        <f>AND(DATA!R1787,"AAAAAFdve4k=")</f>
        <v>1</v>
      </c>
      <c r="EI222" t="b">
        <f>AND(DATA!S1787,"AAAAAFdve4o=")</f>
        <v>1</v>
      </c>
      <c r="EJ222" t="b">
        <f>AND(DATA!T1787,"AAAAAFdve4s=")</f>
        <v>1</v>
      </c>
      <c r="EK222">
        <f>IF(DATA!1787:1787,"AAAAAFdve4w=",0)</f>
        <v>0</v>
      </c>
      <c r="EL222" t="e">
        <f>AND(DATA!A1787,"AAAAAFdve40=")</f>
        <v>#VALUE!</v>
      </c>
      <c r="EM222" t="e">
        <f>AND(DATA!B1787,"AAAAAFdve44=")</f>
        <v>#VALUE!</v>
      </c>
      <c r="EN222" t="e">
        <f>AND(DATA!C1787,"AAAAAFdve48=")</f>
        <v>#VALUE!</v>
      </c>
      <c r="EO222" t="e">
        <f>AND(DATA!D1787,"AAAAAFdve5A=")</f>
        <v>#VALUE!</v>
      </c>
      <c r="EP222" t="e">
        <f>AND(DATA!E1787,"AAAAAFdve5E=")</f>
        <v>#VALUE!</v>
      </c>
      <c r="EQ222" t="e">
        <f>AND(DATA!F1787,"AAAAAFdve5I=")</f>
        <v>#VALUE!</v>
      </c>
      <c r="ER222" t="e">
        <f>AND(DATA!G1787,"AAAAAFdve5M=")</f>
        <v>#VALUE!</v>
      </c>
      <c r="ES222" t="e">
        <f>AND(DATA!H1787,"AAAAAFdve5Q=")</f>
        <v>#VALUE!</v>
      </c>
      <c r="ET222" t="e">
        <f>AND(DATA!I1787,"AAAAAFdve5U=")</f>
        <v>#VALUE!</v>
      </c>
      <c r="EU222" t="e">
        <f>AND(DATA!J1787,"AAAAAFdve5Y=")</f>
        <v>#VALUE!</v>
      </c>
      <c r="EV222" t="e">
        <f>AND(DATA!K1787,"AAAAAFdve5c=")</f>
        <v>#VALUE!</v>
      </c>
      <c r="EW222" t="b">
        <f>AND(DATA!L1788,"AAAAAFdve5g=")</f>
        <v>1</v>
      </c>
      <c r="EX222" t="b">
        <f>AND(DATA!M1788,"AAAAAFdve5k=")</f>
        <v>1</v>
      </c>
      <c r="EY222" t="b">
        <f>AND(DATA!N1788,"AAAAAFdve5o=")</f>
        <v>1</v>
      </c>
      <c r="EZ222" t="b">
        <f>AND(DATA!O1788,"AAAAAFdve5s=")</f>
        <v>1</v>
      </c>
      <c r="FA222" t="b">
        <f>AND(DATA!P1788,"AAAAAFdve5w=")</f>
        <v>1</v>
      </c>
      <c r="FB222" t="b">
        <f>AND(DATA!Q1788,"AAAAAFdve50=")</f>
        <v>1</v>
      </c>
      <c r="FC222" t="b">
        <f>AND(DATA!R1788,"AAAAAFdve54=")</f>
        <v>1</v>
      </c>
      <c r="FD222" t="b">
        <f>AND(DATA!S1788,"AAAAAFdve58=")</f>
        <v>1</v>
      </c>
      <c r="FE222" t="b">
        <f>AND(DATA!T1788,"AAAAAFdve6A=")</f>
        <v>1</v>
      </c>
      <c r="FF222">
        <f>IF(DATA!1788:1788,"AAAAAFdve6E=",0)</f>
        <v>0</v>
      </c>
      <c r="FG222" t="e">
        <f>AND(DATA!A1788,"AAAAAFdve6I=")</f>
        <v>#VALUE!</v>
      </c>
      <c r="FH222" t="e">
        <f>AND(DATA!B1788,"AAAAAFdve6M=")</f>
        <v>#VALUE!</v>
      </c>
      <c r="FI222" t="e">
        <f>AND(DATA!C1788,"AAAAAFdve6Q=")</f>
        <v>#VALUE!</v>
      </c>
      <c r="FJ222" t="e">
        <f>AND(DATA!D1788,"AAAAAFdve6U=")</f>
        <v>#VALUE!</v>
      </c>
      <c r="FK222" t="e">
        <f>AND(DATA!E1788,"AAAAAFdve6Y=")</f>
        <v>#VALUE!</v>
      </c>
      <c r="FL222" t="e">
        <f>AND(DATA!F1788,"AAAAAFdve6c=")</f>
        <v>#VALUE!</v>
      </c>
      <c r="FM222" t="e">
        <f>AND(DATA!G1788,"AAAAAFdve6g=")</f>
        <v>#VALUE!</v>
      </c>
      <c r="FN222" t="e">
        <f>AND(DATA!H1788,"AAAAAFdve6k=")</f>
        <v>#VALUE!</v>
      </c>
      <c r="FO222" t="e">
        <f>AND(DATA!I1788,"AAAAAFdve6o=")</f>
        <v>#VALUE!</v>
      </c>
      <c r="FP222" t="e">
        <f>AND(DATA!J1788,"AAAAAFdve6s=")</f>
        <v>#VALUE!</v>
      </c>
      <c r="FQ222" t="e">
        <f>AND(DATA!K1788,"AAAAAFdve6w=")</f>
        <v>#VALUE!</v>
      </c>
      <c r="FR222" t="b">
        <f>AND(DATA!L1789,"AAAAAFdve60=")</f>
        <v>1</v>
      </c>
      <c r="FS222" t="b">
        <f>AND(DATA!M1789,"AAAAAFdve64=")</f>
        <v>1</v>
      </c>
      <c r="FT222" t="b">
        <f>AND(DATA!N1789,"AAAAAFdve68=")</f>
        <v>1</v>
      </c>
      <c r="FU222" t="b">
        <f>AND(DATA!O1789,"AAAAAFdve7A=")</f>
        <v>1</v>
      </c>
      <c r="FV222" t="b">
        <f>AND(DATA!P1789,"AAAAAFdve7E=")</f>
        <v>1</v>
      </c>
      <c r="FW222" t="b">
        <f>AND(DATA!Q1789,"AAAAAFdve7I=")</f>
        <v>1</v>
      </c>
      <c r="FX222" t="b">
        <f>AND(DATA!R1789,"AAAAAFdve7M=")</f>
        <v>1</v>
      </c>
      <c r="FY222" t="b">
        <f>AND(DATA!S1789,"AAAAAFdve7Q=")</f>
        <v>1</v>
      </c>
      <c r="FZ222" t="b">
        <f>AND(DATA!T1789,"AAAAAFdve7U=")</f>
        <v>1</v>
      </c>
      <c r="GA222">
        <f>IF(DATA!1789:1789,"AAAAAFdve7Y=",0)</f>
        <v>0</v>
      </c>
      <c r="GB222" t="e">
        <f>AND(DATA!A1789,"AAAAAFdve7c=")</f>
        <v>#VALUE!</v>
      </c>
      <c r="GC222" t="e">
        <f>AND(DATA!B1789,"AAAAAFdve7g=")</f>
        <v>#VALUE!</v>
      </c>
      <c r="GD222" t="e">
        <f>AND(DATA!C1789,"AAAAAFdve7k=")</f>
        <v>#VALUE!</v>
      </c>
      <c r="GE222" t="e">
        <f>AND(DATA!D1789,"AAAAAFdve7o=")</f>
        <v>#VALUE!</v>
      </c>
      <c r="GF222" t="e">
        <f>AND(DATA!E1789,"AAAAAFdve7s=")</f>
        <v>#VALUE!</v>
      </c>
      <c r="GG222" t="e">
        <f>AND(DATA!F1789,"AAAAAFdve7w=")</f>
        <v>#VALUE!</v>
      </c>
      <c r="GH222" t="e">
        <f>AND(DATA!G1789,"AAAAAFdve70=")</f>
        <v>#VALUE!</v>
      </c>
      <c r="GI222" t="e">
        <f>AND(DATA!H1789,"AAAAAFdve74=")</f>
        <v>#VALUE!</v>
      </c>
      <c r="GJ222" t="e">
        <f>AND(DATA!I1789,"AAAAAFdve78=")</f>
        <v>#VALUE!</v>
      </c>
      <c r="GK222" t="e">
        <f>AND(DATA!J1789,"AAAAAFdve8A=")</f>
        <v>#VALUE!</v>
      </c>
      <c r="GL222" t="e">
        <f>AND(DATA!K1789,"AAAAAFdve8E=")</f>
        <v>#VALUE!</v>
      </c>
      <c r="GM222" t="b">
        <f>AND(DATA!L1790,"AAAAAFdve8I=")</f>
        <v>1</v>
      </c>
      <c r="GN222" t="b">
        <f>AND(DATA!M1790,"AAAAAFdve8M=")</f>
        <v>1</v>
      </c>
      <c r="GO222" t="b">
        <f>AND(DATA!N1790,"AAAAAFdve8Q=")</f>
        <v>1</v>
      </c>
      <c r="GP222" t="b">
        <f>AND(DATA!O1790,"AAAAAFdve8U=")</f>
        <v>1</v>
      </c>
      <c r="GQ222" t="b">
        <f>AND(DATA!P1790,"AAAAAFdve8Y=")</f>
        <v>1</v>
      </c>
      <c r="GR222" t="b">
        <f>AND(DATA!Q1790,"AAAAAFdve8c=")</f>
        <v>1</v>
      </c>
      <c r="GS222" t="b">
        <f>AND(DATA!R1790,"AAAAAFdve8g=")</f>
        <v>1</v>
      </c>
      <c r="GT222" t="b">
        <f>AND(DATA!S1790,"AAAAAFdve8k=")</f>
        <v>1</v>
      </c>
      <c r="GU222" t="b">
        <f>AND(DATA!T1790,"AAAAAFdve8o=")</f>
        <v>1</v>
      </c>
      <c r="GV222">
        <f>IF(DATA!1790:1790,"AAAAAFdve8s=",0)</f>
        <v>0</v>
      </c>
      <c r="GW222" t="e">
        <f>AND(DATA!A1790,"AAAAAFdve8w=")</f>
        <v>#VALUE!</v>
      </c>
      <c r="GX222" t="e">
        <f>AND(DATA!B1790,"AAAAAFdve80=")</f>
        <v>#VALUE!</v>
      </c>
      <c r="GY222" t="e">
        <f>AND(DATA!C1790,"AAAAAFdve84=")</f>
        <v>#VALUE!</v>
      </c>
      <c r="GZ222" t="e">
        <f>AND(DATA!D1790,"AAAAAFdve88=")</f>
        <v>#VALUE!</v>
      </c>
      <c r="HA222" t="e">
        <f>AND(DATA!E1790,"AAAAAFdve9A=")</f>
        <v>#VALUE!</v>
      </c>
      <c r="HB222" t="e">
        <f>AND(DATA!F1790,"AAAAAFdve9E=")</f>
        <v>#VALUE!</v>
      </c>
      <c r="HC222" t="e">
        <f>AND(DATA!G1790,"AAAAAFdve9I=")</f>
        <v>#VALUE!</v>
      </c>
      <c r="HD222" t="e">
        <f>AND(DATA!H1790,"AAAAAFdve9M=")</f>
        <v>#VALUE!</v>
      </c>
      <c r="HE222" t="e">
        <f>AND(DATA!I1790,"AAAAAFdve9Q=")</f>
        <v>#VALUE!</v>
      </c>
      <c r="HF222" t="e">
        <f>AND(DATA!J1790,"AAAAAFdve9U=")</f>
        <v>#VALUE!</v>
      </c>
      <c r="HG222" t="e">
        <f>AND(DATA!K1790,"AAAAAFdve9Y=")</f>
        <v>#VALUE!</v>
      </c>
      <c r="HH222" t="b">
        <f>AND(DATA!L1791,"AAAAAFdve9c=")</f>
        <v>1</v>
      </c>
      <c r="HI222" t="b">
        <f>AND(DATA!M1791,"AAAAAFdve9g=")</f>
        <v>1</v>
      </c>
      <c r="HJ222" t="b">
        <f>AND(DATA!N1791,"AAAAAFdve9k=")</f>
        <v>1</v>
      </c>
      <c r="HK222" t="b">
        <f>AND(DATA!O1791,"AAAAAFdve9o=")</f>
        <v>1</v>
      </c>
      <c r="HL222" t="b">
        <f>AND(DATA!P1791,"AAAAAFdve9s=")</f>
        <v>1</v>
      </c>
      <c r="HM222" t="b">
        <f>AND(DATA!Q1791,"AAAAAFdve9w=")</f>
        <v>1</v>
      </c>
      <c r="HN222" t="b">
        <f>AND(DATA!R1791,"AAAAAFdve90=")</f>
        <v>1</v>
      </c>
      <c r="HO222" t="b">
        <f>AND(DATA!S1791,"AAAAAFdve94=")</f>
        <v>1</v>
      </c>
      <c r="HP222" t="b">
        <f>AND(DATA!T1791,"AAAAAFdve98=")</f>
        <v>1</v>
      </c>
      <c r="HQ222">
        <f>IF(DATA!1791:1791,"AAAAAFdve+A=",0)</f>
        <v>0</v>
      </c>
      <c r="HR222" t="e">
        <f>AND(DATA!A1791,"AAAAAFdve+E=")</f>
        <v>#VALUE!</v>
      </c>
      <c r="HS222" t="e">
        <f>AND(DATA!B1791,"AAAAAFdve+I=")</f>
        <v>#VALUE!</v>
      </c>
      <c r="HT222" t="e">
        <f>AND(DATA!C1791,"AAAAAFdve+M=")</f>
        <v>#VALUE!</v>
      </c>
      <c r="HU222" t="e">
        <f>AND(DATA!D1791,"AAAAAFdve+Q=")</f>
        <v>#VALUE!</v>
      </c>
      <c r="HV222" t="e">
        <f>AND(DATA!E1791,"AAAAAFdve+U=")</f>
        <v>#VALUE!</v>
      </c>
      <c r="HW222" t="e">
        <f>AND(DATA!F1791,"AAAAAFdve+Y=")</f>
        <v>#VALUE!</v>
      </c>
      <c r="HX222" t="e">
        <f>AND(DATA!G1791,"AAAAAFdve+c=")</f>
        <v>#VALUE!</v>
      </c>
      <c r="HY222" t="e">
        <f>AND(DATA!H1791,"AAAAAFdve+g=")</f>
        <v>#VALUE!</v>
      </c>
      <c r="HZ222" t="e">
        <f>AND(DATA!I1791,"AAAAAFdve+k=")</f>
        <v>#VALUE!</v>
      </c>
      <c r="IA222" t="e">
        <f>AND(DATA!J1791,"AAAAAFdve+o=")</f>
        <v>#VALUE!</v>
      </c>
      <c r="IB222" t="e">
        <f>AND(DATA!K1791,"AAAAAFdve+s=")</f>
        <v>#VALUE!</v>
      </c>
      <c r="IC222" t="b">
        <f>AND(DATA!L1792,"AAAAAFdve+w=")</f>
        <v>1</v>
      </c>
      <c r="ID222" t="b">
        <f>AND(DATA!M1792,"AAAAAFdve+0=")</f>
        <v>1</v>
      </c>
      <c r="IE222" t="b">
        <f>AND(DATA!N1792,"AAAAAFdve+4=")</f>
        <v>1</v>
      </c>
      <c r="IF222" t="b">
        <f>AND(DATA!O1792,"AAAAAFdve+8=")</f>
        <v>1</v>
      </c>
      <c r="IG222" t="b">
        <f>AND(DATA!P1792,"AAAAAFdve/A=")</f>
        <v>1</v>
      </c>
      <c r="IH222" t="b">
        <f>AND(DATA!Q1792,"AAAAAFdve/E=")</f>
        <v>1</v>
      </c>
      <c r="II222" t="b">
        <f>AND(DATA!R1792,"AAAAAFdve/I=")</f>
        <v>1</v>
      </c>
      <c r="IJ222" t="b">
        <f>AND(DATA!S1792,"AAAAAFdve/M=")</f>
        <v>1</v>
      </c>
      <c r="IK222" t="b">
        <f>AND(DATA!T1792,"AAAAAFdve/Q=")</f>
        <v>1</v>
      </c>
      <c r="IL222">
        <f>IF(DATA!1792:1792,"AAAAAFdve/U=",0)</f>
        <v>0</v>
      </c>
      <c r="IM222" t="e">
        <f>AND(DATA!A1792,"AAAAAFdve/Y=")</f>
        <v>#VALUE!</v>
      </c>
      <c r="IN222" t="e">
        <f>AND(DATA!B1792,"AAAAAFdve/c=")</f>
        <v>#VALUE!</v>
      </c>
      <c r="IO222" t="e">
        <f>AND(DATA!C1792,"AAAAAFdve/g=")</f>
        <v>#VALUE!</v>
      </c>
      <c r="IP222" t="e">
        <f>AND(DATA!D1792,"AAAAAFdve/k=")</f>
        <v>#VALUE!</v>
      </c>
      <c r="IQ222" t="e">
        <f>AND(DATA!E1792,"AAAAAFdve/o=")</f>
        <v>#VALUE!</v>
      </c>
      <c r="IR222" t="e">
        <f>AND(DATA!F1792,"AAAAAFdve/s=")</f>
        <v>#VALUE!</v>
      </c>
      <c r="IS222" t="e">
        <f>AND(DATA!G1792,"AAAAAFdve/w=")</f>
        <v>#VALUE!</v>
      </c>
      <c r="IT222" t="e">
        <f>AND(DATA!H1792,"AAAAAFdve/0=")</f>
        <v>#VALUE!</v>
      </c>
      <c r="IU222" t="e">
        <f>AND(DATA!I1792,"AAAAAFdve/4=")</f>
        <v>#VALUE!</v>
      </c>
      <c r="IV222" t="e">
        <f>AND(DATA!J1792,"AAAAAFdve/8=")</f>
        <v>#VALUE!</v>
      </c>
    </row>
    <row r="223" spans="1:256" x14ac:dyDescent="0.25">
      <c r="A223" t="e">
        <f>AND(DATA!K1792,"AAAAACJ5+gA=")</f>
        <v>#VALUE!</v>
      </c>
      <c r="B223" t="b">
        <f>AND(DATA!L1793,"AAAAACJ5+gE=")</f>
        <v>1</v>
      </c>
      <c r="C223" t="b">
        <f>AND(DATA!M1793,"AAAAACJ5+gI=")</f>
        <v>1</v>
      </c>
      <c r="D223" t="b">
        <f>AND(DATA!N1793,"AAAAACJ5+gM=")</f>
        <v>1</v>
      </c>
      <c r="E223" t="b">
        <f>AND(DATA!O1793,"AAAAACJ5+gQ=")</f>
        <v>1</v>
      </c>
      <c r="F223" t="b">
        <f>AND(DATA!P1793,"AAAAACJ5+gU=")</f>
        <v>1</v>
      </c>
      <c r="G223" t="b">
        <f>AND(DATA!Q1793,"AAAAACJ5+gY=")</f>
        <v>1</v>
      </c>
      <c r="H223" t="b">
        <f>AND(DATA!R1793,"AAAAACJ5+gc=")</f>
        <v>1</v>
      </c>
      <c r="I223" t="b">
        <f>AND(DATA!S1793,"AAAAACJ5+gg=")</f>
        <v>1</v>
      </c>
      <c r="J223" t="b">
        <f>AND(DATA!T1793,"AAAAACJ5+gk=")</f>
        <v>1</v>
      </c>
      <c r="K223">
        <f>IF(DATA!1793:1793,"AAAAACJ5+go=",0)</f>
        <v>0</v>
      </c>
      <c r="L223" t="e">
        <f>AND(DATA!A1793,"AAAAACJ5+gs=")</f>
        <v>#VALUE!</v>
      </c>
      <c r="M223" t="e">
        <f>AND(DATA!B1793,"AAAAACJ5+gw=")</f>
        <v>#VALUE!</v>
      </c>
      <c r="N223" t="e">
        <f>AND(DATA!C1793,"AAAAACJ5+g0=")</f>
        <v>#VALUE!</v>
      </c>
      <c r="O223" t="e">
        <f>AND(DATA!D1793,"AAAAACJ5+g4=")</f>
        <v>#VALUE!</v>
      </c>
      <c r="P223" t="e">
        <f>AND(DATA!E1793,"AAAAACJ5+g8=")</f>
        <v>#VALUE!</v>
      </c>
      <c r="Q223" t="e">
        <f>AND(DATA!F1793,"AAAAACJ5+hA=")</f>
        <v>#VALUE!</v>
      </c>
      <c r="R223" t="e">
        <f>AND(DATA!G1793,"AAAAACJ5+hE=")</f>
        <v>#VALUE!</v>
      </c>
      <c r="S223" t="e">
        <f>AND(DATA!H1793,"AAAAACJ5+hI=")</f>
        <v>#VALUE!</v>
      </c>
      <c r="T223" t="e">
        <f>AND(DATA!I1793,"AAAAACJ5+hM=")</f>
        <v>#VALUE!</v>
      </c>
      <c r="U223" t="e">
        <f>AND(DATA!J1793,"AAAAACJ5+hQ=")</f>
        <v>#VALUE!</v>
      </c>
      <c r="V223" t="e">
        <f>AND(DATA!K1793,"AAAAACJ5+hU=")</f>
        <v>#VALUE!</v>
      </c>
      <c r="W223" t="b">
        <f>AND(DATA!L1794,"AAAAACJ5+hY=")</f>
        <v>1</v>
      </c>
      <c r="X223" t="b">
        <f>AND(DATA!M1794,"AAAAACJ5+hc=")</f>
        <v>1</v>
      </c>
      <c r="Y223" t="b">
        <f>AND(DATA!N1794,"AAAAACJ5+hg=")</f>
        <v>1</v>
      </c>
      <c r="Z223" t="b">
        <f>AND(DATA!O1794,"AAAAACJ5+hk=")</f>
        <v>1</v>
      </c>
      <c r="AA223" t="b">
        <f>AND(DATA!P1794,"AAAAACJ5+ho=")</f>
        <v>1</v>
      </c>
      <c r="AB223" t="b">
        <f>AND(DATA!Q1794,"AAAAACJ5+hs=")</f>
        <v>1</v>
      </c>
      <c r="AC223" t="b">
        <f>AND(DATA!R1794,"AAAAACJ5+hw=")</f>
        <v>1</v>
      </c>
      <c r="AD223" t="b">
        <f>AND(DATA!S1794,"AAAAACJ5+h0=")</f>
        <v>1</v>
      </c>
      <c r="AE223" t="b">
        <f>AND(DATA!T1794,"AAAAACJ5+h4=")</f>
        <v>1</v>
      </c>
      <c r="AF223">
        <f>IF(DATA!1794:1794,"AAAAACJ5+h8=",0)</f>
        <v>0</v>
      </c>
      <c r="AG223" t="e">
        <f>AND(DATA!A1794,"AAAAACJ5+iA=")</f>
        <v>#VALUE!</v>
      </c>
      <c r="AH223" t="e">
        <f>AND(DATA!B1794,"AAAAACJ5+iE=")</f>
        <v>#VALUE!</v>
      </c>
      <c r="AI223" t="e">
        <f>AND(DATA!C1794,"AAAAACJ5+iI=")</f>
        <v>#VALUE!</v>
      </c>
      <c r="AJ223" t="e">
        <f>AND(DATA!D1794,"AAAAACJ5+iM=")</f>
        <v>#VALUE!</v>
      </c>
      <c r="AK223" t="e">
        <f>AND(DATA!E1794,"AAAAACJ5+iQ=")</f>
        <v>#VALUE!</v>
      </c>
      <c r="AL223" t="e">
        <f>AND(DATA!F1794,"AAAAACJ5+iU=")</f>
        <v>#VALUE!</v>
      </c>
      <c r="AM223" t="e">
        <f>AND(DATA!G1794,"AAAAACJ5+iY=")</f>
        <v>#VALUE!</v>
      </c>
      <c r="AN223" t="e">
        <f>AND(DATA!H1794,"AAAAACJ5+ic=")</f>
        <v>#VALUE!</v>
      </c>
      <c r="AO223" t="e">
        <f>AND(DATA!I1794,"AAAAACJ5+ig=")</f>
        <v>#VALUE!</v>
      </c>
      <c r="AP223" t="e">
        <f>AND(DATA!J1794,"AAAAACJ5+ik=")</f>
        <v>#VALUE!</v>
      </c>
      <c r="AQ223" t="e">
        <f>AND(DATA!K1794,"AAAAACJ5+io=")</f>
        <v>#VALUE!</v>
      </c>
      <c r="AR223" t="b">
        <f>AND(DATA!L1795,"AAAAACJ5+is=")</f>
        <v>1</v>
      </c>
      <c r="AS223" t="b">
        <f>AND(DATA!M1795,"AAAAACJ5+iw=")</f>
        <v>1</v>
      </c>
      <c r="AT223" t="b">
        <f>AND(DATA!N1795,"AAAAACJ5+i0=")</f>
        <v>1</v>
      </c>
      <c r="AU223" t="b">
        <f>AND(DATA!O1795,"AAAAACJ5+i4=")</f>
        <v>1</v>
      </c>
      <c r="AV223" t="b">
        <f>AND(DATA!P1795,"AAAAACJ5+i8=")</f>
        <v>1</v>
      </c>
      <c r="AW223" t="b">
        <f>AND(DATA!Q1795,"AAAAACJ5+jA=")</f>
        <v>1</v>
      </c>
      <c r="AX223" t="b">
        <f>AND(DATA!R1795,"AAAAACJ5+jE=")</f>
        <v>1</v>
      </c>
      <c r="AY223" t="b">
        <f>AND(DATA!S1795,"AAAAACJ5+jI=")</f>
        <v>1</v>
      </c>
      <c r="AZ223" t="b">
        <f>AND(DATA!T1795,"AAAAACJ5+jM=")</f>
        <v>1</v>
      </c>
      <c r="BA223">
        <f>IF(DATA!1795:1795,"AAAAACJ5+jQ=",0)</f>
        <v>0</v>
      </c>
      <c r="BB223" t="e">
        <f>AND(DATA!A1795,"AAAAACJ5+jU=")</f>
        <v>#VALUE!</v>
      </c>
      <c r="BC223" t="e">
        <f>AND(DATA!B1795,"AAAAACJ5+jY=")</f>
        <v>#VALUE!</v>
      </c>
      <c r="BD223" t="e">
        <f>AND(DATA!C1795,"AAAAACJ5+jc=")</f>
        <v>#VALUE!</v>
      </c>
      <c r="BE223" t="e">
        <f>AND(DATA!D1795,"AAAAACJ5+jg=")</f>
        <v>#VALUE!</v>
      </c>
      <c r="BF223" t="e">
        <f>AND(DATA!E1795,"AAAAACJ5+jk=")</f>
        <v>#VALUE!</v>
      </c>
      <c r="BG223" t="e">
        <f>AND(DATA!F1795,"AAAAACJ5+jo=")</f>
        <v>#VALUE!</v>
      </c>
      <c r="BH223" t="e">
        <f>AND(DATA!G1795,"AAAAACJ5+js=")</f>
        <v>#VALUE!</v>
      </c>
      <c r="BI223" t="e">
        <f>AND(DATA!H1795,"AAAAACJ5+jw=")</f>
        <v>#VALUE!</v>
      </c>
      <c r="BJ223" t="e">
        <f>AND(DATA!I1795,"AAAAACJ5+j0=")</f>
        <v>#VALUE!</v>
      </c>
      <c r="BK223" t="e">
        <f>AND(DATA!J1795,"AAAAACJ5+j4=")</f>
        <v>#VALUE!</v>
      </c>
      <c r="BL223" t="e">
        <f>AND(DATA!K1795,"AAAAACJ5+j8=")</f>
        <v>#VALUE!</v>
      </c>
      <c r="BM223" t="b">
        <f>AND(DATA!L1796,"AAAAACJ5+kA=")</f>
        <v>1</v>
      </c>
      <c r="BN223" t="b">
        <f>AND(DATA!M1796,"AAAAACJ5+kE=")</f>
        <v>1</v>
      </c>
      <c r="BO223" t="b">
        <f>AND(DATA!N1796,"AAAAACJ5+kI=")</f>
        <v>1</v>
      </c>
      <c r="BP223" t="b">
        <f>AND(DATA!O1796,"AAAAACJ5+kM=")</f>
        <v>1</v>
      </c>
      <c r="BQ223" t="b">
        <f>AND(DATA!P1796,"AAAAACJ5+kQ=")</f>
        <v>1</v>
      </c>
      <c r="BR223" t="b">
        <f>AND(DATA!Q1796,"AAAAACJ5+kU=")</f>
        <v>1</v>
      </c>
      <c r="BS223" t="b">
        <f>AND(DATA!R1796,"AAAAACJ5+kY=")</f>
        <v>1</v>
      </c>
      <c r="BT223" t="b">
        <f>AND(DATA!S1796,"AAAAACJ5+kc=")</f>
        <v>1</v>
      </c>
      <c r="BU223" t="b">
        <f>AND(DATA!T1796,"AAAAACJ5+kg=")</f>
        <v>1</v>
      </c>
      <c r="BV223">
        <f>IF(DATA!1796:1796,"AAAAACJ5+kk=",0)</f>
        <v>0</v>
      </c>
      <c r="BW223" t="e">
        <f>AND(DATA!A1796,"AAAAACJ5+ko=")</f>
        <v>#VALUE!</v>
      </c>
      <c r="BX223" t="e">
        <f>AND(DATA!B1796,"AAAAACJ5+ks=")</f>
        <v>#VALUE!</v>
      </c>
      <c r="BY223" t="e">
        <f>AND(DATA!C1796,"AAAAACJ5+kw=")</f>
        <v>#VALUE!</v>
      </c>
      <c r="BZ223" t="e">
        <f>AND(DATA!D1796,"AAAAACJ5+k0=")</f>
        <v>#VALUE!</v>
      </c>
      <c r="CA223" t="e">
        <f>AND(DATA!E1796,"AAAAACJ5+k4=")</f>
        <v>#VALUE!</v>
      </c>
      <c r="CB223" t="e">
        <f>AND(DATA!F1796,"AAAAACJ5+k8=")</f>
        <v>#VALUE!</v>
      </c>
      <c r="CC223" t="e">
        <f>AND(DATA!G1796,"AAAAACJ5+lA=")</f>
        <v>#VALUE!</v>
      </c>
      <c r="CD223" t="e">
        <f>AND(DATA!H1796,"AAAAACJ5+lE=")</f>
        <v>#VALUE!</v>
      </c>
      <c r="CE223" t="e">
        <f>AND(DATA!I1796,"AAAAACJ5+lI=")</f>
        <v>#VALUE!</v>
      </c>
      <c r="CF223" t="e">
        <f>AND(DATA!J1796,"AAAAACJ5+lM=")</f>
        <v>#VALUE!</v>
      </c>
      <c r="CG223" t="e">
        <f>AND(DATA!K1796,"AAAAACJ5+lQ=")</f>
        <v>#VALUE!</v>
      </c>
      <c r="CH223" t="b">
        <f>AND(DATA!L1797,"AAAAACJ5+lU=")</f>
        <v>1</v>
      </c>
      <c r="CI223" t="b">
        <f>AND(DATA!M1797,"AAAAACJ5+lY=")</f>
        <v>1</v>
      </c>
      <c r="CJ223" t="b">
        <f>AND(DATA!N1797,"AAAAACJ5+lc=")</f>
        <v>1</v>
      </c>
      <c r="CK223" t="b">
        <f>AND(DATA!O1797,"AAAAACJ5+lg=")</f>
        <v>1</v>
      </c>
      <c r="CL223" t="b">
        <f>AND(DATA!P1797,"AAAAACJ5+lk=")</f>
        <v>1</v>
      </c>
      <c r="CM223" t="b">
        <f>AND(DATA!Q1797,"AAAAACJ5+lo=")</f>
        <v>1</v>
      </c>
      <c r="CN223" t="b">
        <f>AND(DATA!R1797,"AAAAACJ5+ls=")</f>
        <v>1</v>
      </c>
      <c r="CO223" t="b">
        <f>AND(DATA!S1797,"AAAAACJ5+lw=")</f>
        <v>1</v>
      </c>
      <c r="CP223" t="b">
        <f>AND(DATA!T1797,"AAAAACJ5+l0=")</f>
        <v>1</v>
      </c>
      <c r="CQ223">
        <f>IF(DATA!1797:1797,"AAAAACJ5+l4=",0)</f>
        <v>0</v>
      </c>
      <c r="CR223" t="e">
        <f>AND(DATA!A1797,"AAAAACJ5+l8=")</f>
        <v>#VALUE!</v>
      </c>
      <c r="CS223" t="e">
        <f>AND(DATA!B1797,"AAAAACJ5+mA=")</f>
        <v>#VALUE!</v>
      </c>
      <c r="CT223" t="e">
        <f>AND(DATA!C1797,"AAAAACJ5+mE=")</f>
        <v>#VALUE!</v>
      </c>
      <c r="CU223" t="e">
        <f>AND(DATA!D1797,"AAAAACJ5+mI=")</f>
        <v>#VALUE!</v>
      </c>
      <c r="CV223" t="e">
        <f>AND(DATA!E1797,"AAAAACJ5+mM=")</f>
        <v>#VALUE!</v>
      </c>
      <c r="CW223" t="e">
        <f>AND(DATA!F1797,"AAAAACJ5+mQ=")</f>
        <v>#VALUE!</v>
      </c>
      <c r="CX223" t="e">
        <f>AND(DATA!G1797,"AAAAACJ5+mU=")</f>
        <v>#VALUE!</v>
      </c>
      <c r="CY223" t="e">
        <f>AND(DATA!H1797,"AAAAACJ5+mY=")</f>
        <v>#VALUE!</v>
      </c>
      <c r="CZ223" t="e">
        <f>AND(DATA!I1797,"AAAAACJ5+mc=")</f>
        <v>#VALUE!</v>
      </c>
      <c r="DA223" t="e">
        <f>AND(DATA!J1797,"AAAAACJ5+mg=")</f>
        <v>#VALUE!</v>
      </c>
      <c r="DB223" t="e">
        <f>AND(DATA!K1797,"AAAAACJ5+mk=")</f>
        <v>#VALUE!</v>
      </c>
      <c r="DC223" t="b">
        <f>AND(DATA!L1798,"AAAAACJ5+mo=")</f>
        <v>1</v>
      </c>
      <c r="DD223" t="b">
        <f>AND(DATA!M1798,"AAAAACJ5+ms=")</f>
        <v>1</v>
      </c>
      <c r="DE223" t="b">
        <f>AND(DATA!N1798,"AAAAACJ5+mw=")</f>
        <v>1</v>
      </c>
      <c r="DF223" t="b">
        <f>AND(DATA!O1798,"AAAAACJ5+m0=")</f>
        <v>1</v>
      </c>
      <c r="DG223" t="b">
        <f>AND(DATA!P1798,"AAAAACJ5+m4=")</f>
        <v>1</v>
      </c>
      <c r="DH223" t="b">
        <f>AND(DATA!Q1798,"AAAAACJ5+m8=")</f>
        <v>1</v>
      </c>
      <c r="DI223" t="b">
        <f>AND(DATA!R1798,"AAAAACJ5+nA=")</f>
        <v>1</v>
      </c>
      <c r="DJ223" t="b">
        <f>AND(DATA!S1798,"AAAAACJ5+nE=")</f>
        <v>1</v>
      </c>
      <c r="DK223" t="b">
        <f>AND(DATA!T1798,"AAAAACJ5+nI=")</f>
        <v>1</v>
      </c>
      <c r="DL223">
        <f>IF(DATA!1798:1798,"AAAAACJ5+nM=",0)</f>
        <v>0</v>
      </c>
      <c r="DM223" t="e">
        <f>AND(DATA!A1798,"AAAAACJ5+nQ=")</f>
        <v>#VALUE!</v>
      </c>
      <c r="DN223" t="e">
        <f>AND(DATA!B1798,"AAAAACJ5+nU=")</f>
        <v>#VALUE!</v>
      </c>
      <c r="DO223" t="e">
        <f>AND(DATA!C1798,"AAAAACJ5+nY=")</f>
        <v>#VALUE!</v>
      </c>
      <c r="DP223" t="e">
        <f>AND(DATA!D1798,"AAAAACJ5+nc=")</f>
        <v>#VALUE!</v>
      </c>
      <c r="DQ223" t="e">
        <f>AND(DATA!E1798,"AAAAACJ5+ng=")</f>
        <v>#VALUE!</v>
      </c>
      <c r="DR223" t="e">
        <f>AND(DATA!F1798,"AAAAACJ5+nk=")</f>
        <v>#VALUE!</v>
      </c>
      <c r="DS223" t="e">
        <f>AND(DATA!G1798,"AAAAACJ5+no=")</f>
        <v>#VALUE!</v>
      </c>
      <c r="DT223" t="e">
        <f>AND(DATA!H1798,"AAAAACJ5+ns=")</f>
        <v>#VALUE!</v>
      </c>
      <c r="DU223" t="e">
        <f>AND(DATA!I1798,"AAAAACJ5+nw=")</f>
        <v>#VALUE!</v>
      </c>
      <c r="DV223" t="e">
        <f>AND(DATA!J1798,"AAAAACJ5+n0=")</f>
        <v>#VALUE!</v>
      </c>
      <c r="DW223" t="e">
        <f>AND(DATA!K1798,"AAAAACJ5+n4=")</f>
        <v>#VALUE!</v>
      </c>
      <c r="DX223" t="b">
        <f>AND(DATA!L1799,"AAAAACJ5+n8=")</f>
        <v>1</v>
      </c>
      <c r="DY223" t="b">
        <f>AND(DATA!M1799,"AAAAACJ5+oA=")</f>
        <v>1</v>
      </c>
      <c r="DZ223" t="b">
        <f>AND(DATA!N1799,"AAAAACJ5+oE=")</f>
        <v>1</v>
      </c>
      <c r="EA223" t="b">
        <f>AND(DATA!O1799,"AAAAACJ5+oI=")</f>
        <v>1</v>
      </c>
      <c r="EB223" t="b">
        <f>AND(DATA!P1799,"AAAAACJ5+oM=")</f>
        <v>1</v>
      </c>
      <c r="EC223" t="b">
        <f>AND(DATA!Q1799,"AAAAACJ5+oQ=")</f>
        <v>1</v>
      </c>
      <c r="ED223" t="b">
        <f>AND(DATA!R1799,"AAAAACJ5+oU=")</f>
        <v>1</v>
      </c>
      <c r="EE223" t="b">
        <f>AND(DATA!S1799,"AAAAACJ5+oY=")</f>
        <v>1</v>
      </c>
      <c r="EF223" t="b">
        <f>AND(DATA!T1799,"AAAAACJ5+oc=")</f>
        <v>1</v>
      </c>
      <c r="EG223">
        <f>IF(DATA!1799:1799,"AAAAACJ5+og=",0)</f>
        <v>0</v>
      </c>
      <c r="EH223" t="e">
        <f>AND(DATA!A1799,"AAAAACJ5+ok=")</f>
        <v>#VALUE!</v>
      </c>
      <c r="EI223" t="e">
        <f>AND(DATA!B1799,"AAAAACJ5+oo=")</f>
        <v>#VALUE!</v>
      </c>
      <c r="EJ223" t="e">
        <f>AND(DATA!C1799,"AAAAACJ5+os=")</f>
        <v>#VALUE!</v>
      </c>
      <c r="EK223" t="e">
        <f>AND(DATA!D1799,"AAAAACJ5+ow=")</f>
        <v>#VALUE!</v>
      </c>
      <c r="EL223" t="e">
        <f>AND(DATA!E1799,"AAAAACJ5+o0=")</f>
        <v>#VALUE!</v>
      </c>
      <c r="EM223" t="e">
        <f>AND(DATA!F1799,"AAAAACJ5+o4=")</f>
        <v>#VALUE!</v>
      </c>
      <c r="EN223" t="e">
        <f>AND(DATA!G1799,"AAAAACJ5+o8=")</f>
        <v>#VALUE!</v>
      </c>
      <c r="EO223" t="e">
        <f>AND(DATA!H1799,"AAAAACJ5+pA=")</f>
        <v>#VALUE!</v>
      </c>
      <c r="EP223" t="e">
        <f>AND(DATA!I1799,"AAAAACJ5+pE=")</f>
        <v>#VALUE!</v>
      </c>
      <c r="EQ223" t="e">
        <f>AND(DATA!J1799,"AAAAACJ5+pI=")</f>
        <v>#VALUE!</v>
      </c>
      <c r="ER223" t="e">
        <f>AND(DATA!K1799,"AAAAACJ5+pM=")</f>
        <v>#VALUE!</v>
      </c>
      <c r="ES223" t="b">
        <f>AND(DATA!L1800,"AAAAACJ5+pQ=")</f>
        <v>1</v>
      </c>
      <c r="ET223" t="b">
        <f>AND(DATA!M1800,"AAAAACJ5+pU=")</f>
        <v>1</v>
      </c>
      <c r="EU223" t="b">
        <f>AND(DATA!N1800,"AAAAACJ5+pY=")</f>
        <v>1</v>
      </c>
      <c r="EV223" t="b">
        <f>AND(DATA!O1800,"AAAAACJ5+pc=")</f>
        <v>1</v>
      </c>
      <c r="EW223" t="b">
        <f>AND(DATA!P1800,"AAAAACJ5+pg=")</f>
        <v>1</v>
      </c>
      <c r="EX223" t="b">
        <f>AND(DATA!Q1800,"AAAAACJ5+pk=")</f>
        <v>1</v>
      </c>
      <c r="EY223" t="b">
        <f>AND(DATA!R1800,"AAAAACJ5+po=")</f>
        <v>1</v>
      </c>
      <c r="EZ223" t="b">
        <f>AND(DATA!S1800,"AAAAACJ5+ps=")</f>
        <v>1</v>
      </c>
      <c r="FA223" t="b">
        <f>AND(DATA!T1800,"AAAAACJ5+pw=")</f>
        <v>1</v>
      </c>
      <c r="FB223">
        <f>IF(DATA!1800:1800,"AAAAACJ5+p0=",0)</f>
        <v>0</v>
      </c>
      <c r="FC223" t="e">
        <f>AND(DATA!A1800,"AAAAACJ5+p4=")</f>
        <v>#VALUE!</v>
      </c>
      <c r="FD223" t="e">
        <f>AND(DATA!B1800,"AAAAACJ5+p8=")</f>
        <v>#VALUE!</v>
      </c>
      <c r="FE223" t="e">
        <f>AND(DATA!C1800,"AAAAACJ5+qA=")</f>
        <v>#VALUE!</v>
      </c>
      <c r="FF223" t="e">
        <f>AND(DATA!D1800,"AAAAACJ5+qE=")</f>
        <v>#VALUE!</v>
      </c>
      <c r="FG223" t="e">
        <f>AND(DATA!E1800,"AAAAACJ5+qI=")</f>
        <v>#VALUE!</v>
      </c>
      <c r="FH223" t="e">
        <f>AND(DATA!F1800,"AAAAACJ5+qM=")</f>
        <v>#VALUE!</v>
      </c>
      <c r="FI223" t="e">
        <f>AND(DATA!G1800,"AAAAACJ5+qQ=")</f>
        <v>#VALUE!</v>
      </c>
      <c r="FJ223" t="e">
        <f>AND(DATA!H1800,"AAAAACJ5+qU=")</f>
        <v>#VALUE!</v>
      </c>
      <c r="FK223" t="e">
        <f>AND(DATA!I1800,"AAAAACJ5+qY=")</f>
        <v>#VALUE!</v>
      </c>
      <c r="FL223" t="e">
        <f>AND(DATA!J1800,"AAAAACJ5+qc=")</f>
        <v>#VALUE!</v>
      </c>
      <c r="FM223" t="e">
        <f>AND(DATA!K1800,"AAAAACJ5+qg=")</f>
        <v>#VALUE!</v>
      </c>
      <c r="FN223" t="b">
        <f>AND(DATA!L1801,"AAAAACJ5+qk=")</f>
        <v>1</v>
      </c>
      <c r="FO223" t="b">
        <f>AND(DATA!M1801,"AAAAACJ5+qo=")</f>
        <v>1</v>
      </c>
      <c r="FP223" t="b">
        <f>AND(DATA!N1801,"AAAAACJ5+qs=")</f>
        <v>1</v>
      </c>
      <c r="FQ223" t="b">
        <f>AND(DATA!O1801,"AAAAACJ5+qw=")</f>
        <v>1</v>
      </c>
      <c r="FR223" t="b">
        <f>AND(DATA!P1801,"AAAAACJ5+q0=")</f>
        <v>1</v>
      </c>
      <c r="FS223" t="b">
        <f>AND(DATA!Q1801,"AAAAACJ5+q4=")</f>
        <v>1</v>
      </c>
      <c r="FT223" t="b">
        <f>AND(DATA!R1801,"AAAAACJ5+q8=")</f>
        <v>1</v>
      </c>
      <c r="FU223" t="b">
        <f>AND(DATA!S1801,"AAAAACJ5+rA=")</f>
        <v>1</v>
      </c>
      <c r="FV223" t="b">
        <f>AND(DATA!T1801,"AAAAACJ5+rE=")</f>
        <v>1</v>
      </c>
      <c r="FW223">
        <f>IF(DATA!1801:1801,"AAAAACJ5+rI=",0)</f>
        <v>0</v>
      </c>
      <c r="FX223" t="e">
        <f>AND(DATA!A1801,"AAAAACJ5+rM=")</f>
        <v>#VALUE!</v>
      </c>
      <c r="FY223" t="e">
        <f>AND(DATA!B1801,"AAAAACJ5+rQ=")</f>
        <v>#VALUE!</v>
      </c>
      <c r="FZ223" t="e">
        <f>AND(DATA!C1801,"AAAAACJ5+rU=")</f>
        <v>#VALUE!</v>
      </c>
      <c r="GA223" t="e">
        <f>AND(DATA!D1801,"AAAAACJ5+rY=")</f>
        <v>#VALUE!</v>
      </c>
      <c r="GB223" t="e">
        <f>AND(DATA!E1801,"AAAAACJ5+rc=")</f>
        <v>#VALUE!</v>
      </c>
      <c r="GC223" t="e">
        <f>AND(DATA!F1801,"AAAAACJ5+rg=")</f>
        <v>#VALUE!</v>
      </c>
      <c r="GD223" t="e">
        <f>AND(DATA!G1801,"AAAAACJ5+rk=")</f>
        <v>#VALUE!</v>
      </c>
      <c r="GE223" t="e">
        <f>AND(DATA!H1801,"AAAAACJ5+ro=")</f>
        <v>#VALUE!</v>
      </c>
      <c r="GF223" t="e">
        <f>AND(DATA!I1801,"AAAAACJ5+rs=")</f>
        <v>#VALUE!</v>
      </c>
      <c r="GG223" t="e">
        <f>AND(DATA!J1801,"AAAAACJ5+rw=")</f>
        <v>#VALUE!</v>
      </c>
      <c r="GH223" t="e">
        <f>AND(DATA!K1801,"AAAAACJ5+r0=")</f>
        <v>#VALUE!</v>
      </c>
      <c r="GI223" t="b">
        <f>AND(DATA!L1802,"AAAAACJ5+r4=")</f>
        <v>1</v>
      </c>
      <c r="GJ223" t="b">
        <f>AND(DATA!M1802,"AAAAACJ5+r8=")</f>
        <v>1</v>
      </c>
      <c r="GK223" t="b">
        <f>AND(DATA!N1802,"AAAAACJ5+sA=")</f>
        <v>1</v>
      </c>
      <c r="GL223" t="b">
        <f>AND(DATA!O1802,"AAAAACJ5+sE=")</f>
        <v>1</v>
      </c>
      <c r="GM223" t="b">
        <f>AND(DATA!P1802,"AAAAACJ5+sI=")</f>
        <v>1</v>
      </c>
      <c r="GN223" t="b">
        <f>AND(DATA!Q1802,"AAAAACJ5+sM=")</f>
        <v>1</v>
      </c>
      <c r="GO223" t="b">
        <f>AND(DATA!R1802,"AAAAACJ5+sQ=")</f>
        <v>1</v>
      </c>
      <c r="GP223" t="b">
        <f>AND(DATA!S1802,"AAAAACJ5+sU=")</f>
        <v>1</v>
      </c>
      <c r="GQ223" t="b">
        <f>AND(DATA!T1802,"AAAAACJ5+sY=")</f>
        <v>1</v>
      </c>
      <c r="GR223">
        <f>IF(DATA!1802:1802,"AAAAACJ5+sc=",0)</f>
        <v>0</v>
      </c>
      <c r="GS223" t="e">
        <f>AND(DATA!A1802,"AAAAACJ5+sg=")</f>
        <v>#VALUE!</v>
      </c>
      <c r="GT223" t="e">
        <f>AND(DATA!B1802,"AAAAACJ5+sk=")</f>
        <v>#VALUE!</v>
      </c>
      <c r="GU223" t="e">
        <f>AND(DATA!C1802,"AAAAACJ5+so=")</f>
        <v>#VALUE!</v>
      </c>
      <c r="GV223" t="e">
        <f>AND(DATA!D1802,"AAAAACJ5+ss=")</f>
        <v>#VALUE!</v>
      </c>
      <c r="GW223" t="e">
        <f>AND(DATA!E1802,"AAAAACJ5+sw=")</f>
        <v>#VALUE!</v>
      </c>
      <c r="GX223" t="e">
        <f>AND(DATA!F1802,"AAAAACJ5+s0=")</f>
        <v>#VALUE!</v>
      </c>
      <c r="GY223" t="e">
        <f>AND(DATA!G1802,"AAAAACJ5+s4=")</f>
        <v>#VALUE!</v>
      </c>
      <c r="GZ223" t="e">
        <f>AND(DATA!H1802,"AAAAACJ5+s8=")</f>
        <v>#VALUE!</v>
      </c>
      <c r="HA223" t="e">
        <f>AND(DATA!I1802,"AAAAACJ5+tA=")</f>
        <v>#VALUE!</v>
      </c>
      <c r="HB223" t="e">
        <f>AND(DATA!J1802,"AAAAACJ5+tE=")</f>
        <v>#VALUE!</v>
      </c>
      <c r="HC223" t="e">
        <f>AND(DATA!K1802,"AAAAACJ5+tI=")</f>
        <v>#VALUE!</v>
      </c>
      <c r="HD223" t="b">
        <f>AND(DATA!L1803,"AAAAACJ5+tM=")</f>
        <v>1</v>
      </c>
      <c r="HE223" t="b">
        <f>AND(DATA!M1803,"AAAAACJ5+tQ=")</f>
        <v>1</v>
      </c>
      <c r="HF223" t="b">
        <f>AND(DATA!N1803,"AAAAACJ5+tU=")</f>
        <v>1</v>
      </c>
      <c r="HG223" t="b">
        <f>AND(DATA!O1803,"AAAAACJ5+tY=")</f>
        <v>1</v>
      </c>
      <c r="HH223" t="b">
        <f>AND(DATA!P1803,"AAAAACJ5+tc=")</f>
        <v>1</v>
      </c>
      <c r="HI223" t="b">
        <f>AND(DATA!Q1803,"AAAAACJ5+tg=")</f>
        <v>1</v>
      </c>
      <c r="HJ223" t="b">
        <f>AND(DATA!R1803,"AAAAACJ5+tk=")</f>
        <v>1</v>
      </c>
      <c r="HK223" t="b">
        <f>AND(DATA!S1803,"AAAAACJ5+to=")</f>
        <v>1</v>
      </c>
      <c r="HL223" t="b">
        <f>AND(DATA!T1803,"AAAAACJ5+ts=")</f>
        <v>1</v>
      </c>
      <c r="HM223">
        <f>IF(DATA!1803:1803,"AAAAACJ5+tw=",0)</f>
        <v>0</v>
      </c>
      <c r="HN223" t="e">
        <f>AND(DATA!A1803,"AAAAACJ5+t0=")</f>
        <v>#VALUE!</v>
      </c>
      <c r="HO223" t="e">
        <f>AND(DATA!B1803,"AAAAACJ5+t4=")</f>
        <v>#VALUE!</v>
      </c>
      <c r="HP223" t="e">
        <f>AND(DATA!C1803,"AAAAACJ5+t8=")</f>
        <v>#VALUE!</v>
      </c>
      <c r="HQ223" t="e">
        <f>AND(DATA!D1803,"AAAAACJ5+uA=")</f>
        <v>#VALUE!</v>
      </c>
      <c r="HR223" t="e">
        <f>AND(DATA!E1803,"AAAAACJ5+uE=")</f>
        <v>#VALUE!</v>
      </c>
      <c r="HS223" t="e">
        <f>AND(DATA!F1803,"AAAAACJ5+uI=")</f>
        <v>#VALUE!</v>
      </c>
      <c r="HT223" t="e">
        <f>AND(DATA!G1803,"AAAAACJ5+uM=")</f>
        <v>#VALUE!</v>
      </c>
      <c r="HU223" t="e">
        <f>AND(DATA!H1803,"AAAAACJ5+uQ=")</f>
        <v>#VALUE!</v>
      </c>
      <c r="HV223" t="e">
        <f>AND(DATA!I1803,"AAAAACJ5+uU=")</f>
        <v>#VALUE!</v>
      </c>
      <c r="HW223" t="e">
        <f>AND(DATA!J1803,"AAAAACJ5+uY=")</f>
        <v>#VALUE!</v>
      </c>
      <c r="HX223" t="e">
        <f>AND(DATA!K1803,"AAAAACJ5+uc=")</f>
        <v>#VALUE!</v>
      </c>
      <c r="HY223" t="b">
        <f>AND(DATA!L1804,"AAAAACJ5+ug=")</f>
        <v>1</v>
      </c>
      <c r="HZ223" t="b">
        <f>AND(DATA!M1804,"AAAAACJ5+uk=")</f>
        <v>1</v>
      </c>
      <c r="IA223" t="b">
        <f>AND(DATA!N1804,"AAAAACJ5+uo=")</f>
        <v>1</v>
      </c>
      <c r="IB223" t="b">
        <f>AND(DATA!O1804,"AAAAACJ5+us=")</f>
        <v>1</v>
      </c>
      <c r="IC223" t="b">
        <f>AND(DATA!P1804,"AAAAACJ5+uw=")</f>
        <v>1</v>
      </c>
      <c r="ID223" t="b">
        <f>AND(DATA!Q1804,"AAAAACJ5+u0=")</f>
        <v>1</v>
      </c>
      <c r="IE223" t="b">
        <f>AND(DATA!R1804,"AAAAACJ5+u4=")</f>
        <v>1</v>
      </c>
      <c r="IF223" t="b">
        <f>AND(DATA!S1804,"AAAAACJ5+u8=")</f>
        <v>1</v>
      </c>
      <c r="IG223" t="b">
        <f>AND(DATA!T1804,"AAAAACJ5+vA=")</f>
        <v>1</v>
      </c>
      <c r="IH223">
        <f>IF(DATA!1804:1804,"AAAAACJ5+vE=",0)</f>
        <v>0</v>
      </c>
      <c r="II223" t="e">
        <f>AND(DATA!A1804,"AAAAACJ5+vI=")</f>
        <v>#VALUE!</v>
      </c>
      <c r="IJ223" t="e">
        <f>AND(DATA!B1804,"AAAAACJ5+vM=")</f>
        <v>#VALUE!</v>
      </c>
      <c r="IK223" t="e">
        <f>AND(DATA!C1804,"AAAAACJ5+vQ=")</f>
        <v>#VALUE!</v>
      </c>
      <c r="IL223" t="e">
        <f>AND(DATA!D1804,"AAAAACJ5+vU=")</f>
        <v>#VALUE!</v>
      </c>
      <c r="IM223" t="e">
        <f>AND(DATA!E1804,"AAAAACJ5+vY=")</f>
        <v>#VALUE!</v>
      </c>
      <c r="IN223" t="e">
        <f>AND(DATA!F1804,"AAAAACJ5+vc=")</f>
        <v>#VALUE!</v>
      </c>
      <c r="IO223" t="e">
        <f>AND(DATA!G1804,"AAAAACJ5+vg=")</f>
        <v>#VALUE!</v>
      </c>
      <c r="IP223" t="e">
        <f>AND(DATA!H1804,"AAAAACJ5+vk=")</f>
        <v>#VALUE!</v>
      </c>
      <c r="IQ223" t="e">
        <f>AND(DATA!I1804,"AAAAACJ5+vo=")</f>
        <v>#VALUE!</v>
      </c>
      <c r="IR223" t="e">
        <f>AND(DATA!J1804,"AAAAACJ5+vs=")</f>
        <v>#VALUE!</v>
      </c>
      <c r="IS223" t="e">
        <f>AND(DATA!K1804,"AAAAACJ5+vw=")</f>
        <v>#VALUE!</v>
      </c>
      <c r="IT223" t="b">
        <f>AND(DATA!L1805,"AAAAACJ5+v0=")</f>
        <v>1</v>
      </c>
      <c r="IU223" t="b">
        <f>AND(DATA!M1805,"AAAAACJ5+v4=")</f>
        <v>1</v>
      </c>
      <c r="IV223" t="b">
        <f>AND(DATA!N1805,"AAAAACJ5+v8=")</f>
        <v>1</v>
      </c>
    </row>
    <row r="224" spans="1:256" x14ac:dyDescent="0.25">
      <c r="A224" t="b">
        <f>AND(DATA!O1805,"AAAAAB9XbQA=")</f>
        <v>1</v>
      </c>
      <c r="B224" t="b">
        <f>AND(DATA!P1805,"AAAAAB9XbQE=")</f>
        <v>1</v>
      </c>
      <c r="C224" t="b">
        <f>AND(DATA!Q1805,"AAAAAB9XbQI=")</f>
        <v>1</v>
      </c>
      <c r="D224" t="b">
        <f>AND(DATA!R1805,"AAAAAB9XbQM=")</f>
        <v>1</v>
      </c>
      <c r="E224" t="b">
        <f>AND(DATA!S1805,"AAAAAB9XbQQ=")</f>
        <v>1</v>
      </c>
      <c r="F224" t="b">
        <f>AND(DATA!T1805,"AAAAAB9XbQU=")</f>
        <v>1</v>
      </c>
      <c r="G224">
        <f>IF(DATA!1805:1805,"AAAAAB9XbQY=",0)</f>
        <v>0</v>
      </c>
      <c r="H224" t="e">
        <f>AND(DATA!A1805,"AAAAAB9XbQc=")</f>
        <v>#VALUE!</v>
      </c>
      <c r="I224" t="e">
        <f>AND(DATA!B1805,"AAAAAB9XbQg=")</f>
        <v>#VALUE!</v>
      </c>
      <c r="J224" t="e">
        <f>AND(DATA!C1805,"AAAAAB9XbQk=")</f>
        <v>#VALUE!</v>
      </c>
      <c r="K224" t="e">
        <f>AND(DATA!D1805,"AAAAAB9XbQo=")</f>
        <v>#VALUE!</v>
      </c>
      <c r="L224" t="e">
        <f>AND(DATA!E1805,"AAAAAB9XbQs=")</f>
        <v>#VALUE!</v>
      </c>
      <c r="M224" t="e">
        <f>AND(DATA!F1805,"AAAAAB9XbQw=")</f>
        <v>#VALUE!</v>
      </c>
      <c r="N224" t="e">
        <f>AND(DATA!G1805,"AAAAAB9XbQ0=")</f>
        <v>#VALUE!</v>
      </c>
      <c r="O224" t="e">
        <f>AND(DATA!H1805,"AAAAAB9XbQ4=")</f>
        <v>#VALUE!</v>
      </c>
      <c r="P224" t="e">
        <f>AND(DATA!I1805,"AAAAAB9XbQ8=")</f>
        <v>#VALUE!</v>
      </c>
      <c r="Q224" t="e">
        <f>AND(DATA!J1805,"AAAAAB9XbRA=")</f>
        <v>#VALUE!</v>
      </c>
      <c r="R224" t="e">
        <f>AND(DATA!K1805,"AAAAAB9XbRE=")</f>
        <v>#VALUE!</v>
      </c>
      <c r="S224" t="b">
        <f>AND(DATA!L1806,"AAAAAB9XbRI=")</f>
        <v>1</v>
      </c>
      <c r="T224" t="b">
        <f>AND(DATA!M1806,"AAAAAB9XbRM=")</f>
        <v>1</v>
      </c>
      <c r="U224" t="b">
        <f>AND(DATA!N1806,"AAAAAB9XbRQ=")</f>
        <v>1</v>
      </c>
      <c r="V224" t="b">
        <f>AND(DATA!O1806,"AAAAAB9XbRU=")</f>
        <v>1</v>
      </c>
      <c r="W224" t="b">
        <f>AND(DATA!P1806,"AAAAAB9XbRY=")</f>
        <v>1</v>
      </c>
      <c r="X224" t="b">
        <f>AND(DATA!Q1806,"AAAAAB9XbRc=")</f>
        <v>1</v>
      </c>
      <c r="Y224" t="b">
        <f>AND(DATA!R1806,"AAAAAB9XbRg=")</f>
        <v>1</v>
      </c>
      <c r="Z224" t="b">
        <f>AND(DATA!S1806,"AAAAAB9XbRk=")</f>
        <v>1</v>
      </c>
      <c r="AA224" t="b">
        <f>AND(DATA!T1806,"AAAAAB9XbRo=")</f>
        <v>1</v>
      </c>
      <c r="AB224">
        <f>IF(DATA!1806:1806,"AAAAAB9XbRs=",0)</f>
        <v>0</v>
      </c>
      <c r="AC224" t="e">
        <f>AND(DATA!A1806,"AAAAAB9XbRw=")</f>
        <v>#VALUE!</v>
      </c>
      <c r="AD224" t="e">
        <f>AND(DATA!B1806,"AAAAAB9XbR0=")</f>
        <v>#VALUE!</v>
      </c>
      <c r="AE224" t="e">
        <f>AND(DATA!C1806,"AAAAAB9XbR4=")</f>
        <v>#VALUE!</v>
      </c>
      <c r="AF224" t="e">
        <f>AND(DATA!D1806,"AAAAAB9XbR8=")</f>
        <v>#VALUE!</v>
      </c>
      <c r="AG224" t="e">
        <f>AND(DATA!E1806,"AAAAAB9XbSA=")</f>
        <v>#VALUE!</v>
      </c>
      <c r="AH224" t="e">
        <f>AND(DATA!F1806,"AAAAAB9XbSE=")</f>
        <v>#VALUE!</v>
      </c>
      <c r="AI224" t="e">
        <f>AND(DATA!G1806,"AAAAAB9XbSI=")</f>
        <v>#VALUE!</v>
      </c>
      <c r="AJ224" t="e">
        <f>AND(DATA!H1806,"AAAAAB9XbSM=")</f>
        <v>#VALUE!</v>
      </c>
      <c r="AK224" t="e">
        <f>AND(DATA!I1806,"AAAAAB9XbSQ=")</f>
        <v>#VALUE!</v>
      </c>
      <c r="AL224" t="e">
        <f>AND(DATA!J1806,"AAAAAB9XbSU=")</f>
        <v>#VALUE!</v>
      </c>
      <c r="AM224" t="e">
        <f>AND(DATA!K1806,"AAAAAB9XbSY=")</f>
        <v>#VALUE!</v>
      </c>
      <c r="AN224" t="b">
        <f>AND(DATA!L1807,"AAAAAB9XbSc=")</f>
        <v>1</v>
      </c>
      <c r="AO224" t="b">
        <f>AND(DATA!M1807,"AAAAAB9XbSg=")</f>
        <v>1</v>
      </c>
      <c r="AP224" t="b">
        <f>AND(DATA!N1807,"AAAAAB9XbSk=")</f>
        <v>1</v>
      </c>
      <c r="AQ224" t="b">
        <f>AND(DATA!O1807,"AAAAAB9XbSo=")</f>
        <v>1</v>
      </c>
      <c r="AR224" t="b">
        <f>AND(DATA!P1807,"AAAAAB9XbSs=")</f>
        <v>1</v>
      </c>
      <c r="AS224" t="b">
        <f>AND(DATA!Q1807,"AAAAAB9XbSw=")</f>
        <v>1</v>
      </c>
      <c r="AT224" t="b">
        <f>AND(DATA!R1807,"AAAAAB9XbS0=")</f>
        <v>1</v>
      </c>
      <c r="AU224" t="b">
        <f>AND(DATA!S1807,"AAAAAB9XbS4=")</f>
        <v>1</v>
      </c>
      <c r="AV224" t="b">
        <f>AND(DATA!T1807,"AAAAAB9XbS8=")</f>
        <v>1</v>
      </c>
      <c r="AW224">
        <f>IF(DATA!1807:1807,"AAAAAB9XbTA=",0)</f>
        <v>0</v>
      </c>
      <c r="AX224" t="e">
        <f>AND(DATA!A1807,"AAAAAB9XbTE=")</f>
        <v>#VALUE!</v>
      </c>
      <c r="AY224" t="e">
        <f>AND(DATA!B1807,"AAAAAB9XbTI=")</f>
        <v>#VALUE!</v>
      </c>
      <c r="AZ224" t="e">
        <f>AND(DATA!C1807,"AAAAAB9XbTM=")</f>
        <v>#VALUE!</v>
      </c>
      <c r="BA224" t="e">
        <f>AND(DATA!D1807,"AAAAAB9XbTQ=")</f>
        <v>#VALUE!</v>
      </c>
      <c r="BB224" t="e">
        <f>AND(DATA!E1807,"AAAAAB9XbTU=")</f>
        <v>#VALUE!</v>
      </c>
      <c r="BC224" t="e">
        <f>AND(DATA!F1807,"AAAAAB9XbTY=")</f>
        <v>#VALUE!</v>
      </c>
      <c r="BD224" t="e">
        <f>AND(DATA!G1807,"AAAAAB9XbTc=")</f>
        <v>#VALUE!</v>
      </c>
      <c r="BE224" t="e">
        <f>AND(DATA!H1807,"AAAAAB9XbTg=")</f>
        <v>#VALUE!</v>
      </c>
      <c r="BF224" t="e">
        <f>AND(DATA!I1807,"AAAAAB9XbTk=")</f>
        <v>#VALUE!</v>
      </c>
      <c r="BG224" t="e">
        <f>AND(DATA!J1807,"AAAAAB9XbTo=")</f>
        <v>#VALUE!</v>
      </c>
      <c r="BH224" t="e">
        <f>AND(DATA!K1807,"AAAAAB9XbTs=")</f>
        <v>#VALUE!</v>
      </c>
      <c r="BI224" t="b">
        <f>AND(DATA!L1808,"AAAAAB9XbTw=")</f>
        <v>1</v>
      </c>
      <c r="BJ224" t="b">
        <f>AND(DATA!M1808,"AAAAAB9XbT0=")</f>
        <v>1</v>
      </c>
      <c r="BK224" t="b">
        <f>AND(DATA!N1808,"AAAAAB9XbT4=")</f>
        <v>1</v>
      </c>
      <c r="BL224" t="b">
        <f>AND(DATA!O1808,"AAAAAB9XbT8=")</f>
        <v>1</v>
      </c>
      <c r="BM224" t="b">
        <f>AND(DATA!P1808,"AAAAAB9XbUA=")</f>
        <v>1</v>
      </c>
      <c r="BN224" t="b">
        <f>AND(DATA!Q1808,"AAAAAB9XbUE=")</f>
        <v>1</v>
      </c>
      <c r="BO224" t="b">
        <f>AND(DATA!R1808,"AAAAAB9XbUI=")</f>
        <v>1</v>
      </c>
      <c r="BP224" t="b">
        <f>AND(DATA!S1808,"AAAAAB9XbUM=")</f>
        <v>1</v>
      </c>
      <c r="BQ224" t="b">
        <f>AND(DATA!T1808,"AAAAAB9XbUQ=")</f>
        <v>1</v>
      </c>
      <c r="BR224">
        <f>IF(DATA!1808:1808,"AAAAAB9XbUU=",0)</f>
        <v>0</v>
      </c>
      <c r="BS224" t="e">
        <f>AND(DATA!A1808,"AAAAAB9XbUY=")</f>
        <v>#VALUE!</v>
      </c>
      <c r="BT224" t="e">
        <f>AND(DATA!B1808,"AAAAAB9XbUc=")</f>
        <v>#VALUE!</v>
      </c>
      <c r="BU224" t="e">
        <f>AND(DATA!C1808,"AAAAAB9XbUg=")</f>
        <v>#VALUE!</v>
      </c>
      <c r="BV224" t="e">
        <f>AND(DATA!D1808,"AAAAAB9XbUk=")</f>
        <v>#VALUE!</v>
      </c>
      <c r="BW224" t="e">
        <f>AND(DATA!E1808,"AAAAAB9XbUo=")</f>
        <v>#VALUE!</v>
      </c>
      <c r="BX224" t="e">
        <f>AND(DATA!F1808,"AAAAAB9XbUs=")</f>
        <v>#VALUE!</v>
      </c>
      <c r="BY224" t="e">
        <f>AND(DATA!G1808,"AAAAAB9XbUw=")</f>
        <v>#VALUE!</v>
      </c>
      <c r="BZ224" t="e">
        <f>AND(DATA!H1808,"AAAAAB9XbU0=")</f>
        <v>#VALUE!</v>
      </c>
      <c r="CA224" t="e">
        <f>AND(DATA!I1808,"AAAAAB9XbU4=")</f>
        <v>#VALUE!</v>
      </c>
      <c r="CB224" t="e">
        <f>AND(DATA!J1808,"AAAAAB9XbU8=")</f>
        <v>#VALUE!</v>
      </c>
      <c r="CC224" t="e">
        <f>AND(DATA!K1808,"AAAAAB9XbVA=")</f>
        <v>#VALUE!</v>
      </c>
      <c r="CD224" t="b">
        <f>AND(DATA!L1809,"AAAAAB9XbVE=")</f>
        <v>1</v>
      </c>
      <c r="CE224" t="b">
        <f>AND(DATA!M1809,"AAAAAB9XbVI=")</f>
        <v>1</v>
      </c>
      <c r="CF224" t="b">
        <f>AND(DATA!N1809,"AAAAAB9XbVM=")</f>
        <v>1</v>
      </c>
      <c r="CG224" t="b">
        <f>AND(DATA!O1809,"AAAAAB9XbVQ=")</f>
        <v>1</v>
      </c>
      <c r="CH224" t="b">
        <f>AND(DATA!P1809,"AAAAAB9XbVU=")</f>
        <v>1</v>
      </c>
      <c r="CI224" t="b">
        <f>AND(DATA!Q1809,"AAAAAB9XbVY=")</f>
        <v>1</v>
      </c>
      <c r="CJ224" t="b">
        <f>AND(DATA!R1809,"AAAAAB9XbVc=")</f>
        <v>1</v>
      </c>
      <c r="CK224" t="b">
        <f>AND(DATA!S1809,"AAAAAB9XbVg=")</f>
        <v>1</v>
      </c>
      <c r="CL224" t="b">
        <f>AND(DATA!T1809,"AAAAAB9XbVk=")</f>
        <v>1</v>
      </c>
      <c r="CM224">
        <f>IF(DATA!1809:1809,"AAAAAB9XbVo=",0)</f>
        <v>0</v>
      </c>
      <c r="CN224" t="e">
        <f>AND(DATA!A1809,"AAAAAB9XbVs=")</f>
        <v>#VALUE!</v>
      </c>
      <c r="CO224" t="e">
        <f>AND(DATA!B1809,"AAAAAB9XbVw=")</f>
        <v>#VALUE!</v>
      </c>
      <c r="CP224" t="e">
        <f>AND(DATA!C1809,"AAAAAB9XbV0=")</f>
        <v>#VALUE!</v>
      </c>
      <c r="CQ224" t="e">
        <f>AND(DATA!D1809,"AAAAAB9XbV4=")</f>
        <v>#VALUE!</v>
      </c>
      <c r="CR224" t="e">
        <f>AND(DATA!E1809,"AAAAAB9XbV8=")</f>
        <v>#VALUE!</v>
      </c>
      <c r="CS224" t="e">
        <f>AND(DATA!F1809,"AAAAAB9XbWA=")</f>
        <v>#VALUE!</v>
      </c>
      <c r="CT224" t="e">
        <f>AND(DATA!G1809,"AAAAAB9XbWE=")</f>
        <v>#VALUE!</v>
      </c>
      <c r="CU224" t="e">
        <f>AND(DATA!H1809,"AAAAAB9XbWI=")</f>
        <v>#VALUE!</v>
      </c>
      <c r="CV224" t="e">
        <f>AND(DATA!I1809,"AAAAAB9XbWM=")</f>
        <v>#VALUE!</v>
      </c>
      <c r="CW224" t="e">
        <f>AND(DATA!J1809,"AAAAAB9XbWQ=")</f>
        <v>#VALUE!</v>
      </c>
      <c r="CX224" t="e">
        <f>AND(DATA!K1809,"AAAAAB9XbWU=")</f>
        <v>#VALUE!</v>
      </c>
      <c r="CY224" t="b">
        <f>AND(DATA!L1810,"AAAAAB9XbWY=")</f>
        <v>1</v>
      </c>
      <c r="CZ224" t="b">
        <f>AND(DATA!M1810,"AAAAAB9XbWc=")</f>
        <v>1</v>
      </c>
      <c r="DA224" t="b">
        <f>AND(DATA!N1810,"AAAAAB9XbWg=")</f>
        <v>1</v>
      </c>
      <c r="DB224" t="b">
        <f>AND(DATA!O1810,"AAAAAB9XbWk=")</f>
        <v>1</v>
      </c>
      <c r="DC224" t="b">
        <f>AND(DATA!P1810,"AAAAAB9XbWo=")</f>
        <v>1</v>
      </c>
      <c r="DD224" t="b">
        <f>AND(DATA!Q1810,"AAAAAB9XbWs=")</f>
        <v>1</v>
      </c>
      <c r="DE224" t="b">
        <f>AND(DATA!R1810,"AAAAAB9XbWw=")</f>
        <v>1</v>
      </c>
      <c r="DF224" t="b">
        <f>AND(DATA!S1810,"AAAAAB9XbW0=")</f>
        <v>1</v>
      </c>
      <c r="DG224" t="b">
        <f>AND(DATA!T1810,"AAAAAB9XbW4=")</f>
        <v>1</v>
      </c>
      <c r="DH224">
        <f>IF(DATA!1810:1810,"AAAAAB9XbW8=",0)</f>
        <v>0</v>
      </c>
      <c r="DI224" t="e">
        <f>AND(DATA!A1810,"AAAAAB9XbXA=")</f>
        <v>#VALUE!</v>
      </c>
      <c r="DJ224" t="e">
        <f>AND(DATA!B1810,"AAAAAB9XbXE=")</f>
        <v>#VALUE!</v>
      </c>
      <c r="DK224" t="e">
        <f>AND(DATA!C1810,"AAAAAB9XbXI=")</f>
        <v>#VALUE!</v>
      </c>
      <c r="DL224" t="e">
        <f>AND(DATA!D1810,"AAAAAB9XbXM=")</f>
        <v>#VALUE!</v>
      </c>
      <c r="DM224" t="e">
        <f>AND(DATA!E1810,"AAAAAB9XbXQ=")</f>
        <v>#VALUE!</v>
      </c>
      <c r="DN224" t="e">
        <f>AND(DATA!F1810,"AAAAAB9XbXU=")</f>
        <v>#VALUE!</v>
      </c>
      <c r="DO224" t="e">
        <f>AND(DATA!G1810,"AAAAAB9XbXY=")</f>
        <v>#VALUE!</v>
      </c>
      <c r="DP224" t="e">
        <f>AND(DATA!H1810,"AAAAAB9XbXc=")</f>
        <v>#VALUE!</v>
      </c>
      <c r="DQ224" t="e">
        <f>AND(DATA!I1810,"AAAAAB9XbXg=")</f>
        <v>#VALUE!</v>
      </c>
      <c r="DR224" t="e">
        <f>AND(DATA!J1810,"AAAAAB9XbXk=")</f>
        <v>#VALUE!</v>
      </c>
      <c r="DS224" t="e">
        <f>AND(DATA!K1810,"AAAAAB9XbXo=")</f>
        <v>#VALUE!</v>
      </c>
      <c r="DT224" t="b">
        <f>AND(DATA!L1811,"AAAAAB9XbXs=")</f>
        <v>1</v>
      </c>
      <c r="DU224" t="b">
        <f>AND(DATA!M1811,"AAAAAB9XbXw=")</f>
        <v>1</v>
      </c>
      <c r="DV224" t="b">
        <f>AND(DATA!N1811,"AAAAAB9XbX0=")</f>
        <v>1</v>
      </c>
      <c r="DW224" t="b">
        <f>AND(DATA!O1811,"AAAAAB9XbX4=")</f>
        <v>1</v>
      </c>
      <c r="DX224" t="b">
        <f>AND(DATA!P1811,"AAAAAB9XbX8=")</f>
        <v>1</v>
      </c>
      <c r="DY224" t="b">
        <f>AND(DATA!Q1811,"AAAAAB9XbYA=")</f>
        <v>1</v>
      </c>
      <c r="DZ224" t="b">
        <f>AND(DATA!R1811,"AAAAAB9XbYE=")</f>
        <v>1</v>
      </c>
      <c r="EA224" t="b">
        <f>AND(DATA!S1811,"AAAAAB9XbYI=")</f>
        <v>1</v>
      </c>
      <c r="EB224" t="b">
        <f>AND(DATA!T1811,"AAAAAB9XbYM=")</f>
        <v>1</v>
      </c>
      <c r="EC224">
        <f>IF(DATA!1811:1811,"AAAAAB9XbYQ=",0)</f>
        <v>0</v>
      </c>
      <c r="ED224" t="e">
        <f>AND(DATA!A1811,"AAAAAB9XbYU=")</f>
        <v>#VALUE!</v>
      </c>
      <c r="EE224" t="e">
        <f>AND(DATA!B1811,"AAAAAB9XbYY=")</f>
        <v>#VALUE!</v>
      </c>
      <c r="EF224" t="e">
        <f>AND(DATA!C1811,"AAAAAB9XbYc=")</f>
        <v>#VALUE!</v>
      </c>
      <c r="EG224" t="e">
        <f>AND(DATA!D1811,"AAAAAB9XbYg=")</f>
        <v>#VALUE!</v>
      </c>
      <c r="EH224" t="e">
        <f>AND(DATA!E1811,"AAAAAB9XbYk=")</f>
        <v>#VALUE!</v>
      </c>
      <c r="EI224" t="e">
        <f>AND(DATA!F1811,"AAAAAB9XbYo=")</f>
        <v>#VALUE!</v>
      </c>
      <c r="EJ224" t="e">
        <f>AND(DATA!G1811,"AAAAAB9XbYs=")</f>
        <v>#VALUE!</v>
      </c>
      <c r="EK224" t="e">
        <f>AND(DATA!H1811,"AAAAAB9XbYw=")</f>
        <v>#VALUE!</v>
      </c>
      <c r="EL224" t="e">
        <f>AND(DATA!I1811,"AAAAAB9XbY0=")</f>
        <v>#VALUE!</v>
      </c>
      <c r="EM224" t="e">
        <f>AND(DATA!J1811,"AAAAAB9XbY4=")</f>
        <v>#VALUE!</v>
      </c>
      <c r="EN224" t="e">
        <f>AND(DATA!K1811,"AAAAAB9XbY8=")</f>
        <v>#VALUE!</v>
      </c>
      <c r="EO224" t="b">
        <f>AND(DATA!L1812,"AAAAAB9XbZA=")</f>
        <v>1</v>
      </c>
      <c r="EP224" t="b">
        <f>AND(DATA!M1812,"AAAAAB9XbZE=")</f>
        <v>1</v>
      </c>
      <c r="EQ224" t="b">
        <f>AND(DATA!N1812,"AAAAAB9XbZI=")</f>
        <v>1</v>
      </c>
      <c r="ER224" t="b">
        <f>AND(DATA!O1812,"AAAAAB9XbZM=")</f>
        <v>1</v>
      </c>
      <c r="ES224" t="b">
        <f>AND(DATA!P1812,"AAAAAB9XbZQ=")</f>
        <v>1</v>
      </c>
      <c r="ET224" t="b">
        <f>AND(DATA!Q1812,"AAAAAB9XbZU=")</f>
        <v>1</v>
      </c>
      <c r="EU224" t="b">
        <f>AND(DATA!R1812,"AAAAAB9XbZY=")</f>
        <v>1</v>
      </c>
      <c r="EV224" t="b">
        <f>AND(DATA!S1812,"AAAAAB9XbZc=")</f>
        <v>1</v>
      </c>
      <c r="EW224" t="b">
        <f>AND(DATA!T1812,"AAAAAB9XbZg=")</f>
        <v>1</v>
      </c>
      <c r="EX224">
        <f>IF(DATA!1812:1812,"AAAAAB9XbZk=",0)</f>
        <v>0</v>
      </c>
      <c r="EY224" t="e">
        <f>AND(DATA!A1812,"AAAAAB9XbZo=")</f>
        <v>#VALUE!</v>
      </c>
      <c r="EZ224" t="e">
        <f>AND(DATA!B1812,"AAAAAB9XbZs=")</f>
        <v>#VALUE!</v>
      </c>
      <c r="FA224" t="e">
        <f>AND(DATA!C1812,"AAAAAB9XbZw=")</f>
        <v>#VALUE!</v>
      </c>
      <c r="FB224" t="e">
        <f>AND(DATA!D1812,"AAAAAB9XbZ0=")</f>
        <v>#VALUE!</v>
      </c>
      <c r="FC224" t="e">
        <f>AND(DATA!E1812,"AAAAAB9XbZ4=")</f>
        <v>#VALUE!</v>
      </c>
      <c r="FD224" t="e">
        <f>AND(DATA!F1812,"AAAAAB9XbZ8=")</f>
        <v>#VALUE!</v>
      </c>
      <c r="FE224" t="e">
        <f>AND(DATA!G1812,"AAAAAB9XbaA=")</f>
        <v>#VALUE!</v>
      </c>
      <c r="FF224" t="e">
        <f>AND(DATA!H1812,"AAAAAB9XbaE=")</f>
        <v>#VALUE!</v>
      </c>
      <c r="FG224" t="e">
        <f>AND(DATA!I1812,"AAAAAB9XbaI=")</f>
        <v>#VALUE!</v>
      </c>
      <c r="FH224" t="e">
        <f>AND(DATA!J1812,"AAAAAB9XbaM=")</f>
        <v>#VALUE!</v>
      </c>
      <c r="FI224" t="e">
        <f>AND(DATA!K1812,"AAAAAB9XbaQ=")</f>
        <v>#VALUE!</v>
      </c>
      <c r="FJ224" t="b">
        <f>AND(DATA!L1813,"AAAAAB9XbaU=")</f>
        <v>1</v>
      </c>
      <c r="FK224" t="b">
        <f>AND(DATA!M1813,"AAAAAB9XbaY=")</f>
        <v>1</v>
      </c>
      <c r="FL224" t="b">
        <f>AND(DATA!N1813,"AAAAAB9Xbac=")</f>
        <v>1</v>
      </c>
      <c r="FM224" t="b">
        <f>AND(DATA!O1813,"AAAAAB9Xbag=")</f>
        <v>1</v>
      </c>
      <c r="FN224" t="b">
        <f>AND(DATA!P1813,"AAAAAB9Xbak=")</f>
        <v>1</v>
      </c>
      <c r="FO224" t="b">
        <f>AND(DATA!Q1813,"AAAAAB9Xbao=")</f>
        <v>1</v>
      </c>
      <c r="FP224" t="b">
        <f>AND(DATA!R1813,"AAAAAB9Xbas=")</f>
        <v>1</v>
      </c>
      <c r="FQ224" t="b">
        <f>AND(DATA!S1813,"AAAAAB9Xbaw=")</f>
        <v>1</v>
      </c>
      <c r="FR224" t="b">
        <f>AND(DATA!T1813,"AAAAAB9Xba0=")</f>
        <v>1</v>
      </c>
      <c r="FS224">
        <f>IF(DATA!1813:1813,"AAAAAB9Xba4=",0)</f>
        <v>0</v>
      </c>
      <c r="FT224" t="e">
        <f>AND(DATA!A1813,"AAAAAB9Xba8=")</f>
        <v>#VALUE!</v>
      </c>
      <c r="FU224" t="e">
        <f>AND(DATA!B1813,"AAAAAB9XbbA=")</f>
        <v>#VALUE!</v>
      </c>
      <c r="FV224" t="e">
        <f>AND(DATA!C1813,"AAAAAB9XbbE=")</f>
        <v>#VALUE!</v>
      </c>
      <c r="FW224" t="e">
        <f>AND(DATA!D1813,"AAAAAB9XbbI=")</f>
        <v>#VALUE!</v>
      </c>
      <c r="FX224" t="e">
        <f>AND(DATA!E1813,"AAAAAB9XbbM=")</f>
        <v>#VALUE!</v>
      </c>
      <c r="FY224" t="e">
        <f>AND(DATA!F1813,"AAAAAB9XbbQ=")</f>
        <v>#VALUE!</v>
      </c>
      <c r="FZ224" t="e">
        <f>AND(DATA!G1813,"AAAAAB9XbbU=")</f>
        <v>#VALUE!</v>
      </c>
      <c r="GA224" t="e">
        <f>AND(DATA!H1813,"AAAAAB9XbbY=")</f>
        <v>#VALUE!</v>
      </c>
      <c r="GB224" t="e">
        <f>AND(DATA!I1813,"AAAAAB9Xbbc=")</f>
        <v>#VALUE!</v>
      </c>
      <c r="GC224" t="e">
        <f>AND(DATA!J1813,"AAAAAB9Xbbg=")</f>
        <v>#VALUE!</v>
      </c>
      <c r="GD224" t="e">
        <f>AND(DATA!K1813,"AAAAAB9Xbbk=")</f>
        <v>#VALUE!</v>
      </c>
      <c r="GE224" t="b">
        <f>AND(DATA!L1814,"AAAAAB9Xbbo=")</f>
        <v>1</v>
      </c>
      <c r="GF224" t="b">
        <f>AND(DATA!M1814,"AAAAAB9Xbbs=")</f>
        <v>1</v>
      </c>
      <c r="GG224" t="b">
        <f>AND(DATA!N1814,"AAAAAB9Xbbw=")</f>
        <v>1</v>
      </c>
      <c r="GH224" t="b">
        <f>AND(DATA!O1814,"AAAAAB9Xbb0=")</f>
        <v>1</v>
      </c>
      <c r="GI224" t="b">
        <f>AND(DATA!P1814,"AAAAAB9Xbb4=")</f>
        <v>1</v>
      </c>
      <c r="GJ224" t="b">
        <f>AND(DATA!Q1814,"AAAAAB9Xbb8=")</f>
        <v>1</v>
      </c>
      <c r="GK224" t="b">
        <f>AND(DATA!R1814,"AAAAAB9XbcA=")</f>
        <v>1</v>
      </c>
      <c r="GL224" t="b">
        <f>AND(DATA!S1814,"AAAAAB9XbcE=")</f>
        <v>1</v>
      </c>
      <c r="GM224" t="b">
        <f>AND(DATA!T1814,"AAAAAB9XbcI=")</f>
        <v>1</v>
      </c>
      <c r="GN224">
        <f>IF(DATA!1814:1814,"AAAAAB9XbcM=",0)</f>
        <v>0</v>
      </c>
      <c r="GO224" t="e">
        <f>AND(DATA!A1814,"AAAAAB9XbcQ=")</f>
        <v>#VALUE!</v>
      </c>
      <c r="GP224" t="e">
        <f>AND(DATA!B1814,"AAAAAB9XbcU=")</f>
        <v>#VALUE!</v>
      </c>
      <c r="GQ224" t="e">
        <f>AND(DATA!C1814,"AAAAAB9XbcY=")</f>
        <v>#VALUE!</v>
      </c>
      <c r="GR224" t="e">
        <f>AND(DATA!D1814,"AAAAAB9Xbcc=")</f>
        <v>#VALUE!</v>
      </c>
      <c r="GS224" t="e">
        <f>AND(DATA!E1814,"AAAAAB9Xbcg=")</f>
        <v>#VALUE!</v>
      </c>
      <c r="GT224" t="e">
        <f>AND(DATA!F1814,"AAAAAB9Xbck=")</f>
        <v>#VALUE!</v>
      </c>
      <c r="GU224" t="e">
        <f>AND(DATA!G1814,"AAAAAB9Xbco=")</f>
        <v>#VALUE!</v>
      </c>
      <c r="GV224" t="e">
        <f>AND(DATA!H1814,"AAAAAB9Xbcs=")</f>
        <v>#VALUE!</v>
      </c>
      <c r="GW224" t="e">
        <f>AND(DATA!I1814,"AAAAAB9Xbcw=")</f>
        <v>#VALUE!</v>
      </c>
      <c r="GX224" t="e">
        <f>AND(DATA!J1814,"AAAAAB9Xbc0=")</f>
        <v>#VALUE!</v>
      </c>
      <c r="GY224" t="e">
        <f>AND(DATA!K1814,"AAAAAB9Xbc4=")</f>
        <v>#VALUE!</v>
      </c>
      <c r="GZ224" t="b">
        <f>AND(DATA!L1815,"AAAAAB9Xbc8=")</f>
        <v>1</v>
      </c>
      <c r="HA224" t="b">
        <f>AND(DATA!M1815,"AAAAAB9XbdA=")</f>
        <v>1</v>
      </c>
      <c r="HB224" t="b">
        <f>AND(DATA!N1815,"AAAAAB9XbdE=")</f>
        <v>1</v>
      </c>
      <c r="HC224" t="b">
        <f>AND(DATA!O1815,"AAAAAB9XbdI=")</f>
        <v>1</v>
      </c>
      <c r="HD224" t="b">
        <f>AND(DATA!P1815,"AAAAAB9XbdM=")</f>
        <v>1</v>
      </c>
      <c r="HE224" t="b">
        <f>AND(DATA!Q1815,"AAAAAB9XbdQ=")</f>
        <v>1</v>
      </c>
      <c r="HF224" t="b">
        <f>AND(DATA!R1815,"AAAAAB9XbdU=")</f>
        <v>1</v>
      </c>
      <c r="HG224" t="b">
        <f>AND(DATA!S1815,"AAAAAB9XbdY=")</f>
        <v>1</v>
      </c>
      <c r="HH224" t="b">
        <f>AND(DATA!T1815,"AAAAAB9Xbdc=")</f>
        <v>1</v>
      </c>
      <c r="HI224">
        <f>IF(DATA!1815:1815,"AAAAAB9Xbdg=",0)</f>
        <v>0</v>
      </c>
      <c r="HJ224" t="e">
        <f>AND(DATA!A1815,"AAAAAB9Xbdk=")</f>
        <v>#VALUE!</v>
      </c>
      <c r="HK224" t="e">
        <f>AND(DATA!B1815,"AAAAAB9Xbdo=")</f>
        <v>#VALUE!</v>
      </c>
      <c r="HL224" t="e">
        <f>AND(DATA!C1815,"AAAAAB9Xbds=")</f>
        <v>#VALUE!</v>
      </c>
      <c r="HM224" t="e">
        <f>AND(DATA!D1815,"AAAAAB9Xbdw=")</f>
        <v>#VALUE!</v>
      </c>
      <c r="HN224" t="e">
        <f>AND(DATA!E1815,"AAAAAB9Xbd0=")</f>
        <v>#VALUE!</v>
      </c>
      <c r="HO224" t="e">
        <f>AND(DATA!F1815,"AAAAAB9Xbd4=")</f>
        <v>#VALUE!</v>
      </c>
      <c r="HP224" t="e">
        <f>AND(DATA!G1815,"AAAAAB9Xbd8=")</f>
        <v>#VALUE!</v>
      </c>
      <c r="HQ224" t="e">
        <f>AND(DATA!H1815,"AAAAAB9XbeA=")</f>
        <v>#VALUE!</v>
      </c>
      <c r="HR224" t="e">
        <f>AND(DATA!I1815,"AAAAAB9XbeE=")</f>
        <v>#VALUE!</v>
      </c>
      <c r="HS224" t="e">
        <f>AND(DATA!J1815,"AAAAAB9XbeI=")</f>
        <v>#VALUE!</v>
      </c>
      <c r="HT224" t="e">
        <f>AND(DATA!K1815,"AAAAAB9XbeM=")</f>
        <v>#VALUE!</v>
      </c>
      <c r="HU224" t="b">
        <f>AND(DATA!L1816,"AAAAAB9XbeQ=")</f>
        <v>1</v>
      </c>
      <c r="HV224" t="b">
        <f>AND(DATA!M1816,"AAAAAB9XbeU=")</f>
        <v>1</v>
      </c>
      <c r="HW224" t="b">
        <f>AND(DATA!N1816,"AAAAAB9XbeY=")</f>
        <v>1</v>
      </c>
      <c r="HX224" t="b">
        <f>AND(DATA!O1816,"AAAAAB9Xbec=")</f>
        <v>1</v>
      </c>
      <c r="HY224" t="b">
        <f>AND(DATA!P1816,"AAAAAB9Xbeg=")</f>
        <v>1</v>
      </c>
      <c r="HZ224" t="b">
        <f>AND(DATA!Q1816,"AAAAAB9Xbek=")</f>
        <v>1</v>
      </c>
      <c r="IA224" t="b">
        <f>AND(DATA!R1816,"AAAAAB9Xbeo=")</f>
        <v>1</v>
      </c>
      <c r="IB224" t="b">
        <f>AND(DATA!S1816,"AAAAAB9Xbes=")</f>
        <v>1</v>
      </c>
      <c r="IC224" t="b">
        <f>AND(DATA!T1816,"AAAAAB9Xbew=")</f>
        <v>1</v>
      </c>
      <c r="ID224">
        <f>IF(DATA!1816:1816,"AAAAAB9Xbe0=",0)</f>
        <v>0</v>
      </c>
      <c r="IE224" t="e">
        <f>AND(DATA!A1816,"AAAAAB9Xbe4=")</f>
        <v>#VALUE!</v>
      </c>
      <c r="IF224" t="e">
        <f>AND(DATA!B1816,"AAAAAB9Xbe8=")</f>
        <v>#VALUE!</v>
      </c>
      <c r="IG224" t="e">
        <f>AND(DATA!C1816,"AAAAAB9XbfA=")</f>
        <v>#VALUE!</v>
      </c>
      <c r="IH224" t="e">
        <f>AND(DATA!D1816,"AAAAAB9XbfE=")</f>
        <v>#VALUE!</v>
      </c>
      <c r="II224" t="e">
        <f>AND(DATA!E1816,"AAAAAB9XbfI=")</f>
        <v>#VALUE!</v>
      </c>
      <c r="IJ224" t="e">
        <f>AND(DATA!F1816,"AAAAAB9XbfM=")</f>
        <v>#VALUE!</v>
      </c>
      <c r="IK224" t="e">
        <f>AND(DATA!G1816,"AAAAAB9XbfQ=")</f>
        <v>#VALUE!</v>
      </c>
      <c r="IL224" t="e">
        <f>AND(DATA!H1816,"AAAAAB9XbfU=")</f>
        <v>#VALUE!</v>
      </c>
      <c r="IM224" t="e">
        <f>AND(DATA!I1816,"AAAAAB9XbfY=")</f>
        <v>#VALUE!</v>
      </c>
      <c r="IN224" t="e">
        <f>AND(DATA!J1816,"AAAAAB9Xbfc=")</f>
        <v>#VALUE!</v>
      </c>
      <c r="IO224" t="e">
        <f>AND(DATA!K1816,"AAAAAB9Xbfg=")</f>
        <v>#VALUE!</v>
      </c>
      <c r="IP224" t="b">
        <f>AND(DATA!L1817,"AAAAAB9Xbfk=")</f>
        <v>1</v>
      </c>
      <c r="IQ224" t="b">
        <f>AND(DATA!M1817,"AAAAAB9Xbfo=")</f>
        <v>1</v>
      </c>
      <c r="IR224" t="b">
        <f>AND(DATA!N1817,"AAAAAB9Xbfs=")</f>
        <v>1</v>
      </c>
      <c r="IS224" t="b">
        <f>AND(DATA!O1817,"AAAAAB9Xbfw=")</f>
        <v>1</v>
      </c>
      <c r="IT224" t="b">
        <f>AND(DATA!P1817,"AAAAAB9Xbf0=")</f>
        <v>1</v>
      </c>
      <c r="IU224" t="b">
        <f>AND(DATA!Q1817,"AAAAAB9Xbf4=")</f>
        <v>1</v>
      </c>
      <c r="IV224" t="b">
        <f>AND(DATA!R1817,"AAAAAB9Xbf8=")</f>
        <v>1</v>
      </c>
    </row>
    <row r="225" spans="1:256" x14ac:dyDescent="0.25">
      <c r="A225" t="b">
        <f>AND(DATA!S1817,"AAAAAG/v3QA=")</f>
        <v>1</v>
      </c>
      <c r="B225" t="b">
        <f>AND(DATA!T1817,"AAAAAG/v3QE=")</f>
        <v>1</v>
      </c>
      <c r="C225">
        <f>IF(DATA!1817:1817,"AAAAAG/v3QI=",0)</f>
        <v>0</v>
      </c>
      <c r="D225" t="e">
        <f>AND(DATA!A1817,"AAAAAG/v3QM=")</f>
        <v>#VALUE!</v>
      </c>
      <c r="E225" t="e">
        <f>AND(DATA!B1817,"AAAAAG/v3QQ=")</f>
        <v>#VALUE!</v>
      </c>
      <c r="F225" t="e">
        <f>AND(DATA!C1817,"AAAAAG/v3QU=")</f>
        <v>#VALUE!</v>
      </c>
      <c r="G225" t="e">
        <f>AND(DATA!D1817,"AAAAAG/v3QY=")</f>
        <v>#VALUE!</v>
      </c>
      <c r="H225" t="e">
        <f>AND(DATA!E1817,"AAAAAG/v3Qc=")</f>
        <v>#VALUE!</v>
      </c>
      <c r="I225" t="e">
        <f>AND(DATA!F1817,"AAAAAG/v3Qg=")</f>
        <v>#VALUE!</v>
      </c>
      <c r="J225" t="e">
        <f>AND(DATA!G1817,"AAAAAG/v3Qk=")</f>
        <v>#VALUE!</v>
      </c>
      <c r="K225" t="e">
        <f>AND(DATA!H1817,"AAAAAG/v3Qo=")</f>
        <v>#VALUE!</v>
      </c>
      <c r="L225" t="e">
        <f>AND(DATA!I1817,"AAAAAG/v3Qs=")</f>
        <v>#VALUE!</v>
      </c>
      <c r="M225" t="e">
        <f>AND(DATA!J1817,"AAAAAG/v3Qw=")</f>
        <v>#VALUE!</v>
      </c>
      <c r="N225" t="e">
        <f>AND(DATA!K1817,"AAAAAG/v3Q0=")</f>
        <v>#VALUE!</v>
      </c>
      <c r="O225" t="b">
        <f>AND(DATA!L1818,"AAAAAG/v3Q4=")</f>
        <v>1</v>
      </c>
      <c r="P225" t="b">
        <f>AND(DATA!M1818,"AAAAAG/v3Q8=")</f>
        <v>1</v>
      </c>
      <c r="Q225" t="b">
        <f>AND(DATA!N1818,"AAAAAG/v3RA=")</f>
        <v>1</v>
      </c>
      <c r="R225" t="b">
        <f>AND(DATA!O1818,"AAAAAG/v3RE=")</f>
        <v>1</v>
      </c>
      <c r="S225" t="b">
        <f>AND(DATA!P1818,"AAAAAG/v3RI=")</f>
        <v>1</v>
      </c>
      <c r="T225" t="b">
        <f>AND(DATA!Q1818,"AAAAAG/v3RM=")</f>
        <v>1</v>
      </c>
      <c r="U225" t="b">
        <f>AND(DATA!R1818,"AAAAAG/v3RQ=")</f>
        <v>1</v>
      </c>
      <c r="V225" t="b">
        <f>AND(DATA!S1818,"AAAAAG/v3RU=")</f>
        <v>1</v>
      </c>
      <c r="W225" t="b">
        <f>AND(DATA!T1818,"AAAAAG/v3RY=")</f>
        <v>1</v>
      </c>
      <c r="X225">
        <f>IF(DATA!1818:1818,"AAAAAG/v3Rc=",0)</f>
        <v>0</v>
      </c>
      <c r="Y225" t="e">
        <f>AND(DATA!A1818,"AAAAAG/v3Rg=")</f>
        <v>#VALUE!</v>
      </c>
      <c r="Z225" t="e">
        <f>AND(DATA!B1818,"AAAAAG/v3Rk=")</f>
        <v>#VALUE!</v>
      </c>
      <c r="AA225" t="e">
        <f>AND(DATA!C1818,"AAAAAG/v3Ro=")</f>
        <v>#VALUE!</v>
      </c>
      <c r="AB225" t="e">
        <f>AND(DATA!D1818,"AAAAAG/v3Rs=")</f>
        <v>#VALUE!</v>
      </c>
      <c r="AC225" t="e">
        <f>AND(DATA!E1818,"AAAAAG/v3Rw=")</f>
        <v>#VALUE!</v>
      </c>
      <c r="AD225" t="e">
        <f>AND(DATA!F1818,"AAAAAG/v3R0=")</f>
        <v>#VALUE!</v>
      </c>
      <c r="AE225" t="e">
        <f>AND(DATA!G1818,"AAAAAG/v3R4=")</f>
        <v>#VALUE!</v>
      </c>
      <c r="AF225" t="e">
        <f>AND(DATA!H1818,"AAAAAG/v3R8=")</f>
        <v>#VALUE!</v>
      </c>
      <c r="AG225" t="e">
        <f>AND(DATA!I1818,"AAAAAG/v3SA=")</f>
        <v>#VALUE!</v>
      </c>
      <c r="AH225" t="e">
        <f>AND(DATA!J1818,"AAAAAG/v3SE=")</f>
        <v>#VALUE!</v>
      </c>
      <c r="AI225" t="e">
        <f>AND(DATA!K1818,"AAAAAG/v3SI=")</f>
        <v>#VALUE!</v>
      </c>
      <c r="AJ225" t="b">
        <f>AND(DATA!L1819,"AAAAAG/v3SM=")</f>
        <v>1</v>
      </c>
      <c r="AK225" t="b">
        <f>AND(DATA!M1819,"AAAAAG/v3SQ=")</f>
        <v>1</v>
      </c>
      <c r="AL225" t="b">
        <f>AND(DATA!N1819,"AAAAAG/v3SU=")</f>
        <v>1</v>
      </c>
      <c r="AM225" t="b">
        <f>AND(DATA!O1819,"AAAAAG/v3SY=")</f>
        <v>1</v>
      </c>
      <c r="AN225" t="b">
        <f>AND(DATA!P1819,"AAAAAG/v3Sc=")</f>
        <v>1</v>
      </c>
      <c r="AO225" t="b">
        <f>AND(DATA!Q1819,"AAAAAG/v3Sg=")</f>
        <v>1</v>
      </c>
      <c r="AP225" t="b">
        <f>AND(DATA!R1819,"AAAAAG/v3Sk=")</f>
        <v>1</v>
      </c>
      <c r="AQ225" t="b">
        <f>AND(DATA!S1819,"AAAAAG/v3So=")</f>
        <v>1</v>
      </c>
      <c r="AR225" t="b">
        <f>AND(DATA!T1819,"AAAAAG/v3Ss=")</f>
        <v>1</v>
      </c>
      <c r="AS225">
        <f>IF(DATA!1819:1819,"AAAAAG/v3Sw=",0)</f>
        <v>0</v>
      </c>
      <c r="AT225" t="e">
        <f>AND(DATA!A1819,"AAAAAG/v3S0=")</f>
        <v>#VALUE!</v>
      </c>
      <c r="AU225" t="e">
        <f>AND(DATA!B1819,"AAAAAG/v3S4=")</f>
        <v>#VALUE!</v>
      </c>
      <c r="AV225" t="e">
        <f>AND(DATA!C1819,"AAAAAG/v3S8=")</f>
        <v>#VALUE!</v>
      </c>
      <c r="AW225" t="e">
        <f>AND(DATA!D1819,"AAAAAG/v3TA=")</f>
        <v>#VALUE!</v>
      </c>
      <c r="AX225" t="e">
        <f>AND(DATA!E1819,"AAAAAG/v3TE=")</f>
        <v>#VALUE!</v>
      </c>
      <c r="AY225" t="e">
        <f>AND(DATA!F1819,"AAAAAG/v3TI=")</f>
        <v>#VALUE!</v>
      </c>
      <c r="AZ225" t="e">
        <f>AND(DATA!G1819,"AAAAAG/v3TM=")</f>
        <v>#VALUE!</v>
      </c>
      <c r="BA225" t="e">
        <f>AND(DATA!H1819,"AAAAAG/v3TQ=")</f>
        <v>#VALUE!</v>
      </c>
      <c r="BB225" t="e">
        <f>AND(DATA!I1819,"AAAAAG/v3TU=")</f>
        <v>#VALUE!</v>
      </c>
      <c r="BC225" t="e">
        <f>AND(DATA!J1819,"AAAAAG/v3TY=")</f>
        <v>#VALUE!</v>
      </c>
      <c r="BD225" t="e">
        <f>AND(DATA!K1819,"AAAAAG/v3Tc=")</f>
        <v>#VALUE!</v>
      </c>
      <c r="BE225" t="b">
        <f>AND(DATA!L1820,"AAAAAG/v3Tg=")</f>
        <v>1</v>
      </c>
      <c r="BF225" t="b">
        <f>AND(DATA!M1820,"AAAAAG/v3Tk=")</f>
        <v>1</v>
      </c>
      <c r="BG225" t="b">
        <f>AND(DATA!N1820,"AAAAAG/v3To=")</f>
        <v>1</v>
      </c>
      <c r="BH225" t="b">
        <f>AND(DATA!O1820,"AAAAAG/v3Ts=")</f>
        <v>1</v>
      </c>
      <c r="BI225" t="b">
        <f>AND(DATA!P1820,"AAAAAG/v3Tw=")</f>
        <v>1</v>
      </c>
      <c r="BJ225" t="b">
        <f>AND(DATA!Q1820,"AAAAAG/v3T0=")</f>
        <v>1</v>
      </c>
      <c r="BK225" t="b">
        <f>AND(DATA!R1820,"AAAAAG/v3T4=")</f>
        <v>1</v>
      </c>
      <c r="BL225" t="b">
        <f>AND(DATA!S1820,"AAAAAG/v3T8=")</f>
        <v>1</v>
      </c>
      <c r="BM225" t="b">
        <f>AND(DATA!T1820,"AAAAAG/v3UA=")</f>
        <v>1</v>
      </c>
      <c r="BN225">
        <f>IF(DATA!1820:1820,"AAAAAG/v3UE=",0)</f>
        <v>0</v>
      </c>
      <c r="BO225" t="e">
        <f>AND(DATA!A1820,"AAAAAG/v3UI=")</f>
        <v>#VALUE!</v>
      </c>
      <c r="BP225" t="e">
        <f>AND(DATA!B1820,"AAAAAG/v3UM=")</f>
        <v>#VALUE!</v>
      </c>
      <c r="BQ225" t="e">
        <f>AND(DATA!C1820,"AAAAAG/v3UQ=")</f>
        <v>#VALUE!</v>
      </c>
      <c r="BR225" t="e">
        <f>AND(DATA!D1820,"AAAAAG/v3UU=")</f>
        <v>#VALUE!</v>
      </c>
      <c r="BS225" t="e">
        <f>AND(DATA!E1820,"AAAAAG/v3UY=")</f>
        <v>#VALUE!</v>
      </c>
      <c r="BT225" t="e">
        <f>AND(DATA!F1820,"AAAAAG/v3Uc=")</f>
        <v>#VALUE!</v>
      </c>
      <c r="BU225" t="e">
        <f>AND(DATA!G1820,"AAAAAG/v3Ug=")</f>
        <v>#VALUE!</v>
      </c>
      <c r="BV225" t="e">
        <f>AND(DATA!H1820,"AAAAAG/v3Uk=")</f>
        <v>#VALUE!</v>
      </c>
      <c r="BW225" t="e">
        <f>AND(DATA!I1820,"AAAAAG/v3Uo=")</f>
        <v>#VALUE!</v>
      </c>
      <c r="BX225" t="e">
        <f>AND(DATA!J1820,"AAAAAG/v3Us=")</f>
        <v>#VALUE!</v>
      </c>
      <c r="BY225" t="e">
        <f>AND(DATA!K1820,"AAAAAG/v3Uw=")</f>
        <v>#VALUE!</v>
      </c>
      <c r="BZ225" t="b">
        <f>AND(DATA!L1821,"AAAAAG/v3U0=")</f>
        <v>1</v>
      </c>
      <c r="CA225" t="b">
        <f>AND(DATA!M1821,"AAAAAG/v3U4=")</f>
        <v>1</v>
      </c>
      <c r="CB225" t="b">
        <f>AND(DATA!N1821,"AAAAAG/v3U8=")</f>
        <v>1</v>
      </c>
      <c r="CC225" t="b">
        <f>AND(DATA!O1821,"AAAAAG/v3VA=")</f>
        <v>1</v>
      </c>
      <c r="CD225" t="b">
        <f>AND(DATA!P1821,"AAAAAG/v3VE=")</f>
        <v>1</v>
      </c>
      <c r="CE225" t="b">
        <f>AND(DATA!Q1821,"AAAAAG/v3VI=")</f>
        <v>1</v>
      </c>
      <c r="CF225" t="b">
        <f>AND(DATA!R1821,"AAAAAG/v3VM=")</f>
        <v>1</v>
      </c>
      <c r="CG225" t="b">
        <f>AND(DATA!S1821,"AAAAAG/v3VQ=")</f>
        <v>1</v>
      </c>
      <c r="CH225" t="b">
        <f>AND(DATA!T1821,"AAAAAG/v3VU=")</f>
        <v>1</v>
      </c>
      <c r="CI225">
        <f>IF(DATA!1821:1821,"AAAAAG/v3VY=",0)</f>
        <v>0</v>
      </c>
      <c r="CJ225" t="e">
        <f>AND(DATA!A1821,"AAAAAG/v3Vc=")</f>
        <v>#VALUE!</v>
      </c>
      <c r="CK225" t="e">
        <f>AND(DATA!B1821,"AAAAAG/v3Vg=")</f>
        <v>#VALUE!</v>
      </c>
      <c r="CL225" t="e">
        <f>AND(DATA!C1821,"AAAAAG/v3Vk=")</f>
        <v>#VALUE!</v>
      </c>
      <c r="CM225" t="e">
        <f>AND(DATA!D1821,"AAAAAG/v3Vo=")</f>
        <v>#VALUE!</v>
      </c>
      <c r="CN225" t="e">
        <f>AND(DATA!E1821,"AAAAAG/v3Vs=")</f>
        <v>#VALUE!</v>
      </c>
      <c r="CO225" t="e">
        <f>AND(DATA!F1821,"AAAAAG/v3Vw=")</f>
        <v>#VALUE!</v>
      </c>
      <c r="CP225" t="e">
        <f>AND(DATA!G1821,"AAAAAG/v3V0=")</f>
        <v>#VALUE!</v>
      </c>
      <c r="CQ225" t="e">
        <f>AND(DATA!H1821,"AAAAAG/v3V4=")</f>
        <v>#VALUE!</v>
      </c>
      <c r="CR225" t="e">
        <f>AND(DATA!I1821,"AAAAAG/v3V8=")</f>
        <v>#VALUE!</v>
      </c>
      <c r="CS225" t="e">
        <f>AND(DATA!J1821,"AAAAAG/v3WA=")</f>
        <v>#VALUE!</v>
      </c>
      <c r="CT225" t="e">
        <f>AND(DATA!K1821,"AAAAAG/v3WE=")</f>
        <v>#VALUE!</v>
      </c>
      <c r="CU225" t="b">
        <f>AND(DATA!L1822,"AAAAAG/v3WI=")</f>
        <v>1</v>
      </c>
      <c r="CV225" t="b">
        <f>AND(DATA!M1822,"AAAAAG/v3WM=")</f>
        <v>1</v>
      </c>
      <c r="CW225" t="b">
        <f>AND(DATA!N1822,"AAAAAG/v3WQ=")</f>
        <v>1</v>
      </c>
      <c r="CX225" t="b">
        <f>AND(DATA!O1822,"AAAAAG/v3WU=")</f>
        <v>1</v>
      </c>
      <c r="CY225" t="b">
        <f>AND(DATA!P1822,"AAAAAG/v3WY=")</f>
        <v>1</v>
      </c>
      <c r="CZ225" t="b">
        <f>AND(DATA!Q1822,"AAAAAG/v3Wc=")</f>
        <v>1</v>
      </c>
      <c r="DA225" t="b">
        <f>AND(DATA!R1822,"AAAAAG/v3Wg=")</f>
        <v>1</v>
      </c>
      <c r="DB225" t="b">
        <f>AND(DATA!S1822,"AAAAAG/v3Wk=")</f>
        <v>1</v>
      </c>
      <c r="DC225" t="b">
        <f>AND(DATA!T1822,"AAAAAG/v3Wo=")</f>
        <v>1</v>
      </c>
      <c r="DD225">
        <f>IF(DATA!1822:1822,"AAAAAG/v3Ws=",0)</f>
        <v>0</v>
      </c>
      <c r="DE225" t="e">
        <f>AND(DATA!A1822,"AAAAAG/v3Ww=")</f>
        <v>#VALUE!</v>
      </c>
      <c r="DF225" t="e">
        <f>AND(DATA!B1822,"AAAAAG/v3W0=")</f>
        <v>#VALUE!</v>
      </c>
      <c r="DG225" t="e">
        <f>AND(DATA!C1822,"AAAAAG/v3W4=")</f>
        <v>#VALUE!</v>
      </c>
      <c r="DH225" t="e">
        <f>AND(DATA!D1822,"AAAAAG/v3W8=")</f>
        <v>#VALUE!</v>
      </c>
      <c r="DI225" t="e">
        <f>AND(DATA!E1822,"AAAAAG/v3XA=")</f>
        <v>#VALUE!</v>
      </c>
      <c r="DJ225" t="e">
        <f>AND(DATA!F1822,"AAAAAG/v3XE=")</f>
        <v>#VALUE!</v>
      </c>
      <c r="DK225" t="e">
        <f>AND(DATA!G1822,"AAAAAG/v3XI=")</f>
        <v>#VALUE!</v>
      </c>
      <c r="DL225" t="e">
        <f>AND(DATA!H1822,"AAAAAG/v3XM=")</f>
        <v>#VALUE!</v>
      </c>
      <c r="DM225" t="e">
        <f>AND(DATA!I1822,"AAAAAG/v3XQ=")</f>
        <v>#VALUE!</v>
      </c>
      <c r="DN225" t="e">
        <f>AND(DATA!J1822,"AAAAAG/v3XU=")</f>
        <v>#VALUE!</v>
      </c>
      <c r="DO225" t="e">
        <f>AND(DATA!K1822,"AAAAAG/v3XY=")</f>
        <v>#VALUE!</v>
      </c>
      <c r="DP225" t="b">
        <f>AND(DATA!L1823,"AAAAAG/v3Xc=")</f>
        <v>1</v>
      </c>
      <c r="DQ225" t="b">
        <f>AND(DATA!M1823,"AAAAAG/v3Xg=")</f>
        <v>1</v>
      </c>
      <c r="DR225" t="b">
        <f>AND(DATA!N1823,"AAAAAG/v3Xk=")</f>
        <v>1</v>
      </c>
      <c r="DS225" t="b">
        <f>AND(DATA!O1823,"AAAAAG/v3Xo=")</f>
        <v>1</v>
      </c>
      <c r="DT225" t="b">
        <f>AND(DATA!P1823,"AAAAAG/v3Xs=")</f>
        <v>1</v>
      </c>
      <c r="DU225" t="b">
        <f>AND(DATA!Q1823,"AAAAAG/v3Xw=")</f>
        <v>1</v>
      </c>
      <c r="DV225" t="b">
        <f>AND(DATA!R1823,"AAAAAG/v3X0=")</f>
        <v>1</v>
      </c>
      <c r="DW225" t="b">
        <f>AND(DATA!S1823,"AAAAAG/v3X4=")</f>
        <v>1</v>
      </c>
      <c r="DX225" t="b">
        <f>AND(DATA!T1823,"AAAAAG/v3X8=")</f>
        <v>1</v>
      </c>
      <c r="DY225">
        <f>IF(DATA!1823:1823,"AAAAAG/v3YA=",0)</f>
        <v>0</v>
      </c>
      <c r="DZ225" t="e">
        <f>AND(DATA!A1823,"AAAAAG/v3YE=")</f>
        <v>#VALUE!</v>
      </c>
      <c r="EA225" t="e">
        <f>AND(DATA!B1823,"AAAAAG/v3YI=")</f>
        <v>#VALUE!</v>
      </c>
      <c r="EB225" t="e">
        <f>AND(DATA!C1823,"AAAAAG/v3YM=")</f>
        <v>#VALUE!</v>
      </c>
      <c r="EC225" t="e">
        <f>AND(DATA!D1823,"AAAAAG/v3YQ=")</f>
        <v>#VALUE!</v>
      </c>
      <c r="ED225" t="e">
        <f>AND(DATA!E1823,"AAAAAG/v3YU=")</f>
        <v>#VALUE!</v>
      </c>
      <c r="EE225" t="e">
        <f>AND(DATA!F1823,"AAAAAG/v3YY=")</f>
        <v>#VALUE!</v>
      </c>
      <c r="EF225" t="e">
        <f>AND(DATA!G1823,"AAAAAG/v3Yc=")</f>
        <v>#VALUE!</v>
      </c>
      <c r="EG225" t="e">
        <f>AND(DATA!H1823,"AAAAAG/v3Yg=")</f>
        <v>#VALUE!</v>
      </c>
      <c r="EH225" t="e">
        <f>AND(DATA!I1823,"AAAAAG/v3Yk=")</f>
        <v>#VALUE!</v>
      </c>
      <c r="EI225" t="e">
        <f>AND(DATA!J1823,"AAAAAG/v3Yo=")</f>
        <v>#VALUE!</v>
      </c>
      <c r="EJ225" t="e">
        <f>AND(DATA!K1823,"AAAAAG/v3Ys=")</f>
        <v>#VALUE!</v>
      </c>
      <c r="EK225" t="b">
        <f>AND(DATA!L1824,"AAAAAG/v3Yw=")</f>
        <v>1</v>
      </c>
      <c r="EL225" t="b">
        <f>AND(DATA!M1824,"AAAAAG/v3Y0=")</f>
        <v>1</v>
      </c>
      <c r="EM225" t="b">
        <f>AND(DATA!N1824,"AAAAAG/v3Y4=")</f>
        <v>1</v>
      </c>
      <c r="EN225" t="b">
        <f>AND(DATA!O1824,"AAAAAG/v3Y8=")</f>
        <v>1</v>
      </c>
      <c r="EO225" t="b">
        <f>AND(DATA!P1824,"AAAAAG/v3ZA=")</f>
        <v>1</v>
      </c>
      <c r="EP225" t="b">
        <f>AND(DATA!Q1824,"AAAAAG/v3ZE=")</f>
        <v>1</v>
      </c>
      <c r="EQ225" t="b">
        <f>AND(DATA!R1824,"AAAAAG/v3ZI=")</f>
        <v>1</v>
      </c>
      <c r="ER225" t="b">
        <f>AND(DATA!S1824,"AAAAAG/v3ZM=")</f>
        <v>1</v>
      </c>
      <c r="ES225" t="b">
        <f>AND(DATA!T1824,"AAAAAG/v3ZQ=")</f>
        <v>1</v>
      </c>
      <c r="ET225">
        <f>IF(DATA!1824:1824,"AAAAAG/v3ZU=",0)</f>
        <v>0</v>
      </c>
      <c r="EU225" t="e">
        <f>AND(DATA!A1824,"AAAAAG/v3ZY=")</f>
        <v>#VALUE!</v>
      </c>
      <c r="EV225" t="e">
        <f>AND(DATA!B1824,"AAAAAG/v3Zc=")</f>
        <v>#VALUE!</v>
      </c>
      <c r="EW225" t="e">
        <f>AND(DATA!C1824,"AAAAAG/v3Zg=")</f>
        <v>#VALUE!</v>
      </c>
      <c r="EX225" t="e">
        <f>AND(DATA!D1824,"AAAAAG/v3Zk=")</f>
        <v>#VALUE!</v>
      </c>
      <c r="EY225" t="e">
        <f>AND(DATA!E1824,"AAAAAG/v3Zo=")</f>
        <v>#VALUE!</v>
      </c>
      <c r="EZ225" t="e">
        <f>AND(DATA!F1824,"AAAAAG/v3Zs=")</f>
        <v>#VALUE!</v>
      </c>
      <c r="FA225" t="e">
        <f>AND(DATA!G1824,"AAAAAG/v3Zw=")</f>
        <v>#VALUE!</v>
      </c>
      <c r="FB225" t="e">
        <f>AND(DATA!H1824,"AAAAAG/v3Z0=")</f>
        <v>#VALUE!</v>
      </c>
      <c r="FC225" t="e">
        <f>AND(DATA!I1824,"AAAAAG/v3Z4=")</f>
        <v>#VALUE!</v>
      </c>
      <c r="FD225" t="e">
        <f>AND(DATA!J1824,"AAAAAG/v3Z8=")</f>
        <v>#VALUE!</v>
      </c>
      <c r="FE225" t="e">
        <f>AND(DATA!K1824,"AAAAAG/v3aA=")</f>
        <v>#VALUE!</v>
      </c>
      <c r="FF225" t="b">
        <f>AND(DATA!L1825,"AAAAAG/v3aE=")</f>
        <v>1</v>
      </c>
      <c r="FG225" t="b">
        <f>AND(DATA!M1825,"AAAAAG/v3aI=")</f>
        <v>1</v>
      </c>
      <c r="FH225" t="b">
        <f>AND(DATA!N1825,"AAAAAG/v3aM=")</f>
        <v>1</v>
      </c>
      <c r="FI225" t="b">
        <f>AND(DATA!O1825,"AAAAAG/v3aQ=")</f>
        <v>1</v>
      </c>
      <c r="FJ225" t="b">
        <f>AND(DATA!P1825,"AAAAAG/v3aU=")</f>
        <v>1</v>
      </c>
      <c r="FK225" t="b">
        <f>AND(DATA!Q1825,"AAAAAG/v3aY=")</f>
        <v>1</v>
      </c>
      <c r="FL225" t="b">
        <f>AND(DATA!R1825,"AAAAAG/v3ac=")</f>
        <v>1</v>
      </c>
      <c r="FM225" t="b">
        <f>AND(DATA!S1825,"AAAAAG/v3ag=")</f>
        <v>1</v>
      </c>
      <c r="FN225" t="b">
        <f>AND(DATA!T1825,"AAAAAG/v3ak=")</f>
        <v>1</v>
      </c>
      <c r="FO225">
        <f>IF(DATA!1825:1825,"AAAAAG/v3ao=",0)</f>
        <v>0</v>
      </c>
      <c r="FP225" t="e">
        <f>AND(DATA!A1825,"AAAAAG/v3as=")</f>
        <v>#VALUE!</v>
      </c>
      <c r="FQ225" t="e">
        <f>AND(DATA!B1825,"AAAAAG/v3aw=")</f>
        <v>#VALUE!</v>
      </c>
      <c r="FR225" t="e">
        <f>AND(DATA!C1825,"AAAAAG/v3a0=")</f>
        <v>#VALUE!</v>
      </c>
      <c r="FS225" t="e">
        <f>AND(DATA!D1825,"AAAAAG/v3a4=")</f>
        <v>#VALUE!</v>
      </c>
      <c r="FT225" t="e">
        <f>AND(DATA!E1825,"AAAAAG/v3a8=")</f>
        <v>#VALUE!</v>
      </c>
      <c r="FU225" t="e">
        <f>AND(DATA!F1825,"AAAAAG/v3bA=")</f>
        <v>#VALUE!</v>
      </c>
      <c r="FV225" t="e">
        <f>AND(DATA!G1825,"AAAAAG/v3bE=")</f>
        <v>#VALUE!</v>
      </c>
      <c r="FW225" t="e">
        <f>AND(DATA!H1825,"AAAAAG/v3bI=")</f>
        <v>#VALUE!</v>
      </c>
      <c r="FX225" t="e">
        <f>AND(DATA!I1825,"AAAAAG/v3bM=")</f>
        <v>#VALUE!</v>
      </c>
      <c r="FY225" t="e">
        <f>AND(DATA!J1825,"AAAAAG/v3bQ=")</f>
        <v>#VALUE!</v>
      </c>
      <c r="FZ225" t="e">
        <f>AND(DATA!K1825,"AAAAAG/v3bU=")</f>
        <v>#VALUE!</v>
      </c>
      <c r="GA225" t="b">
        <f>AND(DATA!L1826,"AAAAAG/v3bY=")</f>
        <v>1</v>
      </c>
      <c r="GB225" t="b">
        <f>AND(DATA!M1826,"AAAAAG/v3bc=")</f>
        <v>1</v>
      </c>
      <c r="GC225" t="b">
        <f>AND(DATA!N1826,"AAAAAG/v3bg=")</f>
        <v>1</v>
      </c>
      <c r="GD225" t="b">
        <f>AND(DATA!O1826,"AAAAAG/v3bk=")</f>
        <v>1</v>
      </c>
      <c r="GE225" t="b">
        <f>AND(DATA!P1826,"AAAAAG/v3bo=")</f>
        <v>1</v>
      </c>
      <c r="GF225" t="b">
        <f>AND(DATA!Q1826,"AAAAAG/v3bs=")</f>
        <v>1</v>
      </c>
      <c r="GG225" t="b">
        <f>AND(DATA!R1826,"AAAAAG/v3bw=")</f>
        <v>1</v>
      </c>
      <c r="GH225" t="b">
        <f>AND(DATA!S1826,"AAAAAG/v3b0=")</f>
        <v>1</v>
      </c>
      <c r="GI225" t="b">
        <f>AND(DATA!T1826,"AAAAAG/v3b4=")</f>
        <v>1</v>
      </c>
      <c r="GJ225">
        <f>IF(DATA!1826:1826,"AAAAAG/v3b8=",0)</f>
        <v>0</v>
      </c>
      <c r="GK225" t="e">
        <f>AND(DATA!A1826,"AAAAAG/v3cA=")</f>
        <v>#VALUE!</v>
      </c>
      <c r="GL225" t="e">
        <f>AND(DATA!B1826,"AAAAAG/v3cE=")</f>
        <v>#VALUE!</v>
      </c>
      <c r="GM225" t="e">
        <f>AND(DATA!C1826,"AAAAAG/v3cI=")</f>
        <v>#VALUE!</v>
      </c>
      <c r="GN225" t="e">
        <f>AND(DATA!D1826,"AAAAAG/v3cM=")</f>
        <v>#VALUE!</v>
      </c>
      <c r="GO225" t="e">
        <f>AND(DATA!E1826,"AAAAAG/v3cQ=")</f>
        <v>#VALUE!</v>
      </c>
      <c r="GP225" t="e">
        <f>AND(DATA!F1826,"AAAAAG/v3cU=")</f>
        <v>#VALUE!</v>
      </c>
      <c r="GQ225" t="e">
        <f>AND(DATA!G1826,"AAAAAG/v3cY=")</f>
        <v>#VALUE!</v>
      </c>
      <c r="GR225" t="e">
        <f>AND(DATA!H1826,"AAAAAG/v3cc=")</f>
        <v>#VALUE!</v>
      </c>
      <c r="GS225" t="e">
        <f>AND(DATA!I1826,"AAAAAG/v3cg=")</f>
        <v>#VALUE!</v>
      </c>
      <c r="GT225" t="e">
        <f>AND(DATA!J1826,"AAAAAG/v3ck=")</f>
        <v>#VALUE!</v>
      </c>
      <c r="GU225" t="e">
        <f>AND(DATA!K1826,"AAAAAG/v3co=")</f>
        <v>#VALUE!</v>
      </c>
      <c r="GV225" t="b">
        <f>AND(DATA!L1827,"AAAAAG/v3cs=")</f>
        <v>1</v>
      </c>
      <c r="GW225" t="b">
        <f>AND(DATA!M1827,"AAAAAG/v3cw=")</f>
        <v>1</v>
      </c>
      <c r="GX225" t="b">
        <f>AND(DATA!N1827,"AAAAAG/v3c0=")</f>
        <v>1</v>
      </c>
      <c r="GY225" t="b">
        <f>AND(DATA!O1827,"AAAAAG/v3c4=")</f>
        <v>1</v>
      </c>
      <c r="GZ225" t="b">
        <f>AND(DATA!P1827,"AAAAAG/v3c8=")</f>
        <v>1</v>
      </c>
      <c r="HA225" t="b">
        <f>AND(DATA!Q1827,"AAAAAG/v3dA=")</f>
        <v>1</v>
      </c>
      <c r="HB225" t="b">
        <f>AND(DATA!R1827,"AAAAAG/v3dE=")</f>
        <v>1</v>
      </c>
      <c r="HC225" t="b">
        <f>AND(DATA!S1827,"AAAAAG/v3dI=")</f>
        <v>1</v>
      </c>
      <c r="HD225" t="b">
        <f>AND(DATA!T1827,"AAAAAG/v3dM=")</f>
        <v>1</v>
      </c>
      <c r="HE225">
        <f>IF(DATA!1827:1827,"AAAAAG/v3dQ=",0)</f>
        <v>0</v>
      </c>
      <c r="HF225" t="e">
        <f>AND(DATA!A1827,"AAAAAG/v3dU=")</f>
        <v>#VALUE!</v>
      </c>
      <c r="HG225" t="e">
        <f>AND(DATA!B1827,"AAAAAG/v3dY=")</f>
        <v>#VALUE!</v>
      </c>
      <c r="HH225" t="e">
        <f>AND(DATA!C1827,"AAAAAG/v3dc=")</f>
        <v>#VALUE!</v>
      </c>
      <c r="HI225" t="e">
        <f>AND(DATA!D1827,"AAAAAG/v3dg=")</f>
        <v>#VALUE!</v>
      </c>
      <c r="HJ225" t="e">
        <f>AND(DATA!E1827,"AAAAAG/v3dk=")</f>
        <v>#VALUE!</v>
      </c>
      <c r="HK225" t="e">
        <f>AND(DATA!F1827,"AAAAAG/v3do=")</f>
        <v>#VALUE!</v>
      </c>
      <c r="HL225" t="e">
        <f>AND(DATA!G1827,"AAAAAG/v3ds=")</f>
        <v>#VALUE!</v>
      </c>
      <c r="HM225" t="e">
        <f>AND(DATA!H1827,"AAAAAG/v3dw=")</f>
        <v>#VALUE!</v>
      </c>
      <c r="HN225" t="e">
        <f>AND(DATA!I1827,"AAAAAG/v3d0=")</f>
        <v>#VALUE!</v>
      </c>
      <c r="HO225" t="e">
        <f>AND(DATA!J1827,"AAAAAG/v3d4=")</f>
        <v>#VALUE!</v>
      </c>
      <c r="HP225" t="e">
        <f>AND(DATA!K1827,"AAAAAG/v3d8=")</f>
        <v>#VALUE!</v>
      </c>
      <c r="HQ225" t="b">
        <f>AND(DATA!L1828,"AAAAAG/v3eA=")</f>
        <v>1</v>
      </c>
      <c r="HR225" t="b">
        <f>AND(DATA!M1828,"AAAAAG/v3eE=")</f>
        <v>1</v>
      </c>
      <c r="HS225" t="b">
        <f>AND(DATA!N1828,"AAAAAG/v3eI=")</f>
        <v>1</v>
      </c>
      <c r="HT225" t="b">
        <f>AND(DATA!O1828,"AAAAAG/v3eM=")</f>
        <v>1</v>
      </c>
      <c r="HU225" t="b">
        <f>AND(DATA!P1828,"AAAAAG/v3eQ=")</f>
        <v>1</v>
      </c>
      <c r="HV225" t="b">
        <f>AND(DATA!Q1828,"AAAAAG/v3eU=")</f>
        <v>1</v>
      </c>
      <c r="HW225" t="b">
        <f>AND(DATA!R1828,"AAAAAG/v3eY=")</f>
        <v>1</v>
      </c>
      <c r="HX225" t="b">
        <f>AND(DATA!S1828,"AAAAAG/v3ec=")</f>
        <v>1</v>
      </c>
      <c r="HY225" t="b">
        <f>AND(DATA!T1828,"AAAAAG/v3eg=")</f>
        <v>1</v>
      </c>
      <c r="HZ225">
        <f>IF(DATA!1828:1828,"AAAAAG/v3ek=",0)</f>
        <v>0</v>
      </c>
      <c r="IA225" t="e">
        <f>AND(DATA!A1828,"AAAAAG/v3eo=")</f>
        <v>#VALUE!</v>
      </c>
      <c r="IB225" t="e">
        <f>AND(DATA!B1828,"AAAAAG/v3es=")</f>
        <v>#VALUE!</v>
      </c>
      <c r="IC225" t="e">
        <f>AND(DATA!C1828,"AAAAAG/v3ew=")</f>
        <v>#VALUE!</v>
      </c>
      <c r="ID225" t="e">
        <f>AND(DATA!D1828,"AAAAAG/v3e0=")</f>
        <v>#VALUE!</v>
      </c>
      <c r="IE225" t="e">
        <f>AND(DATA!E1828,"AAAAAG/v3e4=")</f>
        <v>#VALUE!</v>
      </c>
      <c r="IF225" t="e">
        <f>AND(DATA!F1828,"AAAAAG/v3e8=")</f>
        <v>#VALUE!</v>
      </c>
      <c r="IG225" t="e">
        <f>AND(DATA!G1828,"AAAAAG/v3fA=")</f>
        <v>#VALUE!</v>
      </c>
      <c r="IH225" t="e">
        <f>AND(DATA!H1828,"AAAAAG/v3fE=")</f>
        <v>#VALUE!</v>
      </c>
      <c r="II225" t="e">
        <f>AND(DATA!I1828,"AAAAAG/v3fI=")</f>
        <v>#VALUE!</v>
      </c>
      <c r="IJ225" t="e">
        <f>AND(DATA!J1828,"AAAAAG/v3fM=")</f>
        <v>#VALUE!</v>
      </c>
      <c r="IK225" t="e">
        <f>AND(DATA!K1828,"AAAAAG/v3fQ=")</f>
        <v>#VALUE!</v>
      </c>
      <c r="IL225" t="b">
        <f>AND(DATA!L1829,"AAAAAG/v3fU=")</f>
        <v>1</v>
      </c>
      <c r="IM225" t="b">
        <f>AND(DATA!M1829,"AAAAAG/v3fY=")</f>
        <v>1</v>
      </c>
      <c r="IN225" t="b">
        <f>AND(DATA!N1829,"AAAAAG/v3fc=")</f>
        <v>1</v>
      </c>
      <c r="IO225" t="b">
        <f>AND(DATA!O1829,"AAAAAG/v3fg=")</f>
        <v>1</v>
      </c>
      <c r="IP225" t="b">
        <f>AND(DATA!P1829,"AAAAAG/v3fk=")</f>
        <v>1</v>
      </c>
      <c r="IQ225" t="b">
        <f>AND(DATA!Q1829,"AAAAAG/v3fo=")</f>
        <v>1</v>
      </c>
      <c r="IR225" t="b">
        <f>AND(DATA!R1829,"AAAAAG/v3fs=")</f>
        <v>1</v>
      </c>
      <c r="IS225" t="b">
        <f>AND(DATA!S1829,"AAAAAG/v3fw=")</f>
        <v>1</v>
      </c>
      <c r="IT225" t="b">
        <f>AND(DATA!T1829,"AAAAAG/v3f0=")</f>
        <v>1</v>
      </c>
      <c r="IU225">
        <f>IF(DATA!1829:1829,"AAAAAG/v3f4=",0)</f>
        <v>0</v>
      </c>
      <c r="IV225" t="e">
        <f>AND(DATA!A1829,"AAAAAG/v3f8=")</f>
        <v>#VALUE!</v>
      </c>
    </row>
    <row r="226" spans="1:256" x14ac:dyDescent="0.25">
      <c r="A226" t="e">
        <f>AND(DATA!B1829,"AAAAAD1/swA=")</f>
        <v>#VALUE!</v>
      </c>
      <c r="B226" t="e">
        <f>AND(DATA!C1829,"AAAAAD1/swE=")</f>
        <v>#VALUE!</v>
      </c>
      <c r="C226" t="e">
        <f>AND(DATA!D1829,"AAAAAD1/swI=")</f>
        <v>#VALUE!</v>
      </c>
      <c r="D226" t="e">
        <f>AND(DATA!E1829,"AAAAAD1/swM=")</f>
        <v>#VALUE!</v>
      </c>
      <c r="E226" t="e">
        <f>AND(DATA!F1829,"AAAAAD1/swQ=")</f>
        <v>#VALUE!</v>
      </c>
      <c r="F226" t="e">
        <f>AND(DATA!G1829,"AAAAAD1/swU=")</f>
        <v>#VALUE!</v>
      </c>
      <c r="G226" t="e">
        <f>AND(DATA!H1829,"AAAAAD1/swY=")</f>
        <v>#VALUE!</v>
      </c>
      <c r="H226" t="e">
        <f>AND(DATA!I1829,"AAAAAD1/swc=")</f>
        <v>#VALUE!</v>
      </c>
      <c r="I226" t="e">
        <f>AND(DATA!J1829,"AAAAAD1/swg=")</f>
        <v>#VALUE!</v>
      </c>
      <c r="J226" t="e">
        <f>AND(DATA!K1829,"AAAAAD1/swk=")</f>
        <v>#VALUE!</v>
      </c>
      <c r="K226" t="b">
        <f>AND(DATA!L1830,"AAAAAD1/swo=")</f>
        <v>1</v>
      </c>
      <c r="L226" t="b">
        <f>AND(DATA!M1830,"AAAAAD1/sws=")</f>
        <v>1</v>
      </c>
      <c r="M226" t="b">
        <f>AND(DATA!N1830,"AAAAAD1/sww=")</f>
        <v>1</v>
      </c>
      <c r="N226" t="b">
        <f>AND(DATA!O1830,"AAAAAD1/sw0=")</f>
        <v>1</v>
      </c>
      <c r="O226" t="b">
        <f>AND(DATA!P1830,"AAAAAD1/sw4=")</f>
        <v>1</v>
      </c>
      <c r="P226" t="b">
        <f>AND(DATA!Q1830,"AAAAAD1/sw8=")</f>
        <v>1</v>
      </c>
      <c r="Q226" t="b">
        <f>AND(DATA!R1830,"AAAAAD1/sxA=")</f>
        <v>1</v>
      </c>
      <c r="R226" t="b">
        <f>AND(DATA!S1830,"AAAAAD1/sxE=")</f>
        <v>1</v>
      </c>
      <c r="S226" t="b">
        <f>AND(DATA!T1830,"AAAAAD1/sxI=")</f>
        <v>1</v>
      </c>
      <c r="T226" t="str">
        <f>IF(DATA!1830:1830,"AAAAAD1/sxM=",0)</f>
        <v>AAAAAD1/sxM=</v>
      </c>
      <c r="U226" t="e">
        <f>AND(DATA!A1830,"AAAAAD1/sxQ=")</f>
        <v>#VALUE!</v>
      </c>
      <c r="V226" t="e">
        <f>AND(DATA!B1830,"AAAAAD1/sxU=")</f>
        <v>#VALUE!</v>
      </c>
      <c r="W226" t="e">
        <f>AND(DATA!C1830,"AAAAAD1/sxY=")</f>
        <v>#VALUE!</v>
      </c>
      <c r="X226" t="e">
        <f>AND(DATA!D1830,"AAAAAD1/sxc=")</f>
        <v>#VALUE!</v>
      </c>
      <c r="Y226" t="e">
        <f>AND(DATA!E1830,"AAAAAD1/sxg=")</f>
        <v>#VALUE!</v>
      </c>
      <c r="Z226" t="e">
        <f>AND(DATA!F1830,"AAAAAD1/sxk=")</f>
        <v>#VALUE!</v>
      </c>
      <c r="AA226" t="e">
        <f>AND(DATA!G1830,"AAAAAD1/sxo=")</f>
        <v>#VALUE!</v>
      </c>
      <c r="AB226" t="e">
        <f>AND(DATA!H1830,"AAAAAD1/sxs=")</f>
        <v>#VALUE!</v>
      </c>
      <c r="AC226" t="e">
        <f>AND(DATA!I1830,"AAAAAD1/sxw=")</f>
        <v>#VALUE!</v>
      </c>
      <c r="AD226" t="e">
        <f>AND(DATA!J1830,"AAAAAD1/sx0=")</f>
        <v>#VALUE!</v>
      </c>
      <c r="AE226" t="e">
        <f>AND(DATA!K1830,"AAAAAD1/sx4=")</f>
        <v>#VALUE!</v>
      </c>
      <c r="AF226" t="b">
        <f>AND(DATA!L1831,"AAAAAD1/sx8=")</f>
        <v>1</v>
      </c>
      <c r="AG226" t="b">
        <f>AND(DATA!M1831,"AAAAAD1/syA=")</f>
        <v>1</v>
      </c>
      <c r="AH226" t="b">
        <f>AND(DATA!N1831,"AAAAAD1/syE=")</f>
        <v>1</v>
      </c>
      <c r="AI226" t="b">
        <f>AND(DATA!O1831,"AAAAAD1/syI=")</f>
        <v>1</v>
      </c>
      <c r="AJ226" t="b">
        <f>AND(DATA!P1831,"AAAAAD1/syM=")</f>
        <v>1</v>
      </c>
      <c r="AK226" t="b">
        <f>AND(DATA!Q1831,"AAAAAD1/syQ=")</f>
        <v>1</v>
      </c>
      <c r="AL226" t="b">
        <f>AND(DATA!R1831,"AAAAAD1/syU=")</f>
        <v>1</v>
      </c>
      <c r="AM226" t="b">
        <f>AND(DATA!S1831,"AAAAAD1/syY=")</f>
        <v>1</v>
      </c>
      <c r="AN226" t="b">
        <f>AND(DATA!T1831,"AAAAAD1/syc=")</f>
        <v>1</v>
      </c>
      <c r="AO226">
        <f>IF(DATA!1831:1831,"AAAAAD1/syg=",0)</f>
        <v>0</v>
      </c>
      <c r="AP226" t="e">
        <f>AND(DATA!A1831,"AAAAAD1/syk=")</f>
        <v>#VALUE!</v>
      </c>
      <c r="AQ226" t="e">
        <f>AND(DATA!B1831,"AAAAAD1/syo=")</f>
        <v>#VALUE!</v>
      </c>
      <c r="AR226" t="e">
        <f>AND(DATA!C1831,"AAAAAD1/sys=")</f>
        <v>#VALUE!</v>
      </c>
      <c r="AS226" t="e">
        <f>AND(DATA!D1831,"AAAAAD1/syw=")</f>
        <v>#VALUE!</v>
      </c>
      <c r="AT226" t="e">
        <f>AND(DATA!E1831,"AAAAAD1/sy0=")</f>
        <v>#VALUE!</v>
      </c>
      <c r="AU226" t="e">
        <f>AND(DATA!F1831,"AAAAAD1/sy4=")</f>
        <v>#VALUE!</v>
      </c>
      <c r="AV226" t="e">
        <f>AND(DATA!G1831,"AAAAAD1/sy8=")</f>
        <v>#VALUE!</v>
      </c>
      <c r="AW226" t="e">
        <f>AND(DATA!H1831,"AAAAAD1/szA=")</f>
        <v>#VALUE!</v>
      </c>
      <c r="AX226" t="e">
        <f>AND(DATA!I1831,"AAAAAD1/szE=")</f>
        <v>#VALUE!</v>
      </c>
      <c r="AY226" t="e">
        <f>AND(DATA!J1831,"AAAAAD1/szI=")</f>
        <v>#VALUE!</v>
      </c>
      <c r="AZ226" t="e">
        <f>AND(DATA!K1831,"AAAAAD1/szM=")</f>
        <v>#VALUE!</v>
      </c>
      <c r="BA226" t="b">
        <f>AND(DATA!L1832,"AAAAAD1/szQ=")</f>
        <v>1</v>
      </c>
      <c r="BB226" t="b">
        <f>AND(DATA!M1832,"AAAAAD1/szU=")</f>
        <v>1</v>
      </c>
      <c r="BC226" t="b">
        <f>AND(DATA!N1832,"AAAAAD1/szY=")</f>
        <v>1</v>
      </c>
      <c r="BD226" t="b">
        <f>AND(DATA!O1832,"AAAAAD1/szc=")</f>
        <v>1</v>
      </c>
      <c r="BE226" t="b">
        <f>AND(DATA!P1832,"AAAAAD1/szg=")</f>
        <v>1</v>
      </c>
      <c r="BF226" t="b">
        <f>AND(DATA!Q1832,"AAAAAD1/szk=")</f>
        <v>1</v>
      </c>
      <c r="BG226" t="b">
        <f>AND(DATA!R1832,"AAAAAD1/szo=")</f>
        <v>1</v>
      </c>
      <c r="BH226" t="b">
        <f>AND(DATA!S1832,"AAAAAD1/szs=")</f>
        <v>1</v>
      </c>
      <c r="BI226" t="b">
        <f>AND(DATA!T1832,"AAAAAD1/szw=")</f>
        <v>1</v>
      </c>
      <c r="BJ226">
        <f>IF(DATA!1832:1832,"AAAAAD1/sz0=",0)</f>
        <v>0</v>
      </c>
      <c r="BK226" t="e">
        <f>AND(DATA!A1832,"AAAAAD1/sz4=")</f>
        <v>#VALUE!</v>
      </c>
      <c r="BL226" t="e">
        <f>AND(DATA!B1832,"AAAAAD1/sz8=")</f>
        <v>#VALUE!</v>
      </c>
      <c r="BM226" t="e">
        <f>AND(DATA!C1832,"AAAAAD1/s0A=")</f>
        <v>#VALUE!</v>
      </c>
      <c r="BN226" t="e">
        <f>AND(DATA!D1832,"AAAAAD1/s0E=")</f>
        <v>#VALUE!</v>
      </c>
      <c r="BO226" t="e">
        <f>AND(DATA!E1832,"AAAAAD1/s0I=")</f>
        <v>#VALUE!</v>
      </c>
      <c r="BP226" t="e">
        <f>AND(DATA!F1832,"AAAAAD1/s0M=")</f>
        <v>#VALUE!</v>
      </c>
      <c r="BQ226" t="e">
        <f>AND(DATA!G1832,"AAAAAD1/s0Q=")</f>
        <v>#VALUE!</v>
      </c>
      <c r="BR226" t="e">
        <f>AND(DATA!H1832,"AAAAAD1/s0U=")</f>
        <v>#VALUE!</v>
      </c>
      <c r="BS226" t="e">
        <f>AND(DATA!I1832,"AAAAAD1/s0Y=")</f>
        <v>#VALUE!</v>
      </c>
      <c r="BT226" t="e">
        <f>AND(DATA!J1832,"AAAAAD1/s0c=")</f>
        <v>#VALUE!</v>
      </c>
      <c r="BU226" t="e">
        <f>AND(DATA!K1832,"AAAAAD1/s0g=")</f>
        <v>#VALUE!</v>
      </c>
      <c r="BV226" t="b">
        <f>AND(DATA!L1833,"AAAAAD1/s0k=")</f>
        <v>1</v>
      </c>
      <c r="BW226" t="b">
        <f>AND(DATA!M1833,"AAAAAD1/s0o=")</f>
        <v>1</v>
      </c>
      <c r="BX226" t="b">
        <f>AND(DATA!N1833,"AAAAAD1/s0s=")</f>
        <v>1</v>
      </c>
      <c r="BY226" t="b">
        <f>AND(DATA!O1833,"AAAAAD1/s0w=")</f>
        <v>1</v>
      </c>
      <c r="BZ226" t="b">
        <f>AND(DATA!P1833,"AAAAAD1/s00=")</f>
        <v>1</v>
      </c>
      <c r="CA226" t="b">
        <f>AND(DATA!Q1833,"AAAAAD1/s04=")</f>
        <v>1</v>
      </c>
      <c r="CB226" t="b">
        <f>AND(DATA!R1833,"AAAAAD1/s08=")</f>
        <v>1</v>
      </c>
      <c r="CC226" t="b">
        <f>AND(DATA!S1833,"AAAAAD1/s1A=")</f>
        <v>1</v>
      </c>
      <c r="CD226" t="b">
        <f>AND(DATA!T1833,"AAAAAD1/s1E=")</f>
        <v>1</v>
      </c>
      <c r="CE226">
        <f>IF(DATA!1833:1833,"AAAAAD1/s1I=",0)</f>
        <v>0</v>
      </c>
      <c r="CF226" t="e">
        <f>AND(DATA!A1833,"AAAAAD1/s1M=")</f>
        <v>#VALUE!</v>
      </c>
      <c r="CG226" t="e">
        <f>AND(DATA!B1833,"AAAAAD1/s1Q=")</f>
        <v>#VALUE!</v>
      </c>
      <c r="CH226" t="e">
        <f>AND(DATA!C1833,"AAAAAD1/s1U=")</f>
        <v>#VALUE!</v>
      </c>
      <c r="CI226" t="e">
        <f>AND(DATA!D1833,"AAAAAD1/s1Y=")</f>
        <v>#VALUE!</v>
      </c>
      <c r="CJ226" t="e">
        <f>AND(DATA!E1833,"AAAAAD1/s1c=")</f>
        <v>#VALUE!</v>
      </c>
      <c r="CK226" t="e">
        <f>AND(DATA!F1833,"AAAAAD1/s1g=")</f>
        <v>#VALUE!</v>
      </c>
      <c r="CL226" t="e">
        <f>AND(DATA!G1833,"AAAAAD1/s1k=")</f>
        <v>#VALUE!</v>
      </c>
      <c r="CM226" t="e">
        <f>AND(DATA!H1833,"AAAAAD1/s1o=")</f>
        <v>#VALUE!</v>
      </c>
      <c r="CN226" t="e">
        <f>AND(DATA!I1833,"AAAAAD1/s1s=")</f>
        <v>#VALUE!</v>
      </c>
      <c r="CO226" t="e">
        <f>AND(DATA!J1833,"AAAAAD1/s1w=")</f>
        <v>#VALUE!</v>
      </c>
      <c r="CP226" t="e">
        <f>AND(DATA!K1833,"AAAAAD1/s10=")</f>
        <v>#VALUE!</v>
      </c>
      <c r="CQ226" t="b">
        <f>AND(DATA!L1834,"AAAAAD1/s14=")</f>
        <v>1</v>
      </c>
      <c r="CR226" t="b">
        <f>AND(DATA!M1834,"AAAAAD1/s18=")</f>
        <v>1</v>
      </c>
      <c r="CS226" t="b">
        <f>AND(DATA!N1834,"AAAAAD1/s2A=")</f>
        <v>1</v>
      </c>
      <c r="CT226" t="b">
        <f>AND(DATA!O1834,"AAAAAD1/s2E=")</f>
        <v>1</v>
      </c>
      <c r="CU226" t="b">
        <f>AND(DATA!P1834,"AAAAAD1/s2I=")</f>
        <v>1</v>
      </c>
      <c r="CV226" t="b">
        <f>AND(DATA!Q1834,"AAAAAD1/s2M=")</f>
        <v>1</v>
      </c>
      <c r="CW226" t="b">
        <f>AND(DATA!R1834,"AAAAAD1/s2Q=")</f>
        <v>1</v>
      </c>
      <c r="CX226" t="b">
        <f>AND(DATA!S1834,"AAAAAD1/s2U=")</f>
        <v>1</v>
      </c>
      <c r="CY226" t="b">
        <f>AND(DATA!T1834,"AAAAAD1/s2Y=")</f>
        <v>1</v>
      </c>
      <c r="CZ226">
        <f>IF(DATA!1834:1834,"AAAAAD1/s2c=",0)</f>
        <v>0</v>
      </c>
      <c r="DA226" t="e">
        <f>AND(DATA!A1834,"AAAAAD1/s2g=")</f>
        <v>#VALUE!</v>
      </c>
      <c r="DB226" t="e">
        <f>AND(DATA!B1834,"AAAAAD1/s2k=")</f>
        <v>#VALUE!</v>
      </c>
      <c r="DC226" t="e">
        <f>AND(DATA!C1834,"AAAAAD1/s2o=")</f>
        <v>#VALUE!</v>
      </c>
      <c r="DD226" t="e">
        <f>AND(DATA!D1834,"AAAAAD1/s2s=")</f>
        <v>#VALUE!</v>
      </c>
      <c r="DE226" t="e">
        <f>AND(DATA!E1834,"AAAAAD1/s2w=")</f>
        <v>#VALUE!</v>
      </c>
      <c r="DF226" t="e">
        <f>AND(DATA!F1834,"AAAAAD1/s20=")</f>
        <v>#VALUE!</v>
      </c>
      <c r="DG226" t="e">
        <f>AND(DATA!G1834,"AAAAAD1/s24=")</f>
        <v>#VALUE!</v>
      </c>
      <c r="DH226" t="e">
        <f>AND(DATA!H1834,"AAAAAD1/s28=")</f>
        <v>#VALUE!</v>
      </c>
      <c r="DI226" t="e">
        <f>AND(DATA!I1834,"AAAAAD1/s3A=")</f>
        <v>#VALUE!</v>
      </c>
      <c r="DJ226" t="e">
        <f>AND(DATA!J1834,"AAAAAD1/s3E=")</f>
        <v>#VALUE!</v>
      </c>
      <c r="DK226" t="e">
        <f>AND(DATA!K1834,"AAAAAD1/s3I=")</f>
        <v>#VALUE!</v>
      </c>
      <c r="DL226" t="b">
        <f>AND(DATA!L1835,"AAAAAD1/s3M=")</f>
        <v>1</v>
      </c>
      <c r="DM226" t="b">
        <f>AND(DATA!M1835,"AAAAAD1/s3Q=")</f>
        <v>1</v>
      </c>
      <c r="DN226" t="b">
        <f>AND(DATA!N1835,"AAAAAD1/s3U=")</f>
        <v>1</v>
      </c>
      <c r="DO226" t="b">
        <f>AND(DATA!O1835,"AAAAAD1/s3Y=")</f>
        <v>1</v>
      </c>
      <c r="DP226" t="b">
        <f>AND(DATA!P1835,"AAAAAD1/s3c=")</f>
        <v>1</v>
      </c>
      <c r="DQ226" t="b">
        <f>AND(DATA!Q1835,"AAAAAD1/s3g=")</f>
        <v>1</v>
      </c>
      <c r="DR226" t="b">
        <f>AND(DATA!R1835,"AAAAAD1/s3k=")</f>
        <v>1</v>
      </c>
      <c r="DS226" t="b">
        <f>AND(DATA!S1835,"AAAAAD1/s3o=")</f>
        <v>1</v>
      </c>
      <c r="DT226" t="b">
        <f>AND(DATA!T1835,"AAAAAD1/s3s=")</f>
        <v>1</v>
      </c>
      <c r="DU226">
        <f>IF(DATA!1835:1835,"AAAAAD1/s3w=",0)</f>
        <v>0</v>
      </c>
      <c r="DV226" t="e">
        <f>AND(DATA!A1835,"AAAAAD1/s30=")</f>
        <v>#VALUE!</v>
      </c>
      <c r="DW226" t="e">
        <f>AND(DATA!B1835,"AAAAAD1/s34=")</f>
        <v>#VALUE!</v>
      </c>
      <c r="DX226" t="e">
        <f>AND(DATA!C1835,"AAAAAD1/s38=")</f>
        <v>#VALUE!</v>
      </c>
      <c r="DY226" t="e">
        <f>AND(DATA!D1835,"AAAAAD1/s4A=")</f>
        <v>#VALUE!</v>
      </c>
      <c r="DZ226" t="e">
        <f>AND(DATA!E1835,"AAAAAD1/s4E=")</f>
        <v>#VALUE!</v>
      </c>
      <c r="EA226" t="e">
        <f>AND(DATA!F1835,"AAAAAD1/s4I=")</f>
        <v>#VALUE!</v>
      </c>
      <c r="EB226" t="e">
        <f>AND(DATA!G1835,"AAAAAD1/s4M=")</f>
        <v>#VALUE!</v>
      </c>
      <c r="EC226" t="e">
        <f>AND(DATA!H1835,"AAAAAD1/s4Q=")</f>
        <v>#VALUE!</v>
      </c>
      <c r="ED226" t="e">
        <f>AND(DATA!I1835,"AAAAAD1/s4U=")</f>
        <v>#VALUE!</v>
      </c>
      <c r="EE226" t="e">
        <f>AND(DATA!J1835,"AAAAAD1/s4Y=")</f>
        <v>#VALUE!</v>
      </c>
      <c r="EF226" t="e">
        <f>AND(DATA!K1835,"AAAAAD1/s4c=")</f>
        <v>#VALUE!</v>
      </c>
      <c r="EG226" t="b">
        <f>AND(DATA!L1836,"AAAAAD1/s4g=")</f>
        <v>1</v>
      </c>
      <c r="EH226" t="b">
        <f>AND(DATA!M1836,"AAAAAD1/s4k=")</f>
        <v>1</v>
      </c>
      <c r="EI226" t="b">
        <f>AND(DATA!N1836,"AAAAAD1/s4o=")</f>
        <v>1</v>
      </c>
      <c r="EJ226" t="b">
        <f>AND(DATA!O1836,"AAAAAD1/s4s=")</f>
        <v>1</v>
      </c>
      <c r="EK226" t="b">
        <f>AND(DATA!P1836,"AAAAAD1/s4w=")</f>
        <v>1</v>
      </c>
      <c r="EL226" t="b">
        <f>AND(DATA!Q1836,"AAAAAD1/s40=")</f>
        <v>1</v>
      </c>
      <c r="EM226" t="b">
        <f>AND(DATA!R1836,"AAAAAD1/s44=")</f>
        <v>1</v>
      </c>
      <c r="EN226" t="b">
        <f>AND(DATA!S1836,"AAAAAD1/s48=")</f>
        <v>1</v>
      </c>
      <c r="EO226" t="b">
        <f>AND(DATA!T1836,"AAAAAD1/s5A=")</f>
        <v>1</v>
      </c>
      <c r="EP226">
        <f>IF(DATA!1836:1836,"AAAAAD1/s5E=",0)</f>
        <v>0</v>
      </c>
      <c r="EQ226" t="e">
        <f>AND(DATA!A1836,"AAAAAD1/s5I=")</f>
        <v>#VALUE!</v>
      </c>
      <c r="ER226" t="e">
        <f>AND(DATA!B1836,"AAAAAD1/s5M=")</f>
        <v>#VALUE!</v>
      </c>
      <c r="ES226" t="e">
        <f>AND(DATA!C1836,"AAAAAD1/s5Q=")</f>
        <v>#VALUE!</v>
      </c>
      <c r="ET226" t="e">
        <f>AND(DATA!D1836,"AAAAAD1/s5U=")</f>
        <v>#VALUE!</v>
      </c>
      <c r="EU226" t="e">
        <f>AND(DATA!E1836,"AAAAAD1/s5Y=")</f>
        <v>#VALUE!</v>
      </c>
      <c r="EV226" t="e">
        <f>AND(DATA!F1836,"AAAAAD1/s5c=")</f>
        <v>#VALUE!</v>
      </c>
      <c r="EW226" t="e">
        <f>AND(DATA!G1836,"AAAAAD1/s5g=")</f>
        <v>#VALUE!</v>
      </c>
      <c r="EX226" t="e">
        <f>AND(DATA!H1836,"AAAAAD1/s5k=")</f>
        <v>#VALUE!</v>
      </c>
      <c r="EY226" t="e">
        <f>AND(DATA!I1836,"AAAAAD1/s5o=")</f>
        <v>#VALUE!</v>
      </c>
      <c r="EZ226" t="e">
        <f>AND(DATA!J1836,"AAAAAD1/s5s=")</f>
        <v>#VALUE!</v>
      </c>
      <c r="FA226" t="e">
        <f>AND(DATA!K1836,"AAAAAD1/s5w=")</f>
        <v>#VALUE!</v>
      </c>
      <c r="FB226" t="b">
        <f>AND(DATA!L1837,"AAAAAD1/s50=")</f>
        <v>1</v>
      </c>
      <c r="FC226" t="b">
        <f>AND(DATA!M1837,"AAAAAD1/s54=")</f>
        <v>1</v>
      </c>
      <c r="FD226" t="b">
        <f>AND(DATA!N1837,"AAAAAD1/s58=")</f>
        <v>1</v>
      </c>
      <c r="FE226" t="b">
        <f>AND(DATA!O1837,"AAAAAD1/s6A=")</f>
        <v>1</v>
      </c>
      <c r="FF226" t="b">
        <f>AND(DATA!P1837,"AAAAAD1/s6E=")</f>
        <v>1</v>
      </c>
      <c r="FG226" t="b">
        <f>AND(DATA!Q1837,"AAAAAD1/s6I=")</f>
        <v>1</v>
      </c>
      <c r="FH226" t="b">
        <f>AND(DATA!R1837,"AAAAAD1/s6M=")</f>
        <v>1</v>
      </c>
      <c r="FI226" t="b">
        <f>AND(DATA!S1837,"AAAAAD1/s6Q=")</f>
        <v>1</v>
      </c>
      <c r="FJ226" t="b">
        <f>AND(DATA!T1837,"AAAAAD1/s6U=")</f>
        <v>1</v>
      </c>
      <c r="FK226">
        <f>IF(DATA!1837:1837,"AAAAAD1/s6Y=",0)</f>
        <v>0</v>
      </c>
      <c r="FL226" t="e">
        <f>AND(DATA!A1837,"AAAAAD1/s6c=")</f>
        <v>#VALUE!</v>
      </c>
      <c r="FM226" t="e">
        <f>AND(DATA!B1837,"AAAAAD1/s6g=")</f>
        <v>#VALUE!</v>
      </c>
      <c r="FN226" t="e">
        <f>AND(DATA!C1837,"AAAAAD1/s6k=")</f>
        <v>#VALUE!</v>
      </c>
      <c r="FO226" t="e">
        <f>AND(DATA!D1837,"AAAAAD1/s6o=")</f>
        <v>#VALUE!</v>
      </c>
      <c r="FP226" t="e">
        <f>AND(DATA!E1837,"AAAAAD1/s6s=")</f>
        <v>#VALUE!</v>
      </c>
      <c r="FQ226" t="e">
        <f>AND(DATA!F1837,"AAAAAD1/s6w=")</f>
        <v>#VALUE!</v>
      </c>
      <c r="FR226" t="e">
        <f>AND(DATA!G1837,"AAAAAD1/s60=")</f>
        <v>#VALUE!</v>
      </c>
      <c r="FS226" t="e">
        <f>AND(DATA!H1837,"AAAAAD1/s64=")</f>
        <v>#VALUE!</v>
      </c>
      <c r="FT226" t="e">
        <f>AND(DATA!I1837,"AAAAAD1/s68=")</f>
        <v>#VALUE!</v>
      </c>
      <c r="FU226" t="e">
        <f>AND(DATA!J1837,"AAAAAD1/s7A=")</f>
        <v>#VALUE!</v>
      </c>
      <c r="FV226" t="e">
        <f>AND(DATA!K1837,"AAAAAD1/s7E=")</f>
        <v>#VALUE!</v>
      </c>
      <c r="FW226" t="b">
        <f>AND(DATA!L1838,"AAAAAD1/s7I=")</f>
        <v>1</v>
      </c>
      <c r="FX226" t="b">
        <f>AND(DATA!M1838,"AAAAAD1/s7M=")</f>
        <v>1</v>
      </c>
      <c r="FY226" t="b">
        <f>AND(DATA!N1838,"AAAAAD1/s7Q=")</f>
        <v>1</v>
      </c>
      <c r="FZ226" t="b">
        <f>AND(DATA!O1838,"AAAAAD1/s7U=")</f>
        <v>1</v>
      </c>
      <c r="GA226" t="b">
        <f>AND(DATA!P1838,"AAAAAD1/s7Y=")</f>
        <v>1</v>
      </c>
      <c r="GB226" t="b">
        <f>AND(DATA!Q1838,"AAAAAD1/s7c=")</f>
        <v>1</v>
      </c>
      <c r="GC226" t="b">
        <f>AND(DATA!R1838,"AAAAAD1/s7g=")</f>
        <v>1</v>
      </c>
      <c r="GD226" t="b">
        <f>AND(DATA!S1838,"AAAAAD1/s7k=")</f>
        <v>1</v>
      </c>
      <c r="GE226" t="b">
        <f>AND(DATA!T1838,"AAAAAD1/s7o=")</f>
        <v>1</v>
      </c>
      <c r="GF226">
        <f>IF(DATA!1838:1838,"AAAAAD1/s7s=",0)</f>
        <v>0</v>
      </c>
      <c r="GG226" t="e">
        <f>AND(DATA!A1838,"AAAAAD1/s7w=")</f>
        <v>#VALUE!</v>
      </c>
      <c r="GH226" t="e">
        <f>AND(DATA!B1838,"AAAAAD1/s70=")</f>
        <v>#VALUE!</v>
      </c>
      <c r="GI226" t="e">
        <f>AND(DATA!C1838,"AAAAAD1/s74=")</f>
        <v>#VALUE!</v>
      </c>
      <c r="GJ226" t="e">
        <f>AND(DATA!D1838,"AAAAAD1/s78=")</f>
        <v>#VALUE!</v>
      </c>
      <c r="GK226" t="e">
        <f>AND(DATA!E1838,"AAAAAD1/s8A=")</f>
        <v>#VALUE!</v>
      </c>
      <c r="GL226" t="e">
        <f>AND(DATA!F1838,"AAAAAD1/s8E=")</f>
        <v>#VALUE!</v>
      </c>
      <c r="GM226" t="e">
        <f>AND(DATA!G1838,"AAAAAD1/s8I=")</f>
        <v>#VALUE!</v>
      </c>
      <c r="GN226" t="e">
        <f>AND(DATA!H1838,"AAAAAD1/s8M=")</f>
        <v>#VALUE!</v>
      </c>
      <c r="GO226" t="e">
        <f>AND(DATA!I1838,"AAAAAD1/s8Q=")</f>
        <v>#VALUE!</v>
      </c>
      <c r="GP226" t="e">
        <f>AND(DATA!J1838,"AAAAAD1/s8U=")</f>
        <v>#VALUE!</v>
      </c>
      <c r="GQ226" t="e">
        <f>AND(DATA!K1838,"AAAAAD1/s8Y=")</f>
        <v>#VALUE!</v>
      </c>
      <c r="GR226" t="b">
        <f>AND(DATA!L1839,"AAAAAD1/s8c=")</f>
        <v>1</v>
      </c>
      <c r="GS226" t="b">
        <f>AND(DATA!M1839,"AAAAAD1/s8g=")</f>
        <v>1</v>
      </c>
      <c r="GT226" t="b">
        <f>AND(DATA!N1839,"AAAAAD1/s8k=")</f>
        <v>1</v>
      </c>
      <c r="GU226" t="b">
        <f>AND(DATA!O1839,"AAAAAD1/s8o=")</f>
        <v>1</v>
      </c>
      <c r="GV226" t="b">
        <f>AND(DATA!P1839,"AAAAAD1/s8s=")</f>
        <v>1</v>
      </c>
      <c r="GW226" t="b">
        <f>AND(DATA!Q1839,"AAAAAD1/s8w=")</f>
        <v>1</v>
      </c>
      <c r="GX226" t="b">
        <f>AND(DATA!R1839,"AAAAAD1/s80=")</f>
        <v>1</v>
      </c>
      <c r="GY226" t="b">
        <f>AND(DATA!S1839,"AAAAAD1/s84=")</f>
        <v>1</v>
      </c>
      <c r="GZ226" t="b">
        <f>AND(DATA!T1839,"AAAAAD1/s88=")</f>
        <v>1</v>
      </c>
      <c r="HA226">
        <f>IF(DATA!1839:1839,"AAAAAD1/s9A=",0)</f>
        <v>0</v>
      </c>
      <c r="HB226" t="e">
        <f>AND(DATA!A1839,"AAAAAD1/s9E=")</f>
        <v>#VALUE!</v>
      </c>
      <c r="HC226" t="e">
        <f>AND(DATA!B1839,"AAAAAD1/s9I=")</f>
        <v>#VALUE!</v>
      </c>
      <c r="HD226" t="e">
        <f>AND(DATA!C1839,"AAAAAD1/s9M=")</f>
        <v>#VALUE!</v>
      </c>
      <c r="HE226" t="e">
        <f>AND(DATA!D1839,"AAAAAD1/s9Q=")</f>
        <v>#VALUE!</v>
      </c>
      <c r="HF226" t="e">
        <f>AND(DATA!E1839,"AAAAAD1/s9U=")</f>
        <v>#VALUE!</v>
      </c>
      <c r="HG226" t="e">
        <f>AND(DATA!F1839,"AAAAAD1/s9Y=")</f>
        <v>#VALUE!</v>
      </c>
      <c r="HH226" t="e">
        <f>AND(DATA!G1839,"AAAAAD1/s9c=")</f>
        <v>#VALUE!</v>
      </c>
      <c r="HI226" t="e">
        <f>AND(DATA!H1839,"AAAAAD1/s9g=")</f>
        <v>#VALUE!</v>
      </c>
      <c r="HJ226" t="e">
        <f>AND(DATA!I1839,"AAAAAD1/s9k=")</f>
        <v>#VALUE!</v>
      </c>
      <c r="HK226" t="e">
        <f>AND(DATA!J1839,"AAAAAD1/s9o=")</f>
        <v>#VALUE!</v>
      </c>
      <c r="HL226" t="e">
        <f>AND(DATA!K1839,"AAAAAD1/s9s=")</f>
        <v>#VALUE!</v>
      </c>
      <c r="HM226" t="b">
        <f>AND(DATA!L1840,"AAAAAD1/s9w=")</f>
        <v>1</v>
      </c>
      <c r="HN226" t="b">
        <f>AND(DATA!M1840,"AAAAAD1/s90=")</f>
        <v>1</v>
      </c>
      <c r="HO226" t="b">
        <f>AND(DATA!N1840,"AAAAAD1/s94=")</f>
        <v>1</v>
      </c>
      <c r="HP226" t="b">
        <f>AND(DATA!O1840,"AAAAAD1/s98=")</f>
        <v>1</v>
      </c>
      <c r="HQ226" t="b">
        <f>AND(DATA!P1840,"AAAAAD1/s+A=")</f>
        <v>1</v>
      </c>
      <c r="HR226" t="b">
        <f>AND(DATA!Q1840,"AAAAAD1/s+E=")</f>
        <v>1</v>
      </c>
      <c r="HS226" t="b">
        <f>AND(DATA!R1840,"AAAAAD1/s+I=")</f>
        <v>1</v>
      </c>
      <c r="HT226" t="b">
        <f>AND(DATA!S1840,"AAAAAD1/s+M=")</f>
        <v>1</v>
      </c>
      <c r="HU226" t="b">
        <f>AND(DATA!T1840,"AAAAAD1/s+Q=")</f>
        <v>1</v>
      </c>
      <c r="HV226">
        <f>IF(DATA!1840:1840,"AAAAAD1/s+U=",0)</f>
        <v>0</v>
      </c>
      <c r="HW226" t="e">
        <f>AND(DATA!A1840,"AAAAAD1/s+Y=")</f>
        <v>#VALUE!</v>
      </c>
      <c r="HX226" t="e">
        <f>AND(DATA!B1840,"AAAAAD1/s+c=")</f>
        <v>#VALUE!</v>
      </c>
      <c r="HY226" t="e">
        <f>AND(DATA!C1840,"AAAAAD1/s+g=")</f>
        <v>#VALUE!</v>
      </c>
      <c r="HZ226" t="e">
        <f>AND(DATA!D1840,"AAAAAD1/s+k=")</f>
        <v>#VALUE!</v>
      </c>
      <c r="IA226" t="e">
        <f>AND(DATA!E1840,"AAAAAD1/s+o=")</f>
        <v>#VALUE!</v>
      </c>
      <c r="IB226" t="e">
        <f>AND(DATA!F1840,"AAAAAD1/s+s=")</f>
        <v>#VALUE!</v>
      </c>
      <c r="IC226" t="e">
        <f>AND(DATA!G1840,"AAAAAD1/s+w=")</f>
        <v>#VALUE!</v>
      </c>
      <c r="ID226" t="e">
        <f>AND(DATA!H1840,"AAAAAD1/s+0=")</f>
        <v>#VALUE!</v>
      </c>
      <c r="IE226" t="e">
        <f>AND(DATA!I1840,"AAAAAD1/s+4=")</f>
        <v>#VALUE!</v>
      </c>
      <c r="IF226" t="e">
        <f>AND(DATA!J1840,"AAAAAD1/s+8=")</f>
        <v>#VALUE!</v>
      </c>
      <c r="IG226" t="e">
        <f>AND(DATA!K1840,"AAAAAD1/s/A=")</f>
        <v>#VALUE!</v>
      </c>
      <c r="IH226" t="b">
        <f>AND(DATA!L1841,"AAAAAD1/s/E=")</f>
        <v>1</v>
      </c>
      <c r="II226" t="b">
        <f>AND(DATA!M1841,"AAAAAD1/s/I=")</f>
        <v>1</v>
      </c>
      <c r="IJ226" t="b">
        <f>AND(DATA!N1841,"AAAAAD1/s/M=")</f>
        <v>1</v>
      </c>
      <c r="IK226" t="b">
        <f>AND(DATA!O1841,"AAAAAD1/s/Q=")</f>
        <v>1</v>
      </c>
      <c r="IL226" t="b">
        <f>AND(DATA!P1841,"AAAAAD1/s/U=")</f>
        <v>1</v>
      </c>
      <c r="IM226" t="b">
        <f>AND(DATA!Q1841,"AAAAAD1/s/Y=")</f>
        <v>1</v>
      </c>
      <c r="IN226" t="b">
        <f>AND(DATA!R1841,"AAAAAD1/s/c=")</f>
        <v>1</v>
      </c>
      <c r="IO226" t="b">
        <f>AND(DATA!S1841,"AAAAAD1/s/g=")</f>
        <v>1</v>
      </c>
      <c r="IP226" t="b">
        <f>AND(DATA!T1841,"AAAAAD1/s/k=")</f>
        <v>1</v>
      </c>
      <c r="IQ226">
        <f>IF(DATA!1841:1841,"AAAAAD1/s/o=",0)</f>
        <v>0</v>
      </c>
      <c r="IR226" t="e">
        <f>AND(DATA!A1841,"AAAAAD1/s/s=")</f>
        <v>#VALUE!</v>
      </c>
      <c r="IS226" t="e">
        <f>AND(DATA!B1841,"AAAAAD1/s/w=")</f>
        <v>#VALUE!</v>
      </c>
      <c r="IT226" t="e">
        <f>AND(DATA!C1841,"AAAAAD1/s/0=")</f>
        <v>#VALUE!</v>
      </c>
      <c r="IU226" t="e">
        <f>AND(DATA!D1841,"AAAAAD1/s/4=")</f>
        <v>#VALUE!</v>
      </c>
      <c r="IV226" t="e">
        <f>AND(DATA!E1841,"AAAAAD1/s/8=")</f>
        <v>#VALUE!</v>
      </c>
    </row>
    <row r="227" spans="1:256" x14ac:dyDescent="0.25">
      <c r="A227" t="e">
        <f>AND(DATA!F1841,"AAAAAF37+gA=")</f>
        <v>#VALUE!</v>
      </c>
      <c r="B227" t="e">
        <f>AND(DATA!G1841,"AAAAAF37+gE=")</f>
        <v>#VALUE!</v>
      </c>
      <c r="C227" t="e">
        <f>AND(DATA!H1841,"AAAAAF37+gI=")</f>
        <v>#VALUE!</v>
      </c>
      <c r="D227" t="e">
        <f>AND(DATA!I1841,"AAAAAF37+gM=")</f>
        <v>#VALUE!</v>
      </c>
      <c r="E227" t="e">
        <f>AND(DATA!J1841,"AAAAAF37+gQ=")</f>
        <v>#VALUE!</v>
      </c>
      <c r="F227" t="e">
        <f>AND(DATA!K1841,"AAAAAF37+gU=")</f>
        <v>#VALUE!</v>
      </c>
      <c r="G227" t="b">
        <f>AND(DATA!L1842,"AAAAAF37+gY=")</f>
        <v>1</v>
      </c>
      <c r="H227" t="b">
        <f>AND(DATA!M1842,"AAAAAF37+gc=")</f>
        <v>1</v>
      </c>
      <c r="I227" t="b">
        <f>AND(DATA!N1842,"AAAAAF37+gg=")</f>
        <v>1</v>
      </c>
      <c r="J227" t="b">
        <f>AND(DATA!O1842,"AAAAAF37+gk=")</f>
        <v>1</v>
      </c>
      <c r="K227" t="b">
        <f>AND(DATA!P1842,"AAAAAF37+go=")</f>
        <v>1</v>
      </c>
      <c r="L227" t="b">
        <f>AND(DATA!Q1842,"AAAAAF37+gs=")</f>
        <v>1</v>
      </c>
      <c r="M227" t="b">
        <f>AND(DATA!R1842,"AAAAAF37+gw=")</f>
        <v>1</v>
      </c>
      <c r="N227" t="b">
        <f>AND(DATA!S1842,"AAAAAF37+g0=")</f>
        <v>1</v>
      </c>
      <c r="O227" t="b">
        <f>AND(DATA!T1842,"AAAAAF37+g4=")</f>
        <v>1</v>
      </c>
      <c r="P227" t="str">
        <f>IF(DATA!1842:1842,"AAAAAF37+g8=",0)</f>
        <v>AAAAAF37+g8=</v>
      </c>
      <c r="Q227" t="e">
        <f>AND(DATA!A1842,"AAAAAF37+hA=")</f>
        <v>#VALUE!</v>
      </c>
      <c r="R227" t="e">
        <f>AND(DATA!B1842,"AAAAAF37+hE=")</f>
        <v>#VALUE!</v>
      </c>
      <c r="S227" t="e">
        <f>AND(DATA!C1842,"AAAAAF37+hI=")</f>
        <v>#VALUE!</v>
      </c>
      <c r="T227" t="e">
        <f>AND(DATA!D1842,"AAAAAF37+hM=")</f>
        <v>#VALUE!</v>
      </c>
      <c r="U227" t="e">
        <f>AND(DATA!E1842,"AAAAAF37+hQ=")</f>
        <v>#VALUE!</v>
      </c>
      <c r="V227" t="e">
        <f>AND(DATA!F1842,"AAAAAF37+hU=")</f>
        <v>#VALUE!</v>
      </c>
      <c r="W227" t="e">
        <f>AND(DATA!G1842,"AAAAAF37+hY=")</f>
        <v>#VALUE!</v>
      </c>
      <c r="X227" t="e">
        <f>AND(DATA!H1842,"AAAAAF37+hc=")</f>
        <v>#VALUE!</v>
      </c>
      <c r="Y227" t="e">
        <f>AND(DATA!I1842,"AAAAAF37+hg=")</f>
        <v>#VALUE!</v>
      </c>
      <c r="Z227" t="e">
        <f>AND(DATA!J1842,"AAAAAF37+hk=")</f>
        <v>#VALUE!</v>
      </c>
      <c r="AA227" t="e">
        <f>AND(DATA!K1842,"AAAAAF37+ho=")</f>
        <v>#VALUE!</v>
      </c>
      <c r="AB227" t="b">
        <f>AND(DATA!L1843,"AAAAAF37+hs=")</f>
        <v>1</v>
      </c>
      <c r="AC227" t="b">
        <f>AND(DATA!M1843,"AAAAAF37+hw=")</f>
        <v>1</v>
      </c>
      <c r="AD227" t="b">
        <f>AND(DATA!N1843,"AAAAAF37+h0=")</f>
        <v>1</v>
      </c>
      <c r="AE227" t="b">
        <f>AND(DATA!O1843,"AAAAAF37+h4=")</f>
        <v>1</v>
      </c>
      <c r="AF227" t="b">
        <f>AND(DATA!P1843,"AAAAAF37+h8=")</f>
        <v>1</v>
      </c>
      <c r="AG227" t="b">
        <f>AND(DATA!Q1843,"AAAAAF37+iA=")</f>
        <v>1</v>
      </c>
      <c r="AH227" t="b">
        <f>AND(DATA!R1843,"AAAAAF37+iE=")</f>
        <v>1</v>
      </c>
      <c r="AI227" t="b">
        <f>AND(DATA!S1843,"AAAAAF37+iI=")</f>
        <v>1</v>
      </c>
      <c r="AJ227" t="b">
        <f>AND(DATA!T1843,"AAAAAF37+iM=")</f>
        <v>1</v>
      </c>
      <c r="AK227">
        <f>IF(DATA!1843:1843,"AAAAAF37+iQ=",0)</f>
        <v>0</v>
      </c>
      <c r="AL227" t="e">
        <f>AND(DATA!A1843,"AAAAAF37+iU=")</f>
        <v>#VALUE!</v>
      </c>
      <c r="AM227" t="e">
        <f>AND(DATA!B1843,"AAAAAF37+iY=")</f>
        <v>#VALUE!</v>
      </c>
      <c r="AN227" t="e">
        <f>AND(DATA!C1843,"AAAAAF37+ic=")</f>
        <v>#VALUE!</v>
      </c>
      <c r="AO227" t="e">
        <f>AND(DATA!D1843,"AAAAAF37+ig=")</f>
        <v>#VALUE!</v>
      </c>
      <c r="AP227" t="e">
        <f>AND(DATA!E1843,"AAAAAF37+ik=")</f>
        <v>#VALUE!</v>
      </c>
      <c r="AQ227" t="e">
        <f>AND(DATA!F1843,"AAAAAF37+io=")</f>
        <v>#VALUE!</v>
      </c>
      <c r="AR227" t="e">
        <f>AND(DATA!G1843,"AAAAAF37+is=")</f>
        <v>#VALUE!</v>
      </c>
      <c r="AS227" t="e">
        <f>AND(DATA!H1843,"AAAAAF37+iw=")</f>
        <v>#VALUE!</v>
      </c>
      <c r="AT227" t="e">
        <f>AND(DATA!I1843,"AAAAAF37+i0=")</f>
        <v>#VALUE!</v>
      </c>
      <c r="AU227" t="e">
        <f>AND(DATA!J1843,"AAAAAF37+i4=")</f>
        <v>#VALUE!</v>
      </c>
      <c r="AV227" t="e">
        <f>AND(DATA!K1843,"AAAAAF37+i8=")</f>
        <v>#VALUE!</v>
      </c>
      <c r="AW227" t="b">
        <f>AND(DATA!L1844,"AAAAAF37+jA=")</f>
        <v>1</v>
      </c>
      <c r="AX227" t="b">
        <f>AND(DATA!M1844,"AAAAAF37+jE=")</f>
        <v>1</v>
      </c>
      <c r="AY227" t="b">
        <f>AND(DATA!N1844,"AAAAAF37+jI=")</f>
        <v>1</v>
      </c>
      <c r="AZ227" t="b">
        <f>AND(DATA!O1844,"AAAAAF37+jM=")</f>
        <v>1</v>
      </c>
      <c r="BA227" t="b">
        <f>AND(DATA!P1844,"AAAAAF37+jQ=")</f>
        <v>1</v>
      </c>
      <c r="BB227" t="b">
        <f>AND(DATA!Q1844,"AAAAAF37+jU=")</f>
        <v>1</v>
      </c>
      <c r="BC227" t="b">
        <f>AND(DATA!R1844,"AAAAAF37+jY=")</f>
        <v>1</v>
      </c>
      <c r="BD227" t="b">
        <f>AND(DATA!S1844,"AAAAAF37+jc=")</f>
        <v>1</v>
      </c>
      <c r="BE227" t="b">
        <f>AND(DATA!T1844,"AAAAAF37+jg=")</f>
        <v>1</v>
      </c>
      <c r="BF227">
        <f>IF(DATA!1844:1844,"AAAAAF37+jk=",0)</f>
        <v>0</v>
      </c>
      <c r="BG227" t="e">
        <f>AND(DATA!A1844,"AAAAAF37+jo=")</f>
        <v>#VALUE!</v>
      </c>
      <c r="BH227" t="e">
        <f>AND(DATA!B1844,"AAAAAF37+js=")</f>
        <v>#VALUE!</v>
      </c>
      <c r="BI227" t="e">
        <f>AND(DATA!C1844,"AAAAAF37+jw=")</f>
        <v>#VALUE!</v>
      </c>
      <c r="BJ227" t="e">
        <f>AND(DATA!D1844,"AAAAAF37+j0=")</f>
        <v>#VALUE!</v>
      </c>
      <c r="BK227" t="e">
        <f>AND(DATA!E1844,"AAAAAF37+j4=")</f>
        <v>#VALUE!</v>
      </c>
      <c r="BL227" t="e">
        <f>AND(DATA!F1844,"AAAAAF37+j8=")</f>
        <v>#VALUE!</v>
      </c>
      <c r="BM227" t="e">
        <f>AND(DATA!G1844,"AAAAAF37+kA=")</f>
        <v>#VALUE!</v>
      </c>
      <c r="BN227" t="e">
        <f>AND(DATA!H1844,"AAAAAF37+kE=")</f>
        <v>#VALUE!</v>
      </c>
      <c r="BO227" t="e">
        <f>AND(DATA!I1844,"AAAAAF37+kI=")</f>
        <v>#VALUE!</v>
      </c>
      <c r="BP227" t="e">
        <f>AND(DATA!J1844,"AAAAAF37+kM=")</f>
        <v>#VALUE!</v>
      </c>
      <c r="BQ227" t="e">
        <f>AND(DATA!K1844,"AAAAAF37+kQ=")</f>
        <v>#VALUE!</v>
      </c>
      <c r="BR227" t="b">
        <f>AND(DATA!L1845,"AAAAAF37+kU=")</f>
        <v>1</v>
      </c>
      <c r="BS227" t="b">
        <f>AND(DATA!M1845,"AAAAAF37+kY=")</f>
        <v>1</v>
      </c>
      <c r="BT227" t="b">
        <f>AND(DATA!N1845,"AAAAAF37+kc=")</f>
        <v>1</v>
      </c>
      <c r="BU227" t="b">
        <f>AND(DATA!O1845,"AAAAAF37+kg=")</f>
        <v>1</v>
      </c>
      <c r="BV227" t="b">
        <f>AND(DATA!P1845,"AAAAAF37+kk=")</f>
        <v>1</v>
      </c>
      <c r="BW227" t="b">
        <f>AND(DATA!Q1845,"AAAAAF37+ko=")</f>
        <v>1</v>
      </c>
      <c r="BX227" t="b">
        <f>AND(DATA!R1845,"AAAAAF37+ks=")</f>
        <v>1</v>
      </c>
      <c r="BY227" t="b">
        <f>AND(DATA!S1845,"AAAAAF37+kw=")</f>
        <v>1</v>
      </c>
      <c r="BZ227" t="b">
        <f>AND(DATA!T1845,"AAAAAF37+k0=")</f>
        <v>1</v>
      </c>
      <c r="CA227">
        <f>IF(DATA!1845:1845,"AAAAAF37+k4=",0)</f>
        <v>0</v>
      </c>
      <c r="CB227" t="e">
        <f>AND(DATA!A1845,"AAAAAF37+k8=")</f>
        <v>#VALUE!</v>
      </c>
      <c r="CC227" t="e">
        <f>AND(DATA!B1845,"AAAAAF37+lA=")</f>
        <v>#VALUE!</v>
      </c>
      <c r="CD227" t="e">
        <f>AND(DATA!C1845,"AAAAAF37+lE=")</f>
        <v>#VALUE!</v>
      </c>
      <c r="CE227" t="e">
        <f>AND(DATA!D1845,"AAAAAF37+lI=")</f>
        <v>#VALUE!</v>
      </c>
      <c r="CF227" t="e">
        <f>AND(DATA!E1845,"AAAAAF37+lM=")</f>
        <v>#VALUE!</v>
      </c>
      <c r="CG227" t="e">
        <f>AND(DATA!F1845,"AAAAAF37+lQ=")</f>
        <v>#VALUE!</v>
      </c>
      <c r="CH227" t="e">
        <f>AND(DATA!G1845,"AAAAAF37+lU=")</f>
        <v>#VALUE!</v>
      </c>
      <c r="CI227" t="e">
        <f>AND(DATA!H1845,"AAAAAF37+lY=")</f>
        <v>#VALUE!</v>
      </c>
      <c r="CJ227" t="e">
        <f>AND(DATA!I1845,"AAAAAF37+lc=")</f>
        <v>#VALUE!</v>
      </c>
      <c r="CK227" t="e">
        <f>AND(DATA!J1845,"AAAAAF37+lg=")</f>
        <v>#VALUE!</v>
      </c>
      <c r="CL227" t="e">
        <f>AND(DATA!K1845,"AAAAAF37+lk=")</f>
        <v>#VALUE!</v>
      </c>
      <c r="CM227" t="b">
        <f>AND(DATA!L1846,"AAAAAF37+lo=")</f>
        <v>1</v>
      </c>
      <c r="CN227" t="b">
        <f>AND(DATA!M1846,"AAAAAF37+ls=")</f>
        <v>1</v>
      </c>
      <c r="CO227" t="b">
        <f>AND(DATA!N1846,"AAAAAF37+lw=")</f>
        <v>1</v>
      </c>
      <c r="CP227" t="b">
        <f>AND(DATA!O1846,"AAAAAF37+l0=")</f>
        <v>1</v>
      </c>
      <c r="CQ227" t="b">
        <f>AND(DATA!P1846,"AAAAAF37+l4=")</f>
        <v>1</v>
      </c>
      <c r="CR227" t="b">
        <f>AND(DATA!Q1846,"AAAAAF37+l8=")</f>
        <v>1</v>
      </c>
      <c r="CS227" t="b">
        <f>AND(DATA!R1846,"AAAAAF37+mA=")</f>
        <v>1</v>
      </c>
      <c r="CT227" t="b">
        <f>AND(DATA!S1846,"AAAAAF37+mE=")</f>
        <v>1</v>
      </c>
      <c r="CU227" t="b">
        <f>AND(DATA!T1846,"AAAAAF37+mI=")</f>
        <v>1</v>
      </c>
      <c r="CV227">
        <f>IF(DATA!1846:1846,"AAAAAF37+mM=",0)</f>
        <v>0</v>
      </c>
      <c r="CW227" t="e">
        <f>AND(DATA!A1846,"AAAAAF37+mQ=")</f>
        <v>#VALUE!</v>
      </c>
      <c r="CX227" t="e">
        <f>AND(DATA!B1846,"AAAAAF37+mU=")</f>
        <v>#VALUE!</v>
      </c>
      <c r="CY227" t="e">
        <f>AND(DATA!C1846,"AAAAAF37+mY=")</f>
        <v>#VALUE!</v>
      </c>
      <c r="CZ227" t="e">
        <f>AND(DATA!D1846,"AAAAAF37+mc=")</f>
        <v>#VALUE!</v>
      </c>
      <c r="DA227" t="e">
        <f>AND(DATA!E1846,"AAAAAF37+mg=")</f>
        <v>#VALUE!</v>
      </c>
      <c r="DB227" t="e">
        <f>AND(DATA!F1846,"AAAAAF37+mk=")</f>
        <v>#VALUE!</v>
      </c>
      <c r="DC227" t="e">
        <f>AND(DATA!G1846,"AAAAAF37+mo=")</f>
        <v>#VALUE!</v>
      </c>
      <c r="DD227" t="e">
        <f>AND(DATA!H1846,"AAAAAF37+ms=")</f>
        <v>#VALUE!</v>
      </c>
      <c r="DE227" t="e">
        <f>AND(DATA!I1846,"AAAAAF37+mw=")</f>
        <v>#VALUE!</v>
      </c>
      <c r="DF227" t="e">
        <f>AND(DATA!J1846,"AAAAAF37+m0=")</f>
        <v>#VALUE!</v>
      </c>
      <c r="DG227" t="e">
        <f>AND(DATA!K1846,"AAAAAF37+m4=")</f>
        <v>#VALUE!</v>
      </c>
      <c r="DH227" t="b">
        <f>AND(DATA!L1847,"AAAAAF37+m8=")</f>
        <v>1</v>
      </c>
      <c r="DI227" t="b">
        <f>AND(DATA!M1847,"AAAAAF37+nA=")</f>
        <v>1</v>
      </c>
      <c r="DJ227" t="b">
        <f>AND(DATA!N1847,"AAAAAF37+nE=")</f>
        <v>1</v>
      </c>
      <c r="DK227" t="b">
        <f>AND(DATA!O1847,"AAAAAF37+nI=")</f>
        <v>1</v>
      </c>
      <c r="DL227" t="b">
        <f>AND(DATA!P1847,"AAAAAF37+nM=")</f>
        <v>1</v>
      </c>
      <c r="DM227" t="b">
        <f>AND(DATA!Q1847,"AAAAAF37+nQ=")</f>
        <v>1</v>
      </c>
      <c r="DN227" t="b">
        <f>AND(DATA!R1847,"AAAAAF37+nU=")</f>
        <v>1</v>
      </c>
      <c r="DO227" t="b">
        <f>AND(DATA!S1847,"AAAAAF37+nY=")</f>
        <v>1</v>
      </c>
      <c r="DP227" t="b">
        <f>AND(DATA!T1847,"AAAAAF37+nc=")</f>
        <v>1</v>
      </c>
      <c r="DQ227">
        <f>IF(DATA!1847:1847,"AAAAAF37+ng=",0)</f>
        <v>0</v>
      </c>
      <c r="DR227" t="e">
        <f>AND(DATA!A1847,"AAAAAF37+nk=")</f>
        <v>#VALUE!</v>
      </c>
      <c r="DS227" t="e">
        <f>AND(DATA!B1847,"AAAAAF37+no=")</f>
        <v>#VALUE!</v>
      </c>
      <c r="DT227" t="e">
        <f>AND(DATA!C1847,"AAAAAF37+ns=")</f>
        <v>#VALUE!</v>
      </c>
      <c r="DU227" t="e">
        <f>AND(DATA!D1847,"AAAAAF37+nw=")</f>
        <v>#VALUE!</v>
      </c>
      <c r="DV227" t="e">
        <f>AND(DATA!E1847,"AAAAAF37+n0=")</f>
        <v>#VALUE!</v>
      </c>
      <c r="DW227" t="e">
        <f>AND(DATA!F1847,"AAAAAF37+n4=")</f>
        <v>#VALUE!</v>
      </c>
      <c r="DX227" t="e">
        <f>AND(DATA!G1847,"AAAAAF37+n8=")</f>
        <v>#VALUE!</v>
      </c>
      <c r="DY227" t="e">
        <f>AND(DATA!H1847,"AAAAAF37+oA=")</f>
        <v>#VALUE!</v>
      </c>
      <c r="DZ227" t="e">
        <f>AND(DATA!I1847,"AAAAAF37+oE=")</f>
        <v>#VALUE!</v>
      </c>
      <c r="EA227" t="e">
        <f>AND(DATA!J1847,"AAAAAF37+oI=")</f>
        <v>#VALUE!</v>
      </c>
      <c r="EB227" t="e">
        <f>AND(DATA!K1847,"AAAAAF37+oM=")</f>
        <v>#VALUE!</v>
      </c>
      <c r="EC227" t="b">
        <f>AND(DATA!L1848,"AAAAAF37+oQ=")</f>
        <v>1</v>
      </c>
      <c r="ED227" t="b">
        <f>AND(DATA!M1848,"AAAAAF37+oU=")</f>
        <v>1</v>
      </c>
      <c r="EE227" t="b">
        <f>AND(DATA!N1848,"AAAAAF37+oY=")</f>
        <v>1</v>
      </c>
      <c r="EF227" t="b">
        <f>AND(DATA!O1848,"AAAAAF37+oc=")</f>
        <v>1</v>
      </c>
      <c r="EG227" t="b">
        <f>AND(DATA!P1848,"AAAAAF37+og=")</f>
        <v>1</v>
      </c>
      <c r="EH227" t="b">
        <f>AND(DATA!Q1848,"AAAAAF37+ok=")</f>
        <v>1</v>
      </c>
      <c r="EI227" t="b">
        <f>AND(DATA!R1848,"AAAAAF37+oo=")</f>
        <v>1</v>
      </c>
      <c r="EJ227" t="b">
        <f>AND(DATA!S1848,"AAAAAF37+os=")</f>
        <v>1</v>
      </c>
      <c r="EK227" t="b">
        <f>AND(DATA!T1848,"AAAAAF37+ow=")</f>
        <v>1</v>
      </c>
      <c r="EL227">
        <f>IF(DATA!1848:1848,"AAAAAF37+o0=",0)</f>
        <v>0</v>
      </c>
      <c r="EM227" t="e">
        <f>AND(DATA!A1848,"AAAAAF37+o4=")</f>
        <v>#VALUE!</v>
      </c>
      <c r="EN227" t="e">
        <f>AND(DATA!B1848,"AAAAAF37+o8=")</f>
        <v>#VALUE!</v>
      </c>
      <c r="EO227" t="e">
        <f>AND(DATA!C1848,"AAAAAF37+pA=")</f>
        <v>#VALUE!</v>
      </c>
      <c r="EP227" t="e">
        <f>AND(DATA!D1848,"AAAAAF37+pE=")</f>
        <v>#VALUE!</v>
      </c>
      <c r="EQ227" t="e">
        <f>AND(DATA!E1848,"AAAAAF37+pI=")</f>
        <v>#VALUE!</v>
      </c>
      <c r="ER227" t="e">
        <f>AND(DATA!F1848,"AAAAAF37+pM=")</f>
        <v>#VALUE!</v>
      </c>
      <c r="ES227" t="e">
        <f>AND(DATA!G1848,"AAAAAF37+pQ=")</f>
        <v>#VALUE!</v>
      </c>
      <c r="ET227" t="e">
        <f>AND(DATA!H1848,"AAAAAF37+pU=")</f>
        <v>#VALUE!</v>
      </c>
      <c r="EU227" t="e">
        <f>AND(DATA!I1848,"AAAAAF37+pY=")</f>
        <v>#VALUE!</v>
      </c>
      <c r="EV227" t="e">
        <f>AND(DATA!J1848,"AAAAAF37+pc=")</f>
        <v>#VALUE!</v>
      </c>
      <c r="EW227" t="e">
        <f>AND(DATA!K1848,"AAAAAF37+pg=")</f>
        <v>#VALUE!</v>
      </c>
      <c r="EX227" t="b">
        <f>AND(DATA!L1849,"AAAAAF37+pk=")</f>
        <v>1</v>
      </c>
      <c r="EY227" t="b">
        <f>AND(DATA!M1849,"AAAAAF37+po=")</f>
        <v>1</v>
      </c>
      <c r="EZ227" t="b">
        <f>AND(DATA!N1849,"AAAAAF37+ps=")</f>
        <v>1</v>
      </c>
      <c r="FA227" t="b">
        <f>AND(DATA!O1849,"AAAAAF37+pw=")</f>
        <v>1</v>
      </c>
      <c r="FB227" t="b">
        <f>AND(DATA!P1849,"AAAAAF37+p0=")</f>
        <v>1</v>
      </c>
      <c r="FC227" t="b">
        <f>AND(DATA!Q1849,"AAAAAF37+p4=")</f>
        <v>1</v>
      </c>
      <c r="FD227" t="b">
        <f>AND(DATA!R1849,"AAAAAF37+p8=")</f>
        <v>1</v>
      </c>
      <c r="FE227" t="b">
        <f>AND(DATA!S1849,"AAAAAF37+qA=")</f>
        <v>1</v>
      </c>
      <c r="FF227" t="b">
        <f>AND(DATA!T1849,"AAAAAF37+qE=")</f>
        <v>1</v>
      </c>
      <c r="FG227">
        <f>IF(DATA!1849:1849,"AAAAAF37+qI=",0)</f>
        <v>0</v>
      </c>
      <c r="FH227" t="e">
        <f>AND(DATA!A1849,"AAAAAF37+qM=")</f>
        <v>#VALUE!</v>
      </c>
      <c r="FI227" t="e">
        <f>AND(DATA!B1849,"AAAAAF37+qQ=")</f>
        <v>#VALUE!</v>
      </c>
      <c r="FJ227" t="e">
        <f>AND(DATA!C1849,"AAAAAF37+qU=")</f>
        <v>#VALUE!</v>
      </c>
      <c r="FK227" t="e">
        <f>AND(DATA!D1849,"AAAAAF37+qY=")</f>
        <v>#VALUE!</v>
      </c>
      <c r="FL227" t="e">
        <f>AND(DATA!E1849,"AAAAAF37+qc=")</f>
        <v>#VALUE!</v>
      </c>
      <c r="FM227" t="e">
        <f>AND(DATA!F1849,"AAAAAF37+qg=")</f>
        <v>#VALUE!</v>
      </c>
      <c r="FN227" t="e">
        <f>AND(DATA!G1849,"AAAAAF37+qk=")</f>
        <v>#VALUE!</v>
      </c>
      <c r="FO227" t="e">
        <f>AND(DATA!H1849,"AAAAAF37+qo=")</f>
        <v>#VALUE!</v>
      </c>
      <c r="FP227" t="e">
        <f>AND(DATA!I1849,"AAAAAF37+qs=")</f>
        <v>#VALUE!</v>
      </c>
      <c r="FQ227" t="e">
        <f>AND(DATA!J1849,"AAAAAF37+qw=")</f>
        <v>#VALUE!</v>
      </c>
      <c r="FR227" t="e">
        <f>AND(DATA!K1849,"AAAAAF37+q0=")</f>
        <v>#VALUE!</v>
      </c>
      <c r="FS227" t="b">
        <f>AND(DATA!L1850,"AAAAAF37+q4=")</f>
        <v>1</v>
      </c>
      <c r="FT227" t="b">
        <f>AND(DATA!M1850,"AAAAAF37+q8=")</f>
        <v>1</v>
      </c>
      <c r="FU227" t="b">
        <f>AND(DATA!N1850,"AAAAAF37+rA=")</f>
        <v>1</v>
      </c>
      <c r="FV227" t="b">
        <f>AND(DATA!O1850,"AAAAAF37+rE=")</f>
        <v>1</v>
      </c>
      <c r="FW227" t="b">
        <f>AND(DATA!P1850,"AAAAAF37+rI=")</f>
        <v>1</v>
      </c>
      <c r="FX227" t="b">
        <f>AND(DATA!Q1850,"AAAAAF37+rM=")</f>
        <v>1</v>
      </c>
      <c r="FY227" t="b">
        <f>AND(DATA!R1850,"AAAAAF37+rQ=")</f>
        <v>1</v>
      </c>
      <c r="FZ227" t="b">
        <f>AND(DATA!S1850,"AAAAAF37+rU=")</f>
        <v>1</v>
      </c>
      <c r="GA227" t="b">
        <f>AND(DATA!T1850,"AAAAAF37+rY=")</f>
        <v>1</v>
      </c>
      <c r="GB227">
        <f>IF(DATA!1850:1850,"AAAAAF37+rc=",0)</f>
        <v>0</v>
      </c>
      <c r="GC227" t="e">
        <f>AND(DATA!A1850,"AAAAAF37+rg=")</f>
        <v>#VALUE!</v>
      </c>
      <c r="GD227" t="e">
        <f>AND(DATA!B1850,"AAAAAF37+rk=")</f>
        <v>#VALUE!</v>
      </c>
      <c r="GE227" t="e">
        <f>AND(DATA!C1850,"AAAAAF37+ro=")</f>
        <v>#VALUE!</v>
      </c>
      <c r="GF227" t="e">
        <f>AND(DATA!D1850,"AAAAAF37+rs=")</f>
        <v>#VALUE!</v>
      </c>
      <c r="GG227" t="e">
        <f>AND(DATA!E1850,"AAAAAF37+rw=")</f>
        <v>#VALUE!</v>
      </c>
      <c r="GH227" t="e">
        <f>AND(DATA!F1850,"AAAAAF37+r0=")</f>
        <v>#VALUE!</v>
      </c>
      <c r="GI227" t="e">
        <f>AND(DATA!G1850,"AAAAAF37+r4=")</f>
        <v>#VALUE!</v>
      </c>
      <c r="GJ227" t="e">
        <f>AND(DATA!H1850,"AAAAAF37+r8=")</f>
        <v>#VALUE!</v>
      </c>
      <c r="GK227" t="e">
        <f>AND(DATA!I1850,"AAAAAF37+sA=")</f>
        <v>#VALUE!</v>
      </c>
      <c r="GL227" t="e">
        <f>AND(DATA!J1850,"AAAAAF37+sE=")</f>
        <v>#VALUE!</v>
      </c>
      <c r="GM227" t="e">
        <f>AND(DATA!K1850,"AAAAAF37+sI=")</f>
        <v>#VALUE!</v>
      </c>
      <c r="GN227" t="b">
        <f>AND(DATA!L1851,"AAAAAF37+sM=")</f>
        <v>1</v>
      </c>
      <c r="GO227" t="b">
        <f>AND(DATA!M1851,"AAAAAF37+sQ=")</f>
        <v>1</v>
      </c>
      <c r="GP227" t="b">
        <f>AND(DATA!N1851,"AAAAAF37+sU=")</f>
        <v>1</v>
      </c>
      <c r="GQ227" t="b">
        <f>AND(DATA!O1851,"AAAAAF37+sY=")</f>
        <v>1</v>
      </c>
      <c r="GR227" t="b">
        <f>AND(DATA!P1851,"AAAAAF37+sc=")</f>
        <v>1</v>
      </c>
      <c r="GS227" t="b">
        <f>AND(DATA!Q1851,"AAAAAF37+sg=")</f>
        <v>1</v>
      </c>
      <c r="GT227" t="b">
        <f>AND(DATA!R1851,"AAAAAF37+sk=")</f>
        <v>1</v>
      </c>
      <c r="GU227" t="b">
        <f>AND(DATA!S1851,"AAAAAF37+so=")</f>
        <v>1</v>
      </c>
      <c r="GV227" t="b">
        <f>AND(DATA!T1851,"AAAAAF37+ss=")</f>
        <v>1</v>
      </c>
      <c r="GW227">
        <f>IF(DATA!1851:1851,"AAAAAF37+sw=",0)</f>
        <v>0</v>
      </c>
      <c r="GX227" t="e">
        <f>AND(DATA!A1851,"AAAAAF37+s0=")</f>
        <v>#VALUE!</v>
      </c>
      <c r="GY227" t="e">
        <f>AND(DATA!B1851,"AAAAAF37+s4=")</f>
        <v>#VALUE!</v>
      </c>
      <c r="GZ227" t="e">
        <f>AND(DATA!C1851,"AAAAAF37+s8=")</f>
        <v>#VALUE!</v>
      </c>
      <c r="HA227" t="e">
        <f>AND(DATA!D1851,"AAAAAF37+tA=")</f>
        <v>#VALUE!</v>
      </c>
      <c r="HB227" t="e">
        <f>AND(DATA!E1851,"AAAAAF37+tE=")</f>
        <v>#VALUE!</v>
      </c>
      <c r="HC227" t="e">
        <f>AND(DATA!F1851,"AAAAAF37+tI=")</f>
        <v>#VALUE!</v>
      </c>
      <c r="HD227" t="e">
        <f>AND(DATA!G1851,"AAAAAF37+tM=")</f>
        <v>#VALUE!</v>
      </c>
      <c r="HE227" t="e">
        <f>AND(DATA!H1851,"AAAAAF37+tQ=")</f>
        <v>#VALUE!</v>
      </c>
      <c r="HF227" t="e">
        <f>AND(DATA!I1851,"AAAAAF37+tU=")</f>
        <v>#VALUE!</v>
      </c>
      <c r="HG227" t="e">
        <f>AND(DATA!J1851,"AAAAAF37+tY=")</f>
        <v>#VALUE!</v>
      </c>
      <c r="HH227" t="e">
        <f>AND(DATA!K1851,"AAAAAF37+tc=")</f>
        <v>#VALUE!</v>
      </c>
      <c r="HI227" t="b">
        <f>AND(DATA!L1852,"AAAAAF37+tg=")</f>
        <v>1</v>
      </c>
      <c r="HJ227" t="b">
        <f>AND(DATA!M1852,"AAAAAF37+tk=")</f>
        <v>1</v>
      </c>
      <c r="HK227" t="b">
        <f>AND(DATA!N1852,"AAAAAF37+to=")</f>
        <v>1</v>
      </c>
      <c r="HL227" t="b">
        <f>AND(DATA!O1852,"AAAAAF37+ts=")</f>
        <v>1</v>
      </c>
      <c r="HM227" t="b">
        <f>AND(DATA!P1852,"AAAAAF37+tw=")</f>
        <v>1</v>
      </c>
      <c r="HN227" t="b">
        <f>AND(DATA!Q1852,"AAAAAF37+t0=")</f>
        <v>1</v>
      </c>
      <c r="HO227" t="b">
        <f>AND(DATA!R1852,"AAAAAF37+t4=")</f>
        <v>1</v>
      </c>
      <c r="HP227" t="b">
        <f>AND(DATA!S1852,"AAAAAF37+t8=")</f>
        <v>1</v>
      </c>
      <c r="HQ227" t="b">
        <f>AND(DATA!T1852,"AAAAAF37+uA=")</f>
        <v>1</v>
      </c>
      <c r="HR227">
        <f>IF(DATA!1852:1852,"AAAAAF37+uE=",0)</f>
        <v>0</v>
      </c>
      <c r="HS227" t="e">
        <f>AND(DATA!A1852,"AAAAAF37+uI=")</f>
        <v>#VALUE!</v>
      </c>
      <c r="HT227" t="e">
        <f>AND(DATA!B1852,"AAAAAF37+uM=")</f>
        <v>#VALUE!</v>
      </c>
      <c r="HU227" t="e">
        <f>AND(DATA!C1852,"AAAAAF37+uQ=")</f>
        <v>#VALUE!</v>
      </c>
      <c r="HV227" t="e">
        <f>AND(DATA!D1852,"AAAAAF37+uU=")</f>
        <v>#VALUE!</v>
      </c>
      <c r="HW227" t="e">
        <f>AND(DATA!E1852,"AAAAAF37+uY=")</f>
        <v>#VALUE!</v>
      </c>
      <c r="HX227" t="e">
        <f>AND(DATA!F1852,"AAAAAF37+uc=")</f>
        <v>#VALUE!</v>
      </c>
      <c r="HY227" t="e">
        <f>AND(DATA!G1852,"AAAAAF37+ug=")</f>
        <v>#VALUE!</v>
      </c>
      <c r="HZ227" t="e">
        <f>AND(DATA!H1852,"AAAAAF37+uk=")</f>
        <v>#VALUE!</v>
      </c>
      <c r="IA227" t="e">
        <f>AND(DATA!I1852,"AAAAAF37+uo=")</f>
        <v>#VALUE!</v>
      </c>
      <c r="IB227" t="e">
        <f>AND(DATA!J1852,"AAAAAF37+us=")</f>
        <v>#VALUE!</v>
      </c>
      <c r="IC227" t="e">
        <f>AND(DATA!K1852,"AAAAAF37+uw=")</f>
        <v>#VALUE!</v>
      </c>
      <c r="ID227" t="b">
        <f>AND(DATA!L1853,"AAAAAF37+u0=")</f>
        <v>1</v>
      </c>
      <c r="IE227" t="b">
        <f>AND(DATA!M1853,"AAAAAF37+u4=")</f>
        <v>1</v>
      </c>
      <c r="IF227" t="b">
        <f>AND(DATA!N1853,"AAAAAF37+u8=")</f>
        <v>1</v>
      </c>
      <c r="IG227" t="b">
        <f>AND(DATA!O1853,"AAAAAF37+vA=")</f>
        <v>1</v>
      </c>
      <c r="IH227" t="b">
        <f>AND(DATA!P1853,"AAAAAF37+vE=")</f>
        <v>1</v>
      </c>
      <c r="II227" t="b">
        <f>AND(DATA!Q1853,"AAAAAF37+vI=")</f>
        <v>1</v>
      </c>
      <c r="IJ227" t="b">
        <f>AND(DATA!R1853,"AAAAAF37+vM=")</f>
        <v>1</v>
      </c>
      <c r="IK227" t="b">
        <f>AND(DATA!S1853,"AAAAAF37+vQ=")</f>
        <v>1</v>
      </c>
      <c r="IL227" t="b">
        <f>AND(DATA!T1853,"AAAAAF37+vU=")</f>
        <v>1</v>
      </c>
      <c r="IM227">
        <f>IF(DATA!1853:1853,"AAAAAF37+vY=",0)</f>
        <v>0</v>
      </c>
      <c r="IN227" t="e">
        <f>AND(DATA!A1853,"AAAAAF37+vc=")</f>
        <v>#VALUE!</v>
      </c>
      <c r="IO227" t="e">
        <f>AND(DATA!B1853,"AAAAAF37+vg=")</f>
        <v>#VALUE!</v>
      </c>
      <c r="IP227" t="e">
        <f>AND(DATA!C1853,"AAAAAF37+vk=")</f>
        <v>#VALUE!</v>
      </c>
      <c r="IQ227" t="e">
        <f>AND(DATA!D1853,"AAAAAF37+vo=")</f>
        <v>#VALUE!</v>
      </c>
      <c r="IR227" t="e">
        <f>AND(DATA!E1853,"AAAAAF37+vs=")</f>
        <v>#VALUE!</v>
      </c>
      <c r="IS227" t="e">
        <f>AND(DATA!F1853,"AAAAAF37+vw=")</f>
        <v>#VALUE!</v>
      </c>
      <c r="IT227" t="e">
        <f>AND(DATA!G1853,"AAAAAF37+v0=")</f>
        <v>#VALUE!</v>
      </c>
      <c r="IU227" t="e">
        <f>AND(DATA!H1853,"AAAAAF37+v4=")</f>
        <v>#VALUE!</v>
      </c>
      <c r="IV227" t="e">
        <f>AND(DATA!I1853,"AAAAAF37+v8=")</f>
        <v>#VALUE!</v>
      </c>
    </row>
    <row r="228" spans="1:256" x14ac:dyDescent="0.25">
      <c r="A228" t="e">
        <f>AND(DATA!J1853,"AAAAAH+S+wA=")</f>
        <v>#VALUE!</v>
      </c>
      <c r="B228" t="e">
        <f>AND(DATA!K1853,"AAAAAH+S+wE=")</f>
        <v>#VALUE!</v>
      </c>
      <c r="C228" t="b">
        <f>AND(DATA!L1854,"AAAAAH+S+wI=")</f>
        <v>1</v>
      </c>
      <c r="D228" t="b">
        <f>AND(DATA!M1854,"AAAAAH+S+wM=")</f>
        <v>1</v>
      </c>
      <c r="E228" t="b">
        <f>AND(DATA!N1854,"AAAAAH+S+wQ=")</f>
        <v>1</v>
      </c>
      <c r="F228" t="b">
        <f>AND(DATA!O1854,"AAAAAH+S+wU=")</f>
        <v>1</v>
      </c>
      <c r="G228" t="b">
        <f>AND(DATA!P1854,"AAAAAH+S+wY=")</f>
        <v>1</v>
      </c>
      <c r="H228" t="b">
        <f>AND(DATA!Q1854,"AAAAAH+S+wc=")</f>
        <v>1</v>
      </c>
      <c r="I228" t="b">
        <f>AND(DATA!R1854,"AAAAAH+S+wg=")</f>
        <v>1</v>
      </c>
      <c r="J228" t="b">
        <f>AND(DATA!S1854,"AAAAAH+S+wk=")</f>
        <v>1</v>
      </c>
      <c r="K228" t="b">
        <f>AND(DATA!T1854,"AAAAAH+S+wo=")</f>
        <v>1</v>
      </c>
      <c r="L228" t="str">
        <f>IF(DATA!1854:1854,"AAAAAH+S+ws=",0)</f>
        <v>AAAAAH+S+ws=</v>
      </c>
      <c r="M228" t="e">
        <f>AND(DATA!A1854,"AAAAAH+S+ww=")</f>
        <v>#VALUE!</v>
      </c>
      <c r="N228" t="e">
        <f>AND(DATA!B1854,"AAAAAH+S+w0=")</f>
        <v>#VALUE!</v>
      </c>
      <c r="O228" t="e">
        <f>AND(DATA!C1854,"AAAAAH+S+w4=")</f>
        <v>#VALUE!</v>
      </c>
      <c r="P228" t="e">
        <f>AND(DATA!D1854,"AAAAAH+S+w8=")</f>
        <v>#VALUE!</v>
      </c>
      <c r="Q228" t="e">
        <f>AND(DATA!E1854,"AAAAAH+S+xA=")</f>
        <v>#VALUE!</v>
      </c>
      <c r="R228" t="e">
        <f>AND(DATA!F1854,"AAAAAH+S+xE=")</f>
        <v>#VALUE!</v>
      </c>
      <c r="S228" t="e">
        <f>AND(DATA!G1854,"AAAAAH+S+xI=")</f>
        <v>#VALUE!</v>
      </c>
      <c r="T228" t="e">
        <f>AND(DATA!H1854,"AAAAAH+S+xM=")</f>
        <v>#VALUE!</v>
      </c>
      <c r="U228" t="e">
        <f>AND(DATA!I1854,"AAAAAH+S+xQ=")</f>
        <v>#VALUE!</v>
      </c>
      <c r="V228" t="e">
        <f>AND(DATA!J1854,"AAAAAH+S+xU=")</f>
        <v>#VALUE!</v>
      </c>
      <c r="W228" t="e">
        <f>AND(DATA!K1854,"AAAAAH+S+xY=")</f>
        <v>#VALUE!</v>
      </c>
      <c r="X228" t="b">
        <f>AND(DATA!L1855,"AAAAAH+S+xc=")</f>
        <v>1</v>
      </c>
      <c r="Y228" t="b">
        <f>AND(DATA!M1855,"AAAAAH+S+xg=")</f>
        <v>1</v>
      </c>
      <c r="Z228" t="b">
        <f>AND(DATA!N1855,"AAAAAH+S+xk=")</f>
        <v>1</v>
      </c>
      <c r="AA228" t="b">
        <f>AND(DATA!O1855,"AAAAAH+S+xo=")</f>
        <v>1</v>
      </c>
      <c r="AB228" t="b">
        <f>AND(DATA!P1855,"AAAAAH+S+xs=")</f>
        <v>1</v>
      </c>
      <c r="AC228" t="b">
        <f>AND(DATA!Q1855,"AAAAAH+S+xw=")</f>
        <v>1</v>
      </c>
      <c r="AD228" t="b">
        <f>AND(DATA!R1855,"AAAAAH+S+x0=")</f>
        <v>1</v>
      </c>
      <c r="AE228" t="b">
        <f>AND(DATA!S1855,"AAAAAH+S+x4=")</f>
        <v>1</v>
      </c>
      <c r="AF228" t="b">
        <f>AND(DATA!T1855,"AAAAAH+S+x8=")</f>
        <v>1</v>
      </c>
      <c r="AG228">
        <f>IF(DATA!1855:1855,"AAAAAH+S+yA=",0)</f>
        <v>0</v>
      </c>
      <c r="AH228" t="e">
        <f>AND(DATA!A1855,"AAAAAH+S+yE=")</f>
        <v>#VALUE!</v>
      </c>
      <c r="AI228" t="e">
        <f>AND(DATA!B1855,"AAAAAH+S+yI=")</f>
        <v>#VALUE!</v>
      </c>
      <c r="AJ228" t="e">
        <f>AND(DATA!C1855,"AAAAAH+S+yM=")</f>
        <v>#VALUE!</v>
      </c>
      <c r="AK228" t="e">
        <f>AND(DATA!D1855,"AAAAAH+S+yQ=")</f>
        <v>#VALUE!</v>
      </c>
      <c r="AL228" t="e">
        <f>AND(DATA!E1855,"AAAAAH+S+yU=")</f>
        <v>#VALUE!</v>
      </c>
      <c r="AM228" t="e">
        <f>AND(DATA!F1855,"AAAAAH+S+yY=")</f>
        <v>#VALUE!</v>
      </c>
      <c r="AN228" t="e">
        <f>AND(DATA!G1855,"AAAAAH+S+yc=")</f>
        <v>#VALUE!</v>
      </c>
      <c r="AO228" t="e">
        <f>AND(DATA!H1855,"AAAAAH+S+yg=")</f>
        <v>#VALUE!</v>
      </c>
      <c r="AP228" t="e">
        <f>AND(DATA!I1855,"AAAAAH+S+yk=")</f>
        <v>#VALUE!</v>
      </c>
      <c r="AQ228" t="e">
        <f>AND(DATA!J1855,"AAAAAH+S+yo=")</f>
        <v>#VALUE!</v>
      </c>
      <c r="AR228" t="e">
        <f>AND(DATA!K1855,"AAAAAH+S+ys=")</f>
        <v>#VALUE!</v>
      </c>
      <c r="AS228" t="b">
        <f>AND(DATA!L1856,"AAAAAH+S+yw=")</f>
        <v>1</v>
      </c>
      <c r="AT228" t="b">
        <f>AND(DATA!M1856,"AAAAAH+S+y0=")</f>
        <v>1</v>
      </c>
      <c r="AU228" t="b">
        <f>AND(DATA!N1856,"AAAAAH+S+y4=")</f>
        <v>1</v>
      </c>
      <c r="AV228" t="b">
        <f>AND(DATA!O1856,"AAAAAH+S+y8=")</f>
        <v>1</v>
      </c>
      <c r="AW228" t="b">
        <f>AND(DATA!P1856,"AAAAAH+S+zA=")</f>
        <v>1</v>
      </c>
      <c r="AX228" t="b">
        <f>AND(DATA!Q1856,"AAAAAH+S+zE=")</f>
        <v>1</v>
      </c>
      <c r="AY228" t="b">
        <f>AND(DATA!R1856,"AAAAAH+S+zI=")</f>
        <v>1</v>
      </c>
      <c r="AZ228" t="b">
        <f>AND(DATA!S1856,"AAAAAH+S+zM=")</f>
        <v>1</v>
      </c>
      <c r="BA228" t="b">
        <f>AND(DATA!T1856,"AAAAAH+S+zQ=")</f>
        <v>1</v>
      </c>
      <c r="BB228">
        <f>IF(DATA!1856:1856,"AAAAAH+S+zU=",0)</f>
        <v>0</v>
      </c>
      <c r="BC228" t="e">
        <f>AND(DATA!A1856,"AAAAAH+S+zY=")</f>
        <v>#VALUE!</v>
      </c>
      <c r="BD228" t="e">
        <f>AND(DATA!B1856,"AAAAAH+S+zc=")</f>
        <v>#VALUE!</v>
      </c>
      <c r="BE228" t="e">
        <f>AND(DATA!C1856,"AAAAAH+S+zg=")</f>
        <v>#VALUE!</v>
      </c>
      <c r="BF228" t="e">
        <f>AND(DATA!D1856,"AAAAAH+S+zk=")</f>
        <v>#VALUE!</v>
      </c>
      <c r="BG228" t="e">
        <f>AND(DATA!E1856,"AAAAAH+S+zo=")</f>
        <v>#VALUE!</v>
      </c>
      <c r="BH228" t="e">
        <f>AND(DATA!F1856,"AAAAAH+S+zs=")</f>
        <v>#VALUE!</v>
      </c>
      <c r="BI228" t="e">
        <f>AND(DATA!G1856,"AAAAAH+S+zw=")</f>
        <v>#VALUE!</v>
      </c>
      <c r="BJ228" t="e">
        <f>AND(DATA!H1856,"AAAAAH+S+z0=")</f>
        <v>#VALUE!</v>
      </c>
      <c r="BK228" t="e">
        <f>AND(DATA!I1856,"AAAAAH+S+z4=")</f>
        <v>#VALUE!</v>
      </c>
      <c r="BL228" t="e">
        <f>AND(DATA!J1856,"AAAAAH+S+z8=")</f>
        <v>#VALUE!</v>
      </c>
      <c r="BM228" t="e">
        <f>AND(DATA!K1856,"AAAAAH+S+0A=")</f>
        <v>#VALUE!</v>
      </c>
      <c r="BN228" t="b">
        <f>AND(DATA!L1857,"AAAAAH+S+0E=")</f>
        <v>1</v>
      </c>
      <c r="BO228" t="b">
        <f>AND(DATA!M1857,"AAAAAH+S+0I=")</f>
        <v>1</v>
      </c>
      <c r="BP228" t="b">
        <f>AND(DATA!N1857,"AAAAAH+S+0M=")</f>
        <v>1</v>
      </c>
      <c r="BQ228" t="b">
        <f>AND(DATA!O1857,"AAAAAH+S+0Q=")</f>
        <v>1</v>
      </c>
      <c r="BR228" t="b">
        <f>AND(DATA!P1857,"AAAAAH+S+0U=")</f>
        <v>1</v>
      </c>
      <c r="BS228" t="b">
        <f>AND(DATA!Q1857,"AAAAAH+S+0Y=")</f>
        <v>1</v>
      </c>
      <c r="BT228" t="b">
        <f>AND(DATA!R1857,"AAAAAH+S+0c=")</f>
        <v>1</v>
      </c>
      <c r="BU228" t="b">
        <f>AND(DATA!S1857,"AAAAAH+S+0g=")</f>
        <v>1</v>
      </c>
      <c r="BV228" t="b">
        <f>AND(DATA!T1857,"AAAAAH+S+0k=")</f>
        <v>1</v>
      </c>
      <c r="BW228">
        <f>IF(DATA!1857:1857,"AAAAAH+S+0o=",0)</f>
        <v>0</v>
      </c>
      <c r="BX228" t="e">
        <f>AND(DATA!A1857,"AAAAAH+S+0s=")</f>
        <v>#VALUE!</v>
      </c>
      <c r="BY228" t="e">
        <f>AND(DATA!B1857,"AAAAAH+S+0w=")</f>
        <v>#VALUE!</v>
      </c>
      <c r="BZ228" t="e">
        <f>AND(DATA!C1857,"AAAAAH+S+00=")</f>
        <v>#VALUE!</v>
      </c>
      <c r="CA228" t="e">
        <f>AND(DATA!D1857,"AAAAAH+S+04=")</f>
        <v>#VALUE!</v>
      </c>
      <c r="CB228" t="e">
        <f>AND(DATA!E1857,"AAAAAH+S+08=")</f>
        <v>#VALUE!</v>
      </c>
      <c r="CC228" t="e">
        <f>AND(DATA!F1857,"AAAAAH+S+1A=")</f>
        <v>#VALUE!</v>
      </c>
      <c r="CD228" t="e">
        <f>AND(DATA!G1857,"AAAAAH+S+1E=")</f>
        <v>#VALUE!</v>
      </c>
      <c r="CE228" t="e">
        <f>AND(DATA!H1857,"AAAAAH+S+1I=")</f>
        <v>#VALUE!</v>
      </c>
      <c r="CF228" t="e">
        <f>AND(DATA!I1857,"AAAAAH+S+1M=")</f>
        <v>#VALUE!</v>
      </c>
      <c r="CG228" t="e">
        <f>AND(DATA!J1857,"AAAAAH+S+1Q=")</f>
        <v>#VALUE!</v>
      </c>
      <c r="CH228" t="e">
        <f>AND(DATA!K1857,"AAAAAH+S+1U=")</f>
        <v>#VALUE!</v>
      </c>
      <c r="CI228" t="b">
        <f>AND(DATA!L1858,"AAAAAH+S+1Y=")</f>
        <v>1</v>
      </c>
      <c r="CJ228" t="b">
        <f>AND(DATA!M1858,"AAAAAH+S+1c=")</f>
        <v>1</v>
      </c>
      <c r="CK228" t="b">
        <f>AND(DATA!N1858,"AAAAAH+S+1g=")</f>
        <v>1</v>
      </c>
      <c r="CL228" t="b">
        <f>AND(DATA!O1858,"AAAAAH+S+1k=")</f>
        <v>1</v>
      </c>
      <c r="CM228" t="b">
        <f>AND(DATA!P1858,"AAAAAH+S+1o=")</f>
        <v>1</v>
      </c>
      <c r="CN228" t="b">
        <f>AND(DATA!Q1858,"AAAAAH+S+1s=")</f>
        <v>1</v>
      </c>
      <c r="CO228" t="b">
        <f>AND(DATA!R1858,"AAAAAH+S+1w=")</f>
        <v>1</v>
      </c>
      <c r="CP228" t="b">
        <f>AND(DATA!S1858,"AAAAAH+S+10=")</f>
        <v>1</v>
      </c>
      <c r="CQ228" t="b">
        <f>AND(DATA!T1858,"AAAAAH+S+14=")</f>
        <v>1</v>
      </c>
      <c r="CR228">
        <f>IF(DATA!1858:1858,"AAAAAH+S+18=",0)</f>
        <v>0</v>
      </c>
      <c r="CS228" t="e">
        <f>AND(DATA!A1858,"AAAAAH+S+2A=")</f>
        <v>#VALUE!</v>
      </c>
      <c r="CT228" t="e">
        <f>AND(DATA!B1858,"AAAAAH+S+2E=")</f>
        <v>#VALUE!</v>
      </c>
      <c r="CU228" t="e">
        <f>AND(DATA!C1858,"AAAAAH+S+2I=")</f>
        <v>#VALUE!</v>
      </c>
      <c r="CV228" t="e">
        <f>AND(DATA!D1858,"AAAAAH+S+2M=")</f>
        <v>#VALUE!</v>
      </c>
      <c r="CW228" t="e">
        <f>AND(DATA!E1858,"AAAAAH+S+2Q=")</f>
        <v>#VALUE!</v>
      </c>
      <c r="CX228" t="e">
        <f>AND(DATA!F1858,"AAAAAH+S+2U=")</f>
        <v>#VALUE!</v>
      </c>
      <c r="CY228" t="e">
        <f>AND(DATA!G1858,"AAAAAH+S+2Y=")</f>
        <v>#VALUE!</v>
      </c>
      <c r="CZ228" t="e">
        <f>AND(DATA!H1858,"AAAAAH+S+2c=")</f>
        <v>#VALUE!</v>
      </c>
      <c r="DA228" t="e">
        <f>AND(DATA!I1858,"AAAAAH+S+2g=")</f>
        <v>#VALUE!</v>
      </c>
      <c r="DB228" t="e">
        <f>AND(DATA!J1858,"AAAAAH+S+2k=")</f>
        <v>#VALUE!</v>
      </c>
      <c r="DC228" t="e">
        <f>AND(DATA!K1858,"AAAAAH+S+2o=")</f>
        <v>#VALUE!</v>
      </c>
      <c r="DD228" t="b">
        <f>AND(DATA!L1859,"AAAAAH+S+2s=")</f>
        <v>1</v>
      </c>
      <c r="DE228" t="b">
        <f>AND(DATA!M1859,"AAAAAH+S+2w=")</f>
        <v>1</v>
      </c>
      <c r="DF228" t="b">
        <f>AND(DATA!N1859,"AAAAAH+S+20=")</f>
        <v>1</v>
      </c>
      <c r="DG228" t="b">
        <f>AND(DATA!O1859,"AAAAAH+S+24=")</f>
        <v>1</v>
      </c>
      <c r="DH228" t="b">
        <f>AND(DATA!P1859,"AAAAAH+S+28=")</f>
        <v>1</v>
      </c>
      <c r="DI228" t="b">
        <f>AND(DATA!Q1859,"AAAAAH+S+3A=")</f>
        <v>1</v>
      </c>
      <c r="DJ228" t="b">
        <f>AND(DATA!R1859,"AAAAAH+S+3E=")</f>
        <v>1</v>
      </c>
      <c r="DK228" t="b">
        <f>AND(DATA!S1859,"AAAAAH+S+3I=")</f>
        <v>1</v>
      </c>
      <c r="DL228" t="b">
        <f>AND(DATA!T1859,"AAAAAH+S+3M=")</f>
        <v>1</v>
      </c>
      <c r="DM228">
        <f>IF(DATA!1859:1859,"AAAAAH+S+3Q=",0)</f>
        <v>0</v>
      </c>
      <c r="DN228" t="e">
        <f>AND(DATA!A1859,"AAAAAH+S+3U=")</f>
        <v>#VALUE!</v>
      </c>
      <c r="DO228" t="e">
        <f>AND(DATA!B1859,"AAAAAH+S+3Y=")</f>
        <v>#VALUE!</v>
      </c>
      <c r="DP228" t="e">
        <f>AND(DATA!C1859,"AAAAAH+S+3c=")</f>
        <v>#VALUE!</v>
      </c>
      <c r="DQ228" t="e">
        <f>AND(DATA!D1859,"AAAAAH+S+3g=")</f>
        <v>#VALUE!</v>
      </c>
      <c r="DR228" t="e">
        <f>AND(DATA!E1859,"AAAAAH+S+3k=")</f>
        <v>#VALUE!</v>
      </c>
      <c r="DS228" t="e">
        <f>AND(DATA!F1859,"AAAAAH+S+3o=")</f>
        <v>#VALUE!</v>
      </c>
      <c r="DT228" t="e">
        <f>AND(DATA!G1859,"AAAAAH+S+3s=")</f>
        <v>#VALUE!</v>
      </c>
      <c r="DU228" t="e">
        <f>AND(DATA!H1859,"AAAAAH+S+3w=")</f>
        <v>#VALUE!</v>
      </c>
      <c r="DV228" t="e">
        <f>AND(DATA!I1859,"AAAAAH+S+30=")</f>
        <v>#VALUE!</v>
      </c>
      <c r="DW228" t="e">
        <f>AND(DATA!J1859,"AAAAAH+S+34=")</f>
        <v>#VALUE!</v>
      </c>
      <c r="DX228" t="e">
        <f>AND(DATA!K1859,"AAAAAH+S+38=")</f>
        <v>#VALUE!</v>
      </c>
      <c r="DY228" t="b">
        <f>AND(DATA!L1860,"AAAAAH+S+4A=")</f>
        <v>1</v>
      </c>
      <c r="DZ228" t="b">
        <f>AND(DATA!M1860,"AAAAAH+S+4E=")</f>
        <v>1</v>
      </c>
      <c r="EA228" t="b">
        <f>AND(DATA!N1860,"AAAAAH+S+4I=")</f>
        <v>1</v>
      </c>
      <c r="EB228" t="b">
        <f>AND(DATA!O1860,"AAAAAH+S+4M=")</f>
        <v>1</v>
      </c>
      <c r="EC228" t="b">
        <f>AND(DATA!P1860,"AAAAAH+S+4Q=")</f>
        <v>1</v>
      </c>
      <c r="ED228" t="b">
        <f>AND(DATA!Q1860,"AAAAAH+S+4U=")</f>
        <v>1</v>
      </c>
      <c r="EE228" t="b">
        <f>AND(DATA!R1860,"AAAAAH+S+4Y=")</f>
        <v>1</v>
      </c>
      <c r="EF228" t="b">
        <f>AND(DATA!S1860,"AAAAAH+S+4c=")</f>
        <v>1</v>
      </c>
      <c r="EG228" t="b">
        <f>AND(DATA!T1860,"AAAAAH+S+4g=")</f>
        <v>1</v>
      </c>
      <c r="EH228">
        <f>IF(DATA!1860:1860,"AAAAAH+S+4k=",0)</f>
        <v>0</v>
      </c>
      <c r="EI228" t="e">
        <f>AND(DATA!A1860,"AAAAAH+S+4o=")</f>
        <v>#VALUE!</v>
      </c>
      <c r="EJ228" t="e">
        <f>AND(DATA!B1860,"AAAAAH+S+4s=")</f>
        <v>#VALUE!</v>
      </c>
      <c r="EK228" t="e">
        <f>AND(DATA!C1860,"AAAAAH+S+4w=")</f>
        <v>#VALUE!</v>
      </c>
      <c r="EL228" t="e">
        <f>AND(DATA!D1860,"AAAAAH+S+40=")</f>
        <v>#VALUE!</v>
      </c>
      <c r="EM228" t="e">
        <f>AND(DATA!E1860,"AAAAAH+S+44=")</f>
        <v>#VALUE!</v>
      </c>
      <c r="EN228" t="e">
        <f>AND(DATA!F1860,"AAAAAH+S+48=")</f>
        <v>#VALUE!</v>
      </c>
      <c r="EO228" t="e">
        <f>AND(DATA!G1860,"AAAAAH+S+5A=")</f>
        <v>#VALUE!</v>
      </c>
      <c r="EP228" t="e">
        <f>AND(DATA!H1860,"AAAAAH+S+5E=")</f>
        <v>#VALUE!</v>
      </c>
      <c r="EQ228" t="e">
        <f>AND(DATA!I1860,"AAAAAH+S+5I=")</f>
        <v>#VALUE!</v>
      </c>
      <c r="ER228" t="e">
        <f>AND(DATA!J1860,"AAAAAH+S+5M=")</f>
        <v>#VALUE!</v>
      </c>
      <c r="ES228" t="e">
        <f>AND(DATA!K1860,"AAAAAH+S+5Q=")</f>
        <v>#VALUE!</v>
      </c>
      <c r="ET228" t="b">
        <f>AND(DATA!L1861,"AAAAAH+S+5U=")</f>
        <v>1</v>
      </c>
      <c r="EU228" t="b">
        <f>AND(DATA!M1861,"AAAAAH+S+5Y=")</f>
        <v>1</v>
      </c>
      <c r="EV228" t="b">
        <f>AND(DATA!N1861,"AAAAAH+S+5c=")</f>
        <v>1</v>
      </c>
      <c r="EW228" t="b">
        <f>AND(DATA!O1861,"AAAAAH+S+5g=")</f>
        <v>1</v>
      </c>
      <c r="EX228" t="b">
        <f>AND(DATA!P1861,"AAAAAH+S+5k=")</f>
        <v>1</v>
      </c>
      <c r="EY228" t="b">
        <f>AND(DATA!Q1861,"AAAAAH+S+5o=")</f>
        <v>1</v>
      </c>
      <c r="EZ228" t="b">
        <f>AND(DATA!R1861,"AAAAAH+S+5s=")</f>
        <v>1</v>
      </c>
      <c r="FA228" t="b">
        <f>AND(DATA!S1861,"AAAAAH+S+5w=")</f>
        <v>1</v>
      </c>
      <c r="FB228" t="b">
        <f>AND(DATA!T1861,"AAAAAH+S+50=")</f>
        <v>1</v>
      </c>
      <c r="FC228">
        <f>IF(DATA!1861:1861,"AAAAAH+S+54=",0)</f>
        <v>0</v>
      </c>
      <c r="FD228" t="e">
        <f>AND(DATA!A1861,"AAAAAH+S+58=")</f>
        <v>#VALUE!</v>
      </c>
      <c r="FE228" t="e">
        <f>AND(DATA!B1861,"AAAAAH+S+6A=")</f>
        <v>#VALUE!</v>
      </c>
      <c r="FF228" t="e">
        <f>AND(DATA!C1861,"AAAAAH+S+6E=")</f>
        <v>#VALUE!</v>
      </c>
      <c r="FG228" t="e">
        <f>AND(DATA!D1861,"AAAAAH+S+6I=")</f>
        <v>#VALUE!</v>
      </c>
      <c r="FH228" t="e">
        <f>AND(DATA!E1861,"AAAAAH+S+6M=")</f>
        <v>#VALUE!</v>
      </c>
      <c r="FI228" t="e">
        <f>AND(DATA!F1861,"AAAAAH+S+6Q=")</f>
        <v>#VALUE!</v>
      </c>
      <c r="FJ228" t="e">
        <f>AND(DATA!G1861,"AAAAAH+S+6U=")</f>
        <v>#VALUE!</v>
      </c>
      <c r="FK228" t="e">
        <f>AND(DATA!H1861,"AAAAAH+S+6Y=")</f>
        <v>#VALUE!</v>
      </c>
      <c r="FL228" t="e">
        <f>AND(DATA!I1861,"AAAAAH+S+6c=")</f>
        <v>#VALUE!</v>
      </c>
      <c r="FM228" t="e">
        <f>AND(DATA!J1861,"AAAAAH+S+6g=")</f>
        <v>#VALUE!</v>
      </c>
      <c r="FN228" t="e">
        <f>AND(DATA!K1861,"AAAAAH+S+6k=")</f>
        <v>#VALUE!</v>
      </c>
      <c r="FO228" t="b">
        <f>AND(DATA!L1862,"AAAAAH+S+6o=")</f>
        <v>1</v>
      </c>
      <c r="FP228" t="b">
        <f>AND(DATA!M1862,"AAAAAH+S+6s=")</f>
        <v>1</v>
      </c>
      <c r="FQ228" t="b">
        <f>AND(DATA!N1862,"AAAAAH+S+6w=")</f>
        <v>1</v>
      </c>
      <c r="FR228" t="b">
        <f>AND(DATA!O1862,"AAAAAH+S+60=")</f>
        <v>1</v>
      </c>
      <c r="FS228" t="b">
        <f>AND(DATA!P1862,"AAAAAH+S+64=")</f>
        <v>1</v>
      </c>
      <c r="FT228" t="b">
        <f>AND(DATA!Q1862,"AAAAAH+S+68=")</f>
        <v>1</v>
      </c>
      <c r="FU228" t="b">
        <f>AND(DATA!R1862,"AAAAAH+S+7A=")</f>
        <v>1</v>
      </c>
      <c r="FV228" t="b">
        <f>AND(DATA!S1862,"AAAAAH+S+7E=")</f>
        <v>1</v>
      </c>
      <c r="FW228" t="b">
        <f>AND(DATA!T1862,"AAAAAH+S+7I=")</f>
        <v>1</v>
      </c>
      <c r="FX228">
        <f>IF(DATA!1862:1862,"AAAAAH+S+7M=",0)</f>
        <v>0</v>
      </c>
      <c r="FY228" t="e">
        <f>AND(DATA!A1862,"AAAAAH+S+7Q=")</f>
        <v>#VALUE!</v>
      </c>
      <c r="FZ228" t="e">
        <f>AND(DATA!B1862,"AAAAAH+S+7U=")</f>
        <v>#VALUE!</v>
      </c>
      <c r="GA228" t="e">
        <f>AND(DATA!C1862,"AAAAAH+S+7Y=")</f>
        <v>#VALUE!</v>
      </c>
      <c r="GB228" t="e">
        <f>AND(DATA!D1862,"AAAAAH+S+7c=")</f>
        <v>#VALUE!</v>
      </c>
      <c r="GC228" t="e">
        <f>AND(DATA!E1862,"AAAAAH+S+7g=")</f>
        <v>#VALUE!</v>
      </c>
      <c r="GD228" t="e">
        <f>AND(DATA!F1862,"AAAAAH+S+7k=")</f>
        <v>#VALUE!</v>
      </c>
      <c r="GE228" t="e">
        <f>AND(DATA!G1862,"AAAAAH+S+7o=")</f>
        <v>#VALUE!</v>
      </c>
      <c r="GF228" t="e">
        <f>AND(DATA!H1862,"AAAAAH+S+7s=")</f>
        <v>#VALUE!</v>
      </c>
      <c r="GG228" t="e">
        <f>AND(DATA!I1862,"AAAAAH+S+7w=")</f>
        <v>#VALUE!</v>
      </c>
      <c r="GH228" t="e">
        <f>AND(DATA!J1862,"AAAAAH+S+70=")</f>
        <v>#VALUE!</v>
      </c>
      <c r="GI228" t="e">
        <f>AND(DATA!K1862,"AAAAAH+S+74=")</f>
        <v>#VALUE!</v>
      </c>
      <c r="GJ228" t="b">
        <f>AND(DATA!L1863,"AAAAAH+S+78=")</f>
        <v>1</v>
      </c>
      <c r="GK228" t="b">
        <f>AND(DATA!M1863,"AAAAAH+S+8A=")</f>
        <v>1</v>
      </c>
      <c r="GL228" t="b">
        <f>AND(DATA!N1863,"AAAAAH+S+8E=")</f>
        <v>1</v>
      </c>
      <c r="GM228" t="b">
        <f>AND(DATA!O1863,"AAAAAH+S+8I=")</f>
        <v>1</v>
      </c>
      <c r="GN228" t="b">
        <f>AND(DATA!P1863,"AAAAAH+S+8M=")</f>
        <v>1</v>
      </c>
      <c r="GO228" t="b">
        <f>AND(DATA!Q1863,"AAAAAH+S+8Q=")</f>
        <v>1</v>
      </c>
      <c r="GP228" t="b">
        <f>AND(DATA!R1863,"AAAAAH+S+8U=")</f>
        <v>1</v>
      </c>
      <c r="GQ228" t="b">
        <f>AND(DATA!S1863,"AAAAAH+S+8Y=")</f>
        <v>1</v>
      </c>
      <c r="GR228" t="b">
        <f>AND(DATA!T1863,"AAAAAH+S+8c=")</f>
        <v>1</v>
      </c>
      <c r="GS228">
        <f>IF(DATA!1863:1863,"AAAAAH+S+8g=",0)</f>
        <v>0</v>
      </c>
      <c r="GT228" t="e">
        <f>AND(DATA!A1863,"AAAAAH+S+8k=")</f>
        <v>#VALUE!</v>
      </c>
      <c r="GU228" t="e">
        <f>AND(DATA!B1863,"AAAAAH+S+8o=")</f>
        <v>#VALUE!</v>
      </c>
      <c r="GV228" t="e">
        <f>AND(DATA!C1863,"AAAAAH+S+8s=")</f>
        <v>#VALUE!</v>
      </c>
      <c r="GW228" t="e">
        <f>AND(DATA!D1863,"AAAAAH+S+8w=")</f>
        <v>#VALUE!</v>
      </c>
      <c r="GX228" t="e">
        <f>AND(DATA!E1863,"AAAAAH+S+80=")</f>
        <v>#VALUE!</v>
      </c>
      <c r="GY228" t="e">
        <f>AND(DATA!F1863,"AAAAAH+S+84=")</f>
        <v>#VALUE!</v>
      </c>
      <c r="GZ228" t="e">
        <f>AND(DATA!G1863,"AAAAAH+S+88=")</f>
        <v>#VALUE!</v>
      </c>
      <c r="HA228" t="e">
        <f>AND(DATA!H1863,"AAAAAH+S+9A=")</f>
        <v>#VALUE!</v>
      </c>
      <c r="HB228" t="e">
        <f>AND(DATA!I1863,"AAAAAH+S+9E=")</f>
        <v>#VALUE!</v>
      </c>
      <c r="HC228" t="e">
        <f>AND(DATA!J1863,"AAAAAH+S+9I=")</f>
        <v>#VALUE!</v>
      </c>
      <c r="HD228" t="e">
        <f>AND(DATA!K1863,"AAAAAH+S+9M=")</f>
        <v>#VALUE!</v>
      </c>
      <c r="HE228" t="b">
        <f>AND(DATA!L1864,"AAAAAH+S+9Q=")</f>
        <v>1</v>
      </c>
      <c r="HF228" t="b">
        <f>AND(DATA!M1864,"AAAAAH+S+9U=")</f>
        <v>1</v>
      </c>
      <c r="HG228" t="b">
        <f>AND(DATA!N1864,"AAAAAH+S+9Y=")</f>
        <v>1</v>
      </c>
      <c r="HH228" t="b">
        <f>AND(DATA!O1864,"AAAAAH+S+9c=")</f>
        <v>1</v>
      </c>
      <c r="HI228" t="b">
        <f>AND(DATA!P1864,"AAAAAH+S+9g=")</f>
        <v>1</v>
      </c>
      <c r="HJ228" t="b">
        <f>AND(DATA!Q1864,"AAAAAH+S+9k=")</f>
        <v>1</v>
      </c>
      <c r="HK228" t="b">
        <f>AND(DATA!R1864,"AAAAAH+S+9o=")</f>
        <v>1</v>
      </c>
      <c r="HL228" t="b">
        <f>AND(DATA!S1864,"AAAAAH+S+9s=")</f>
        <v>1</v>
      </c>
      <c r="HM228" t="b">
        <f>AND(DATA!T1864,"AAAAAH+S+9w=")</f>
        <v>1</v>
      </c>
      <c r="HN228">
        <f>IF(DATA!1864:1864,"AAAAAH+S+90=",0)</f>
        <v>0</v>
      </c>
      <c r="HO228" t="e">
        <f>AND(DATA!A1864,"AAAAAH+S+94=")</f>
        <v>#VALUE!</v>
      </c>
      <c r="HP228" t="e">
        <f>AND(DATA!B1864,"AAAAAH+S+98=")</f>
        <v>#VALUE!</v>
      </c>
      <c r="HQ228" t="e">
        <f>AND(DATA!C1864,"AAAAAH+S++A=")</f>
        <v>#VALUE!</v>
      </c>
      <c r="HR228" t="e">
        <f>AND(DATA!D1864,"AAAAAH+S++E=")</f>
        <v>#VALUE!</v>
      </c>
      <c r="HS228" t="e">
        <f>AND(DATA!E1864,"AAAAAH+S++I=")</f>
        <v>#VALUE!</v>
      </c>
      <c r="HT228" t="e">
        <f>AND(DATA!F1864,"AAAAAH+S++M=")</f>
        <v>#VALUE!</v>
      </c>
      <c r="HU228" t="e">
        <f>AND(DATA!G1864,"AAAAAH+S++Q=")</f>
        <v>#VALUE!</v>
      </c>
      <c r="HV228" t="e">
        <f>AND(DATA!H1864,"AAAAAH+S++U=")</f>
        <v>#VALUE!</v>
      </c>
      <c r="HW228" t="e">
        <f>AND(DATA!I1864,"AAAAAH+S++Y=")</f>
        <v>#VALUE!</v>
      </c>
      <c r="HX228" t="e">
        <f>AND(DATA!J1864,"AAAAAH+S++c=")</f>
        <v>#VALUE!</v>
      </c>
      <c r="HY228" t="e">
        <f>AND(DATA!K1864,"AAAAAH+S++g=")</f>
        <v>#VALUE!</v>
      </c>
      <c r="HZ228" t="b">
        <f>AND(DATA!L1865,"AAAAAH+S++k=")</f>
        <v>1</v>
      </c>
      <c r="IA228" t="b">
        <f>AND(DATA!M1865,"AAAAAH+S++o=")</f>
        <v>1</v>
      </c>
      <c r="IB228" t="b">
        <f>AND(DATA!N1865,"AAAAAH+S++s=")</f>
        <v>1</v>
      </c>
      <c r="IC228" t="b">
        <f>AND(DATA!O1865,"AAAAAH+S++w=")</f>
        <v>1</v>
      </c>
      <c r="ID228" t="b">
        <f>AND(DATA!P1865,"AAAAAH+S++0=")</f>
        <v>1</v>
      </c>
      <c r="IE228" t="b">
        <f>AND(DATA!Q1865,"AAAAAH+S++4=")</f>
        <v>1</v>
      </c>
      <c r="IF228" t="b">
        <f>AND(DATA!R1865,"AAAAAH+S++8=")</f>
        <v>1</v>
      </c>
      <c r="IG228" t="b">
        <f>AND(DATA!S1865,"AAAAAH+S+/A=")</f>
        <v>1</v>
      </c>
      <c r="IH228" t="b">
        <f>AND(DATA!T1865,"AAAAAH+S+/E=")</f>
        <v>1</v>
      </c>
      <c r="II228">
        <f>IF(DATA!1865:1865,"AAAAAH+S+/I=",0)</f>
        <v>0</v>
      </c>
      <c r="IJ228" t="e">
        <f>AND(DATA!A1865,"AAAAAH+S+/M=")</f>
        <v>#VALUE!</v>
      </c>
      <c r="IK228" t="e">
        <f>AND(DATA!B1865,"AAAAAH+S+/Q=")</f>
        <v>#VALUE!</v>
      </c>
      <c r="IL228" t="e">
        <f>AND(DATA!C1865,"AAAAAH+S+/U=")</f>
        <v>#VALUE!</v>
      </c>
      <c r="IM228" t="e">
        <f>AND(DATA!D1865,"AAAAAH+S+/Y=")</f>
        <v>#VALUE!</v>
      </c>
      <c r="IN228" t="e">
        <f>AND(DATA!E1865,"AAAAAH+S+/c=")</f>
        <v>#VALUE!</v>
      </c>
      <c r="IO228" t="e">
        <f>AND(DATA!F1865,"AAAAAH+S+/g=")</f>
        <v>#VALUE!</v>
      </c>
      <c r="IP228" t="e">
        <f>AND(DATA!G1865,"AAAAAH+S+/k=")</f>
        <v>#VALUE!</v>
      </c>
      <c r="IQ228" t="e">
        <f>AND(DATA!H1865,"AAAAAH+S+/o=")</f>
        <v>#VALUE!</v>
      </c>
      <c r="IR228" t="e">
        <f>AND(DATA!I1865,"AAAAAH+S+/s=")</f>
        <v>#VALUE!</v>
      </c>
      <c r="IS228" t="e">
        <f>AND(DATA!J1865,"AAAAAH+S+/w=")</f>
        <v>#VALUE!</v>
      </c>
      <c r="IT228" t="e">
        <f>AND(DATA!K1865,"AAAAAH+S+/0=")</f>
        <v>#VALUE!</v>
      </c>
      <c r="IU228" t="b">
        <f>AND(DATA!L1866,"AAAAAH+S+/4=")</f>
        <v>1</v>
      </c>
      <c r="IV228" t="b">
        <f>AND(DATA!M1866,"AAAAAH+S+/8=")</f>
        <v>1</v>
      </c>
    </row>
    <row r="229" spans="1:256" x14ac:dyDescent="0.25">
      <c r="A229" t="b">
        <f>AND(DATA!N1866,"AAAAAAf//QA=")</f>
        <v>1</v>
      </c>
      <c r="B229" t="b">
        <f>AND(DATA!O1866,"AAAAAAf//QE=")</f>
        <v>1</v>
      </c>
      <c r="C229" t="b">
        <f>AND(DATA!P1866,"AAAAAAf//QI=")</f>
        <v>1</v>
      </c>
      <c r="D229" t="b">
        <f>AND(DATA!Q1866,"AAAAAAf//QM=")</f>
        <v>1</v>
      </c>
      <c r="E229" t="b">
        <f>AND(DATA!R1866,"AAAAAAf//QQ=")</f>
        <v>1</v>
      </c>
      <c r="F229" t="b">
        <f>AND(DATA!S1866,"AAAAAAf//QU=")</f>
        <v>1</v>
      </c>
      <c r="G229" t="b">
        <f>AND(DATA!T1866,"AAAAAAf//QY=")</f>
        <v>1</v>
      </c>
      <c r="H229">
        <f>IF(DATA!1866:1866,"AAAAAAf//Qc=",0)</f>
        <v>0</v>
      </c>
      <c r="I229" t="e">
        <f>AND(DATA!A1866,"AAAAAAf//Qg=")</f>
        <v>#VALUE!</v>
      </c>
      <c r="J229" t="e">
        <f>AND(DATA!B1866,"AAAAAAf//Qk=")</f>
        <v>#VALUE!</v>
      </c>
      <c r="K229" t="e">
        <f>AND(DATA!C1866,"AAAAAAf//Qo=")</f>
        <v>#VALUE!</v>
      </c>
      <c r="L229" t="e">
        <f>AND(DATA!D1866,"AAAAAAf//Qs=")</f>
        <v>#VALUE!</v>
      </c>
      <c r="M229" t="e">
        <f>AND(DATA!E1866,"AAAAAAf//Qw=")</f>
        <v>#VALUE!</v>
      </c>
      <c r="N229" t="e">
        <f>AND(DATA!F1866,"AAAAAAf//Q0=")</f>
        <v>#VALUE!</v>
      </c>
      <c r="O229" t="e">
        <f>AND(DATA!G1866,"AAAAAAf//Q4=")</f>
        <v>#VALUE!</v>
      </c>
      <c r="P229" t="e">
        <f>AND(DATA!H1866,"AAAAAAf//Q8=")</f>
        <v>#VALUE!</v>
      </c>
      <c r="Q229" t="e">
        <f>AND(DATA!I1866,"AAAAAAf//RA=")</f>
        <v>#VALUE!</v>
      </c>
      <c r="R229" t="e">
        <f>AND(DATA!J1866,"AAAAAAf//RE=")</f>
        <v>#VALUE!</v>
      </c>
      <c r="S229" t="e">
        <f>AND(DATA!K1866,"AAAAAAf//RI=")</f>
        <v>#VALUE!</v>
      </c>
      <c r="T229" t="b">
        <f>AND(DATA!L1867,"AAAAAAf//RM=")</f>
        <v>1</v>
      </c>
      <c r="U229" t="b">
        <f>AND(DATA!M1867,"AAAAAAf//RQ=")</f>
        <v>1</v>
      </c>
      <c r="V229" t="b">
        <f>AND(DATA!N1867,"AAAAAAf//RU=")</f>
        <v>1</v>
      </c>
      <c r="W229" t="b">
        <f>AND(DATA!O1867,"AAAAAAf//RY=")</f>
        <v>1</v>
      </c>
      <c r="X229" t="b">
        <f>AND(DATA!P1867,"AAAAAAf//Rc=")</f>
        <v>1</v>
      </c>
      <c r="Y229" t="b">
        <f>AND(DATA!Q1867,"AAAAAAf//Rg=")</f>
        <v>1</v>
      </c>
      <c r="Z229" t="b">
        <f>AND(DATA!R1867,"AAAAAAf//Rk=")</f>
        <v>1</v>
      </c>
      <c r="AA229" t="b">
        <f>AND(DATA!S1867,"AAAAAAf//Ro=")</f>
        <v>1</v>
      </c>
      <c r="AB229" t="b">
        <f>AND(DATA!T1867,"AAAAAAf//Rs=")</f>
        <v>1</v>
      </c>
      <c r="AC229">
        <f>IF(DATA!1867:1867,"AAAAAAf//Rw=",0)</f>
        <v>0</v>
      </c>
      <c r="AD229" t="e">
        <f>AND(DATA!A1867,"AAAAAAf//R0=")</f>
        <v>#VALUE!</v>
      </c>
      <c r="AE229" t="e">
        <f>AND(DATA!B1867,"AAAAAAf//R4=")</f>
        <v>#VALUE!</v>
      </c>
      <c r="AF229" t="e">
        <f>AND(DATA!C1867,"AAAAAAf//R8=")</f>
        <v>#VALUE!</v>
      </c>
      <c r="AG229" t="e">
        <f>AND(DATA!D1867,"AAAAAAf//SA=")</f>
        <v>#VALUE!</v>
      </c>
      <c r="AH229" t="e">
        <f>AND(DATA!E1867,"AAAAAAf//SE=")</f>
        <v>#VALUE!</v>
      </c>
      <c r="AI229" t="e">
        <f>AND(DATA!F1867,"AAAAAAf//SI=")</f>
        <v>#VALUE!</v>
      </c>
      <c r="AJ229" t="e">
        <f>AND(DATA!G1867,"AAAAAAf//SM=")</f>
        <v>#VALUE!</v>
      </c>
      <c r="AK229" t="e">
        <f>AND(DATA!H1867,"AAAAAAf//SQ=")</f>
        <v>#VALUE!</v>
      </c>
      <c r="AL229" t="e">
        <f>AND(DATA!I1867,"AAAAAAf//SU=")</f>
        <v>#VALUE!</v>
      </c>
      <c r="AM229" t="e">
        <f>AND(DATA!J1867,"AAAAAAf//SY=")</f>
        <v>#VALUE!</v>
      </c>
      <c r="AN229" t="e">
        <f>AND(DATA!K1867,"AAAAAAf//Sc=")</f>
        <v>#VALUE!</v>
      </c>
      <c r="AO229" t="b">
        <f>AND(DATA!L1868,"AAAAAAf//Sg=")</f>
        <v>1</v>
      </c>
      <c r="AP229" t="b">
        <f>AND(DATA!M1868,"AAAAAAf//Sk=")</f>
        <v>1</v>
      </c>
      <c r="AQ229" t="b">
        <f>AND(DATA!N1868,"AAAAAAf//So=")</f>
        <v>1</v>
      </c>
      <c r="AR229" t="b">
        <f>AND(DATA!O1868,"AAAAAAf//Ss=")</f>
        <v>1</v>
      </c>
      <c r="AS229" t="b">
        <f>AND(DATA!P1868,"AAAAAAf//Sw=")</f>
        <v>1</v>
      </c>
      <c r="AT229" t="b">
        <f>AND(DATA!Q1868,"AAAAAAf//S0=")</f>
        <v>1</v>
      </c>
      <c r="AU229" t="b">
        <f>AND(DATA!R1868,"AAAAAAf//S4=")</f>
        <v>1</v>
      </c>
      <c r="AV229" t="b">
        <f>AND(DATA!S1868,"AAAAAAf//S8=")</f>
        <v>1</v>
      </c>
      <c r="AW229" t="b">
        <f>AND(DATA!T1868,"AAAAAAf//TA=")</f>
        <v>1</v>
      </c>
      <c r="AX229">
        <f>IF(DATA!1868:1868,"AAAAAAf//TE=",0)</f>
        <v>0</v>
      </c>
      <c r="AY229" t="e">
        <f>AND(DATA!A1868,"AAAAAAf//TI=")</f>
        <v>#VALUE!</v>
      </c>
      <c r="AZ229" t="e">
        <f>AND(DATA!B1868,"AAAAAAf//TM=")</f>
        <v>#VALUE!</v>
      </c>
      <c r="BA229" t="e">
        <f>AND(DATA!C1868,"AAAAAAf//TQ=")</f>
        <v>#VALUE!</v>
      </c>
      <c r="BB229" t="e">
        <f>AND(DATA!D1868,"AAAAAAf//TU=")</f>
        <v>#VALUE!</v>
      </c>
      <c r="BC229" t="e">
        <f>AND(DATA!E1868,"AAAAAAf//TY=")</f>
        <v>#VALUE!</v>
      </c>
      <c r="BD229" t="e">
        <f>AND(DATA!F1868,"AAAAAAf//Tc=")</f>
        <v>#VALUE!</v>
      </c>
      <c r="BE229" t="e">
        <f>AND(DATA!G1868,"AAAAAAf//Tg=")</f>
        <v>#VALUE!</v>
      </c>
      <c r="BF229" t="e">
        <f>AND(DATA!H1868,"AAAAAAf//Tk=")</f>
        <v>#VALUE!</v>
      </c>
      <c r="BG229" t="e">
        <f>AND(DATA!I1868,"AAAAAAf//To=")</f>
        <v>#VALUE!</v>
      </c>
      <c r="BH229" t="e">
        <f>AND(DATA!J1868,"AAAAAAf//Ts=")</f>
        <v>#VALUE!</v>
      </c>
      <c r="BI229" t="e">
        <f>AND(DATA!K1868,"AAAAAAf//Tw=")</f>
        <v>#VALUE!</v>
      </c>
      <c r="BJ229" t="b">
        <f>AND(DATA!L1869,"AAAAAAf//T0=")</f>
        <v>1</v>
      </c>
      <c r="BK229" t="b">
        <f>AND(DATA!M1869,"AAAAAAf//T4=")</f>
        <v>1</v>
      </c>
      <c r="BL229" t="b">
        <f>AND(DATA!N1869,"AAAAAAf//T8=")</f>
        <v>1</v>
      </c>
      <c r="BM229" t="b">
        <f>AND(DATA!O1869,"AAAAAAf//UA=")</f>
        <v>1</v>
      </c>
      <c r="BN229" t="b">
        <f>AND(DATA!P1869,"AAAAAAf//UE=")</f>
        <v>1</v>
      </c>
      <c r="BO229" t="b">
        <f>AND(DATA!Q1869,"AAAAAAf//UI=")</f>
        <v>1</v>
      </c>
      <c r="BP229" t="b">
        <f>AND(DATA!R1869,"AAAAAAf//UM=")</f>
        <v>1</v>
      </c>
      <c r="BQ229" t="b">
        <f>AND(DATA!S1869,"AAAAAAf//UQ=")</f>
        <v>1</v>
      </c>
      <c r="BR229" t="b">
        <f>AND(DATA!T1869,"AAAAAAf//UU=")</f>
        <v>1</v>
      </c>
      <c r="BS229">
        <f>IF(DATA!1869:1869,"AAAAAAf//UY=",0)</f>
        <v>0</v>
      </c>
      <c r="BT229" t="e">
        <f>AND(DATA!A1869,"AAAAAAf//Uc=")</f>
        <v>#VALUE!</v>
      </c>
      <c r="BU229" t="e">
        <f>AND(DATA!B1869,"AAAAAAf//Ug=")</f>
        <v>#VALUE!</v>
      </c>
      <c r="BV229" t="e">
        <f>AND(DATA!C1869,"AAAAAAf//Uk=")</f>
        <v>#VALUE!</v>
      </c>
      <c r="BW229" t="e">
        <f>AND(DATA!D1869,"AAAAAAf//Uo=")</f>
        <v>#VALUE!</v>
      </c>
      <c r="BX229" t="e">
        <f>AND(DATA!E1869,"AAAAAAf//Us=")</f>
        <v>#VALUE!</v>
      </c>
      <c r="BY229" t="e">
        <f>AND(DATA!F1869,"AAAAAAf//Uw=")</f>
        <v>#VALUE!</v>
      </c>
      <c r="BZ229" t="e">
        <f>AND(DATA!G1869,"AAAAAAf//U0=")</f>
        <v>#VALUE!</v>
      </c>
      <c r="CA229" t="e">
        <f>AND(DATA!H1869,"AAAAAAf//U4=")</f>
        <v>#VALUE!</v>
      </c>
      <c r="CB229" t="e">
        <f>AND(DATA!I1869,"AAAAAAf//U8=")</f>
        <v>#VALUE!</v>
      </c>
      <c r="CC229" t="e">
        <f>AND(DATA!J1869,"AAAAAAf//VA=")</f>
        <v>#VALUE!</v>
      </c>
      <c r="CD229" t="e">
        <f>AND(DATA!K1869,"AAAAAAf//VE=")</f>
        <v>#VALUE!</v>
      </c>
      <c r="CE229" t="b">
        <f>AND(DATA!L1870,"AAAAAAf//VI=")</f>
        <v>1</v>
      </c>
      <c r="CF229" t="b">
        <f>AND(DATA!M1870,"AAAAAAf//VM=")</f>
        <v>1</v>
      </c>
      <c r="CG229" t="b">
        <f>AND(DATA!N1870,"AAAAAAf//VQ=")</f>
        <v>1</v>
      </c>
      <c r="CH229" t="b">
        <f>AND(DATA!O1870,"AAAAAAf//VU=")</f>
        <v>1</v>
      </c>
      <c r="CI229" t="b">
        <f>AND(DATA!P1870,"AAAAAAf//VY=")</f>
        <v>1</v>
      </c>
      <c r="CJ229" t="b">
        <f>AND(DATA!Q1870,"AAAAAAf//Vc=")</f>
        <v>1</v>
      </c>
      <c r="CK229" t="b">
        <f>AND(DATA!R1870,"AAAAAAf//Vg=")</f>
        <v>1</v>
      </c>
      <c r="CL229" t="b">
        <f>AND(DATA!S1870,"AAAAAAf//Vk=")</f>
        <v>1</v>
      </c>
      <c r="CM229" t="b">
        <f>AND(DATA!T1870,"AAAAAAf//Vo=")</f>
        <v>1</v>
      </c>
      <c r="CN229">
        <f>IF(DATA!1870:1870,"AAAAAAf//Vs=",0)</f>
        <v>0</v>
      </c>
      <c r="CO229" t="e">
        <f>AND(DATA!A1870,"AAAAAAf//Vw=")</f>
        <v>#VALUE!</v>
      </c>
      <c r="CP229" t="e">
        <f>AND(DATA!B1870,"AAAAAAf//V0=")</f>
        <v>#VALUE!</v>
      </c>
      <c r="CQ229" t="e">
        <f>AND(DATA!C1870,"AAAAAAf//V4=")</f>
        <v>#VALUE!</v>
      </c>
      <c r="CR229" t="e">
        <f>AND(DATA!D1870,"AAAAAAf//V8=")</f>
        <v>#VALUE!</v>
      </c>
      <c r="CS229" t="e">
        <f>AND(DATA!E1870,"AAAAAAf//WA=")</f>
        <v>#VALUE!</v>
      </c>
      <c r="CT229" t="e">
        <f>AND(DATA!F1870,"AAAAAAf//WE=")</f>
        <v>#VALUE!</v>
      </c>
      <c r="CU229" t="e">
        <f>AND(DATA!G1870,"AAAAAAf//WI=")</f>
        <v>#VALUE!</v>
      </c>
      <c r="CV229" t="e">
        <f>AND(DATA!H1870,"AAAAAAf//WM=")</f>
        <v>#VALUE!</v>
      </c>
      <c r="CW229" t="e">
        <f>AND(DATA!I1870,"AAAAAAf//WQ=")</f>
        <v>#VALUE!</v>
      </c>
      <c r="CX229" t="e">
        <f>AND(DATA!J1870,"AAAAAAf//WU=")</f>
        <v>#VALUE!</v>
      </c>
      <c r="CY229" t="e">
        <f>AND(DATA!K1870,"AAAAAAf//WY=")</f>
        <v>#VALUE!</v>
      </c>
      <c r="CZ229" t="b">
        <f>AND(DATA!L1871,"AAAAAAf//Wc=")</f>
        <v>1</v>
      </c>
      <c r="DA229" t="b">
        <f>AND(DATA!M1871,"AAAAAAf//Wg=")</f>
        <v>1</v>
      </c>
      <c r="DB229" t="b">
        <f>AND(DATA!N1871,"AAAAAAf//Wk=")</f>
        <v>1</v>
      </c>
      <c r="DC229" t="b">
        <f>AND(DATA!O1871,"AAAAAAf//Wo=")</f>
        <v>1</v>
      </c>
      <c r="DD229" t="b">
        <f>AND(DATA!P1871,"AAAAAAf//Ws=")</f>
        <v>1</v>
      </c>
      <c r="DE229" t="b">
        <f>AND(DATA!Q1871,"AAAAAAf//Ww=")</f>
        <v>1</v>
      </c>
      <c r="DF229" t="b">
        <f>AND(DATA!R1871,"AAAAAAf//W0=")</f>
        <v>1</v>
      </c>
      <c r="DG229" t="b">
        <f>AND(DATA!S1871,"AAAAAAf//W4=")</f>
        <v>1</v>
      </c>
      <c r="DH229" t="b">
        <f>AND(DATA!T1871,"AAAAAAf//W8=")</f>
        <v>1</v>
      </c>
      <c r="DI229">
        <f>IF(DATA!1871:1871,"AAAAAAf//XA=",0)</f>
        <v>0</v>
      </c>
      <c r="DJ229" t="e">
        <f>AND(DATA!A1871,"AAAAAAf//XE=")</f>
        <v>#VALUE!</v>
      </c>
      <c r="DK229" t="e">
        <f>AND(DATA!B1871,"AAAAAAf//XI=")</f>
        <v>#VALUE!</v>
      </c>
      <c r="DL229" t="e">
        <f>AND(DATA!C1871,"AAAAAAf//XM=")</f>
        <v>#VALUE!</v>
      </c>
      <c r="DM229" t="e">
        <f>AND(DATA!D1871,"AAAAAAf//XQ=")</f>
        <v>#VALUE!</v>
      </c>
      <c r="DN229" t="e">
        <f>AND(DATA!E1871,"AAAAAAf//XU=")</f>
        <v>#VALUE!</v>
      </c>
      <c r="DO229" t="e">
        <f>AND(DATA!F1871,"AAAAAAf//XY=")</f>
        <v>#VALUE!</v>
      </c>
      <c r="DP229" t="e">
        <f>AND(DATA!G1871,"AAAAAAf//Xc=")</f>
        <v>#VALUE!</v>
      </c>
      <c r="DQ229" t="e">
        <f>AND(DATA!H1871,"AAAAAAf//Xg=")</f>
        <v>#VALUE!</v>
      </c>
      <c r="DR229" t="e">
        <f>AND(DATA!I1871,"AAAAAAf//Xk=")</f>
        <v>#VALUE!</v>
      </c>
      <c r="DS229" t="e">
        <f>AND(DATA!J1871,"AAAAAAf//Xo=")</f>
        <v>#VALUE!</v>
      </c>
      <c r="DT229" t="e">
        <f>AND(DATA!K1871,"AAAAAAf//Xs=")</f>
        <v>#VALUE!</v>
      </c>
      <c r="DU229" t="b">
        <f>AND(DATA!L1872,"AAAAAAf//Xw=")</f>
        <v>1</v>
      </c>
      <c r="DV229" t="b">
        <f>AND(DATA!M1872,"AAAAAAf//X0=")</f>
        <v>1</v>
      </c>
      <c r="DW229" t="b">
        <f>AND(DATA!N1872,"AAAAAAf//X4=")</f>
        <v>1</v>
      </c>
      <c r="DX229" t="b">
        <f>AND(DATA!O1872,"AAAAAAf//X8=")</f>
        <v>1</v>
      </c>
      <c r="DY229" t="b">
        <f>AND(DATA!P1872,"AAAAAAf//YA=")</f>
        <v>1</v>
      </c>
      <c r="DZ229" t="b">
        <f>AND(DATA!Q1872,"AAAAAAf//YE=")</f>
        <v>1</v>
      </c>
      <c r="EA229" t="b">
        <f>AND(DATA!R1872,"AAAAAAf//YI=")</f>
        <v>1</v>
      </c>
      <c r="EB229" t="b">
        <f>AND(DATA!S1872,"AAAAAAf//YM=")</f>
        <v>1</v>
      </c>
      <c r="EC229" t="b">
        <f>AND(DATA!T1872,"AAAAAAf//YQ=")</f>
        <v>1</v>
      </c>
      <c r="ED229">
        <f>IF(DATA!1872:1872,"AAAAAAf//YU=",0)</f>
        <v>0</v>
      </c>
      <c r="EE229" t="e">
        <f>AND(DATA!A1872,"AAAAAAf//YY=")</f>
        <v>#VALUE!</v>
      </c>
      <c r="EF229" t="e">
        <f>AND(DATA!B1872,"AAAAAAf//Yc=")</f>
        <v>#VALUE!</v>
      </c>
      <c r="EG229" t="e">
        <f>AND(DATA!C1872,"AAAAAAf//Yg=")</f>
        <v>#VALUE!</v>
      </c>
      <c r="EH229" t="e">
        <f>AND(DATA!D1872,"AAAAAAf//Yk=")</f>
        <v>#VALUE!</v>
      </c>
      <c r="EI229" t="e">
        <f>AND(DATA!E1872,"AAAAAAf//Yo=")</f>
        <v>#VALUE!</v>
      </c>
      <c r="EJ229" t="e">
        <f>AND(DATA!F1872,"AAAAAAf//Ys=")</f>
        <v>#VALUE!</v>
      </c>
      <c r="EK229" t="e">
        <f>AND(DATA!G1872,"AAAAAAf//Yw=")</f>
        <v>#VALUE!</v>
      </c>
      <c r="EL229" t="e">
        <f>AND(DATA!H1872,"AAAAAAf//Y0=")</f>
        <v>#VALUE!</v>
      </c>
      <c r="EM229" t="e">
        <f>AND(DATA!I1872,"AAAAAAf//Y4=")</f>
        <v>#VALUE!</v>
      </c>
      <c r="EN229" t="e">
        <f>AND(DATA!J1872,"AAAAAAf//Y8=")</f>
        <v>#VALUE!</v>
      </c>
      <c r="EO229" t="e">
        <f>AND(DATA!K1872,"AAAAAAf//ZA=")</f>
        <v>#VALUE!</v>
      </c>
      <c r="EP229" t="b">
        <f>AND(DATA!L1873,"AAAAAAf//ZE=")</f>
        <v>1</v>
      </c>
      <c r="EQ229" t="b">
        <f>AND(DATA!M1873,"AAAAAAf//ZI=")</f>
        <v>1</v>
      </c>
      <c r="ER229" t="b">
        <f>AND(DATA!N1873,"AAAAAAf//ZM=")</f>
        <v>1</v>
      </c>
      <c r="ES229" t="b">
        <f>AND(DATA!O1873,"AAAAAAf//ZQ=")</f>
        <v>1</v>
      </c>
      <c r="ET229" t="b">
        <f>AND(DATA!P1873,"AAAAAAf//ZU=")</f>
        <v>1</v>
      </c>
      <c r="EU229" t="b">
        <f>AND(DATA!Q1873,"AAAAAAf//ZY=")</f>
        <v>1</v>
      </c>
      <c r="EV229" t="b">
        <f>AND(DATA!R1873,"AAAAAAf//Zc=")</f>
        <v>1</v>
      </c>
      <c r="EW229" t="b">
        <f>AND(DATA!S1873,"AAAAAAf//Zg=")</f>
        <v>1</v>
      </c>
      <c r="EX229" t="b">
        <f>AND(DATA!T1873,"AAAAAAf//Zk=")</f>
        <v>1</v>
      </c>
      <c r="EY229">
        <f>IF(DATA!1873:1873,"AAAAAAf//Zo=",0)</f>
        <v>0</v>
      </c>
      <c r="EZ229" t="e">
        <f>AND(DATA!A1873,"AAAAAAf//Zs=")</f>
        <v>#VALUE!</v>
      </c>
      <c r="FA229" t="e">
        <f>AND(DATA!B1873,"AAAAAAf//Zw=")</f>
        <v>#VALUE!</v>
      </c>
      <c r="FB229" t="e">
        <f>AND(DATA!C1873,"AAAAAAf//Z0=")</f>
        <v>#VALUE!</v>
      </c>
      <c r="FC229" t="e">
        <f>AND(DATA!D1873,"AAAAAAf//Z4=")</f>
        <v>#VALUE!</v>
      </c>
      <c r="FD229" t="e">
        <f>AND(DATA!E1873,"AAAAAAf//Z8=")</f>
        <v>#VALUE!</v>
      </c>
      <c r="FE229" t="e">
        <f>AND(DATA!F1873,"AAAAAAf//aA=")</f>
        <v>#VALUE!</v>
      </c>
      <c r="FF229" t="e">
        <f>AND(DATA!G1873,"AAAAAAf//aE=")</f>
        <v>#VALUE!</v>
      </c>
      <c r="FG229" t="e">
        <f>AND(DATA!H1873,"AAAAAAf//aI=")</f>
        <v>#VALUE!</v>
      </c>
      <c r="FH229" t="e">
        <f>AND(DATA!I1873,"AAAAAAf//aM=")</f>
        <v>#VALUE!</v>
      </c>
      <c r="FI229" t="e">
        <f>AND(DATA!J1873,"AAAAAAf//aQ=")</f>
        <v>#VALUE!</v>
      </c>
      <c r="FJ229" t="e">
        <f>AND(DATA!K1873,"AAAAAAf//aU=")</f>
        <v>#VALUE!</v>
      </c>
      <c r="FK229" t="b">
        <f>AND(DATA!L1874,"AAAAAAf//aY=")</f>
        <v>1</v>
      </c>
      <c r="FL229" t="b">
        <f>AND(DATA!M1874,"AAAAAAf//ac=")</f>
        <v>1</v>
      </c>
      <c r="FM229" t="b">
        <f>AND(DATA!N1874,"AAAAAAf//ag=")</f>
        <v>1</v>
      </c>
      <c r="FN229" t="b">
        <f>AND(DATA!O1874,"AAAAAAf//ak=")</f>
        <v>1</v>
      </c>
      <c r="FO229" t="b">
        <f>AND(DATA!P1874,"AAAAAAf//ao=")</f>
        <v>1</v>
      </c>
      <c r="FP229" t="b">
        <f>AND(DATA!Q1874,"AAAAAAf//as=")</f>
        <v>1</v>
      </c>
      <c r="FQ229" t="b">
        <f>AND(DATA!R1874,"AAAAAAf//aw=")</f>
        <v>1</v>
      </c>
      <c r="FR229" t="b">
        <f>AND(DATA!S1874,"AAAAAAf//a0=")</f>
        <v>1</v>
      </c>
      <c r="FS229" t="b">
        <f>AND(DATA!T1874,"AAAAAAf//a4=")</f>
        <v>1</v>
      </c>
      <c r="FT229">
        <f>IF(DATA!1874:1874,"AAAAAAf//a8=",0)</f>
        <v>0</v>
      </c>
      <c r="FU229" t="e">
        <f>AND(DATA!A1874,"AAAAAAf//bA=")</f>
        <v>#VALUE!</v>
      </c>
      <c r="FV229" t="e">
        <f>AND(DATA!B1874,"AAAAAAf//bE=")</f>
        <v>#VALUE!</v>
      </c>
      <c r="FW229" t="e">
        <f>AND(DATA!C1874,"AAAAAAf//bI=")</f>
        <v>#VALUE!</v>
      </c>
      <c r="FX229" t="e">
        <f>AND(DATA!D1874,"AAAAAAf//bM=")</f>
        <v>#VALUE!</v>
      </c>
      <c r="FY229" t="e">
        <f>AND(DATA!E1874,"AAAAAAf//bQ=")</f>
        <v>#VALUE!</v>
      </c>
      <c r="FZ229" t="e">
        <f>AND(DATA!F1874,"AAAAAAf//bU=")</f>
        <v>#VALUE!</v>
      </c>
      <c r="GA229" t="e">
        <f>AND(DATA!G1874,"AAAAAAf//bY=")</f>
        <v>#VALUE!</v>
      </c>
      <c r="GB229" t="e">
        <f>AND(DATA!H1874,"AAAAAAf//bc=")</f>
        <v>#VALUE!</v>
      </c>
      <c r="GC229" t="e">
        <f>AND(DATA!I1874,"AAAAAAf//bg=")</f>
        <v>#VALUE!</v>
      </c>
      <c r="GD229" t="e">
        <f>AND(DATA!J1874,"AAAAAAf//bk=")</f>
        <v>#VALUE!</v>
      </c>
      <c r="GE229" t="e">
        <f>AND(DATA!K1874,"AAAAAAf//bo=")</f>
        <v>#VALUE!</v>
      </c>
      <c r="GF229" t="b">
        <f>AND(DATA!L1875,"AAAAAAf//bs=")</f>
        <v>1</v>
      </c>
      <c r="GG229" t="b">
        <f>AND(DATA!M1875,"AAAAAAf//bw=")</f>
        <v>1</v>
      </c>
      <c r="GH229" t="b">
        <f>AND(DATA!N1875,"AAAAAAf//b0=")</f>
        <v>1</v>
      </c>
      <c r="GI229" t="b">
        <f>AND(DATA!O1875,"AAAAAAf//b4=")</f>
        <v>1</v>
      </c>
      <c r="GJ229" t="b">
        <f>AND(DATA!P1875,"AAAAAAf//b8=")</f>
        <v>1</v>
      </c>
      <c r="GK229" t="b">
        <f>AND(DATA!Q1875,"AAAAAAf//cA=")</f>
        <v>1</v>
      </c>
      <c r="GL229" t="b">
        <f>AND(DATA!R1875,"AAAAAAf//cE=")</f>
        <v>1</v>
      </c>
      <c r="GM229" t="b">
        <f>AND(DATA!S1875,"AAAAAAf//cI=")</f>
        <v>1</v>
      </c>
      <c r="GN229" t="b">
        <f>AND(DATA!T1875,"AAAAAAf//cM=")</f>
        <v>1</v>
      </c>
      <c r="GO229">
        <f>IF(DATA!1875:1875,"AAAAAAf//cQ=",0)</f>
        <v>0</v>
      </c>
      <c r="GP229" t="e">
        <f>AND(DATA!A1875,"AAAAAAf//cU=")</f>
        <v>#VALUE!</v>
      </c>
      <c r="GQ229" t="e">
        <f>AND(DATA!B1875,"AAAAAAf//cY=")</f>
        <v>#VALUE!</v>
      </c>
      <c r="GR229" t="e">
        <f>AND(DATA!C1875,"AAAAAAf//cc=")</f>
        <v>#VALUE!</v>
      </c>
      <c r="GS229" t="e">
        <f>AND(DATA!D1875,"AAAAAAf//cg=")</f>
        <v>#VALUE!</v>
      </c>
      <c r="GT229" t="e">
        <f>AND(DATA!E1875,"AAAAAAf//ck=")</f>
        <v>#VALUE!</v>
      </c>
      <c r="GU229" t="e">
        <f>AND(DATA!F1875,"AAAAAAf//co=")</f>
        <v>#VALUE!</v>
      </c>
      <c r="GV229" t="e">
        <f>AND(DATA!G1875,"AAAAAAf//cs=")</f>
        <v>#VALUE!</v>
      </c>
      <c r="GW229" t="e">
        <f>AND(DATA!H1875,"AAAAAAf//cw=")</f>
        <v>#VALUE!</v>
      </c>
      <c r="GX229" t="e">
        <f>AND(DATA!I1875,"AAAAAAf//c0=")</f>
        <v>#VALUE!</v>
      </c>
      <c r="GY229" t="e">
        <f>AND(DATA!J1875,"AAAAAAf//c4=")</f>
        <v>#VALUE!</v>
      </c>
      <c r="GZ229" t="e">
        <f>AND(DATA!K1875,"AAAAAAf//c8=")</f>
        <v>#VALUE!</v>
      </c>
      <c r="HA229" t="b">
        <f>AND(DATA!L1876,"AAAAAAf//dA=")</f>
        <v>1</v>
      </c>
      <c r="HB229" t="b">
        <f>AND(DATA!M1876,"AAAAAAf//dE=")</f>
        <v>1</v>
      </c>
      <c r="HC229" t="b">
        <f>AND(DATA!N1876,"AAAAAAf//dI=")</f>
        <v>1</v>
      </c>
      <c r="HD229" t="b">
        <f>AND(DATA!O1876,"AAAAAAf//dM=")</f>
        <v>1</v>
      </c>
      <c r="HE229" t="b">
        <f>AND(DATA!P1876,"AAAAAAf//dQ=")</f>
        <v>1</v>
      </c>
      <c r="HF229" t="b">
        <f>AND(DATA!Q1876,"AAAAAAf//dU=")</f>
        <v>1</v>
      </c>
      <c r="HG229" t="b">
        <f>AND(DATA!R1876,"AAAAAAf//dY=")</f>
        <v>1</v>
      </c>
      <c r="HH229" t="b">
        <f>AND(DATA!S1876,"AAAAAAf//dc=")</f>
        <v>1</v>
      </c>
      <c r="HI229" t="b">
        <f>AND(DATA!T1876,"AAAAAAf//dg=")</f>
        <v>1</v>
      </c>
      <c r="HJ229">
        <f>IF(DATA!1876:1876,"AAAAAAf//dk=",0)</f>
        <v>0</v>
      </c>
      <c r="HK229" t="e">
        <f>AND(DATA!A1876,"AAAAAAf//do=")</f>
        <v>#VALUE!</v>
      </c>
      <c r="HL229" t="e">
        <f>AND(DATA!B1876,"AAAAAAf//ds=")</f>
        <v>#VALUE!</v>
      </c>
      <c r="HM229" t="e">
        <f>AND(DATA!C1876,"AAAAAAf//dw=")</f>
        <v>#VALUE!</v>
      </c>
      <c r="HN229" t="e">
        <f>AND(DATA!D1876,"AAAAAAf//d0=")</f>
        <v>#VALUE!</v>
      </c>
      <c r="HO229" t="e">
        <f>AND(DATA!E1876,"AAAAAAf//d4=")</f>
        <v>#VALUE!</v>
      </c>
      <c r="HP229" t="e">
        <f>AND(DATA!F1876,"AAAAAAf//d8=")</f>
        <v>#VALUE!</v>
      </c>
      <c r="HQ229" t="e">
        <f>AND(DATA!G1876,"AAAAAAf//eA=")</f>
        <v>#VALUE!</v>
      </c>
      <c r="HR229" t="e">
        <f>AND(DATA!H1876,"AAAAAAf//eE=")</f>
        <v>#VALUE!</v>
      </c>
      <c r="HS229" t="e">
        <f>AND(DATA!I1876,"AAAAAAf//eI=")</f>
        <v>#VALUE!</v>
      </c>
      <c r="HT229" t="e">
        <f>AND(DATA!J1876,"AAAAAAf//eM=")</f>
        <v>#VALUE!</v>
      </c>
      <c r="HU229" t="e">
        <f>AND(DATA!K1876,"AAAAAAf//eQ=")</f>
        <v>#VALUE!</v>
      </c>
      <c r="HV229" t="b">
        <f>AND(DATA!L1877,"AAAAAAf//eU=")</f>
        <v>1</v>
      </c>
      <c r="HW229" t="b">
        <f>AND(DATA!M1877,"AAAAAAf//eY=")</f>
        <v>1</v>
      </c>
      <c r="HX229" t="b">
        <f>AND(DATA!N1877,"AAAAAAf//ec=")</f>
        <v>1</v>
      </c>
      <c r="HY229" t="b">
        <f>AND(DATA!O1877,"AAAAAAf//eg=")</f>
        <v>1</v>
      </c>
      <c r="HZ229" t="b">
        <f>AND(DATA!P1877,"AAAAAAf//ek=")</f>
        <v>1</v>
      </c>
      <c r="IA229" t="b">
        <f>AND(DATA!Q1877,"AAAAAAf//eo=")</f>
        <v>1</v>
      </c>
      <c r="IB229" t="b">
        <f>AND(DATA!R1877,"AAAAAAf//es=")</f>
        <v>1</v>
      </c>
      <c r="IC229" t="b">
        <f>AND(DATA!S1877,"AAAAAAf//ew=")</f>
        <v>1</v>
      </c>
      <c r="ID229" t="b">
        <f>AND(DATA!T1877,"AAAAAAf//e0=")</f>
        <v>1</v>
      </c>
      <c r="IE229">
        <f>IF(DATA!1877:1877,"AAAAAAf//e4=",0)</f>
        <v>0</v>
      </c>
      <c r="IF229" t="e">
        <f>AND(DATA!A1877,"AAAAAAf//e8=")</f>
        <v>#VALUE!</v>
      </c>
      <c r="IG229" t="e">
        <f>AND(DATA!B1877,"AAAAAAf//fA=")</f>
        <v>#VALUE!</v>
      </c>
      <c r="IH229" t="e">
        <f>AND(DATA!C1877,"AAAAAAf//fE=")</f>
        <v>#VALUE!</v>
      </c>
      <c r="II229" t="e">
        <f>AND(DATA!D1877,"AAAAAAf//fI=")</f>
        <v>#VALUE!</v>
      </c>
      <c r="IJ229" t="e">
        <f>AND(DATA!E1877,"AAAAAAf//fM=")</f>
        <v>#VALUE!</v>
      </c>
      <c r="IK229" t="e">
        <f>AND(DATA!F1877,"AAAAAAf//fQ=")</f>
        <v>#VALUE!</v>
      </c>
      <c r="IL229" t="e">
        <f>AND(DATA!G1877,"AAAAAAf//fU=")</f>
        <v>#VALUE!</v>
      </c>
      <c r="IM229" t="e">
        <f>AND(DATA!H1877,"AAAAAAf//fY=")</f>
        <v>#VALUE!</v>
      </c>
      <c r="IN229" t="e">
        <f>AND(DATA!I1877,"AAAAAAf//fc=")</f>
        <v>#VALUE!</v>
      </c>
      <c r="IO229" t="e">
        <f>AND(DATA!J1877,"AAAAAAf//fg=")</f>
        <v>#VALUE!</v>
      </c>
      <c r="IP229" t="e">
        <f>AND(DATA!K1877,"AAAAAAf//fk=")</f>
        <v>#VALUE!</v>
      </c>
      <c r="IQ229" t="b">
        <f>AND(DATA!L1878,"AAAAAAf//fo=")</f>
        <v>1</v>
      </c>
      <c r="IR229" t="b">
        <f>AND(DATA!M1878,"AAAAAAf//fs=")</f>
        <v>1</v>
      </c>
      <c r="IS229" t="b">
        <f>AND(DATA!N1878,"AAAAAAf//fw=")</f>
        <v>1</v>
      </c>
      <c r="IT229" t="b">
        <f>AND(DATA!O1878,"AAAAAAf//f0=")</f>
        <v>1</v>
      </c>
      <c r="IU229" t="b">
        <f>AND(DATA!P1878,"AAAAAAf//f4=")</f>
        <v>1</v>
      </c>
      <c r="IV229" t="b">
        <f>AND(DATA!Q1878,"AAAAAAf//f8=")</f>
        <v>1</v>
      </c>
    </row>
    <row r="230" spans="1:256" x14ac:dyDescent="0.25">
      <c r="A230" t="b">
        <f>AND(DATA!R1878,"AAAAAG+fewA=")</f>
        <v>1</v>
      </c>
      <c r="B230" t="b">
        <f>AND(DATA!S1878,"AAAAAG+fewE=")</f>
        <v>1</v>
      </c>
      <c r="C230" t="b">
        <f>AND(DATA!T1878,"AAAAAG+fewI=")</f>
        <v>1</v>
      </c>
      <c r="D230">
        <f>IF(DATA!1878:1878,"AAAAAG+fewM=",0)</f>
        <v>0</v>
      </c>
      <c r="E230" t="e">
        <f>AND(DATA!A1878,"AAAAAG+fewQ=")</f>
        <v>#VALUE!</v>
      </c>
      <c r="F230" t="e">
        <f>AND(DATA!B1878,"AAAAAG+fewU=")</f>
        <v>#VALUE!</v>
      </c>
      <c r="G230" t="e">
        <f>AND(DATA!C1878,"AAAAAG+fewY=")</f>
        <v>#VALUE!</v>
      </c>
      <c r="H230" t="e">
        <f>AND(DATA!D1878,"AAAAAG+fewc=")</f>
        <v>#VALUE!</v>
      </c>
      <c r="I230" t="e">
        <f>AND(DATA!E1878,"AAAAAG+fewg=")</f>
        <v>#VALUE!</v>
      </c>
      <c r="J230" t="e">
        <f>AND(DATA!F1878,"AAAAAG+fewk=")</f>
        <v>#VALUE!</v>
      </c>
      <c r="K230" t="e">
        <f>AND(DATA!G1878,"AAAAAG+fewo=")</f>
        <v>#VALUE!</v>
      </c>
      <c r="L230" t="e">
        <f>AND(DATA!H1878,"AAAAAG+fews=")</f>
        <v>#VALUE!</v>
      </c>
      <c r="M230" t="e">
        <f>AND(DATA!I1878,"AAAAAG+feww=")</f>
        <v>#VALUE!</v>
      </c>
      <c r="N230" t="e">
        <f>AND(DATA!J1878,"AAAAAG+few0=")</f>
        <v>#VALUE!</v>
      </c>
      <c r="O230" t="e">
        <f>AND(DATA!K1878,"AAAAAG+few4=")</f>
        <v>#VALUE!</v>
      </c>
      <c r="P230" t="b">
        <f>AND(DATA!L1879,"AAAAAG+few8=")</f>
        <v>1</v>
      </c>
      <c r="Q230" t="b">
        <f>AND(DATA!M1879,"AAAAAG+fexA=")</f>
        <v>1</v>
      </c>
      <c r="R230" t="b">
        <f>AND(DATA!N1879,"AAAAAG+fexE=")</f>
        <v>1</v>
      </c>
      <c r="S230" t="b">
        <f>AND(DATA!O1879,"AAAAAG+fexI=")</f>
        <v>1</v>
      </c>
      <c r="T230" t="b">
        <f>AND(DATA!P1879,"AAAAAG+fexM=")</f>
        <v>1</v>
      </c>
      <c r="U230" t="b">
        <f>AND(DATA!Q1879,"AAAAAG+fexQ=")</f>
        <v>1</v>
      </c>
      <c r="V230" t="b">
        <f>AND(DATA!R1879,"AAAAAG+fexU=")</f>
        <v>1</v>
      </c>
      <c r="W230" t="b">
        <f>AND(DATA!S1879,"AAAAAG+fexY=")</f>
        <v>1</v>
      </c>
      <c r="X230" t="b">
        <f>AND(DATA!T1879,"AAAAAG+fexc=")</f>
        <v>1</v>
      </c>
      <c r="Y230">
        <f>IF(DATA!1879:1879,"AAAAAG+fexg=",0)</f>
        <v>0</v>
      </c>
      <c r="Z230" t="e">
        <f>AND(DATA!A1879,"AAAAAG+fexk=")</f>
        <v>#VALUE!</v>
      </c>
      <c r="AA230" t="e">
        <f>AND(DATA!B1879,"AAAAAG+fexo=")</f>
        <v>#VALUE!</v>
      </c>
      <c r="AB230" t="e">
        <f>AND(DATA!C1879,"AAAAAG+fexs=")</f>
        <v>#VALUE!</v>
      </c>
      <c r="AC230" t="e">
        <f>AND(DATA!D1879,"AAAAAG+fexw=")</f>
        <v>#VALUE!</v>
      </c>
      <c r="AD230" t="e">
        <f>AND(DATA!E1879,"AAAAAG+fex0=")</f>
        <v>#VALUE!</v>
      </c>
      <c r="AE230" t="e">
        <f>AND(DATA!F1879,"AAAAAG+fex4=")</f>
        <v>#VALUE!</v>
      </c>
      <c r="AF230" t="e">
        <f>AND(DATA!G1879,"AAAAAG+fex8=")</f>
        <v>#VALUE!</v>
      </c>
      <c r="AG230" t="e">
        <f>AND(DATA!H1879,"AAAAAG+feyA=")</f>
        <v>#VALUE!</v>
      </c>
      <c r="AH230" t="e">
        <f>AND(DATA!I1879,"AAAAAG+feyE=")</f>
        <v>#VALUE!</v>
      </c>
      <c r="AI230" t="e">
        <f>AND(DATA!J1879,"AAAAAG+feyI=")</f>
        <v>#VALUE!</v>
      </c>
      <c r="AJ230" t="e">
        <f>AND(DATA!K1879,"AAAAAG+feyM=")</f>
        <v>#VALUE!</v>
      </c>
      <c r="AK230" t="b">
        <f>AND(DATA!L1880,"AAAAAG+feyQ=")</f>
        <v>1</v>
      </c>
      <c r="AL230" t="b">
        <f>AND(DATA!M1880,"AAAAAG+feyU=")</f>
        <v>1</v>
      </c>
      <c r="AM230" t="b">
        <f>AND(DATA!N1880,"AAAAAG+feyY=")</f>
        <v>1</v>
      </c>
      <c r="AN230" t="b">
        <f>AND(DATA!O1880,"AAAAAG+feyc=")</f>
        <v>1</v>
      </c>
      <c r="AO230" t="b">
        <f>AND(DATA!P1880,"AAAAAG+feyg=")</f>
        <v>1</v>
      </c>
      <c r="AP230" t="b">
        <f>AND(DATA!Q1880,"AAAAAG+feyk=")</f>
        <v>1</v>
      </c>
      <c r="AQ230" t="b">
        <f>AND(DATA!R1880,"AAAAAG+feyo=")</f>
        <v>1</v>
      </c>
      <c r="AR230" t="b">
        <f>AND(DATA!S1880,"AAAAAG+feys=")</f>
        <v>1</v>
      </c>
      <c r="AS230" t="b">
        <f>AND(DATA!T1880,"AAAAAG+feyw=")</f>
        <v>1</v>
      </c>
      <c r="AT230">
        <f>IF(DATA!1880:1880,"AAAAAG+fey0=",0)</f>
        <v>0</v>
      </c>
      <c r="AU230" t="e">
        <f>AND(DATA!A1880,"AAAAAG+fey4=")</f>
        <v>#VALUE!</v>
      </c>
      <c r="AV230" t="e">
        <f>AND(DATA!B1880,"AAAAAG+fey8=")</f>
        <v>#VALUE!</v>
      </c>
      <c r="AW230" t="e">
        <f>AND(DATA!C1880,"AAAAAG+fezA=")</f>
        <v>#VALUE!</v>
      </c>
      <c r="AX230" t="e">
        <f>AND(DATA!D1880,"AAAAAG+fezE=")</f>
        <v>#VALUE!</v>
      </c>
      <c r="AY230" t="e">
        <f>AND(DATA!E1880,"AAAAAG+fezI=")</f>
        <v>#VALUE!</v>
      </c>
      <c r="AZ230" t="e">
        <f>AND(DATA!F1880,"AAAAAG+fezM=")</f>
        <v>#VALUE!</v>
      </c>
      <c r="BA230" t="e">
        <f>AND(DATA!G1880,"AAAAAG+fezQ=")</f>
        <v>#VALUE!</v>
      </c>
      <c r="BB230" t="e">
        <f>AND(DATA!H1880,"AAAAAG+fezU=")</f>
        <v>#VALUE!</v>
      </c>
      <c r="BC230" t="e">
        <f>AND(DATA!I1880,"AAAAAG+fezY=")</f>
        <v>#VALUE!</v>
      </c>
      <c r="BD230" t="e">
        <f>AND(DATA!J1880,"AAAAAG+fezc=")</f>
        <v>#VALUE!</v>
      </c>
      <c r="BE230" t="e">
        <f>AND(DATA!K1880,"AAAAAG+fezg=")</f>
        <v>#VALUE!</v>
      </c>
      <c r="BF230" t="b">
        <f>AND(DATA!L1881,"AAAAAG+fezk=")</f>
        <v>1</v>
      </c>
      <c r="BG230" t="b">
        <f>AND(DATA!M1881,"AAAAAG+fezo=")</f>
        <v>1</v>
      </c>
      <c r="BH230" t="b">
        <f>AND(DATA!N1881,"AAAAAG+fezs=")</f>
        <v>1</v>
      </c>
      <c r="BI230" t="b">
        <f>AND(DATA!O1881,"AAAAAG+fezw=")</f>
        <v>1</v>
      </c>
      <c r="BJ230" t="b">
        <f>AND(DATA!P1881,"AAAAAG+fez0=")</f>
        <v>1</v>
      </c>
      <c r="BK230" t="b">
        <f>AND(DATA!Q1881,"AAAAAG+fez4=")</f>
        <v>1</v>
      </c>
      <c r="BL230" t="b">
        <f>AND(DATA!R1881,"AAAAAG+fez8=")</f>
        <v>1</v>
      </c>
      <c r="BM230" t="b">
        <f>AND(DATA!S1881,"AAAAAG+fe0A=")</f>
        <v>1</v>
      </c>
      <c r="BN230" t="b">
        <f>AND(DATA!T1881,"AAAAAG+fe0E=")</f>
        <v>1</v>
      </c>
      <c r="BO230">
        <f>IF(DATA!1881:1881,"AAAAAG+fe0I=",0)</f>
        <v>0</v>
      </c>
      <c r="BP230" t="e">
        <f>AND(DATA!A1881,"AAAAAG+fe0M=")</f>
        <v>#VALUE!</v>
      </c>
      <c r="BQ230" t="e">
        <f>AND(DATA!B1881,"AAAAAG+fe0Q=")</f>
        <v>#VALUE!</v>
      </c>
      <c r="BR230" t="e">
        <f>AND(DATA!C1881,"AAAAAG+fe0U=")</f>
        <v>#VALUE!</v>
      </c>
      <c r="BS230" t="e">
        <f>AND(DATA!D1881,"AAAAAG+fe0Y=")</f>
        <v>#VALUE!</v>
      </c>
      <c r="BT230" t="e">
        <f>AND(DATA!E1881,"AAAAAG+fe0c=")</f>
        <v>#VALUE!</v>
      </c>
      <c r="BU230" t="e">
        <f>AND(DATA!F1881,"AAAAAG+fe0g=")</f>
        <v>#VALUE!</v>
      </c>
      <c r="BV230" t="e">
        <f>AND(DATA!G1881,"AAAAAG+fe0k=")</f>
        <v>#VALUE!</v>
      </c>
      <c r="BW230" t="e">
        <f>AND(DATA!H1881,"AAAAAG+fe0o=")</f>
        <v>#VALUE!</v>
      </c>
      <c r="BX230" t="e">
        <f>AND(DATA!I1881,"AAAAAG+fe0s=")</f>
        <v>#VALUE!</v>
      </c>
      <c r="BY230" t="e">
        <f>AND(DATA!J1881,"AAAAAG+fe0w=")</f>
        <v>#VALUE!</v>
      </c>
      <c r="BZ230" t="e">
        <f>AND(DATA!K1881,"AAAAAG+fe00=")</f>
        <v>#VALUE!</v>
      </c>
      <c r="CA230" t="b">
        <f>AND(DATA!L1882,"AAAAAG+fe04=")</f>
        <v>1</v>
      </c>
      <c r="CB230" t="b">
        <f>AND(DATA!M1882,"AAAAAG+fe08=")</f>
        <v>1</v>
      </c>
      <c r="CC230" t="b">
        <f>AND(DATA!N1882,"AAAAAG+fe1A=")</f>
        <v>1</v>
      </c>
      <c r="CD230" t="b">
        <f>AND(DATA!O1882,"AAAAAG+fe1E=")</f>
        <v>1</v>
      </c>
      <c r="CE230" t="b">
        <f>AND(DATA!P1882,"AAAAAG+fe1I=")</f>
        <v>1</v>
      </c>
      <c r="CF230" t="b">
        <f>AND(DATA!Q1882,"AAAAAG+fe1M=")</f>
        <v>1</v>
      </c>
      <c r="CG230" t="b">
        <f>AND(DATA!R1882,"AAAAAG+fe1Q=")</f>
        <v>1</v>
      </c>
      <c r="CH230" t="b">
        <f>AND(DATA!S1882,"AAAAAG+fe1U=")</f>
        <v>1</v>
      </c>
      <c r="CI230" t="b">
        <f>AND(DATA!T1882,"AAAAAG+fe1Y=")</f>
        <v>1</v>
      </c>
      <c r="CJ230">
        <f>IF(DATA!1882:1882,"AAAAAG+fe1c=",0)</f>
        <v>0</v>
      </c>
      <c r="CK230" t="e">
        <f>AND(DATA!A1882,"AAAAAG+fe1g=")</f>
        <v>#VALUE!</v>
      </c>
      <c r="CL230" t="e">
        <f>AND(DATA!B1882,"AAAAAG+fe1k=")</f>
        <v>#VALUE!</v>
      </c>
      <c r="CM230" t="e">
        <f>AND(DATA!C1882,"AAAAAG+fe1o=")</f>
        <v>#VALUE!</v>
      </c>
      <c r="CN230" t="e">
        <f>AND(DATA!D1882,"AAAAAG+fe1s=")</f>
        <v>#VALUE!</v>
      </c>
      <c r="CO230" t="e">
        <f>AND(DATA!E1882,"AAAAAG+fe1w=")</f>
        <v>#VALUE!</v>
      </c>
      <c r="CP230" t="e">
        <f>AND(DATA!F1882,"AAAAAG+fe10=")</f>
        <v>#VALUE!</v>
      </c>
      <c r="CQ230" t="e">
        <f>AND(DATA!G1882,"AAAAAG+fe14=")</f>
        <v>#VALUE!</v>
      </c>
      <c r="CR230" t="e">
        <f>AND(DATA!H1882,"AAAAAG+fe18=")</f>
        <v>#VALUE!</v>
      </c>
      <c r="CS230" t="e">
        <f>AND(DATA!I1882,"AAAAAG+fe2A=")</f>
        <v>#VALUE!</v>
      </c>
      <c r="CT230" t="e">
        <f>AND(DATA!J1882,"AAAAAG+fe2E=")</f>
        <v>#VALUE!</v>
      </c>
      <c r="CU230" t="e">
        <f>AND(DATA!K1882,"AAAAAG+fe2I=")</f>
        <v>#VALUE!</v>
      </c>
      <c r="CV230" t="b">
        <f>AND(DATA!L1883,"AAAAAG+fe2M=")</f>
        <v>1</v>
      </c>
      <c r="CW230" t="b">
        <f>AND(DATA!M1883,"AAAAAG+fe2Q=")</f>
        <v>1</v>
      </c>
      <c r="CX230" t="b">
        <f>AND(DATA!N1883,"AAAAAG+fe2U=")</f>
        <v>1</v>
      </c>
      <c r="CY230" t="b">
        <f>AND(DATA!O1883,"AAAAAG+fe2Y=")</f>
        <v>1</v>
      </c>
      <c r="CZ230" t="b">
        <f>AND(DATA!P1883,"AAAAAG+fe2c=")</f>
        <v>1</v>
      </c>
      <c r="DA230" t="b">
        <f>AND(DATA!Q1883,"AAAAAG+fe2g=")</f>
        <v>1</v>
      </c>
      <c r="DB230" t="b">
        <f>AND(DATA!R1883,"AAAAAG+fe2k=")</f>
        <v>1</v>
      </c>
      <c r="DC230" t="b">
        <f>AND(DATA!S1883,"AAAAAG+fe2o=")</f>
        <v>1</v>
      </c>
      <c r="DD230" t="b">
        <f>AND(DATA!T1883,"AAAAAG+fe2s=")</f>
        <v>1</v>
      </c>
      <c r="DE230">
        <f>IF(DATA!1883:1883,"AAAAAG+fe2w=",0)</f>
        <v>0</v>
      </c>
      <c r="DF230" t="e">
        <f>AND(DATA!A1883,"AAAAAG+fe20=")</f>
        <v>#VALUE!</v>
      </c>
      <c r="DG230" t="e">
        <f>AND(DATA!B1883,"AAAAAG+fe24=")</f>
        <v>#VALUE!</v>
      </c>
      <c r="DH230" t="e">
        <f>AND(DATA!C1883,"AAAAAG+fe28=")</f>
        <v>#VALUE!</v>
      </c>
      <c r="DI230" t="e">
        <f>AND(DATA!D1883,"AAAAAG+fe3A=")</f>
        <v>#VALUE!</v>
      </c>
      <c r="DJ230" t="e">
        <f>AND(DATA!E1883,"AAAAAG+fe3E=")</f>
        <v>#VALUE!</v>
      </c>
      <c r="DK230" t="e">
        <f>AND(DATA!F1883,"AAAAAG+fe3I=")</f>
        <v>#VALUE!</v>
      </c>
      <c r="DL230" t="e">
        <f>AND(DATA!G1883,"AAAAAG+fe3M=")</f>
        <v>#VALUE!</v>
      </c>
      <c r="DM230" t="e">
        <f>AND(DATA!H1883,"AAAAAG+fe3Q=")</f>
        <v>#VALUE!</v>
      </c>
      <c r="DN230" t="e">
        <f>AND(DATA!I1883,"AAAAAG+fe3U=")</f>
        <v>#VALUE!</v>
      </c>
      <c r="DO230" t="e">
        <f>AND(DATA!J1883,"AAAAAG+fe3Y=")</f>
        <v>#VALUE!</v>
      </c>
      <c r="DP230" t="e">
        <f>AND(DATA!K1883,"AAAAAG+fe3c=")</f>
        <v>#VALUE!</v>
      </c>
      <c r="DQ230" t="b">
        <f>AND(DATA!L1884,"AAAAAG+fe3g=")</f>
        <v>1</v>
      </c>
      <c r="DR230" t="b">
        <f>AND(DATA!M1884,"AAAAAG+fe3k=")</f>
        <v>1</v>
      </c>
      <c r="DS230" t="b">
        <f>AND(DATA!N1884,"AAAAAG+fe3o=")</f>
        <v>1</v>
      </c>
      <c r="DT230" t="b">
        <f>AND(DATA!O1884,"AAAAAG+fe3s=")</f>
        <v>1</v>
      </c>
      <c r="DU230" t="b">
        <f>AND(DATA!P1884,"AAAAAG+fe3w=")</f>
        <v>1</v>
      </c>
      <c r="DV230" t="b">
        <f>AND(DATA!Q1884,"AAAAAG+fe30=")</f>
        <v>1</v>
      </c>
      <c r="DW230" t="b">
        <f>AND(DATA!R1884,"AAAAAG+fe34=")</f>
        <v>1</v>
      </c>
      <c r="DX230" t="b">
        <f>AND(DATA!S1884,"AAAAAG+fe38=")</f>
        <v>1</v>
      </c>
      <c r="DY230" t="b">
        <f>AND(DATA!T1884,"AAAAAG+fe4A=")</f>
        <v>1</v>
      </c>
      <c r="DZ230">
        <f>IF(DATA!1884:1884,"AAAAAG+fe4E=",0)</f>
        <v>0</v>
      </c>
      <c r="EA230" t="e">
        <f>AND(DATA!A1884,"AAAAAG+fe4I=")</f>
        <v>#VALUE!</v>
      </c>
      <c r="EB230" t="e">
        <f>AND(DATA!B1884,"AAAAAG+fe4M=")</f>
        <v>#VALUE!</v>
      </c>
      <c r="EC230" t="e">
        <f>AND(DATA!C1884,"AAAAAG+fe4Q=")</f>
        <v>#VALUE!</v>
      </c>
      <c r="ED230" t="e">
        <f>AND(DATA!D1884,"AAAAAG+fe4U=")</f>
        <v>#VALUE!</v>
      </c>
      <c r="EE230" t="e">
        <f>AND(DATA!E1884,"AAAAAG+fe4Y=")</f>
        <v>#VALUE!</v>
      </c>
      <c r="EF230" t="e">
        <f>AND(DATA!F1884,"AAAAAG+fe4c=")</f>
        <v>#VALUE!</v>
      </c>
      <c r="EG230" t="e">
        <f>AND(DATA!G1884,"AAAAAG+fe4g=")</f>
        <v>#VALUE!</v>
      </c>
      <c r="EH230" t="e">
        <f>AND(DATA!H1884,"AAAAAG+fe4k=")</f>
        <v>#VALUE!</v>
      </c>
      <c r="EI230" t="e">
        <f>AND(DATA!I1884,"AAAAAG+fe4o=")</f>
        <v>#VALUE!</v>
      </c>
      <c r="EJ230" t="e">
        <f>AND(DATA!J1884,"AAAAAG+fe4s=")</f>
        <v>#VALUE!</v>
      </c>
      <c r="EK230" t="e">
        <f>AND(DATA!K1884,"AAAAAG+fe4w=")</f>
        <v>#VALUE!</v>
      </c>
      <c r="EL230" t="b">
        <f>AND(DATA!L1885,"AAAAAG+fe40=")</f>
        <v>1</v>
      </c>
      <c r="EM230" t="b">
        <f>AND(DATA!M1885,"AAAAAG+fe44=")</f>
        <v>1</v>
      </c>
      <c r="EN230" t="b">
        <f>AND(DATA!N1885,"AAAAAG+fe48=")</f>
        <v>1</v>
      </c>
      <c r="EO230" t="b">
        <f>AND(DATA!O1885,"AAAAAG+fe5A=")</f>
        <v>1</v>
      </c>
      <c r="EP230" t="b">
        <f>AND(DATA!P1885,"AAAAAG+fe5E=")</f>
        <v>1</v>
      </c>
      <c r="EQ230" t="b">
        <f>AND(DATA!Q1885,"AAAAAG+fe5I=")</f>
        <v>1</v>
      </c>
      <c r="ER230" t="b">
        <f>AND(DATA!R1885,"AAAAAG+fe5M=")</f>
        <v>1</v>
      </c>
      <c r="ES230" t="b">
        <f>AND(DATA!S1885,"AAAAAG+fe5Q=")</f>
        <v>1</v>
      </c>
      <c r="ET230" t="b">
        <f>AND(DATA!T1885,"AAAAAG+fe5U=")</f>
        <v>1</v>
      </c>
      <c r="EU230">
        <f>IF(DATA!1885:1885,"AAAAAG+fe5Y=",0)</f>
        <v>0</v>
      </c>
      <c r="EV230" t="e">
        <f>AND(DATA!A1885,"AAAAAG+fe5c=")</f>
        <v>#VALUE!</v>
      </c>
      <c r="EW230" t="e">
        <f>AND(DATA!B1885,"AAAAAG+fe5g=")</f>
        <v>#VALUE!</v>
      </c>
      <c r="EX230" t="e">
        <f>AND(DATA!C1885,"AAAAAG+fe5k=")</f>
        <v>#VALUE!</v>
      </c>
      <c r="EY230" t="e">
        <f>AND(DATA!D1885,"AAAAAG+fe5o=")</f>
        <v>#VALUE!</v>
      </c>
      <c r="EZ230" t="e">
        <f>AND(DATA!E1885,"AAAAAG+fe5s=")</f>
        <v>#VALUE!</v>
      </c>
      <c r="FA230" t="e">
        <f>AND(DATA!F1885,"AAAAAG+fe5w=")</f>
        <v>#VALUE!</v>
      </c>
      <c r="FB230" t="e">
        <f>AND(DATA!G1885,"AAAAAG+fe50=")</f>
        <v>#VALUE!</v>
      </c>
      <c r="FC230" t="e">
        <f>AND(DATA!H1885,"AAAAAG+fe54=")</f>
        <v>#VALUE!</v>
      </c>
      <c r="FD230" t="e">
        <f>AND(DATA!I1885,"AAAAAG+fe58=")</f>
        <v>#VALUE!</v>
      </c>
      <c r="FE230" t="e">
        <f>AND(DATA!J1885,"AAAAAG+fe6A=")</f>
        <v>#VALUE!</v>
      </c>
      <c r="FF230" t="e">
        <f>AND(DATA!K1885,"AAAAAG+fe6E=")</f>
        <v>#VALUE!</v>
      </c>
      <c r="FG230" t="b">
        <f>AND(DATA!L1886,"AAAAAG+fe6I=")</f>
        <v>1</v>
      </c>
      <c r="FH230" t="b">
        <f>AND(DATA!M1886,"AAAAAG+fe6M=")</f>
        <v>1</v>
      </c>
      <c r="FI230" t="b">
        <f>AND(DATA!N1886,"AAAAAG+fe6Q=")</f>
        <v>1</v>
      </c>
      <c r="FJ230" t="b">
        <f>AND(DATA!O1886,"AAAAAG+fe6U=")</f>
        <v>1</v>
      </c>
      <c r="FK230" t="b">
        <f>AND(DATA!P1886,"AAAAAG+fe6Y=")</f>
        <v>1</v>
      </c>
      <c r="FL230" t="b">
        <f>AND(DATA!Q1886,"AAAAAG+fe6c=")</f>
        <v>1</v>
      </c>
      <c r="FM230" t="b">
        <f>AND(DATA!R1886,"AAAAAG+fe6g=")</f>
        <v>1</v>
      </c>
      <c r="FN230" t="b">
        <f>AND(DATA!S1886,"AAAAAG+fe6k=")</f>
        <v>1</v>
      </c>
      <c r="FO230" t="b">
        <f>AND(DATA!T1886,"AAAAAG+fe6o=")</f>
        <v>1</v>
      </c>
      <c r="FP230">
        <f>IF(DATA!1886:1886,"AAAAAG+fe6s=",0)</f>
        <v>0</v>
      </c>
      <c r="FQ230" t="e">
        <f>AND(DATA!A1886,"AAAAAG+fe6w=")</f>
        <v>#VALUE!</v>
      </c>
      <c r="FR230" t="e">
        <f>AND(DATA!B1886,"AAAAAG+fe60=")</f>
        <v>#VALUE!</v>
      </c>
      <c r="FS230" t="e">
        <f>AND(DATA!C1886,"AAAAAG+fe64=")</f>
        <v>#VALUE!</v>
      </c>
      <c r="FT230" t="e">
        <f>AND(DATA!D1886,"AAAAAG+fe68=")</f>
        <v>#VALUE!</v>
      </c>
      <c r="FU230" t="e">
        <f>AND(DATA!E1886,"AAAAAG+fe7A=")</f>
        <v>#VALUE!</v>
      </c>
      <c r="FV230" t="e">
        <f>AND(DATA!F1886,"AAAAAG+fe7E=")</f>
        <v>#VALUE!</v>
      </c>
      <c r="FW230" t="e">
        <f>AND(DATA!G1886,"AAAAAG+fe7I=")</f>
        <v>#VALUE!</v>
      </c>
      <c r="FX230" t="e">
        <f>AND(DATA!H1886,"AAAAAG+fe7M=")</f>
        <v>#VALUE!</v>
      </c>
      <c r="FY230" t="e">
        <f>AND(DATA!I1886,"AAAAAG+fe7Q=")</f>
        <v>#VALUE!</v>
      </c>
      <c r="FZ230" t="e">
        <f>AND(DATA!J1886,"AAAAAG+fe7U=")</f>
        <v>#VALUE!</v>
      </c>
      <c r="GA230" t="e">
        <f>AND(DATA!K1886,"AAAAAG+fe7Y=")</f>
        <v>#VALUE!</v>
      </c>
      <c r="GB230" t="b">
        <f>AND(DATA!L1887,"AAAAAG+fe7c=")</f>
        <v>1</v>
      </c>
      <c r="GC230" t="b">
        <f>AND(DATA!M1887,"AAAAAG+fe7g=")</f>
        <v>1</v>
      </c>
      <c r="GD230" t="b">
        <f>AND(DATA!N1887,"AAAAAG+fe7k=")</f>
        <v>1</v>
      </c>
      <c r="GE230" t="b">
        <f>AND(DATA!O1887,"AAAAAG+fe7o=")</f>
        <v>1</v>
      </c>
      <c r="GF230" t="b">
        <f>AND(DATA!P1887,"AAAAAG+fe7s=")</f>
        <v>1</v>
      </c>
      <c r="GG230" t="b">
        <f>AND(DATA!Q1887,"AAAAAG+fe7w=")</f>
        <v>1</v>
      </c>
      <c r="GH230" t="b">
        <f>AND(DATA!R1887,"AAAAAG+fe70=")</f>
        <v>1</v>
      </c>
      <c r="GI230" t="b">
        <f>AND(DATA!S1887,"AAAAAG+fe74=")</f>
        <v>1</v>
      </c>
      <c r="GJ230" t="b">
        <f>AND(DATA!T1887,"AAAAAG+fe78=")</f>
        <v>1</v>
      </c>
      <c r="GK230">
        <f>IF(DATA!1887:1887,"AAAAAG+fe8A=",0)</f>
        <v>0</v>
      </c>
      <c r="GL230" t="e">
        <f>AND(DATA!A1887,"AAAAAG+fe8E=")</f>
        <v>#VALUE!</v>
      </c>
      <c r="GM230" t="e">
        <f>AND(DATA!B1887,"AAAAAG+fe8I=")</f>
        <v>#VALUE!</v>
      </c>
      <c r="GN230" t="e">
        <f>AND(DATA!C1887,"AAAAAG+fe8M=")</f>
        <v>#VALUE!</v>
      </c>
      <c r="GO230" t="e">
        <f>AND(DATA!D1887,"AAAAAG+fe8Q=")</f>
        <v>#VALUE!</v>
      </c>
      <c r="GP230" t="e">
        <f>AND(DATA!E1887,"AAAAAG+fe8U=")</f>
        <v>#VALUE!</v>
      </c>
      <c r="GQ230" t="e">
        <f>AND(DATA!F1887,"AAAAAG+fe8Y=")</f>
        <v>#VALUE!</v>
      </c>
      <c r="GR230" t="e">
        <f>AND(DATA!G1887,"AAAAAG+fe8c=")</f>
        <v>#VALUE!</v>
      </c>
      <c r="GS230" t="e">
        <f>AND(DATA!H1887,"AAAAAG+fe8g=")</f>
        <v>#VALUE!</v>
      </c>
      <c r="GT230" t="e">
        <f>AND(DATA!I1887,"AAAAAG+fe8k=")</f>
        <v>#VALUE!</v>
      </c>
      <c r="GU230" t="e">
        <f>AND(DATA!J1887,"AAAAAG+fe8o=")</f>
        <v>#VALUE!</v>
      </c>
      <c r="GV230" t="e">
        <f>AND(DATA!K1887,"AAAAAG+fe8s=")</f>
        <v>#VALUE!</v>
      </c>
      <c r="GW230" t="b">
        <f>AND(DATA!L1888,"AAAAAG+fe8w=")</f>
        <v>1</v>
      </c>
      <c r="GX230" t="b">
        <f>AND(DATA!M1888,"AAAAAG+fe80=")</f>
        <v>1</v>
      </c>
      <c r="GY230" t="b">
        <f>AND(DATA!N1888,"AAAAAG+fe84=")</f>
        <v>1</v>
      </c>
      <c r="GZ230" t="b">
        <f>AND(DATA!O1888,"AAAAAG+fe88=")</f>
        <v>1</v>
      </c>
      <c r="HA230" t="b">
        <f>AND(DATA!P1888,"AAAAAG+fe9A=")</f>
        <v>1</v>
      </c>
      <c r="HB230" t="b">
        <f>AND(DATA!Q1888,"AAAAAG+fe9E=")</f>
        <v>1</v>
      </c>
      <c r="HC230" t="b">
        <f>AND(DATA!R1888,"AAAAAG+fe9I=")</f>
        <v>1</v>
      </c>
      <c r="HD230" t="b">
        <f>AND(DATA!S1888,"AAAAAG+fe9M=")</f>
        <v>1</v>
      </c>
      <c r="HE230" t="b">
        <f>AND(DATA!T1888,"AAAAAG+fe9Q=")</f>
        <v>1</v>
      </c>
      <c r="HF230">
        <f>IF(DATA!1888:1888,"AAAAAG+fe9U=",0)</f>
        <v>0</v>
      </c>
      <c r="HG230" t="e">
        <f>AND(DATA!A1888,"AAAAAG+fe9Y=")</f>
        <v>#VALUE!</v>
      </c>
      <c r="HH230" t="e">
        <f>AND(DATA!B1888,"AAAAAG+fe9c=")</f>
        <v>#VALUE!</v>
      </c>
      <c r="HI230" t="e">
        <f>AND(DATA!C1888,"AAAAAG+fe9g=")</f>
        <v>#VALUE!</v>
      </c>
      <c r="HJ230" t="e">
        <f>AND(DATA!D1888,"AAAAAG+fe9k=")</f>
        <v>#VALUE!</v>
      </c>
      <c r="HK230" t="e">
        <f>AND(DATA!E1888,"AAAAAG+fe9o=")</f>
        <v>#VALUE!</v>
      </c>
      <c r="HL230" t="e">
        <f>AND(DATA!F1888,"AAAAAG+fe9s=")</f>
        <v>#VALUE!</v>
      </c>
      <c r="HM230" t="e">
        <f>AND(DATA!G1888,"AAAAAG+fe9w=")</f>
        <v>#VALUE!</v>
      </c>
      <c r="HN230" t="e">
        <f>AND(DATA!H1888,"AAAAAG+fe90=")</f>
        <v>#VALUE!</v>
      </c>
      <c r="HO230" t="e">
        <f>AND(DATA!I1888,"AAAAAG+fe94=")</f>
        <v>#VALUE!</v>
      </c>
      <c r="HP230" t="e">
        <f>AND(DATA!J1888,"AAAAAG+fe98=")</f>
        <v>#VALUE!</v>
      </c>
      <c r="HQ230" t="e">
        <f>AND(DATA!K1888,"AAAAAG+fe+A=")</f>
        <v>#VALUE!</v>
      </c>
      <c r="HR230" t="b">
        <f>AND(DATA!L1889,"AAAAAG+fe+E=")</f>
        <v>1</v>
      </c>
      <c r="HS230" t="b">
        <f>AND(DATA!M1889,"AAAAAG+fe+I=")</f>
        <v>1</v>
      </c>
      <c r="HT230" t="b">
        <f>AND(DATA!N1889,"AAAAAG+fe+M=")</f>
        <v>1</v>
      </c>
      <c r="HU230" t="b">
        <f>AND(DATA!O1889,"AAAAAG+fe+Q=")</f>
        <v>1</v>
      </c>
      <c r="HV230" t="b">
        <f>AND(DATA!P1889,"AAAAAG+fe+U=")</f>
        <v>1</v>
      </c>
      <c r="HW230" t="b">
        <f>AND(DATA!Q1889,"AAAAAG+fe+Y=")</f>
        <v>1</v>
      </c>
      <c r="HX230" t="b">
        <f>AND(DATA!R1889,"AAAAAG+fe+c=")</f>
        <v>1</v>
      </c>
      <c r="HY230" t="b">
        <f>AND(DATA!S1889,"AAAAAG+fe+g=")</f>
        <v>1</v>
      </c>
      <c r="HZ230" t="b">
        <f>AND(DATA!T1889,"AAAAAG+fe+k=")</f>
        <v>1</v>
      </c>
      <c r="IA230">
        <f>IF(DATA!1889:1889,"AAAAAG+fe+o=",0)</f>
        <v>0</v>
      </c>
      <c r="IB230" t="e">
        <f>AND(DATA!A1889,"AAAAAG+fe+s=")</f>
        <v>#VALUE!</v>
      </c>
      <c r="IC230" t="e">
        <f>AND(DATA!B1889,"AAAAAG+fe+w=")</f>
        <v>#VALUE!</v>
      </c>
      <c r="ID230" t="e">
        <f>AND(DATA!C1889,"AAAAAG+fe+0=")</f>
        <v>#VALUE!</v>
      </c>
      <c r="IE230" t="e">
        <f>AND(DATA!D1889,"AAAAAG+fe+4=")</f>
        <v>#VALUE!</v>
      </c>
      <c r="IF230" t="e">
        <f>AND(DATA!E1889,"AAAAAG+fe+8=")</f>
        <v>#VALUE!</v>
      </c>
      <c r="IG230" t="e">
        <f>AND(DATA!F1889,"AAAAAG+fe/A=")</f>
        <v>#VALUE!</v>
      </c>
      <c r="IH230" t="e">
        <f>AND(DATA!G1889,"AAAAAG+fe/E=")</f>
        <v>#VALUE!</v>
      </c>
      <c r="II230" t="e">
        <f>AND(DATA!H1889,"AAAAAG+fe/I=")</f>
        <v>#VALUE!</v>
      </c>
      <c r="IJ230" t="e">
        <f>AND(DATA!I1889,"AAAAAG+fe/M=")</f>
        <v>#VALUE!</v>
      </c>
      <c r="IK230" t="e">
        <f>AND(DATA!J1889,"AAAAAG+fe/Q=")</f>
        <v>#VALUE!</v>
      </c>
      <c r="IL230" t="e">
        <f>AND(DATA!K1889,"AAAAAG+fe/U=")</f>
        <v>#VALUE!</v>
      </c>
      <c r="IM230" t="b">
        <f>AND(DATA!L1890,"AAAAAG+fe/Y=")</f>
        <v>1</v>
      </c>
      <c r="IN230" t="b">
        <f>AND(DATA!M1890,"AAAAAG+fe/c=")</f>
        <v>1</v>
      </c>
      <c r="IO230" t="b">
        <f>AND(DATA!N1890,"AAAAAG+fe/g=")</f>
        <v>1</v>
      </c>
      <c r="IP230" t="b">
        <f>AND(DATA!O1890,"AAAAAG+fe/k=")</f>
        <v>1</v>
      </c>
      <c r="IQ230" t="b">
        <f>AND(DATA!P1890,"AAAAAG+fe/o=")</f>
        <v>1</v>
      </c>
      <c r="IR230" t="b">
        <f>AND(DATA!Q1890,"AAAAAG+fe/s=")</f>
        <v>1</v>
      </c>
      <c r="IS230" t="b">
        <f>AND(DATA!R1890,"AAAAAG+fe/w=")</f>
        <v>1</v>
      </c>
      <c r="IT230" t="b">
        <f>AND(DATA!S1890,"AAAAAG+fe/0=")</f>
        <v>1</v>
      </c>
      <c r="IU230" t="b">
        <f>AND(DATA!T1890,"AAAAAG+fe/4=")</f>
        <v>1</v>
      </c>
      <c r="IV230">
        <f>IF(DATA!1890:1890,"AAAAAG+fe/8=",0)</f>
        <v>0</v>
      </c>
    </row>
    <row r="231" spans="1:256" x14ac:dyDescent="0.25">
      <c r="A231" t="e">
        <f>AND(DATA!A1890,"AAAAAG/03AA=")</f>
        <v>#VALUE!</v>
      </c>
      <c r="B231" t="e">
        <f>AND(DATA!B1890,"AAAAAG/03AE=")</f>
        <v>#VALUE!</v>
      </c>
      <c r="C231" t="e">
        <f>AND(DATA!C1890,"AAAAAG/03AI=")</f>
        <v>#VALUE!</v>
      </c>
      <c r="D231" t="e">
        <f>AND(DATA!D1890,"AAAAAG/03AM=")</f>
        <v>#VALUE!</v>
      </c>
      <c r="E231" t="e">
        <f>AND(DATA!E1890,"AAAAAG/03AQ=")</f>
        <v>#VALUE!</v>
      </c>
      <c r="F231" t="e">
        <f>AND(DATA!F1890,"AAAAAG/03AU=")</f>
        <v>#VALUE!</v>
      </c>
      <c r="G231" t="e">
        <f>AND(DATA!G1890,"AAAAAG/03AY=")</f>
        <v>#VALUE!</v>
      </c>
      <c r="H231" t="e">
        <f>AND(DATA!H1890,"AAAAAG/03Ac=")</f>
        <v>#VALUE!</v>
      </c>
      <c r="I231" t="e">
        <f>AND(DATA!I1890,"AAAAAG/03Ag=")</f>
        <v>#VALUE!</v>
      </c>
      <c r="J231" t="e">
        <f>AND(DATA!J1890,"AAAAAG/03Ak=")</f>
        <v>#VALUE!</v>
      </c>
      <c r="K231" t="e">
        <f>AND(DATA!K1890,"AAAAAG/03Ao=")</f>
        <v>#VALUE!</v>
      </c>
      <c r="L231" t="b">
        <f>AND(DATA!L1891,"AAAAAG/03As=")</f>
        <v>1</v>
      </c>
      <c r="M231" t="b">
        <f>AND(DATA!M1891,"AAAAAG/03Aw=")</f>
        <v>1</v>
      </c>
      <c r="N231" t="b">
        <f>AND(DATA!N1891,"AAAAAG/03A0=")</f>
        <v>1</v>
      </c>
      <c r="O231" t="b">
        <f>AND(DATA!O1891,"AAAAAG/03A4=")</f>
        <v>1</v>
      </c>
      <c r="P231" t="b">
        <f>AND(DATA!P1891,"AAAAAG/03A8=")</f>
        <v>1</v>
      </c>
      <c r="Q231" t="b">
        <f>AND(DATA!Q1891,"AAAAAG/03BA=")</f>
        <v>1</v>
      </c>
      <c r="R231" t="b">
        <f>AND(DATA!R1891,"AAAAAG/03BE=")</f>
        <v>1</v>
      </c>
      <c r="S231" t="b">
        <f>AND(DATA!S1891,"AAAAAG/03BI=")</f>
        <v>1</v>
      </c>
      <c r="T231" t="b">
        <f>AND(DATA!T1891,"AAAAAG/03BM=")</f>
        <v>1</v>
      </c>
      <c r="U231">
        <f>IF(DATA!1891:1891,"AAAAAG/03BQ=",0)</f>
        <v>0</v>
      </c>
      <c r="V231" t="e">
        <f>AND(DATA!A1891,"AAAAAG/03BU=")</f>
        <v>#VALUE!</v>
      </c>
      <c r="W231" t="e">
        <f>AND(DATA!B1891,"AAAAAG/03BY=")</f>
        <v>#VALUE!</v>
      </c>
      <c r="X231" t="e">
        <f>AND(DATA!C1891,"AAAAAG/03Bc=")</f>
        <v>#VALUE!</v>
      </c>
      <c r="Y231" t="e">
        <f>AND(DATA!D1891,"AAAAAG/03Bg=")</f>
        <v>#VALUE!</v>
      </c>
      <c r="Z231" t="e">
        <f>AND(DATA!E1891,"AAAAAG/03Bk=")</f>
        <v>#VALUE!</v>
      </c>
      <c r="AA231" t="e">
        <f>AND(DATA!F1891,"AAAAAG/03Bo=")</f>
        <v>#VALUE!</v>
      </c>
      <c r="AB231" t="e">
        <f>AND(DATA!G1891,"AAAAAG/03Bs=")</f>
        <v>#VALUE!</v>
      </c>
      <c r="AC231" t="e">
        <f>AND(DATA!H1891,"AAAAAG/03Bw=")</f>
        <v>#VALUE!</v>
      </c>
      <c r="AD231" t="e">
        <f>AND(DATA!I1891,"AAAAAG/03B0=")</f>
        <v>#VALUE!</v>
      </c>
      <c r="AE231" t="e">
        <f>AND(DATA!J1891,"AAAAAG/03B4=")</f>
        <v>#VALUE!</v>
      </c>
      <c r="AF231" t="e">
        <f>AND(DATA!K1891,"AAAAAG/03B8=")</f>
        <v>#VALUE!</v>
      </c>
      <c r="AG231" t="b">
        <f>AND(DATA!L1892,"AAAAAG/03CA=")</f>
        <v>1</v>
      </c>
      <c r="AH231" t="b">
        <f>AND(DATA!M1892,"AAAAAG/03CE=")</f>
        <v>1</v>
      </c>
      <c r="AI231" t="b">
        <f>AND(DATA!N1892,"AAAAAG/03CI=")</f>
        <v>1</v>
      </c>
      <c r="AJ231" t="b">
        <f>AND(DATA!O1892,"AAAAAG/03CM=")</f>
        <v>1</v>
      </c>
      <c r="AK231" t="b">
        <f>AND(DATA!P1892,"AAAAAG/03CQ=")</f>
        <v>1</v>
      </c>
      <c r="AL231" t="b">
        <f>AND(DATA!Q1892,"AAAAAG/03CU=")</f>
        <v>1</v>
      </c>
      <c r="AM231" t="b">
        <f>AND(DATA!R1892,"AAAAAG/03CY=")</f>
        <v>1</v>
      </c>
      <c r="AN231" t="b">
        <f>AND(DATA!S1892,"AAAAAG/03Cc=")</f>
        <v>1</v>
      </c>
      <c r="AO231" t="b">
        <f>AND(DATA!T1892,"AAAAAG/03Cg=")</f>
        <v>1</v>
      </c>
      <c r="AP231">
        <f>IF(DATA!1892:1892,"AAAAAG/03Ck=",0)</f>
        <v>0</v>
      </c>
      <c r="AQ231" t="e">
        <f>AND(DATA!A1892,"AAAAAG/03Co=")</f>
        <v>#VALUE!</v>
      </c>
      <c r="AR231" t="e">
        <f>AND(DATA!B1892,"AAAAAG/03Cs=")</f>
        <v>#VALUE!</v>
      </c>
      <c r="AS231" t="e">
        <f>AND(DATA!C1892,"AAAAAG/03Cw=")</f>
        <v>#VALUE!</v>
      </c>
      <c r="AT231" t="e">
        <f>AND(DATA!D1892,"AAAAAG/03C0=")</f>
        <v>#VALUE!</v>
      </c>
      <c r="AU231" t="e">
        <f>AND(DATA!E1892,"AAAAAG/03C4=")</f>
        <v>#VALUE!</v>
      </c>
      <c r="AV231" t="e">
        <f>AND(DATA!F1892,"AAAAAG/03C8=")</f>
        <v>#VALUE!</v>
      </c>
      <c r="AW231" t="e">
        <f>AND(DATA!G1892,"AAAAAG/03DA=")</f>
        <v>#VALUE!</v>
      </c>
      <c r="AX231" t="e">
        <f>AND(DATA!H1892,"AAAAAG/03DE=")</f>
        <v>#VALUE!</v>
      </c>
      <c r="AY231" t="e">
        <f>AND(DATA!I1892,"AAAAAG/03DI=")</f>
        <v>#VALUE!</v>
      </c>
      <c r="AZ231" t="e">
        <f>AND(DATA!J1892,"AAAAAG/03DM=")</f>
        <v>#VALUE!</v>
      </c>
      <c r="BA231" t="e">
        <f>AND(DATA!K1892,"AAAAAG/03DQ=")</f>
        <v>#VALUE!</v>
      </c>
      <c r="BB231" t="b">
        <f>AND(DATA!L1893,"AAAAAG/03DU=")</f>
        <v>1</v>
      </c>
      <c r="BC231" t="b">
        <f>AND(DATA!M1893,"AAAAAG/03DY=")</f>
        <v>1</v>
      </c>
      <c r="BD231" t="b">
        <f>AND(DATA!N1893,"AAAAAG/03Dc=")</f>
        <v>1</v>
      </c>
      <c r="BE231" t="b">
        <f>AND(DATA!O1893,"AAAAAG/03Dg=")</f>
        <v>1</v>
      </c>
      <c r="BF231" t="b">
        <f>AND(DATA!P1893,"AAAAAG/03Dk=")</f>
        <v>1</v>
      </c>
      <c r="BG231" t="b">
        <f>AND(DATA!Q1893,"AAAAAG/03Do=")</f>
        <v>1</v>
      </c>
      <c r="BH231" t="b">
        <f>AND(DATA!R1893,"AAAAAG/03Ds=")</f>
        <v>1</v>
      </c>
      <c r="BI231" t="b">
        <f>AND(DATA!S1893,"AAAAAG/03Dw=")</f>
        <v>1</v>
      </c>
      <c r="BJ231" t="b">
        <f>AND(DATA!T1893,"AAAAAG/03D0=")</f>
        <v>1</v>
      </c>
      <c r="BK231">
        <f>IF(DATA!1893:1893,"AAAAAG/03D4=",0)</f>
        <v>0</v>
      </c>
      <c r="BL231" t="e">
        <f>AND(DATA!A1893,"AAAAAG/03D8=")</f>
        <v>#VALUE!</v>
      </c>
      <c r="BM231" t="e">
        <f>AND(DATA!B1893,"AAAAAG/03EA=")</f>
        <v>#VALUE!</v>
      </c>
      <c r="BN231" t="e">
        <f>AND(DATA!C1893,"AAAAAG/03EE=")</f>
        <v>#VALUE!</v>
      </c>
      <c r="BO231" t="e">
        <f>AND(DATA!D1893,"AAAAAG/03EI=")</f>
        <v>#VALUE!</v>
      </c>
      <c r="BP231" t="e">
        <f>AND(DATA!E1893,"AAAAAG/03EM=")</f>
        <v>#VALUE!</v>
      </c>
      <c r="BQ231" t="e">
        <f>AND(DATA!F1893,"AAAAAG/03EQ=")</f>
        <v>#VALUE!</v>
      </c>
      <c r="BR231" t="e">
        <f>AND(DATA!G1893,"AAAAAG/03EU=")</f>
        <v>#VALUE!</v>
      </c>
      <c r="BS231" t="e">
        <f>AND(DATA!H1893,"AAAAAG/03EY=")</f>
        <v>#VALUE!</v>
      </c>
      <c r="BT231" t="e">
        <f>AND(DATA!I1893,"AAAAAG/03Ec=")</f>
        <v>#VALUE!</v>
      </c>
      <c r="BU231" t="e">
        <f>AND(DATA!J1893,"AAAAAG/03Eg=")</f>
        <v>#VALUE!</v>
      </c>
      <c r="BV231" t="e">
        <f>AND(DATA!K1893,"AAAAAG/03Ek=")</f>
        <v>#VALUE!</v>
      </c>
      <c r="BW231" t="b">
        <f>AND(DATA!L1894,"AAAAAG/03Eo=")</f>
        <v>1</v>
      </c>
      <c r="BX231" t="b">
        <f>AND(DATA!M1894,"AAAAAG/03Es=")</f>
        <v>1</v>
      </c>
      <c r="BY231" t="b">
        <f>AND(DATA!N1894,"AAAAAG/03Ew=")</f>
        <v>1</v>
      </c>
      <c r="BZ231" t="b">
        <f>AND(DATA!O1894,"AAAAAG/03E0=")</f>
        <v>1</v>
      </c>
      <c r="CA231" t="b">
        <f>AND(DATA!P1894,"AAAAAG/03E4=")</f>
        <v>1</v>
      </c>
      <c r="CB231" t="b">
        <f>AND(DATA!Q1894,"AAAAAG/03E8=")</f>
        <v>1</v>
      </c>
      <c r="CC231" t="b">
        <f>AND(DATA!R1894,"AAAAAG/03FA=")</f>
        <v>1</v>
      </c>
      <c r="CD231" t="b">
        <f>AND(DATA!S1894,"AAAAAG/03FE=")</f>
        <v>1</v>
      </c>
      <c r="CE231" t="b">
        <f>AND(DATA!T1894,"AAAAAG/03FI=")</f>
        <v>1</v>
      </c>
      <c r="CF231">
        <f>IF(DATA!1894:1894,"AAAAAG/03FM=",0)</f>
        <v>0</v>
      </c>
      <c r="CG231" t="e">
        <f>AND(DATA!A1894,"AAAAAG/03FQ=")</f>
        <v>#VALUE!</v>
      </c>
      <c r="CH231" t="e">
        <f>AND(DATA!B1894,"AAAAAG/03FU=")</f>
        <v>#VALUE!</v>
      </c>
      <c r="CI231" t="e">
        <f>AND(DATA!C1894,"AAAAAG/03FY=")</f>
        <v>#VALUE!</v>
      </c>
      <c r="CJ231" t="e">
        <f>AND(DATA!D1894,"AAAAAG/03Fc=")</f>
        <v>#VALUE!</v>
      </c>
      <c r="CK231" t="e">
        <f>AND(DATA!E1894,"AAAAAG/03Fg=")</f>
        <v>#VALUE!</v>
      </c>
      <c r="CL231" t="e">
        <f>AND(DATA!F1894,"AAAAAG/03Fk=")</f>
        <v>#VALUE!</v>
      </c>
      <c r="CM231" t="e">
        <f>AND(DATA!G1894,"AAAAAG/03Fo=")</f>
        <v>#VALUE!</v>
      </c>
      <c r="CN231" t="e">
        <f>AND(DATA!H1894,"AAAAAG/03Fs=")</f>
        <v>#VALUE!</v>
      </c>
      <c r="CO231" t="e">
        <f>AND(DATA!I1894,"AAAAAG/03Fw=")</f>
        <v>#VALUE!</v>
      </c>
      <c r="CP231" t="e">
        <f>AND(DATA!J1894,"AAAAAG/03F0=")</f>
        <v>#VALUE!</v>
      </c>
      <c r="CQ231" t="e">
        <f>AND(DATA!K1894,"AAAAAG/03F4=")</f>
        <v>#VALUE!</v>
      </c>
      <c r="CR231" t="b">
        <f>AND(DATA!L1895,"AAAAAG/03F8=")</f>
        <v>1</v>
      </c>
      <c r="CS231" t="b">
        <f>AND(DATA!M1895,"AAAAAG/03GA=")</f>
        <v>1</v>
      </c>
      <c r="CT231" t="b">
        <f>AND(DATA!N1895,"AAAAAG/03GE=")</f>
        <v>1</v>
      </c>
      <c r="CU231" t="b">
        <f>AND(DATA!O1895,"AAAAAG/03GI=")</f>
        <v>1</v>
      </c>
      <c r="CV231" t="b">
        <f>AND(DATA!P1895,"AAAAAG/03GM=")</f>
        <v>1</v>
      </c>
      <c r="CW231" t="b">
        <f>AND(DATA!Q1895,"AAAAAG/03GQ=")</f>
        <v>1</v>
      </c>
      <c r="CX231" t="b">
        <f>AND(DATA!R1895,"AAAAAG/03GU=")</f>
        <v>1</v>
      </c>
      <c r="CY231" t="b">
        <f>AND(DATA!S1895,"AAAAAG/03GY=")</f>
        <v>1</v>
      </c>
      <c r="CZ231" t="b">
        <f>AND(DATA!T1895,"AAAAAG/03Gc=")</f>
        <v>1</v>
      </c>
      <c r="DA231">
        <f>IF(DATA!1895:1895,"AAAAAG/03Gg=",0)</f>
        <v>0</v>
      </c>
      <c r="DB231" t="e">
        <f>AND(DATA!A1895,"AAAAAG/03Gk=")</f>
        <v>#VALUE!</v>
      </c>
      <c r="DC231" t="e">
        <f>AND(DATA!B1895,"AAAAAG/03Go=")</f>
        <v>#VALUE!</v>
      </c>
      <c r="DD231" t="e">
        <f>AND(DATA!C1895,"AAAAAG/03Gs=")</f>
        <v>#VALUE!</v>
      </c>
      <c r="DE231" t="e">
        <f>AND(DATA!D1895,"AAAAAG/03Gw=")</f>
        <v>#VALUE!</v>
      </c>
      <c r="DF231" t="e">
        <f>AND(DATA!E1895,"AAAAAG/03G0=")</f>
        <v>#VALUE!</v>
      </c>
      <c r="DG231" t="e">
        <f>AND(DATA!F1895,"AAAAAG/03G4=")</f>
        <v>#VALUE!</v>
      </c>
      <c r="DH231" t="e">
        <f>AND(DATA!G1895,"AAAAAG/03G8=")</f>
        <v>#VALUE!</v>
      </c>
      <c r="DI231" t="e">
        <f>AND(DATA!H1895,"AAAAAG/03HA=")</f>
        <v>#VALUE!</v>
      </c>
      <c r="DJ231" t="e">
        <f>AND(DATA!I1895,"AAAAAG/03HE=")</f>
        <v>#VALUE!</v>
      </c>
      <c r="DK231" t="e">
        <f>AND(DATA!J1895,"AAAAAG/03HI=")</f>
        <v>#VALUE!</v>
      </c>
      <c r="DL231" t="e">
        <f>AND(DATA!K1895,"AAAAAG/03HM=")</f>
        <v>#VALUE!</v>
      </c>
      <c r="DM231" t="b">
        <f>AND(DATA!L1896,"AAAAAG/03HQ=")</f>
        <v>1</v>
      </c>
      <c r="DN231" t="b">
        <f>AND(DATA!M1896,"AAAAAG/03HU=")</f>
        <v>1</v>
      </c>
      <c r="DO231" t="b">
        <f>AND(DATA!N1896,"AAAAAG/03HY=")</f>
        <v>1</v>
      </c>
      <c r="DP231" t="b">
        <f>AND(DATA!O1896,"AAAAAG/03Hc=")</f>
        <v>1</v>
      </c>
      <c r="DQ231" t="b">
        <f>AND(DATA!P1896,"AAAAAG/03Hg=")</f>
        <v>1</v>
      </c>
      <c r="DR231" t="b">
        <f>AND(DATA!Q1896,"AAAAAG/03Hk=")</f>
        <v>1</v>
      </c>
      <c r="DS231" t="b">
        <f>AND(DATA!R1896,"AAAAAG/03Ho=")</f>
        <v>1</v>
      </c>
      <c r="DT231" t="b">
        <f>AND(DATA!S1896,"AAAAAG/03Hs=")</f>
        <v>1</v>
      </c>
      <c r="DU231" t="b">
        <f>AND(DATA!T1896,"AAAAAG/03Hw=")</f>
        <v>1</v>
      </c>
      <c r="DV231">
        <f>IF(DATA!1896:1896,"AAAAAG/03H0=",0)</f>
        <v>0</v>
      </c>
      <c r="DW231" t="e">
        <f>AND(DATA!A1896,"AAAAAG/03H4=")</f>
        <v>#VALUE!</v>
      </c>
      <c r="DX231" t="e">
        <f>AND(DATA!B1896,"AAAAAG/03H8=")</f>
        <v>#VALUE!</v>
      </c>
      <c r="DY231" t="e">
        <f>AND(DATA!C1896,"AAAAAG/03IA=")</f>
        <v>#VALUE!</v>
      </c>
      <c r="DZ231" t="e">
        <f>AND(DATA!D1896,"AAAAAG/03IE=")</f>
        <v>#VALUE!</v>
      </c>
      <c r="EA231" t="e">
        <f>AND(DATA!E1896,"AAAAAG/03II=")</f>
        <v>#VALUE!</v>
      </c>
      <c r="EB231" t="e">
        <f>AND(DATA!F1896,"AAAAAG/03IM=")</f>
        <v>#VALUE!</v>
      </c>
      <c r="EC231" t="e">
        <f>AND(DATA!G1896,"AAAAAG/03IQ=")</f>
        <v>#VALUE!</v>
      </c>
      <c r="ED231" t="e">
        <f>AND(DATA!H1896,"AAAAAG/03IU=")</f>
        <v>#VALUE!</v>
      </c>
      <c r="EE231" t="e">
        <f>AND(DATA!I1896,"AAAAAG/03IY=")</f>
        <v>#VALUE!</v>
      </c>
      <c r="EF231" t="e">
        <f>AND(DATA!J1896,"AAAAAG/03Ic=")</f>
        <v>#VALUE!</v>
      </c>
      <c r="EG231" t="e">
        <f>AND(DATA!K1896,"AAAAAG/03Ig=")</f>
        <v>#VALUE!</v>
      </c>
      <c r="EH231" t="b">
        <f>AND(DATA!L1897,"AAAAAG/03Ik=")</f>
        <v>1</v>
      </c>
      <c r="EI231" t="b">
        <f>AND(DATA!M1897,"AAAAAG/03Io=")</f>
        <v>1</v>
      </c>
      <c r="EJ231" t="b">
        <f>AND(DATA!N1897,"AAAAAG/03Is=")</f>
        <v>1</v>
      </c>
      <c r="EK231" t="b">
        <f>AND(DATA!O1897,"AAAAAG/03Iw=")</f>
        <v>1</v>
      </c>
      <c r="EL231" t="b">
        <f>AND(DATA!P1897,"AAAAAG/03I0=")</f>
        <v>1</v>
      </c>
      <c r="EM231" t="b">
        <f>AND(DATA!Q1897,"AAAAAG/03I4=")</f>
        <v>1</v>
      </c>
      <c r="EN231" t="b">
        <f>AND(DATA!R1897,"AAAAAG/03I8=")</f>
        <v>1</v>
      </c>
      <c r="EO231" t="b">
        <f>AND(DATA!S1897,"AAAAAG/03JA=")</f>
        <v>1</v>
      </c>
      <c r="EP231" t="b">
        <f>AND(DATA!T1897,"AAAAAG/03JE=")</f>
        <v>1</v>
      </c>
      <c r="EQ231">
        <f>IF(DATA!1897:1897,"AAAAAG/03JI=",0)</f>
        <v>0</v>
      </c>
      <c r="ER231" t="e">
        <f>AND(DATA!A1897,"AAAAAG/03JM=")</f>
        <v>#VALUE!</v>
      </c>
      <c r="ES231" t="e">
        <f>AND(DATA!B1897,"AAAAAG/03JQ=")</f>
        <v>#VALUE!</v>
      </c>
      <c r="ET231" t="e">
        <f>AND(DATA!C1897,"AAAAAG/03JU=")</f>
        <v>#VALUE!</v>
      </c>
      <c r="EU231" t="e">
        <f>AND(DATA!D1897,"AAAAAG/03JY=")</f>
        <v>#VALUE!</v>
      </c>
      <c r="EV231" t="e">
        <f>AND(DATA!E1897,"AAAAAG/03Jc=")</f>
        <v>#VALUE!</v>
      </c>
      <c r="EW231" t="e">
        <f>AND(DATA!F1897,"AAAAAG/03Jg=")</f>
        <v>#VALUE!</v>
      </c>
      <c r="EX231" t="e">
        <f>AND(DATA!G1897,"AAAAAG/03Jk=")</f>
        <v>#VALUE!</v>
      </c>
      <c r="EY231" t="e">
        <f>AND(DATA!H1897,"AAAAAG/03Jo=")</f>
        <v>#VALUE!</v>
      </c>
      <c r="EZ231" t="e">
        <f>AND(DATA!I1897,"AAAAAG/03Js=")</f>
        <v>#VALUE!</v>
      </c>
      <c r="FA231" t="e">
        <f>AND(DATA!J1897,"AAAAAG/03Jw=")</f>
        <v>#VALUE!</v>
      </c>
      <c r="FB231" t="e">
        <f>AND(DATA!K1897,"AAAAAG/03J0=")</f>
        <v>#VALUE!</v>
      </c>
      <c r="FC231" t="b">
        <f>AND(DATA!L1898,"AAAAAG/03J4=")</f>
        <v>1</v>
      </c>
      <c r="FD231" t="b">
        <f>AND(DATA!M1898,"AAAAAG/03J8=")</f>
        <v>1</v>
      </c>
      <c r="FE231" t="b">
        <f>AND(DATA!N1898,"AAAAAG/03KA=")</f>
        <v>1</v>
      </c>
      <c r="FF231" t="b">
        <f>AND(DATA!O1898,"AAAAAG/03KE=")</f>
        <v>1</v>
      </c>
      <c r="FG231" t="b">
        <f>AND(DATA!P1898,"AAAAAG/03KI=")</f>
        <v>1</v>
      </c>
      <c r="FH231" t="b">
        <f>AND(DATA!Q1898,"AAAAAG/03KM=")</f>
        <v>1</v>
      </c>
      <c r="FI231" t="b">
        <f>AND(DATA!R1898,"AAAAAG/03KQ=")</f>
        <v>1</v>
      </c>
      <c r="FJ231" t="b">
        <f>AND(DATA!S1898,"AAAAAG/03KU=")</f>
        <v>1</v>
      </c>
      <c r="FK231" t="b">
        <f>AND(DATA!T1898,"AAAAAG/03KY=")</f>
        <v>1</v>
      </c>
      <c r="FL231">
        <f>IF(DATA!1898:1898,"AAAAAG/03Kc=",0)</f>
        <v>0</v>
      </c>
      <c r="FM231" t="e">
        <f>AND(DATA!A1898,"AAAAAG/03Kg=")</f>
        <v>#VALUE!</v>
      </c>
      <c r="FN231" t="e">
        <f>AND(DATA!B1898,"AAAAAG/03Kk=")</f>
        <v>#VALUE!</v>
      </c>
      <c r="FO231" t="e">
        <f>AND(DATA!C1898,"AAAAAG/03Ko=")</f>
        <v>#VALUE!</v>
      </c>
      <c r="FP231" t="e">
        <f>AND(DATA!D1898,"AAAAAG/03Ks=")</f>
        <v>#VALUE!</v>
      </c>
      <c r="FQ231" t="e">
        <f>AND(DATA!E1898,"AAAAAG/03Kw=")</f>
        <v>#VALUE!</v>
      </c>
      <c r="FR231" t="e">
        <f>AND(DATA!F1898,"AAAAAG/03K0=")</f>
        <v>#VALUE!</v>
      </c>
      <c r="FS231" t="e">
        <f>AND(DATA!G1898,"AAAAAG/03K4=")</f>
        <v>#VALUE!</v>
      </c>
      <c r="FT231" t="e">
        <f>AND(DATA!H1898,"AAAAAG/03K8=")</f>
        <v>#VALUE!</v>
      </c>
      <c r="FU231" t="e">
        <f>AND(DATA!I1898,"AAAAAG/03LA=")</f>
        <v>#VALUE!</v>
      </c>
      <c r="FV231" t="e">
        <f>AND(DATA!J1898,"AAAAAG/03LE=")</f>
        <v>#VALUE!</v>
      </c>
      <c r="FW231" t="e">
        <f>AND(DATA!K1898,"AAAAAG/03LI=")</f>
        <v>#VALUE!</v>
      </c>
      <c r="FX231" t="b">
        <f>AND(DATA!L1899,"AAAAAG/03LM=")</f>
        <v>1</v>
      </c>
      <c r="FY231" t="b">
        <f>AND(DATA!M1899,"AAAAAG/03LQ=")</f>
        <v>1</v>
      </c>
      <c r="FZ231" t="b">
        <f>AND(DATA!N1899,"AAAAAG/03LU=")</f>
        <v>1</v>
      </c>
      <c r="GA231" t="b">
        <f>AND(DATA!O1899,"AAAAAG/03LY=")</f>
        <v>1</v>
      </c>
      <c r="GB231" t="b">
        <f>AND(DATA!P1899,"AAAAAG/03Lc=")</f>
        <v>1</v>
      </c>
      <c r="GC231" t="b">
        <f>AND(DATA!Q1899,"AAAAAG/03Lg=")</f>
        <v>1</v>
      </c>
      <c r="GD231" t="b">
        <f>AND(DATA!R1899,"AAAAAG/03Lk=")</f>
        <v>1</v>
      </c>
      <c r="GE231" t="b">
        <f>AND(DATA!S1899,"AAAAAG/03Lo=")</f>
        <v>1</v>
      </c>
      <c r="GF231" t="b">
        <f>AND(DATA!T1899,"AAAAAG/03Ls=")</f>
        <v>1</v>
      </c>
      <c r="GG231">
        <f>IF(DATA!1899:1899,"AAAAAG/03Lw=",0)</f>
        <v>0</v>
      </c>
      <c r="GH231" t="e">
        <f>AND(DATA!A1899,"AAAAAG/03L0=")</f>
        <v>#VALUE!</v>
      </c>
      <c r="GI231" t="e">
        <f>AND(DATA!B1899,"AAAAAG/03L4=")</f>
        <v>#VALUE!</v>
      </c>
      <c r="GJ231" t="e">
        <f>AND(DATA!C1899,"AAAAAG/03L8=")</f>
        <v>#VALUE!</v>
      </c>
      <c r="GK231" t="e">
        <f>AND(DATA!D1899,"AAAAAG/03MA=")</f>
        <v>#VALUE!</v>
      </c>
      <c r="GL231" t="e">
        <f>AND(DATA!E1899,"AAAAAG/03ME=")</f>
        <v>#VALUE!</v>
      </c>
      <c r="GM231" t="e">
        <f>AND(DATA!F1899,"AAAAAG/03MI=")</f>
        <v>#VALUE!</v>
      </c>
      <c r="GN231" t="e">
        <f>AND(DATA!G1899,"AAAAAG/03MM=")</f>
        <v>#VALUE!</v>
      </c>
      <c r="GO231" t="e">
        <f>AND(DATA!H1899,"AAAAAG/03MQ=")</f>
        <v>#VALUE!</v>
      </c>
      <c r="GP231" t="e">
        <f>AND(DATA!I1899,"AAAAAG/03MU=")</f>
        <v>#VALUE!</v>
      </c>
      <c r="GQ231" t="e">
        <f>AND(DATA!J1899,"AAAAAG/03MY=")</f>
        <v>#VALUE!</v>
      </c>
      <c r="GR231" t="e">
        <f>AND(DATA!K1899,"AAAAAG/03Mc=")</f>
        <v>#VALUE!</v>
      </c>
      <c r="GS231" t="b">
        <f>AND(DATA!L1900,"AAAAAG/03Mg=")</f>
        <v>1</v>
      </c>
      <c r="GT231" t="b">
        <f>AND(DATA!M1900,"AAAAAG/03Mk=")</f>
        <v>1</v>
      </c>
      <c r="GU231" t="b">
        <f>AND(DATA!N1900,"AAAAAG/03Mo=")</f>
        <v>1</v>
      </c>
      <c r="GV231" t="b">
        <f>AND(DATA!O1900,"AAAAAG/03Ms=")</f>
        <v>1</v>
      </c>
      <c r="GW231" t="b">
        <f>AND(DATA!P1900,"AAAAAG/03Mw=")</f>
        <v>1</v>
      </c>
      <c r="GX231" t="b">
        <f>AND(DATA!Q1900,"AAAAAG/03M0=")</f>
        <v>1</v>
      </c>
      <c r="GY231" t="b">
        <f>AND(DATA!R1900,"AAAAAG/03M4=")</f>
        <v>1</v>
      </c>
      <c r="GZ231" t="b">
        <f>AND(DATA!S1900,"AAAAAG/03M8=")</f>
        <v>1</v>
      </c>
      <c r="HA231" t="b">
        <f>AND(DATA!T1900,"AAAAAG/03NA=")</f>
        <v>1</v>
      </c>
      <c r="HB231">
        <f>IF(DATA!1900:1900,"AAAAAG/03NE=",0)</f>
        <v>0</v>
      </c>
      <c r="HC231" t="e">
        <f>AND(DATA!A1900,"AAAAAG/03NI=")</f>
        <v>#VALUE!</v>
      </c>
      <c r="HD231" t="e">
        <f>AND(DATA!B1900,"AAAAAG/03NM=")</f>
        <v>#VALUE!</v>
      </c>
      <c r="HE231" t="e">
        <f>AND(DATA!C1900,"AAAAAG/03NQ=")</f>
        <v>#VALUE!</v>
      </c>
      <c r="HF231" t="e">
        <f>AND(DATA!D1900,"AAAAAG/03NU=")</f>
        <v>#VALUE!</v>
      </c>
      <c r="HG231" t="e">
        <f>AND(DATA!E1900,"AAAAAG/03NY=")</f>
        <v>#VALUE!</v>
      </c>
      <c r="HH231" t="e">
        <f>AND(DATA!F1900,"AAAAAG/03Nc=")</f>
        <v>#VALUE!</v>
      </c>
      <c r="HI231" t="e">
        <f>AND(DATA!G1900,"AAAAAG/03Ng=")</f>
        <v>#VALUE!</v>
      </c>
      <c r="HJ231" t="e">
        <f>AND(DATA!H1900,"AAAAAG/03Nk=")</f>
        <v>#VALUE!</v>
      </c>
      <c r="HK231" t="e">
        <f>AND(DATA!I1900,"AAAAAG/03No=")</f>
        <v>#VALUE!</v>
      </c>
      <c r="HL231" t="e">
        <f>AND(DATA!J1900,"AAAAAG/03Ns=")</f>
        <v>#VALUE!</v>
      </c>
      <c r="HM231" t="e">
        <f>AND(DATA!K1900,"AAAAAG/03Nw=")</f>
        <v>#VALUE!</v>
      </c>
      <c r="HN231" t="b">
        <f>AND(DATA!L1901,"AAAAAG/03N0=")</f>
        <v>1</v>
      </c>
      <c r="HO231" t="b">
        <f>AND(DATA!M1901,"AAAAAG/03N4=")</f>
        <v>1</v>
      </c>
      <c r="HP231" t="b">
        <f>AND(DATA!N1901,"AAAAAG/03N8=")</f>
        <v>1</v>
      </c>
      <c r="HQ231" t="b">
        <f>AND(DATA!O1901,"AAAAAG/03OA=")</f>
        <v>1</v>
      </c>
      <c r="HR231" t="b">
        <f>AND(DATA!P1901,"AAAAAG/03OE=")</f>
        <v>1</v>
      </c>
      <c r="HS231" t="b">
        <f>AND(DATA!Q1901,"AAAAAG/03OI=")</f>
        <v>1</v>
      </c>
      <c r="HT231" t="b">
        <f>AND(DATA!R1901,"AAAAAG/03OM=")</f>
        <v>1</v>
      </c>
      <c r="HU231" t="b">
        <f>AND(DATA!S1901,"AAAAAG/03OQ=")</f>
        <v>1</v>
      </c>
      <c r="HV231" t="b">
        <f>AND(DATA!T1901,"AAAAAG/03OU=")</f>
        <v>1</v>
      </c>
      <c r="HW231">
        <f>IF(DATA!1901:1901,"AAAAAG/03OY=",0)</f>
        <v>0</v>
      </c>
      <c r="HX231" t="e">
        <f>AND(DATA!A1901,"AAAAAG/03Oc=")</f>
        <v>#VALUE!</v>
      </c>
      <c r="HY231" t="e">
        <f>AND(DATA!B1901,"AAAAAG/03Og=")</f>
        <v>#VALUE!</v>
      </c>
      <c r="HZ231" t="e">
        <f>AND(DATA!C1901,"AAAAAG/03Ok=")</f>
        <v>#VALUE!</v>
      </c>
      <c r="IA231" t="e">
        <f>AND(DATA!D1901,"AAAAAG/03Oo=")</f>
        <v>#VALUE!</v>
      </c>
      <c r="IB231" t="e">
        <f>AND(DATA!E1901,"AAAAAG/03Os=")</f>
        <v>#VALUE!</v>
      </c>
      <c r="IC231" t="e">
        <f>AND(DATA!F1901,"AAAAAG/03Ow=")</f>
        <v>#VALUE!</v>
      </c>
      <c r="ID231" t="e">
        <f>AND(DATA!G1901,"AAAAAG/03O0=")</f>
        <v>#VALUE!</v>
      </c>
      <c r="IE231" t="e">
        <f>AND(DATA!H1901,"AAAAAG/03O4=")</f>
        <v>#VALUE!</v>
      </c>
      <c r="IF231" t="e">
        <f>AND(DATA!I1901,"AAAAAG/03O8=")</f>
        <v>#VALUE!</v>
      </c>
      <c r="IG231" t="e">
        <f>AND(DATA!J1901,"AAAAAG/03PA=")</f>
        <v>#VALUE!</v>
      </c>
      <c r="IH231" t="e">
        <f>AND(DATA!K1901,"AAAAAG/03PE=")</f>
        <v>#VALUE!</v>
      </c>
      <c r="II231" t="b">
        <f>AND(DATA!L1902,"AAAAAG/03PI=")</f>
        <v>1</v>
      </c>
      <c r="IJ231" t="b">
        <f>AND(DATA!M1902,"AAAAAG/03PM=")</f>
        <v>1</v>
      </c>
      <c r="IK231" t="b">
        <f>AND(DATA!N1902,"AAAAAG/03PQ=")</f>
        <v>1</v>
      </c>
      <c r="IL231" t="b">
        <f>AND(DATA!O1902,"AAAAAG/03PU=")</f>
        <v>1</v>
      </c>
      <c r="IM231" t="b">
        <f>AND(DATA!P1902,"AAAAAG/03PY=")</f>
        <v>1</v>
      </c>
      <c r="IN231" t="b">
        <f>AND(DATA!Q1902,"AAAAAG/03Pc=")</f>
        <v>1</v>
      </c>
      <c r="IO231" t="b">
        <f>AND(DATA!R1902,"AAAAAG/03Pg=")</f>
        <v>1</v>
      </c>
      <c r="IP231" t="b">
        <f>AND(DATA!S1902,"AAAAAG/03Pk=")</f>
        <v>1</v>
      </c>
      <c r="IQ231" t="b">
        <f>AND(DATA!T1902,"AAAAAG/03Po=")</f>
        <v>1</v>
      </c>
      <c r="IR231">
        <f>IF(DATA!1902:1902,"AAAAAG/03Ps=",0)</f>
        <v>0</v>
      </c>
      <c r="IS231" t="e">
        <f>AND(DATA!A1902,"AAAAAG/03Pw=")</f>
        <v>#VALUE!</v>
      </c>
      <c r="IT231" t="e">
        <f>AND(DATA!B1902,"AAAAAG/03P0=")</f>
        <v>#VALUE!</v>
      </c>
      <c r="IU231" t="e">
        <f>AND(DATA!C1902,"AAAAAG/03P4=")</f>
        <v>#VALUE!</v>
      </c>
      <c r="IV231" t="e">
        <f>AND(DATA!D1902,"AAAAAG/03P8=")</f>
        <v>#VALUE!</v>
      </c>
    </row>
    <row r="232" spans="1:256" x14ac:dyDescent="0.25">
      <c r="A232" t="e">
        <f>AND(DATA!E1902,"AAAAACzf5wA=")</f>
        <v>#VALUE!</v>
      </c>
      <c r="B232" t="e">
        <f>AND(DATA!F1902,"AAAAACzf5wE=")</f>
        <v>#VALUE!</v>
      </c>
      <c r="C232" t="e">
        <f>AND(DATA!G1902,"AAAAACzf5wI=")</f>
        <v>#VALUE!</v>
      </c>
      <c r="D232" t="e">
        <f>AND(DATA!H1902,"AAAAACzf5wM=")</f>
        <v>#VALUE!</v>
      </c>
      <c r="E232" t="e">
        <f>AND(DATA!I1902,"AAAAACzf5wQ=")</f>
        <v>#VALUE!</v>
      </c>
      <c r="F232" t="e">
        <f>AND(DATA!J1902,"AAAAACzf5wU=")</f>
        <v>#VALUE!</v>
      </c>
      <c r="G232" t="e">
        <f>AND(DATA!K1902,"AAAAACzf5wY=")</f>
        <v>#VALUE!</v>
      </c>
      <c r="H232" t="b">
        <f>AND(DATA!L1903,"AAAAACzf5wc=")</f>
        <v>1</v>
      </c>
      <c r="I232" t="b">
        <f>AND(DATA!M1903,"AAAAACzf5wg=")</f>
        <v>1</v>
      </c>
      <c r="J232" t="b">
        <f>AND(DATA!N1903,"AAAAACzf5wk=")</f>
        <v>1</v>
      </c>
      <c r="K232" t="b">
        <f>AND(DATA!O1903,"AAAAACzf5wo=")</f>
        <v>1</v>
      </c>
      <c r="L232" t="b">
        <f>AND(DATA!P1903,"AAAAACzf5ws=")</f>
        <v>1</v>
      </c>
      <c r="M232" t="b">
        <f>AND(DATA!Q1903,"AAAAACzf5ww=")</f>
        <v>1</v>
      </c>
      <c r="N232" t="b">
        <f>AND(DATA!R1903,"AAAAACzf5w0=")</f>
        <v>1</v>
      </c>
      <c r="O232" t="b">
        <f>AND(DATA!S1903,"AAAAACzf5w4=")</f>
        <v>1</v>
      </c>
      <c r="P232" t="b">
        <f>AND(DATA!T1903,"AAAAACzf5w8=")</f>
        <v>1</v>
      </c>
      <c r="Q232" t="str">
        <f>IF(DATA!1903:1903,"AAAAACzf5xA=",0)</f>
        <v>AAAAACzf5xA=</v>
      </c>
      <c r="R232" t="e">
        <f>AND(DATA!A1903,"AAAAACzf5xE=")</f>
        <v>#VALUE!</v>
      </c>
      <c r="S232" t="e">
        <f>AND(DATA!B1903,"AAAAACzf5xI=")</f>
        <v>#VALUE!</v>
      </c>
      <c r="T232" t="e">
        <f>AND(DATA!C1903,"AAAAACzf5xM=")</f>
        <v>#VALUE!</v>
      </c>
      <c r="U232" t="e">
        <f>AND(DATA!D1903,"AAAAACzf5xQ=")</f>
        <v>#VALUE!</v>
      </c>
      <c r="V232" t="e">
        <f>AND(DATA!E1903,"AAAAACzf5xU=")</f>
        <v>#VALUE!</v>
      </c>
      <c r="W232" t="e">
        <f>AND(DATA!F1903,"AAAAACzf5xY=")</f>
        <v>#VALUE!</v>
      </c>
      <c r="X232" t="e">
        <f>AND(DATA!G1903,"AAAAACzf5xc=")</f>
        <v>#VALUE!</v>
      </c>
      <c r="Y232" t="e">
        <f>AND(DATA!H1903,"AAAAACzf5xg=")</f>
        <v>#VALUE!</v>
      </c>
      <c r="Z232" t="e">
        <f>AND(DATA!I1903,"AAAAACzf5xk=")</f>
        <v>#VALUE!</v>
      </c>
      <c r="AA232" t="e">
        <f>AND(DATA!J1903,"AAAAACzf5xo=")</f>
        <v>#VALUE!</v>
      </c>
      <c r="AB232" t="e">
        <f>AND(DATA!K1903,"AAAAACzf5xs=")</f>
        <v>#VALUE!</v>
      </c>
      <c r="AC232" t="b">
        <f>AND(DATA!L1904,"AAAAACzf5xw=")</f>
        <v>1</v>
      </c>
      <c r="AD232" t="b">
        <f>AND(DATA!M1904,"AAAAACzf5x0=")</f>
        <v>1</v>
      </c>
      <c r="AE232" t="b">
        <f>AND(DATA!N1904,"AAAAACzf5x4=")</f>
        <v>1</v>
      </c>
      <c r="AF232" t="b">
        <f>AND(DATA!O1904,"AAAAACzf5x8=")</f>
        <v>1</v>
      </c>
      <c r="AG232" t="b">
        <f>AND(DATA!P1904,"AAAAACzf5yA=")</f>
        <v>1</v>
      </c>
      <c r="AH232" t="b">
        <f>AND(DATA!Q1904,"AAAAACzf5yE=")</f>
        <v>1</v>
      </c>
      <c r="AI232" t="b">
        <f>AND(DATA!R1904,"AAAAACzf5yI=")</f>
        <v>1</v>
      </c>
      <c r="AJ232" t="b">
        <f>AND(DATA!S1904,"AAAAACzf5yM=")</f>
        <v>1</v>
      </c>
      <c r="AK232" t="b">
        <f>AND(DATA!T1904,"AAAAACzf5yQ=")</f>
        <v>1</v>
      </c>
      <c r="AL232">
        <f>IF(DATA!1904:1904,"AAAAACzf5yU=",0)</f>
        <v>0</v>
      </c>
      <c r="AM232" t="e">
        <f>AND(DATA!A1904,"AAAAACzf5yY=")</f>
        <v>#VALUE!</v>
      </c>
      <c r="AN232" t="e">
        <f>AND(DATA!B1904,"AAAAACzf5yc=")</f>
        <v>#VALUE!</v>
      </c>
      <c r="AO232" t="e">
        <f>AND(DATA!C1904,"AAAAACzf5yg=")</f>
        <v>#VALUE!</v>
      </c>
      <c r="AP232" t="e">
        <f>AND(DATA!D1904,"AAAAACzf5yk=")</f>
        <v>#VALUE!</v>
      </c>
      <c r="AQ232" t="e">
        <f>AND(DATA!E1904,"AAAAACzf5yo=")</f>
        <v>#VALUE!</v>
      </c>
      <c r="AR232" t="e">
        <f>AND(DATA!F1904,"AAAAACzf5ys=")</f>
        <v>#VALUE!</v>
      </c>
      <c r="AS232" t="e">
        <f>AND(DATA!G1904,"AAAAACzf5yw=")</f>
        <v>#VALUE!</v>
      </c>
      <c r="AT232" t="e">
        <f>AND(DATA!H1904,"AAAAACzf5y0=")</f>
        <v>#VALUE!</v>
      </c>
      <c r="AU232" t="e">
        <f>AND(DATA!I1904,"AAAAACzf5y4=")</f>
        <v>#VALUE!</v>
      </c>
      <c r="AV232" t="e">
        <f>AND(DATA!J1904,"AAAAACzf5y8=")</f>
        <v>#VALUE!</v>
      </c>
      <c r="AW232" t="e">
        <f>AND(DATA!K1904,"AAAAACzf5zA=")</f>
        <v>#VALUE!</v>
      </c>
      <c r="AX232" t="b">
        <f>AND(DATA!L1905,"AAAAACzf5zE=")</f>
        <v>1</v>
      </c>
      <c r="AY232" t="b">
        <f>AND(DATA!M1905,"AAAAACzf5zI=")</f>
        <v>1</v>
      </c>
      <c r="AZ232" t="b">
        <f>AND(DATA!N1905,"AAAAACzf5zM=")</f>
        <v>1</v>
      </c>
      <c r="BA232" t="b">
        <f>AND(DATA!O1905,"AAAAACzf5zQ=")</f>
        <v>1</v>
      </c>
      <c r="BB232" t="b">
        <f>AND(DATA!P1905,"AAAAACzf5zU=")</f>
        <v>1</v>
      </c>
      <c r="BC232" t="b">
        <f>AND(DATA!Q1905,"AAAAACzf5zY=")</f>
        <v>1</v>
      </c>
      <c r="BD232" t="b">
        <f>AND(DATA!R1905,"AAAAACzf5zc=")</f>
        <v>1</v>
      </c>
      <c r="BE232" t="b">
        <f>AND(DATA!S1905,"AAAAACzf5zg=")</f>
        <v>1</v>
      </c>
      <c r="BF232" t="b">
        <f>AND(DATA!T1905,"AAAAACzf5zk=")</f>
        <v>1</v>
      </c>
      <c r="BG232">
        <f>IF(DATA!1905:1905,"AAAAACzf5zo=",0)</f>
        <v>0</v>
      </c>
      <c r="BH232" t="e">
        <f>AND(DATA!A1905,"AAAAACzf5zs=")</f>
        <v>#VALUE!</v>
      </c>
      <c r="BI232" t="e">
        <f>AND(DATA!B1905,"AAAAACzf5zw=")</f>
        <v>#VALUE!</v>
      </c>
      <c r="BJ232" t="e">
        <f>AND(DATA!C1905,"AAAAACzf5z0=")</f>
        <v>#VALUE!</v>
      </c>
      <c r="BK232" t="e">
        <f>AND(DATA!D1905,"AAAAACzf5z4=")</f>
        <v>#VALUE!</v>
      </c>
      <c r="BL232" t="e">
        <f>AND(DATA!E1905,"AAAAACzf5z8=")</f>
        <v>#VALUE!</v>
      </c>
      <c r="BM232" t="e">
        <f>AND(DATA!F1905,"AAAAACzf50A=")</f>
        <v>#VALUE!</v>
      </c>
      <c r="BN232" t="e">
        <f>AND(DATA!G1905,"AAAAACzf50E=")</f>
        <v>#VALUE!</v>
      </c>
      <c r="BO232" t="e">
        <f>AND(DATA!H1905,"AAAAACzf50I=")</f>
        <v>#VALUE!</v>
      </c>
      <c r="BP232" t="e">
        <f>AND(DATA!I1905,"AAAAACzf50M=")</f>
        <v>#VALUE!</v>
      </c>
      <c r="BQ232" t="e">
        <f>AND(DATA!J1905,"AAAAACzf50Q=")</f>
        <v>#VALUE!</v>
      </c>
      <c r="BR232" t="e">
        <f>AND(DATA!K1905,"AAAAACzf50U=")</f>
        <v>#VALUE!</v>
      </c>
      <c r="BS232" t="b">
        <f>AND(DATA!L1906,"AAAAACzf50Y=")</f>
        <v>1</v>
      </c>
      <c r="BT232" t="b">
        <f>AND(DATA!M1906,"AAAAACzf50c=")</f>
        <v>1</v>
      </c>
      <c r="BU232" t="b">
        <f>AND(DATA!N1906,"AAAAACzf50g=")</f>
        <v>1</v>
      </c>
      <c r="BV232" t="b">
        <f>AND(DATA!O1906,"AAAAACzf50k=")</f>
        <v>1</v>
      </c>
      <c r="BW232" t="b">
        <f>AND(DATA!P1906,"AAAAACzf50o=")</f>
        <v>1</v>
      </c>
      <c r="BX232" t="b">
        <f>AND(DATA!Q1906,"AAAAACzf50s=")</f>
        <v>1</v>
      </c>
      <c r="BY232" t="b">
        <f>AND(DATA!R1906,"AAAAACzf50w=")</f>
        <v>1</v>
      </c>
      <c r="BZ232" t="b">
        <f>AND(DATA!S1906,"AAAAACzf500=")</f>
        <v>1</v>
      </c>
      <c r="CA232" t="b">
        <f>AND(DATA!T1906,"AAAAACzf504=")</f>
        <v>1</v>
      </c>
      <c r="CB232">
        <f>IF(DATA!1906:1906,"AAAAACzf508=",0)</f>
        <v>0</v>
      </c>
      <c r="CC232" t="e">
        <f>AND(DATA!A1906,"AAAAACzf51A=")</f>
        <v>#VALUE!</v>
      </c>
      <c r="CD232" t="e">
        <f>AND(DATA!B1906,"AAAAACzf51E=")</f>
        <v>#VALUE!</v>
      </c>
      <c r="CE232" t="e">
        <f>AND(DATA!C1906,"AAAAACzf51I=")</f>
        <v>#VALUE!</v>
      </c>
      <c r="CF232" t="e">
        <f>AND(DATA!D1906,"AAAAACzf51M=")</f>
        <v>#VALUE!</v>
      </c>
      <c r="CG232" t="e">
        <f>AND(DATA!E1906,"AAAAACzf51Q=")</f>
        <v>#VALUE!</v>
      </c>
      <c r="CH232" t="e">
        <f>AND(DATA!F1906,"AAAAACzf51U=")</f>
        <v>#VALUE!</v>
      </c>
      <c r="CI232" t="e">
        <f>AND(DATA!G1906,"AAAAACzf51Y=")</f>
        <v>#VALUE!</v>
      </c>
      <c r="CJ232" t="e">
        <f>AND(DATA!H1906,"AAAAACzf51c=")</f>
        <v>#VALUE!</v>
      </c>
      <c r="CK232" t="e">
        <f>AND(DATA!I1906,"AAAAACzf51g=")</f>
        <v>#VALUE!</v>
      </c>
      <c r="CL232" t="e">
        <f>AND(DATA!J1906,"AAAAACzf51k=")</f>
        <v>#VALUE!</v>
      </c>
      <c r="CM232" t="e">
        <f>AND(DATA!K1906,"AAAAACzf51o=")</f>
        <v>#VALUE!</v>
      </c>
      <c r="CN232" t="b">
        <f>AND(DATA!L1907,"AAAAACzf51s=")</f>
        <v>1</v>
      </c>
      <c r="CO232" t="b">
        <f>AND(DATA!M1907,"AAAAACzf51w=")</f>
        <v>1</v>
      </c>
      <c r="CP232" t="b">
        <f>AND(DATA!N1907,"AAAAACzf510=")</f>
        <v>1</v>
      </c>
      <c r="CQ232" t="b">
        <f>AND(DATA!O1907,"AAAAACzf514=")</f>
        <v>1</v>
      </c>
      <c r="CR232" t="b">
        <f>AND(DATA!P1907,"AAAAACzf518=")</f>
        <v>1</v>
      </c>
      <c r="CS232" t="b">
        <f>AND(DATA!Q1907,"AAAAACzf52A=")</f>
        <v>1</v>
      </c>
      <c r="CT232" t="b">
        <f>AND(DATA!R1907,"AAAAACzf52E=")</f>
        <v>1</v>
      </c>
      <c r="CU232" t="b">
        <f>AND(DATA!S1907,"AAAAACzf52I=")</f>
        <v>1</v>
      </c>
      <c r="CV232" t="b">
        <f>AND(DATA!T1907,"AAAAACzf52M=")</f>
        <v>1</v>
      </c>
      <c r="CW232">
        <f>IF(DATA!1907:1907,"AAAAACzf52Q=",0)</f>
        <v>0</v>
      </c>
      <c r="CX232" t="e">
        <f>AND(DATA!A1907,"AAAAACzf52U=")</f>
        <v>#VALUE!</v>
      </c>
      <c r="CY232" t="e">
        <f>AND(DATA!B1907,"AAAAACzf52Y=")</f>
        <v>#VALUE!</v>
      </c>
      <c r="CZ232" t="e">
        <f>AND(DATA!C1907,"AAAAACzf52c=")</f>
        <v>#VALUE!</v>
      </c>
      <c r="DA232" t="e">
        <f>AND(DATA!D1907,"AAAAACzf52g=")</f>
        <v>#VALUE!</v>
      </c>
      <c r="DB232" t="e">
        <f>AND(DATA!E1907,"AAAAACzf52k=")</f>
        <v>#VALUE!</v>
      </c>
      <c r="DC232" t="e">
        <f>AND(DATA!F1907,"AAAAACzf52o=")</f>
        <v>#VALUE!</v>
      </c>
      <c r="DD232" t="e">
        <f>AND(DATA!G1907,"AAAAACzf52s=")</f>
        <v>#VALUE!</v>
      </c>
      <c r="DE232" t="e">
        <f>AND(DATA!H1907,"AAAAACzf52w=")</f>
        <v>#VALUE!</v>
      </c>
      <c r="DF232" t="e">
        <f>AND(DATA!I1907,"AAAAACzf520=")</f>
        <v>#VALUE!</v>
      </c>
      <c r="DG232" t="e">
        <f>AND(DATA!J1907,"AAAAACzf524=")</f>
        <v>#VALUE!</v>
      </c>
      <c r="DH232" t="e">
        <f>AND(DATA!K1907,"AAAAACzf528=")</f>
        <v>#VALUE!</v>
      </c>
      <c r="DI232" t="b">
        <f>AND(DATA!L1908,"AAAAACzf53A=")</f>
        <v>1</v>
      </c>
      <c r="DJ232" t="b">
        <f>AND(DATA!M1908,"AAAAACzf53E=")</f>
        <v>1</v>
      </c>
      <c r="DK232" t="b">
        <f>AND(DATA!N1908,"AAAAACzf53I=")</f>
        <v>1</v>
      </c>
      <c r="DL232" t="b">
        <f>AND(DATA!O1908,"AAAAACzf53M=")</f>
        <v>1</v>
      </c>
      <c r="DM232" t="b">
        <f>AND(DATA!P1908,"AAAAACzf53Q=")</f>
        <v>1</v>
      </c>
      <c r="DN232" t="b">
        <f>AND(DATA!Q1908,"AAAAACzf53U=")</f>
        <v>1</v>
      </c>
      <c r="DO232" t="b">
        <f>AND(DATA!R1908,"AAAAACzf53Y=")</f>
        <v>1</v>
      </c>
      <c r="DP232" t="b">
        <f>AND(DATA!S1908,"AAAAACzf53c=")</f>
        <v>1</v>
      </c>
      <c r="DQ232" t="b">
        <f>AND(DATA!T1908,"AAAAACzf53g=")</f>
        <v>1</v>
      </c>
      <c r="DR232">
        <f>IF(DATA!1908:1908,"AAAAACzf53k=",0)</f>
        <v>0</v>
      </c>
      <c r="DS232" t="e">
        <f>AND(DATA!A1908,"AAAAACzf53o=")</f>
        <v>#VALUE!</v>
      </c>
      <c r="DT232" t="e">
        <f>AND(DATA!B1908,"AAAAACzf53s=")</f>
        <v>#VALUE!</v>
      </c>
      <c r="DU232" t="e">
        <f>AND(DATA!C1908,"AAAAACzf53w=")</f>
        <v>#VALUE!</v>
      </c>
      <c r="DV232" t="e">
        <f>AND(DATA!D1908,"AAAAACzf530=")</f>
        <v>#VALUE!</v>
      </c>
      <c r="DW232" t="e">
        <f>AND(DATA!E1908,"AAAAACzf534=")</f>
        <v>#VALUE!</v>
      </c>
      <c r="DX232" t="e">
        <f>AND(DATA!F1908,"AAAAACzf538=")</f>
        <v>#VALUE!</v>
      </c>
      <c r="DY232" t="e">
        <f>AND(DATA!G1908,"AAAAACzf54A=")</f>
        <v>#VALUE!</v>
      </c>
      <c r="DZ232" t="e">
        <f>AND(DATA!H1908,"AAAAACzf54E=")</f>
        <v>#VALUE!</v>
      </c>
      <c r="EA232" t="e">
        <f>AND(DATA!I1908,"AAAAACzf54I=")</f>
        <v>#VALUE!</v>
      </c>
      <c r="EB232" t="e">
        <f>AND(DATA!J1908,"AAAAACzf54M=")</f>
        <v>#VALUE!</v>
      </c>
      <c r="EC232" t="e">
        <f>AND(DATA!K1908,"AAAAACzf54Q=")</f>
        <v>#VALUE!</v>
      </c>
      <c r="ED232" t="b">
        <f>AND(DATA!L1909,"AAAAACzf54U=")</f>
        <v>1</v>
      </c>
      <c r="EE232" t="b">
        <f>AND(DATA!M1909,"AAAAACzf54Y=")</f>
        <v>1</v>
      </c>
      <c r="EF232" t="b">
        <f>AND(DATA!N1909,"AAAAACzf54c=")</f>
        <v>1</v>
      </c>
      <c r="EG232" t="b">
        <f>AND(DATA!O1909,"AAAAACzf54g=")</f>
        <v>1</v>
      </c>
      <c r="EH232" t="b">
        <f>AND(DATA!P1909,"AAAAACzf54k=")</f>
        <v>1</v>
      </c>
      <c r="EI232" t="b">
        <f>AND(DATA!Q1909,"AAAAACzf54o=")</f>
        <v>1</v>
      </c>
      <c r="EJ232" t="b">
        <f>AND(DATA!R1909,"AAAAACzf54s=")</f>
        <v>1</v>
      </c>
      <c r="EK232" t="b">
        <f>AND(DATA!S1909,"AAAAACzf54w=")</f>
        <v>1</v>
      </c>
      <c r="EL232" t="b">
        <f>AND(DATA!T1909,"AAAAACzf540=")</f>
        <v>1</v>
      </c>
      <c r="EM232">
        <f>IF(DATA!1909:1909,"AAAAACzf544=",0)</f>
        <v>0</v>
      </c>
      <c r="EN232" t="e">
        <f>AND(DATA!A1909,"AAAAACzf548=")</f>
        <v>#VALUE!</v>
      </c>
      <c r="EO232" t="e">
        <f>AND(DATA!B1909,"AAAAACzf55A=")</f>
        <v>#VALUE!</v>
      </c>
      <c r="EP232" t="e">
        <f>AND(DATA!C1909,"AAAAACzf55E=")</f>
        <v>#VALUE!</v>
      </c>
      <c r="EQ232" t="e">
        <f>AND(DATA!D1909,"AAAAACzf55I=")</f>
        <v>#VALUE!</v>
      </c>
      <c r="ER232" t="e">
        <f>AND(DATA!E1909,"AAAAACzf55M=")</f>
        <v>#VALUE!</v>
      </c>
      <c r="ES232" t="e">
        <f>AND(DATA!F1909,"AAAAACzf55Q=")</f>
        <v>#VALUE!</v>
      </c>
      <c r="ET232" t="e">
        <f>AND(DATA!G1909,"AAAAACzf55U=")</f>
        <v>#VALUE!</v>
      </c>
      <c r="EU232" t="e">
        <f>AND(DATA!H1909,"AAAAACzf55Y=")</f>
        <v>#VALUE!</v>
      </c>
      <c r="EV232" t="e">
        <f>AND(DATA!I1909,"AAAAACzf55c=")</f>
        <v>#VALUE!</v>
      </c>
      <c r="EW232" t="e">
        <f>AND(DATA!J1909,"AAAAACzf55g=")</f>
        <v>#VALUE!</v>
      </c>
      <c r="EX232" t="e">
        <f>AND(DATA!K1909,"AAAAACzf55k=")</f>
        <v>#VALUE!</v>
      </c>
      <c r="EY232" t="b">
        <f>AND(DATA!L1910,"AAAAACzf55o=")</f>
        <v>1</v>
      </c>
      <c r="EZ232" t="b">
        <f>AND(DATA!M1910,"AAAAACzf55s=")</f>
        <v>1</v>
      </c>
      <c r="FA232" t="b">
        <f>AND(DATA!N1910,"AAAAACzf55w=")</f>
        <v>1</v>
      </c>
      <c r="FB232" t="b">
        <f>AND(DATA!O1910,"AAAAACzf550=")</f>
        <v>1</v>
      </c>
      <c r="FC232" t="b">
        <f>AND(DATA!P1910,"AAAAACzf554=")</f>
        <v>1</v>
      </c>
      <c r="FD232" t="b">
        <f>AND(DATA!Q1910,"AAAAACzf558=")</f>
        <v>1</v>
      </c>
      <c r="FE232" t="b">
        <f>AND(DATA!R1910,"AAAAACzf56A=")</f>
        <v>1</v>
      </c>
      <c r="FF232" t="b">
        <f>AND(DATA!S1910,"AAAAACzf56E=")</f>
        <v>1</v>
      </c>
      <c r="FG232" t="b">
        <f>AND(DATA!T1910,"AAAAACzf56I=")</f>
        <v>1</v>
      </c>
      <c r="FH232">
        <f>IF(DATA!1910:1910,"AAAAACzf56M=",0)</f>
        <v>0</v>
      </c>
      <c r="FI232" t="e">
        <f>AND(DATA!A1910,"AAAAACzf56Q=")</f>
        <v>#VALUE!</v>
      </c>
      <c r="FJ232" t="e">
        <f>AND(DATA!B1910,"AAAAACzf56U=")</f>
        <v>#VALUE!</v>
      </c>
      <c r="FK232" t="e">
        <f>AND(DATA!C1910,"AAAAACzf56Y=")</f>
        <v>#VALUE!</v>
      </c>
      <c r="FL232" t="e">
        <f>AND(DATA!D1910,"AAAAACzf56c=")</f>
        <v>#VALUE!</v>
      </c>
      <c r="FM232" t="e">
        <f>AND(DATA!E1910,"AAAAACzf56g=")</f>
        <v>#VALUE!</v>
      </c>
      <c r="FN232" t="e">
        <f>AND(DATA!F1910,"AAAAACzf56k=")</f>
        <v>#VALUE!</v>
      </c>
      <c r="FO232" t="e">
        <f>AND(DATA!G1910,"AAAAACzf56o=")</f>
        <v>#VALUE!</v>
      </c>
      <c r="FP232" t="e">
        <f>AND(DATA!H1910,"AAAAACzf56s=")</f>
        <v>#VALUE!</v>
      </c>
      <c r="FQ232" t="e">
        <f>AND(DATA!I1910,"AAAAACzf56w=")</f>
        <v>#VALUE!</v>
      </c>
      <c r="FR232" t="e">
        <f>AND(DATA!J1910,"AAAAACzf560=")</f>
        <v>#VALUE!</v>
      </c>
      <c r="FS232" t="e">
        <f>AND(DATA!K1910,"AAAAACzf564=")</f>
        <v>#VALUE!</v>
      </c>
      <c r="FT232" t="b">
        <f>AND(DATA!L1911,"AAAAACzf568=")</f>
        <v>1</v>
      </c>
      <c r="FU232" t="b">
        <f>AND(DATA!M1911,"AAAAACzf57A=")</f>
        <v>1</v>
      </c>
      <c r="FV232" t="b">
        <f>AND(DATA!N1911,"AAAAACzf57E=")</f>
        <v>1</v>
      </c>
      <c r="FW232" t="b">
        <f>AND(DATA!O1911,"AAAAACzf57I=")</f>
        <v>1</v>
      </c>
      <c r="FX232" t="b">
        <f>AND(DATA!P1911,"AAAAACzf57M=")</f>
        <v>1</v>
      </c>
      <c r="FY232" t="b">
        <f>AND(DATA!Q1911,"AAAAACzf57Q=")</f>
        <v>1</v>
      </c>
      <c r="FZ232" t="b">
        <f>AND(DATA!R1911,"AAAAACzf57U=")</f>
        <v>1</v>
      </c>
      <c r="GA232" t="b">
        <f>AND(DATA!S1911,"AAAAACzf57Y=")</f>
        <v>1</v>
      </c>
      <c r="GB232" t="b">
        <f>AND(DATA!T1911,"AAAAACzf57c=")</f>
        <v>1</v>
      </c>
      <c r="GC232">
        <f>IF(DATA!A:A,"AAAAACzf57g=",0)</f>
        <v>0</v>
      </c>
      <c r="GD232">
        <f>IF(DATA!B:B,"AAAAACzf57k=",0)</f>
        <v>0</v>
      </c>
      <c r="GE232">
        <f>IF(DATA!C:C,"AAAAACzf57o=",0)</f>
        <v>0</v>
      </c>
      <c r="GF232">
        <f>IF(DATA!D:D,"AAAAACzf57s=",0)</f>
        <v>0</v>
      </c>
      <c r="GG232">
        <f>IF(DATA!E:E,"AAAAACzf57w=",0)</f>
        <v>0</v>
      </c>
      <c r="GH232">
        <f>IF(DATA!F:F,"AAAAACzf570=",0)</f>
        <v>0</v>
      </c>
      <c r="GI232">
        <f>IF(DATA!G:G,"AAAAACzf574=",0)</f>
        <v>0</v>
      </c>
      <c r="GJ232">
        <f>IF(DATA!H:H,"AAAAACzf578=",0)</f>
        <v>0</v>
      </c>
      <c r="GK232">
        <f>IF(DATA!I:I,"AAAAACzf58A=",0)</f>
        <v>0</v>
      </c>
      <c r="GL232">
        <f>IF(DATA!J:J,"AAAAACzf58E=",0)</f>
        <v>0</v>
      </c>
      <c r="GM232">
        <f>IF(DATA!K:K,"AAAAACzf58I=",0)</f>
        <v>0</v>
      </c>
      <c r="GN232" t="str">
        <f>IF(DATA!L:L,"AAAAACzf58M=",0)</f>
        <v>AAAAACzf58M=</v>
      </c>
      <c r="GO232" t="str">
        <f>IF(DATA!M:M,"AAAAACzf58Q=",0)</f>
        <v>AAAAACzf58Q=</v>
      </c>
      <c r="GP232" t="str">
        <f>IF(DATA!N:N,"AAAAACzf58U=",0)</f>
        <v>AAAAACzf58U=</v>
      </c>
      <c r="GQ232" t="str">
        <f>IF(DATA!O:O,"AAAAACzf58Y=",0)</f>
        <v>AAAAACzf58Y=</v>
      </c>
      <c r="GR232" t="str">
        <f>IF(DATA!P:P,"AAAAACzf58c=",0)</f>
        <v>AAAAACzf58c=</v>
      </c>
      <c r="GS232" t="str">
        <f>IF(DATA!Q:Q,"AAAAACzf58g=",0)</f>
        <v>AAAAACzf58g=</v>
      </c>
      <c r="GT232" t="str">
        <f>IF(DATA!R:R,"AAAAACzf58k=",0)</f>
        <v>AAAAACzf58k=</v>
      </c>
      <c r="GU232" t="str">
        <f>IF(DATA!S:S,"AAAAACzf58o=",0)</f>
        <v>AAAAACzf58o=</v>
      </c>
      <c r="GV232" t="str">
        <f>IF(DATA!T:T,"AAAAACzf58s=",0)</f>
        <v>AAAAACzf58s=</v>
      </c>
      <c r="GW232" t="str">
        <f>IF(DATA!U:U,"AAAAACzf58w=",0)</f>
        <v>AAAAACzf58w=</v>
      </c>
      <c r="GX232" t="str">
        <f>IF(DATA!V:V,"AAAAACzf580=",0)</f>
        <v>AAAAACzf580=</v>
      </c>
      <c r="GY232">
        <f>IF(DATA!W:W,"AAAAACzf584=",0)</f>
        <v>0</v>
      </c>
      <c r="GZ232">
        <f>IF(DATA!X:X,"AAAAACzf588=",0)</f>
        <v>0</v>
      </c>
      <c r="HA232">
        <f>IF(DATA!Y:Y,"AAAAACzf59A=",0)</f>
        <v>0</v>
      </c>
      <c r="HB232" t="e">
        <f>IF(#REF!,"AAAAACzf59E=",0)</f>
        <v>#REF!</v>
      </c>
      <c r="HC232" t="e">
        <f>AND(#REF!,"AAAAACzf59I=")</f>
        <v>#REF!</v>
      </c>
      <c r="HD232" t="e">
        <f>AND(#REF!,"AAAAACzf59M=")</f>
        <v>#REF!</v>
      </c>
      <c r="HE232" t="e">
        <f>AND(#REF!,"AAAAACzf59Q=")</f>
        <v>#REF!</v>
      </c>
      <c r="HF232" t="e">
        <f>AND(#REF!,"AAAAACzf59U=")</f>
        <v>#REF!</v>
      </c>
      <c r="HG232" t="e">
        <f>AND(#REF!,"AAAAACzf59Y=")</f>
        <v>#REF!</v>
      </c>
      <c r="HH232" t="e">
        <f>AND(#REF!,"AAAAACzf59c=")</f>
        <v>#REF!</v>
      </c>
      <c r="HI232" t="e">
        <f>AND(#REF!,"AAAAACzf59g=")</f>
        <v>#REF!</v>
      </c>
      <c r="HJ232" t="e">
        <f>AND(#REF!,"AAAAACzf59k=")</f>
        <v>#REF!</v>
      </c>
      <c r="HK232" t="e">
        <f>AND(#REF!,"AAAAACzf59o=")</f>
        <v>#REF!</v>
      </c>
      <c r="HL232" t="e">
        <f>AND(#REF!,"AAAAACzf59s=")</f>
        <v>#REF!</v>
      </c>
      <c r="HM232" t="e">
        <f>AND(#REF!,"AAAAACzf59w=")</f>
        <v>#REF!</v>
      </c>
      <c r="HN232" t="e">
        <f>AND(#REF!,"AAAAACzf590=")</f>
        <v>#REF!</v>
      </c>
      <c r="HO232" t="e">
        <f>AND(#REF!,"AAAAACzf594=")</f>
        <v>#REF!</v>
      </c>
      <c r="HP232" t="e">
        <f>AND(#REF!,"AAAAACzf598=")</f>
        <v>#REF!</v>
      </c>
      <c r="HQ232" t="e">
        <f>AND(#REF!,"AAAAACzf5+A=")</f>
        <v>#REF!</v>
      </c>
      <c r="HR232" t="e">
        <f>AND(#REF!,"AAAAACzf5+E=")</f>
        <v>#REF!</v>
      </c>
      <c r="HS232" t="e">
        <f>AND(#REF!,"AAAAACzf5+I=")</f>
        <v>#REF!</v>
      </c>
      <c r="HT232" t="e">
        <f>AND(#REF!,"AAAAACzf5+M=")</f>
        <v>#REF!</v>
      </c>
      <c r="HU232" t="e">
        <f>AND(#REF!,"AAAAACzf5+Q=")</f>
        <v>#REF!</v>
      </c>
      <c r="HV232" t="e">
        <f>AND(#REF!,"AAAAACzf5+U=")</f>
        <v>#REF!</v>
      </c>
      <c r="HW232" t="e">
        <f>AND(#REF!,"AAAAACzf5+Y=")</f>
        <v>#REF!</v>
      </c>
      <c r="HX232" t="e">
        <f>AND(#REF!,"AAAAACzf5+c=")</f>
        <v>#REF!</v>
      </c>
      <c r="HY232" t="e">
        <f>AND(#REF!,"AAAAACzf5+g=")</f>
        <v>#REF!</v>
      </c>
      <c r="HZ232" t="e">
        <f>AND(#REF!,"AAAAACzf5+k=")</f>
        <v>#REF!</v>
      </c>
      <c r="IA232" t="e">
        <f>AND(#REF!,"AAAAACzf5+o=")</f>
        <v>#REF!</v>
      </c>
      <c r="IB232" t="e">
        <f>AND(#REF!,"AAAAACzf5+s=")</f>
        <v>#REF!</v>
      </c>
      <c r="IC232" t="e">
        <f>AND(#REF!,"AAAAACzf5+w=")</f>
        <v>#REF!</v>
      </c>
      <c r="ID232" t="e">
        <f>AND(#REF!,"AAAAACzf5+0=")</f>
        <v>#REF!</v>
      </c>
      <c r="IE232" t="e">
        <f>AND(#REF!,"AAAAACzf5+4=")</f>
        <v>#REF!</v>
      </c>
      <c r="IF232" t="e">
        <f>AND(#REF!,"AAAAACzf5+8=")</f>
        <v>#REF!</v>
      </c>
      <c r="IG232" t="e">
        <f>AND(#REF!,"AAAAACzf5/A=")</f>
        <v>#REF!</v>
      </c>
      <c r="IH232" t="e">
        <f>AND(#REF!,"AAAAACzf5/E=")</f>
        <v>#REF!</v>
      </c>
      <c r="II232" t="e">
        <f>AND(#REF!,"AAAAACzf5/I=")</f>
        <v>#REF!</v>
      </c>
      <c r="IJ232" t="e">
        <f>AND(#REF!,"AAAAACzf5/M=")</f>
        <v>#REF!</v>
      </c>
      <c r="IK232" t="e">
        <f>AND(#REF!,"AAAAACzf5/Q=")</f>
        <v>#REF!</v>
      </c>
      <c r="IL232" t="e">
        <f>AND(#REF!,"AAAAACzf5/U=")</f>
        <v>#REF!</v>
      </c>
      <c r="IM232" t="e">
        <f>IF(#REF!,"AAAAACzf5/Y=",0)</f>
        <v>#REF!</v>
      </c>
      <c r="IN232" t="e">
        <f>AND(#REF!,"AAAAACzf5/c=")</f>
        <v>#REF!</v>
      </c>
      <c r="IO232" t="e">
        <f>AND(#REF!,"AAAAACzf5/g=")</f>
        <v>#REF!</v>
      </c>
      <c r="IP232" t="e">
        <f>AND(#REF!,"AAAAACzf5/k=")</f>
        <v>#REF!</v>
      </c>
      <c r="IQ232" t="e">
        <f>AND(#REF!,"AAAAACzf5/o=")</f>
        <v>#REF!</v>
      </c>
      <c r="IR232" t="e">
        <f>AND(#REF!,"AAAAACzf5/s=")</f>
        <v>#REF!</v>
      </c>
      <c r="IS232" t="e">
        <f>AND(#REF!,"AAAAACzf5/w=")</f>
        <v>#REF!</v>
      </c>
      <c r="IT232" t="e">
        <f>AND(#REF!,"AAAAACzf5/0=")</f>
        <v>#REF!</v>
      </c>
      <c r="IU232" t="e">
        <f>AND(#REF!,"AAAAACzf5/4=")</f>
        <v>#REF!</v>
      </c>
      <c r="IV232" t="e">
        <f>AND(#REF!,"AAAAACzf5/8=")</f>
        <v>#REF!</v>
      </c>
    </row>
    <row r="233" spans="1:256" x14ac:dyDescent="0.25">
      <c r="A233" t="e">
        <f>AND(#REF!,"AAAAAH3tJQA=")</f>
        <v>#REF!</v>
      </c>
      <c r="B233" t="e">
        <f>AND(#REF!,"AAAAAH3tJQE=")</f>
        <v>#REF!</v>
      </c>
      <c r="C233" t="e">
        <f>AND(#REF!,"AAAAAH3tJQI=")</f>
        <v>#REF!</v>
      </c>
      <c r="D233" t="e">
        <f>AND(#REF!,"AAAAAH3tJQM=")</f>
        <v>#REF!</v>
      </c>
      <c r="E233" t="e">
        <f>AND(#REF!,"AAAAAH3tJQQ=")</f>
        <v>#REF!</v>
      </c>
      <c r="F233" t="e">
        <f>AND(#REF!,"AAAAAH3tJQU=")</f>
        <v>#REF!</v>
      </c>
      <c r="G233" t="e">
        <f>AND(#REF!,"AAAAAH3tJQY=")</f>
        <v>#REF!</v>
      </c>
      <c r="H233" t="e">
        <f>AND(#REF!,"AAAAAH3tJQc=")</f>
        <v>#REF!</v>
      </c>
      <c r="I233" t="e">
        <f>AND(#REF!,"AAAAAH3tJQg=")</f>
        <v>#REF!</v>
      </c>
      <c r="J233" t="e">
        <f>AND(#REF!,"AAAAAH3tJQk=")</f>
        <v>#REF!</v>
      </c>
      <c r="K233" t="e">
        <f>AND(#REF!,"AAAAAH3tJQo=")</f>
        <v>#REF!</v>
      </c>
      <c r="L233" t="e">
        <f>AND(#REF!,"AAAAAH3tJQs=")</f>
        <v>#REF!</v>
      </c>
      <c r="M233" t="e">
        <f>AND(#REF!,"AAAAAH3tJQw=")</f>
        <v>#REF!</v>
      </c>
      <c r="N233" t="e">
        <f>AND(#REF!,"AAAAAH3tJQ0=")</f>
        <v>#REF!</v>
      </c>
      <c r="O233" t="e">
        <f>AND(#REF!,"AAAAAH3tJQ4=")</f>
        <v>#REF!</v>
      </c>
      <c r="P233" t="e">
        <f>AND(#REF!,"AAAAAH3tJQ8=")</f>
        <v>#REF!</v>
      </c>
      <c r="Q233" t="e">
        <f>AND(#REF!,"AAAAAH3tJRA=")</f>
        <v>#REF!</v>
      </c>
      <c r="R233" t="e">
        <f>AND(#REF!,"AAAAAH3tJRE=")</f>
        <v>#REF!</v>
      </c>
      <c r="S233" t="e">
        <f>AND(#REF!,"AAAAAH3tJRI=")</f>
        <v>#REF!</v>
      </c>
      <c r="T233" t="e">
        <f>AND(#REF!,"AAAAAH3tJRM=")</f>
        <v>#REF!</v>
      </c>
      <c r="U233" t="e">
        <f>AND(#REF!,"AAAAAH3tJRQ=")</f>
        <v>#REF!</v>
      </c>
      <c r="V233" t="e">
        <f>AND(#REF!,"AAAAAH3tJRU=")</f>
        <v>#REF!</v>
      </c>
      <c r="W233" t="e">
        <f>AND(#REF!,"AAAAAH3tJRY=")</f>
        <v>#REF!</v>
      </c>
      <c r="X233" t="e">
        <f>AND(#REF!,"AAAAAH3tJRc=")</f>
        <v>#REF!</v>
      </c>
      <c r="Y233" t="e">
        <f>AND(#REF!,"AAAAAH3tJRg=")</f>
        <v>#REF!</v>
      </c>
      <c r="Z233" t="e">
        <f>AND(#REF!,"AAAAAH3tJRk=")</f>
        <v>#REF!</v>
      </c>
      <c r="AA233" t="e">
        <f>AND(#REF!,"AAAAAH3tJRo=")</f>
        <v>#REF!</v>
      </c>
      <c r="AB233" t="e">
        <f>IF(#REF!,"AAAAAH3tJRs=",0)</f>
        <v>#REF!</v>
      </c>
      <c r="AC233" t="e">
        <f>IF(#REF!,"AAAAAH3tJRw=",0)</f>
        <v>#REF!</v>
      </c>
      <c r="AD233" t="e">
        <f>IF(#REF!,"AAAAAH3tJR0=",0)</f>
        <v>#REF!</v>
      </c>
      <c r="AE233" t="e">
        <f>IF(#REF!,"AAAAAH3tJR4=",0)</f>
        <v>#REF!</v>
      </c>
      <c r="AF233" t="e">
        <f>IF(#REF!,"AAAAAH3tJR8=",0)</f>
        <v>#REF!</v>
      </c>
      <c r="AG233" t="e">
        <f>IF(#REF!,"AAAAAH3tJSA=",0)</f>
        <v>#REF!</v>
      </c>
      <c r="AH233" t="e">
        <f>IF(#REF!,"AAAAAH3tJSE=",0)</f>
        <v>#REF!</v>
      </c>
      <c r="AI233" t="e">
        <f>IF(#REF!,"AAAAAH3tJSI=",0)</f>
        <v>#REF!</v>
      </c>
      <c r="AJ233" t="e">
        <f>IF(#REF!,"AAAAAH3tJSM=",0)</f>
        <v>#REF!</v>
      </c>
      <c r="AK233" t="e">
        <f>IF(#REF!,"AAAAAH3tJSQ=",0)</f>
        <v>#REF!</v>
      </c>
      <c r="AL233" t="e">
        <f>IF(#REF!,"AAAAAH3tJSU=",0)</f>
        <v>#REF!</v>
      </c>
      <c r="AM233" t="e">
        <f>IF(#REF!,"AAAAAH3tJSY=",0)</f>
        <v>#REF!</v>
      </c>
      <c r="AN233" t="e">
        <f>IF(#REF!,"AAAAAH3tJSc=",0)</f>
        <v>#REF!</v>
      </c>
      <c r="AO233" t="e">
        <f>IF(#REF!,"AAAAAH3tJSg=",0)</f>
        <v>#REF!</v>
      </c>
      <c r="AP233" t="e">
        <f>IF(#REF!,"AAAAAH3tJSk=",0)</f>
        <v>#REF!</v>
      </c>
      <c r="AQ233" t="e">
        <f>IF(#REF!,"AAAAAH3tJSo=",0)</f>
        <v>#REF!</v>
      </c>
      <c r="AR233" t="e">
        <f>IF(#REF!,"AAAAAH3tJSs=",0)</f>
        <v>#REF!</v>
      </c>
      <c r="AS233" t="e">
        <f>IF(#REF!,"AAAAAH3tJSw=",0)</f>
        <v>#REF!</v>
      </c>
      <c r="AT233" t="e">
        <f>IF(#REF!,"AAAAAH3tJS0=",0)</f>
        <v>#REF!</v>
      </c>
      <c r="AU233" t="e">
        <f>IF(#REF!,"AAAAAH3tJS4=",0)</f>
        <v>#REF!</v>
      </c>
      <c r="AV233" t="e">
        <f>IF(#REF!,"AAAAAH3tJS8=",0)</f>
        <v>#REF!</v>
      </c>
      <c r="AW233" t="e">
        <f>IF(#REF!,"AAAAAH3tJTA=",0)</f>
        <v>#REF!</v>
      </c>
      <c r="AX233" t="e">
        <f>IF(#REF!,"AAAAAH3tJTE=",0)</f>
        <v>#REF!</v>
      </c>
      <c r="AY233" t="e">
        <f>IF(#REF!,"AAAAAH3tJTI=",0)</f>
        <v>#REF!</v>
      </c>
      <c r="AZ233" t="e">
        <f>IF(#REF!,"AAAAAH3tJTM=",0)</f>
        <v>#REF!</v>
      </c>
      <c r="BA233" t="e">
        <f>IF(#REF!,"AAAAAH3tJTQ=",0)</f>
        <v>#REF!</v>
      </c>
      <c r="BB233" t="e">
        <f>IF(#REF!,"AAAAAH3tJTU=",0)</f>
        <v>#REF!</v>
      </c>
      <c r="BC233" t="e">
        <f>IF(#REF!,"AAAAAH3tJTY=",0)</f>
        <v>#REF!</v>
      </c>
      <c r="BD233" t="e">
        <f>IF(#REF!,"AAAAAH3tJTc=",0)</f>
        <v>#REF!</v>
      </c>
      <c r="BE233" t="e">
        <f>IF(#REF!,"AAAAAH3tJTg=",0)</f>
        <v>#REF!</v>
      </c>
      <c r="BF233" t="e">
        <f>IF(#REF!,"AAAAAH3tJTk=",0)</f>
        <v>#REF!</v>
      </c>
      <c r="BG233" t="e">
        <f>IF(#REF!,"AAAAAH3tJTo=",0)</f>
        <v>#REF!</v>
      </c>
      <c r="BH233" t="e">
        <f>IF(#REF!,"AAAAAH3tJTs=",0)</f>
        <v>#REF!</v>
      </c>
      <c r="BI233" t="e">
        <f>IF(#REF!,"AAAAAH3tJTw=",0)</f>
        <v>#REF!</v>
      </c>
      <c r="BJ233" t="e">
        <f>IF(#REF!,"AAAAAH3tJT0=",0)</f>
        <v>#REF!</v>
      </c>
      <c r="BK233" t="e">
        <f>IF(#REF!,"AAAAAH3tJT4=",0)</f>
        <v>#REF!</v>
      </c>
      <c r="BL233" t="e">
        <f>IF(#REF!,"AAAAAH3tJT8=",0)</f>
        <v>#REF!</v>
      </c>
      <c r="BM233" t="e">
        <f>IF(#REF!,"AAAAAH3tJUA=",0)</f>
        <v>#REF!</v>
      </c>
      <c r="BN233" t="e">
        <f>IF(#REF!,"AAAAAH3tJUE=",0)</f>
        <v>#REF!</v>
      </c>
      <c r="BO233" t="e">
        <f>IF(#REF!,"AAAAAH3tJUI=",0)</f>
        <v>#REF!</v>
      </c>
      <c r="BP233" t="e">
        <f>IF(#REF!,"AAAAAH3tJUM=",0)</f>
        <v>#REF!</v>
      </c>
      <c r="BQ233" t="e">
        <f>IF(#REF!,"AAAAAH3tJUQ=",0)</f>
        <v>#REF!</v>
      </c>
      <c r="BR233" t="e">
        <f>IF(#REF!,"AAAAAH3tJUU=",0)</f>
        <v>#REF!</v>
      </c>
      <c r="BS233" t="e">
        <f>IF(#REF!,"AAAAAH3tJUY=",0)</f>
        <v>#REF!</v>
      </c>
      <c r="BT233" t="e">
        <f>IF(#REF!,"AAAAAH3tJUc=",0)</f>
        <v>#REF!</v>
      </c>
      <c r="BU233" t="e">
        <f>IF(#REF!,"AAAAAH3tJUg=",0)</f>
        <v>#REF!</v>
      </c>
      <c r="BV233" t="e">
        <f>IF(#REF!,"AAAAAH3tJUk=",0)</f>
        <v>#REF!</v>
      </c>
      <c r="BW233" t="e">
        <f>IF(#REF!,"AAAAAH3tJUo=",0)</f>
        <v>#REF!</v>
      </c>
      <c r="BX233" t="e">
        <f>IF(#REF!,"AAAAAH3tJUs=",0)</f>
        <v>#REF!</v>
      </c>
      <c r="BY233" t="e">
        <f>IF(#REF!,"AAAAAH3tJUw=",0)</f>
        <v>#REF!</v>
      </c>
      <c r="BZ233" t="e">
        <f>IF(#REF!,"AAAAAH3tJU0=",0)</f>
        <v>#REF!</v>
      </c>
      <c r="CA233" t="e">
        <f>IF(#REF!,"AAAAAH3tJU4=",0)</f>
        <v>#REF!</v>
      </c>
      <c r="CB233" t="e">
        <f>IF(#REF!,"AAAAAH3tJU8=",0)</f>
        <v>#REF!</v>
      </c>
      <c r="CC233" t="e">
        <f>IF(#REF!,"AAAAAH3tJVA=",0)</f>
        <v>#REF!</v>
      </c>
      <c r="CD233" t="e">
        <f>IF(#REF!,"AAAAAH3tJVE=",0)</f>
        <v>#REF!</v>
      </c>
      <c r="CE233" t="e">
        <f>IF(#REF!,"AAAAAH3tJVI=",0)</f>
        <v>#REF!</v>
      </c>
      <c r="CF233" t="e">
        <f>IF(#REF!,"AAAAAH3tJVM=",0)</f>
        <v>#REF!</v>
      </c>
      <c r="CG233" t="e">
        <f>IF(#REF!,"AAAAAH3tJVQ=",0)</f>
        <v>#REF!</v>
      </c>
      <c r="CH233" t="e">
        <f>IF(#REF!,"AAAAAH3tJVU=",0)</f>
        <v>#REF!</v>
      </c>
      <c r="CI233" t="e">
        <f>IF(#REF!,"AAAAAH3tJVY=",0)</f>
        <v>#REF!</v>
      </c>
      <c r="CJ233" t="e">
        <f>IF(#REF!,"AAAAAH3tJVc=",0)</f>
        <v>#REF!</v>
      </c>
      <c r="CK233" t="e">
        <f>IF(#REF!,"AAAAAH3tJVg=",0)</f>
        <v>#REF!</v>
      </c>
      <c r="CL233" t="e">
        <f>IF(#REF!,"AAAAAH3tJVk=",0)</f>
        <v>#REF!</v>
      </c>
      <c r="CM233" t="e">
        <f>IF(#REF!,"AAAAAH3tJVo=",0)</f>
        <v>#REF!</v>
      </c>
      <c r="CN233" t="e">
        <f>IF(#REF!,"AAAAAH3tJVs=",0)</f>
        <v>#REF!</v>
      </c>
      <c r="CO233" t="e">
        <f>IF(#REF!,"AAAAAH3tJVw=",0)</f>
        <v>#REF!</v>
      </c>
      <c r="CP233" t="e">
        <f>IF(#REF!,"AAAAAH3tJV0=",0)</f>
        <v>#REF!</v>
      </c>
      <c r="CQ233" t="e">
        <f>IF(#REF!,"AAAAAH3tJV4=",0)</f>
        <v>#REF!</v>
      </c>
      <c r="CR233" t="e">
        <f>IF(#REF!,"AAAAAH3tJV8=",0)</f>
        <v>#REF!</v>
      </c>
      <c r="CS233" t="e">
        <f>IF(#REF!,"AAAAAH3tJWA=",0)</f>
        <v>#REF!</v>
      </c>
      <c r="CT233" t="e">
        <f>IF(#REF!,"AAAAAH3tJWE=",0)</f>
        <v>#REF!</v>
      </c>
      <c r="CU233" t="e">
        <f>IF(#REF!,"AAAAAH3tJWI=",0)</f>
        <v>#REF!</v>
      </c>
      <c r="CV233" t="e">
        <f>IF(#REF!,"AAAAAH3tJWM=",0)</f>
        <v>#REF!</v>
      </c>
      <c r="CW233" t="e">
        <f>IF(#REF!,"AAAAAH3tJWQ=",0)</f>
        <v>#REF!</v>
      </c>
      <c r="CX233" t="e">
        <f>IF(#REF!,"AAAAAH3tJWU=",0)</f>
        <v>#REF!</v>
      </c>
      <c r="CY233" t="e">
        <f>IF(#REF!,"AAAAAH3tJWY=",0)</f>
        <v>#REF!</v>
      </c>
      <c r="CZ233" t="e">
        <f>IF(#REF!,"AAAAAH3tJWc=",0)</f>
        <v>#REF!</v>
      </c>
      <c r="DA233" t="e">
        <f>IF(#REF!,"AAAAAH3tJWg=",0)</f>
        <v>#REF!</v>
      </c>
      <c r="DB233" t="e">
        <f>IF(#REF!,"AAAAAH3tJWk=",0)</f>
        <v>#REF!</v>
      </c>
      <c r="DC233" t="e">
        <f>IF(#REF!,"AAAAAH3tJWo=",0)</f>
        <v>#REF!</v>
      </c>
      <c r="DD233" t="e">
        <f>IF(#REF!,"AAAAAH3tJWs=",0)</f>
        <v>#REF!</v>
      </c>
      <c r="DE233" t="e">
        <f>IF(#REF!,"AAAAAH3tJWw=",0)</f>
        <v>#REF!</v>
      </c>
      <c r="DF233" t="e">
        <f>IF(#REF!,"AAAAAH3tJW0=",0)</f>
        <v>#REF!</v>
      </c>
      <c r="DG233" t="e">
        <f>IF(#REF!,"AAAAAH3tJW4=",0)</f>
        <v>#REF!</v>
      </c>
      <c r="DH233" t="e">
        <f>IF(#REF!,"AAAAAH3tJW8=",0)</f>
        <v>#REF!</v>
      </c>
      <c r="DI233" t="e">
        <f>IF(#REF!,"AAAAAH3tJXA=",0)</f>
        <v>#REF!</v>
      </c>
      <c r="DJ233" t="e">
        <f>IF(#REF!,"AAAAAH3tJXE=",0)</f>
        <v>#REF!</v>
      </c>
      <c r="DK233" t="e">
        <f>IF(#REF!,"AAAAAH3tJXI=",0)</f>
        <v>#REF!</v>
      </c>
      <c r="DL233" t="e">
        <f>IF(#REF!,"AAAAAH3tJXM=",0)</f>
        <v>#REF!</v>
      </c>
      <c r="DM233" t="e">
        <f>IF(#REF!,"AAAAAH3tJXQ=",0)</f>
        <v>#REF!</v>
      </c>
      <c r="DN233" t="e">
        <f>IF(#REF!,"AAAAAH3tJXU=",0)</f>
        <v>#REF!</v>
      </c>
      <c r="DO233" t="e">
        <f>IF(#REF!,"AAAAAH3tJXY=",0)</f>
        <v>#REF!</v>
      </c>
      <c r="DP233" t="e">
        <f>IF(#REF!,"AAAAAH3tJXc=",0)</f>
        <v>#REF!</v>
      </c>
      <c r="DQ233" t="e">
        <f>IF(#REF!,"AAAAAH3tJXg=",0)</f>
        <v>#REF!</v>
      </c>
      <c r="DR233" t="e">
        <f>IF(#REF!,"AAAAAH3tJXk=",0)</f>
        <v>#REF!</v>
      </c>
      <c r="DS233" t="e">
        <f>IF(#REF!,"AAAAAH3tJXo=",0)</f>
        <v>#REF!</v>
      </c>
      <c r="DT233" t="e">
        <f>IF(#REF!,"AAAAAH3tJXs=",0)</f>
        <v>#REF!</v>
      </c>
      <c r="DU233" t="e">
        <f>IF(#REF!,"AAAAAH3tJXw=",0)</f>
        <v>#REF!</v>
      </c>
      <c r="DV233" t="e">
        <f>IF(#REF!,"AAAAAH3tJX0=",0)</f>
        <v>#REF!</v>
      </c>
      <c r="DW233" t="e">
        <f>IF(#REF!,"AAAAAH3tJX4=",0)</f>
        <v>#REF!</v>
      </c>
      <c r="DX233" t="e">
        <f>IF(#REF!,"AAAAAH3tJX8=",0)</f>
        <v>#REF!</v>
      </c>
      <c r="DY233" t="e">
        <f>IF(#REF!,"AAAAAH3tJYA=",0)</f>
        <v>#REF!</v>
      </c>
      <c r="DZ233" t="e">
        <f>IF(#REF!,"AAAAAH3tJYE=",0)</f>
        <v>#REF!</v>
      </c>
      <c r="EA233" t="e">
        <f>IF(#REF!,"AAAAAH3tJYI=",0)</f>
        <v>#REF!</v>
      </c>
      <c r="EB233" t="e">
        <f>IF(#REF!,"AAAAAH3tJYM=",0)</f>
        <v>#REF!</v>
      </c>
      <c r="EC233" t="e">
        <f>IF(#REF!,"AAAAAH3tJYQ=",0)</f>
        <v>#REF!</v>
      </c>
      <c r="ED233" t="e">
        <f>IF(#REF!,"AAAAAH3tJYU=",0)</f>
        <v>#REF!</v>
      </c>
      <c r="EE233" t="e">
        <f>IF(#REF!,"AAAAAH3tJYY=",0)</f>
        <v>#REF!</v>
      </c>
      <c r="EF233" t="e">
        <f>IF(#REF!,"AAAAAH3tJYc=",0)</f>
        <v>#REF!</v>
      </c>
      <c r="EG233" t="e">
        <f>IF(#REF!,"AAAAAH3tJYg=",0)</f>
        <v>#REF!</v>
      </c>
      <c r="EH233" t="e">
        <f>IF(#REF!,"AAAAAH3tJYk=",0)</f>
        <v>#REF!</v>
      </c>
      <c r="EI233" t="e">
        <f>IF(#REF!,"AAAAAH3tJYo=",0)</f>
        <v>#REF!</v>
      </c>
      <c r="EJ233" t="e">
        <f>IF(#REF!,"AAAAAH3tJYs=",0)</f>
        <v>#REF!</v>
      </c>
      <c r="EK233" t="e">
        <f>IF(#REF!,"AAAAAH3tJYw=",0)</f>
        <v>#REF!</v>
      </c>
      <c r="EL233" t="e">
        <f>IF(#REF!,"AAAAAH3tJY0=",0)</f>
        <v>#REF!</v>
      </c>
      <c r="EM233" t="e">
        <f>IF(#REF!,"AAAAAH3tJY4=",0)</f>
        <v>#REF!</v>
      </c>
      <c r="EN233" t="e">
        <f>IF(#REF!,"AAAAAH3tJY8=",0)</f>
        <v>#REF!</v>
      </c>
      <c r="EO233" t="e">
        <f>IF(#REF!,"AAAAAH3tJZA=",0)</f>
        <v>#REF!</v>
      </c>
      <c r="EP233" t="e">
        <f>IF(#REF!,"AAAAAH3tJZE=",0)</f>
        <v>#REF!</v>
      </c>
      <c r="EQ233" t="e">
        <f>IF(#REF!,"AAAAAH3tJZI=",0)</f>
        <v>#REF!</v>
      </c>
      <c r="ER233" t="e">
        <f>IF(#REF!,"AAAAAH3tJZM=",0)</f>
        <v>#REF!</v>
      </c>
      <c r="ES233" t="e">
        <f>IF(#REF!,"AAAAAH3tJZQ=",0)</f>
        <v>#REF!</v>
      </c>
      <c r="ET233" t="e">
        <f>IF(#REF!,"AAAAAH3tJZU=",0)</f>
        <v>#REF!</v>
      </c>
      <c r="EU233" t="e">
        <f>IF(#REF!,"AAAAAH3tJZY=",0)</f>
        <v>#REF!</v>
      </c>
      <c r="EV233" t="e">
        <f>IF(#REF!,"AAAAAH3tJZc=",0)</f>
        <v>#REF!</v>
      </c>
      <c r="EW233" t="e">
        <f>IF(#REF!,"AAAAAH3tJZg=",0)</f>
        <v>#REF!</v>
      </c>
      <c r="EX233" t="e">
        <f>IF(#REF!,"AAAAAH3tJZk=",0)</f>
        <v>#REF!</v>
      </c>
      <c r="EY233" t="e">
        <f>IF(#REF!,"AAAAAH3tJZo=",0)</f>
        <v>#REF!</v>
      </c>
      <c r="EZ233" t="e">
        <f>IF(#REF!,"AAAAAH3tJZs=",0)</f>
        <v>#REF!</v>
      </c>
      <c r="FA233" t="e">
        <f>IF(#REF!,"AAAAAH3tJZw=",0)</f>
        <v>#REF!</v>
      </c>
      <c r="FB233" t="e">
        <f>IF(#REF!,"AAAAAH3tJZ0=",0)</f>
        <v>#REF!</v>
      </c>
      <c r="FC233" t="e">
        <f>IF(#REF!,"AAAAAH3tJZ4=",0)</f>
        <v>#REF!</v>
      </c>
      <c r="FD233" t="e">
        <f>IF(#REF!,"AAAAAH3tJZ8=",0)</f>
        <v>#REF!</v>
      </c>
      <c r="FE233" t="e">
        <f>IF(#REF!,"AAAAAH3tJaA=",0)</f>
        <v>#REF!</v>
      </c>
      <c r="FF233" t="e">
        <f>IF(#REF!,"AAAAAH3tJaE=",0)</f>
        <v>#REF!</v>
      </c>
      <c r="FG233" t="e">
        <f>IF(#REF!,"AAAAAH3tJaI=",0)</f>
        <v>#REF!</v>
      </c>
      <c r="FH233" t="e">
        <f>IF(#REF!,"AAAAAH3tJaM=",0)</f>
        <v>#REF!</v>
      </c>
      <c r="FI233" t="e">
        <f>IF(#REF!,"AAAAAH3tJaQ=",0)</f>
        <v>#REF!</v>
      </c>
      <c r="FJ233" t="e">
        <f>IF(#REF!,"AAAAAH3tJaU=",0)</f>
        <v>#REF!</v>
      </c>
      <c r="FK233" t="e">
        <f>IF(#REF!,"AAAAAH3tJaY=",0)</f>
        <v>#REF!</v>
      </c>
      <c r="FL233" t="e">
        <f>IF(#REF!,"AAAAAH3tJac=",0)</f>
        <v>#REF!</v>
      </c>
      <c r="FM233" t="e">
        <f>IF(#REF!,"AAAAAH3tJag=",0)</f>
        <v>#REF!</v>
      </c>
      <c r="FN233" t="e">
        <f>IF(#REF!,"AAAAAH3tJak=",0)</f>
        <v>#REF!</v>
      </c>
      <c r="FO233" t="e">
        <f>IF(#REF!,"AAAAAH3tJao=",0)</f>
        <v>#REF!</v>
      </c>
      <c r="FP233" t="e">
        <f>IF(#REF!,"AAAAAH3tJas=",0)</f>
        <v>#REF!</v>
      </c>
      <c r="FQ233" t="e">
        <f>IF(#REF!,"AAAAAH3tJaw=",0)</f>
        <v>#REF!</v>
      </c>
      <c r="FR233" t="e">
        <f>IF(#REF!,"AAAAAH3tJa0=",0)</f>
        <v>#REF!</v>
      </c>
      <c r="FS233" t="e">
        <f>IF(#REF!,"AAAAAH3tJa4=",0)</f>
        <v>#REF!</v>
      </c>
      <c r="FT233" t="e">
        <f>IF(#REF!,"AAAAAH3tJa8=",0)</f>
        <v>#REF!</v>
      </c>
      <c r="FU233" t="e">
        <f>IF(#REF!,"AAAAAH3tJbA=",0)</f>
        <v>#REF!</v>
      </c>
      <c r="FV233" t="e">
        <f>IF(#REF!,"AAAAAH3tJbE=",0)</f>
        <v>#REF!</v>
      </c>
      <c r="FW233" t="e">
        <f>IF(#REF!,"AAAAAH3tJbI=",0)</f>
        <v>#REF!</v>
      </c>
      <c r="FX233" t="e">
        <f>IF(#REF!,"AAAAAH3tJbM=",0)</f>
        <v>#REF!</v>
      </c>
      <c r="FY233" t="e">
        <f>IF(#REF!,"AAAAAH3tJbQ=",0)</f>
        <v>#REF!</v>
      </c>
      <c r="FZ233" t="e">
        <f>IF(#REF!,"AAAAAH3tJbU=",0)</f>
        <v>#REF!</v>
      </c>
      <c r="GA233" t="e">
        <f>IF(#REF!,"AAAAAH3tJbY=",0)</f>
        <v>#REF!</v>
      </c>
      <c r="GB233" t="e">
        <f>IF(#REF!,"AAAAAH3tJbc=",0)</f>
        <v>#REF!</v>
      </c>
      <c r="GC233" t="e">
        <f>IF(#REF!,"AAAAAH3tJbg=",0)</f>
        <v>#REF!</v>
      </c>
      <c r="GD233" t="e">
        <f>IF(#REF!,"AAAAAH3tJbk=",0)</f>
        <v>#REF!</v>
      </c>
      <c r="GE233" t="e">
        <f>IF(#REF!,"AAAAAH3tJbo=",0)</f>
        <v>#REF!</v>
      </c>
      <c r="GF233" t="e">
        <f>IF(#REF!,"AAAAAH3tJbs=",0)</f>
        <v>#REF!</v>
      </c>
      <c r="GG233" t="e">
        <f>IF(#REF!,"AAAAAH3tJbw=",0)</f>
        <v>#REF!</v>
      </c>
      <c r="GH233" t="e">
        <f>IF(#REF!,"AAAAAH3tJb0=",0)</f>
        <v>#REF!</v>
      </c>
      <c r="GI233" t="e">
        <f>IF(#REF!,"AAAAAH3tJb4=",0)</f>
        <v>#REF!</v>
      </c>
      <c r="GJ233" t="e">
        <f>IF(#REF!,"AAAAAH3tJb8=",0)</f>
        <v>#REF!</v>
      </c>
      <c r="GK233" t="e">
        <f>IF(#REF!,"AAAAAH3tJcA=",0)</f>
        <v>#REF!</v>
      </c>
      <c r="GL233" t="e">
        <f>IF(#REF!,"AAAAAH3tJcE=",0)</f>
        <v>#REF!</v>
      </c>
      <c r="GM233" t="e">
        <f>IF(#REF!,"AAAAAH3tJcI=",0)</f>
        <v>#REF!</v>
      </c>
      <c r="GN233" t="e">
        <f>IF(#REF!,"AAAAAH3tJcM=",0)</f>
        <v>#REF!</v>
      </c>
      <c r="GO233" t="e">
        <f>IF(#REF!,"AAAAAH3tJcQ=",0)</f>
        <v>#REF!</v>
      </c>
      <c r="GP233" t="e">
        <f>IF(#REF!,"AAAAAH3tJcU=",0)</f>
        <v>#REF!</v>
      </c>
      <c r="GQ233" t="e">
        <f>IF(#REF!,"AAAAAH3tJcY=",0)</f>
        <v>#REF!</v>
      </c>
      <c r="GR233" t="e">
        <f>IF(#REF!,"AAAAAH3tJcc=",0)</f>
        <v>#REF!</v>
      </c>
      <c r="GS233" t="e">
        <f>IF(#REF!,"AAAAAH3tJcg=",0)</f>
        <v>#REF!</v>
      </c>
      <c r="GT233" t="e">
        <f>IF(#REF!,"AAAAAH3tJck=",0)</f>
        <v>#REF!</v>
      </c>
      <c r="GU233" t="e">
        <f>IF(#REF!,"AAAAAH3tJco=",0)</f>
        <v>#REF!</v>
      </c>
      <c r="GV233" t="e">
        <f>IF(#REF!,"AAAAAH3tJcs=",0)</f>
        <v>#REF!</v>
      </c>
      <c r="GW233" t="e">
        <f>IF(#REF!,"AAAAAH3tJcw=",0)</f>
        <v>#REF!</v>
      </c>
      <c r="GX233" t="e">
        <f>IF(#REF!,"AAAAAH3tJc0=",0)</f>
        <v>#REF!</v>
      </c>
      <c r="GY233" t="e">
        <f>IF(#REF!,"AAAAAH3tJc4=",0)</f>
        <v>#REF!</v>
      </c>
      <c r="GZ233" t="e">
        <f>IF(#REF!,"AAAAAH3tJc8=",0)</f>
        <v>#REF!</v>
      </c>
      <c r="HA233" t="e">
        <f>IF(#REF!,"AAAAAH3tJdA=",0)</f>
        <v>#REF!</v>
      </c>
      <c r="HB233" t="e">
        <f>IF(#REF!,"AAAAAH3tJdE=",0)</f>
        <v>#REF!</v>
      </c>
      <c r="HC233" t="e">
        <f>IF(#REF!,"AAAAAH3tJdI=",0)</f>
        <v>#REF!</v>
      </c>
      <c r="HD233" t="e">
        <f>IF(#REF!,"AAAAAH3tJdM=",0)</f>
        <v>#REF!</v>
      </c>
      <c r="HE233" t="e">
        <f>IF(#REF!,"AAAAAH3tJdQ=",0)</f>
        <v>#REF!</v>
      </c>
      <c r="HF233" t="e">
        <f>IF(#REF!,"AAAAAH3tJdU=",0)</f>
        <v>#REF!</v>
      </c>
      <c r="HG233" t="e">
        <f>IF(#REF!,"AAAAAH3tJdY=",0)</f>
        <v>#REF!</v>
      </c>
      <c r="HH233" t="e">
        <f>IF(#REF!,"AAAAAH3tJdc=",0)</f>
        <v>#REF!</v>
      </c>
      <c r="HI233" t="e">
        <f>IF(#REF!,"AAAAAH3tJdg=",0)</f>
        <v>#REF!</v>
      </c>
      <c r="HJ233" t="e">
        <f>IF(#REF!,"AAAAAH3tJdk=",0)</f>
        <v>#REF!</v>
      </c>
      <c r="HK233" t="e">
        <f>IF(#REF!,"AAAAAH3tJdo=",0)</f>
        <v>#REF!</v>
      </c>
      <c r="HL233" t="e">
        <f>IF(#REF!,"AAAAAH3tJds=",0)</f>
        <v>#REF!</v>
      </c>
      <c r="HM233" t="e">
        <f>IF(#REF!,"AAAAAH3tJdw=",0)</f>
        <v>#REF!</v>
      </c>
      <c r="HN233" t="e">
        <f>IF(#REF!,"AAAAAH3tJd0=",0)</f>
        <v>#REF!</v>
      </c>
      <c r="HO233" t="e">
        <f>IF(#REF!,"AAAAAH3tJd4=",0)</f>
        <v>#REF!</v>
      </c>
      <c r="HP233" t="e">
        <f>IF(#REF!,"AAAAAH3tJd8=",0)</f>
        <v>#REF!</v>
      </c>
      <c r="HQ233" t="e">
        <f>IF(#REF!,"AAAAAH3tJeA=",0)</f>
        <v>#REF!</v>
      </c>
      <c r="HR233" t="e">
        <f>IF(#REF!,"AAAAAH3tJeE=",0)</f>
        <v>#REF!</v>
      </c>
      <c r="HS233" t="e">
        <f>IF(#REF!,"AAAAAH3tJeI=",0)</f>
        <v>#REF!</v>
      </c>
      <c r="HT233" t="e">
        <f>IF(#REF!,"AAAAAH3tJeM=",0)</f>
        <v>#REF!</v>
      </c>
      <c r="HU233" t="e">
        <f>IF(#REF!,"AAAAAH3tJeQ=",0)</f>
        <v>#REF!</v>
      </c>
      <c r="HV233" t="e">
        <f>IF(#REF!,"AAAAAH3tJeU=",0)</f>
        <v>#REF!</v>
      </c>
      <c r="HW233" t="e">
        <f>IF(#REF!,"AAAAAH3tJeY=",0)</f>
        <v>#REF!</v>
      </c>
      <c r="HX233" t="e">
        <f>IF(#REF!,"AAAAAH3tJec=",0)</f>
        <v>#REF!</v>
      </c>
      <c r="HY233" t="e">
        <f>IF(#REF!,"AAAAAH3tJeg=",0)</f>
        <v>#REF!</v>
      </c>
      <c r="HZ233" t="e">
        <f>IF(#REF!,"AAAAAH3tJek=",0)</f>
        <v>#REF!</v>
      </c>
      <c r="IA233" t="e">
        <f>IF(#REF!,"AAAAAH3tJeo=",0)</f>
        <v>#REF!</v>
      </c>
      <c r="IB233" t="e">
        <f>IF(#REF!,"AAAAAH3tJes=",0)</f>
        <v>#REF!</v>
      </c>
      <c r="IC233" t="e">
        <f>IF(#REF!,"AAAAAH3tJew=",0)</f>
        <v>#REF!</v>
      </c>
      <c r="ID233" t="e">
        <f>IF(#REF!,"AAAAAH3tJe0=",0)</f>
        <v>#REF!</v>
      </c>
      <c r="IE233" t="e">
        <f>IF(#REF!,"AAAAAH3tJe4=",0)</f>
        <v>#REF!</v>
      </c>
      <c r="IF233" t="e">
        <f>IF(#REF!,"AAAAAH3tJe8=",0)</f>
        <v>#REF!</v>
      </c>
      <c r="IG233" t="e">
        <f>IF(#REF!,"AAAAAH3tJfA=",0)</f>
        <v>#REF!</v>
      </c>
      <c r="IH233" t="e">
        <f>IF(#REF!,"AAAAAH3tJfE=",0)</f>
        <v>#REF!</v>
      </c>
      <c r="II233" t="e">
        <f>IF(#REF!,"AAAAAH3tJfI=",0)</f>
        <v>#REF!</v>
      </c>
      <c r="IJ233" t="e">
        <f>IF(#REF!,"AAAAAH3tJfM=",0)</f>
        <v>#REF!</v>
      </c>
      <c r="IK233" t="e">
        <f>IF(#REF!,"AAAAAH3tJfQ=",0)</f>
        <v>#REF!</v>
      </c>
      <c r="IL233" t="e">
        <f>IF(#REF!,"AAAAAH3tJfU=",0)</f>
        <v>#REF!</v>
      </c>
      <c r="IM233" t="e">
        <f>IF(#REF!,"AAAAAH3tJfY=",0)</f>
        <v>#REF!</v>
      </c>
      <c r="IN233" t="e">
        <f>IF(#REF!,"AAAAAH3tJfc=",0)</f>
        <v>#REF!</v>
      </c>
      <c r="IO233" t="e">
        <f>IF(#REF!,"AAAAAH3tJfg=",0)</f>
        <v>#REF!</v>
      </c>
      <c r="IP233" t="e">
        <f>IF(#REF!,"AAAAAH3tJfk=",0)</f>
        <v>#REF!</v>
      </c>
      <c r="IQ233" t="e">
        <f>IF(#REF!,"AAAAAH3tJfo=",0)</f>
        <v>#REF!</v>
      </c>
      <c r="IR233" t="e">
        <f>IF(#REF!,"AAAAAH3tJfs=",0)</f>
        <v>#REF!</v>
      </c>
      <c r="IS233" t="e">
        <f>IF(#REF!,"AAAAAH3tJfw=",0)</f>
        <v>#REF!</v>
      </c>
      <c r="IT233" t="e">
        <f>IF(#REF!,"AAAAAH3tJf0=",0)</f>
        <v>#REF!</v>
      </c>
      <c r="IU233" t="e">
        <f>IF(#REF!,"AAAAAH3tJf4=",0)</f>
        <v>#REF!</v>
      </c>
      <c r="IV233" t="e">
        <f>IF(#REF!,"AAAAAH3tJf8=",0)</f>
        <v>#REF!</v>
      </c>
    </row>
    <row r="234" spans="1:256" x14ac:dyDescent="0.25">
      <c r="A234" t="e">
        <f>IF(#REF!,"AAAAAH/c7AA=",0)</f>
        <v>#REF!</v>
      </c>
      <c r="B234" t="e">
        <f>IF(#REF!,"AAAAAH/c7AE=",0)</f>
        <v>#REF!</v>
      </c>
      <c r="C234" t="e">
        <f>IF(#REF!,"AAAAAH/c7AI=",0)</f>
        <v>#REF!</v>
      </c>
      <c r="D234" t="e">
        <f>IF(#REF!,"AAAAAH/c7AM=",0)</f>
        <v>#REF!</v>
      </c>
      <c r="E234" t="e">
        <f>IF(#REF!,"AAAAAH/c7AQ=",0)</f>
        <v>#REF!</v>
      </c>
      <c r="F234" t="e">
        <f>IF(#REF!,"AAAAAH/c7AU=",0)</f>
        <v>#REF!</v>
      </c>
      <c r="G234" t="e">
        <f>IF(#REF!,"AAAAAH/c7AY=",0)</f>
        <v>#REF!</v>
      </c>
      <c r="H234" t="e">
        <f>IF(#REF!,"AAAAAH/c7Ac=",0)</f>
        <v>#REF!</v>
      </c>
      <c r="I234" t="e">
        <f>IF(#REF!,"AAAAAH/c7Ag=",0)</f>
        <v>#REF!</v>
      </c>
      <c r="J234" t="e">
        <f>IF(#REF!,"AAAAAH/c7Ak=",0)</f>
        <v>#REF!</v>
      </c>
      <c r="K234" t="e">
        <f>IF(#REF!,"AAAAAH/c7Ao=",0)</f>
        <v>#REF!</v>
      </c>
      <c r="L234" t="e">
        <f>IF(#REF!,"AAAAAH/c7As=",0)</f>
        <v>#REF!</v>
      </c>
      <c r="M234" t="e">
        <f>IF(#REF!,"AAAAAH/c7Aw=",0)</f>
        <v>#REF!</v>
      </c>
      <c r="N234" t="e">
        <f>IF(#REF!,"AAAAAH/c7A0=",0)</f>
        <v>#REF!</v>
      </c>
      <c r="O234" t="e">
        <f>IF(#REF!,"AAAAAH/c7A4=",0)</f>
        <v>#REF!</v>
      </c>
      <c r="P234" t="e">
        <f>IF(#REF!,"AAAAAH/c7A8=",0)</f>
        <v>#REF!</v>
      </c>
      <c r="Q234" t="e">
        <f>IF(#REF!,"AAAAAH/c7BA=",0)</f>
        <v>#REF!</v>
      </c>
      <c r="R234" t="e">
        <f>IF(#REF!,"AAAAAH/c7BE=",0)</f>
        <v>#REF!</v>
      </c>
      <c r="S234" t="e">
        <f>IF(#REF!,"AAAAAH/c7BI=",0)</f>
        <v>#REF!</v>
      </c>
      <c r="T234" t="e">
        <f>IF(#REF!,"AAAAAH/c7BM=",0)</f>
        <v>#REF!</v>
      </c>
      <c r="U234" t="e">
        <f>IF(#REF!,"AAAAAH/c7BQ=",0)</f>
        <v>#REF!</v>
      </c>
      <c r="V234" t="e">
        <f>IF(#REF!,"AAAAAH/c7BU=",0)</f>
        <v>#REF!</v>
      </c>
      <c r="W234" t="e">
        <f>IF(#REF!,"AAAAAH/c7BY=",0)</f>
        <v>#REF!</v>
      </c>
      <c r="X234" t="e">
        <f>IF(#REF!,"AAAAAH/c7Bc=",0)</f>
        <v>#REF!</v>
      </c>
      <c r="Y234" t="e">
        <f>IF(#REF!,"AAAAAH/c7Bg=",0)</f>
        <v>#REF!</v>
      </c>
      <c r="Z234" t="e">
        <f>IF(#REF!,"AAAAAH/c7Bk=",0)</f>
        <v>#REF!</v>
      </c>
      <c r="AA234" t="e">
        <f>IF(#REF!,"AAAAAH/c7Bo=",0)</f>
        <v>#REF!</v>
      </c>
      <c r="AB234" t="e">
        <f>IF(#REF!,"AAAAAH/c7Bs=",0)</f>
        <v>#REF!</v>
      </c>
      <c r="AC234" t="e">
        <f>IF(#REF!,"AAAAAH/c7Bw=",0)</f>
        <v>#REF!</v>
      </c>
      <c r="AD234" t="e">
        <f>IF(#REF!,"AAAAAH/c7B0=",0)</f>
        <v>#REF!</v>
      </c>
      <c r="AE234" t="e">
        <f>IF(#REF!,"AAAAAH/c7B4=",0)</f>
        <v>#REF!</v>
      </c>
      <c r="AF234" t="e">
        <f>IF(#REF!,"AAAAAH/c7B8=",0)</f>
        <v>#REF!</v>
      </c>
      <c r="AG234" t="e">
        <f>IF(#REF!,"AAAAAH/c7CA=",0)</f>
        <v>#REF!</v>
      </c>
      <c r="AH234" t="e">
        <f>IF(#REF!,"AAAAAH/c7CE=",0)</f>
        <v>#REF!</v>
      </c>
      <c r="AI234" t="e">
        <f>IF(#REF!,"AAAAAH/c7CI=",0)</f>
        <v>#REF!</v>
      </c>
      <c r="AJ234" t="e">
        <f>IF(#REF!,"AAAAAH/c7CM=",0)</f>
        <v>#REF!</v>
      </c>
      <c r="AK234" t="e">
        <f>IF(#REF!,"AAAAAH/c7CQ=",0)</f>
        <v>#REF!</v>
      </c>
      <c r="AL234" t="e">
        <f>IF(#REF!,"AAAAAH/c7CU=",0)</f>
        <v>#REF!</v>
      </c>
      <c r="AM234" t="e">
        <f>IF(#REF!,"AAAAAH/c7CY=",0)</f>
        <v>#REF!</v>
      </c>
      <c r="AN234" t="e">
        <f>IF(#REF!,"AAAAAH/c7Cc=",0)</f>
        <v>#REF!</v>
      </c>
      <c r="AO234" t="e">
        <f>IF(#REF!,"AAAAAH/c7Cg=",0)</f>
        <v>#REF!</v>
      </c>
      <c r="AP234" t="e">
        <f>IF(#REF!,"AAAAAH/c7Ck=",0)</f>
        <v>#REF!</v>
      </c>
      <c r="AQ234" t="e">
        <f>IF(#REF!,"AAAAAH/c7Co=",0)</f>
        <v>#REF!</v>
      </c>
      <c r="AR234" t="e">
        <f>IF(#REF!,"AAAAAH/c7Cs=",0)</f>
        <v>#REF!</v>
      </c>
      <c r="AS234" t="e">
        <f>IF(#REF!,"AAAAAH/c7Cw=",0)</f>
        <v>#REF!</v>
      </c>
      <c r="AT234" t="e">
        <f>IF(#REF!,"AAAAAH/c7C0=",0)</f>
        <v>#REF!</v>
      </c>
      <c r="AU234" t="e">
        <f>IF(#REF!,"AAAAAH/c7C4=",0)</f>
        <v>#REF!</v>
      </c>
      <c r="AV234" t="e">
        <f>IF(#REF!,"AAAAAH/c7C8=",0)</f>
        <v>#REF!</v>
      </c>
      <c r="AW234" t="e">
        <f>IF(#REF!,"AAAAAH/c7DA=",0)</f>
        <v>#REF!</v>
      </c>
      <c r="AX234" t="e">
        <f>IF(#REF!,"AAAAAH/c7DE=",0)</f>
        <v>#REF!</v>
      </c>
      <c r="AY234" t="e">
        <f>IF(#REF!,"AAAAAH/c7DI=",0)</f>
        <v>#REF!</v>
      </c>
      <c r="AZ234" t="e">
        <f>IF(#REF!,"AAAAAH/c7DM=",0)</f>
        <v>#REF!</v>
      </c>
      <c r="BA234" t="e">
        <f>IF(#REF!,"AAAAAH/c7DQ=",0)</f>
        <v>#REF!</v>
      </c>
      <c r="BB234" t="e">
        <f>IF(#REF!,"AAAAAH/c7DU=",0)</f>
        <v>#REF!</v>
      </c>
      <c r="BC234" t="e">
        <f>IF(#REF!,"AAAAAH/c7DY=",0)</f>
        <v>#REF!</v>
      </c>
      <c r="BD234" t="e">
        <f>IF(#REF!,"AAAAAH/c7Dc=",0)</f>
        <v>#REF!</v>
      </c>
      <c r="BE234" t="e">
        <f>IF(#REF!,"AAAAAH/c7Dg=",0)</f>
        <v>#REF!</v>
      </c>
      <c r="BF234" t="e">
        <f>IF(#REF!,"AAAAAH/c7Dk=",0)</f>
        <v>#REF!</v>
      </c>
      <c r="BG234" t="e">
        <f>IF(#REF!,"AAAAAH/c7Do=",0)</f>
        <v>#REF!</v>
      </c>
      <c r="BH234" t="e">
        <f>IF(#REF!,"AAAAAH/c7Ds=",0)</f>
        <v>#REF!</v>
      </c>
      <c r="BI234" t="e">
        <f>IF(#REF!,"AAAAAH/c7Dw=",0)</f>
        <v>#REF!</v>
      </c>
      <c r="BJ234" t="e">
        <f>IF(#REF!,"AAAAAH/c7D0=",0)</f>
        <v>#REF!</v>
      </c>
      <c r="BK234" t="e">
        <f>IF(#REF!,"AAAAAH/c7D4=",0)</f>
        <v>#REF!</v>
      </c>
      <c r="BL234" t="e">
        <f>IF(#REF!,"AAAAAH/c7D8=",0)</f>
        <v>#REF!</v>
      </c>
      <c r="BM234" t="e">
        <f>IF(#REF!,"AAAAAH/c7EA=",0)</f>
        <v>#REF!</v>
      </c>
      <c r="BN234" t="e">
        <f>IF(#REF!,"AAAAAH/c7EE=",0)</f>
        <v>#REF!</v>
      </c>
      <c r="BO234" t="e">
        <f>IF(#REF!,"AAAAAH/c7EI=",0)</f>
        <v>#REF!</v>
      </c>
      <c r="BP234" t="e">
        <f>IF(#REF!,"AAAAAH/c7EM=",0)</f>
        <v>#REF!</v>
      </c>
      <c r="BQ234" t="e">
        <f>IF(#REF!,"AAAAAH/c7EQ=",0)</f>
        <v>#REF!</v>
      </c>
      <c r="BR234" t="e">
        <f>IF(#REF!,"AAAAAH/c7EU=",0)</f>
        <v>#REF!</v>
      </c>
      <c r="BS234" t="e">
        <f>IF(#REF!,"AAAAAH/c7EY=",0)</f>
        <v>#REF!</v>
      </c>
      <c r="BT234" t="e">
        <f>IF(#REF!,"AAAAAH/c7Ec=",0)</f>
        <v>#REF!</v>
      </c>
      <c r="BU234" t="e">
        <f>IF(#REF!,"AAAAAH/c7Eg=",0)</f>
        <v>#REF!</v>
      </c>
      <c r="BV234" t="e">
        <f>IF(#REF!,"AAAAAH/c7Ek=",0)</f>
        <v>#REF!</v>
      </c>
      <c r="BW234" t="e">
        <f>IF(#REF!,"AAAAAH/c7Eo=",0)</f>
        <v>#REF!</v>
      </c>
      <c r="BX234" t="e">
        <f>IF(#REF!,"AAAAAH/c7Es=",0)</f>
        <v>#REF!</v>
      </c>
      <c r="BY234" t="e">
        <f>IF(#REF!,"AAAAAH/c7Ew=",0)</f>
        <v>#REF!</v>
      </c>
      <c r="BZ234" t="e">
        <f>IF(#REF!,"AAAAAH/c7E0=",0)</f>
        <v>#REF!</v>
      </c>
      <c r="CA234" t="e">
        <f>IF(#REF!,"AAAAAH/c7E4=",0)</f>
        <v>#REF!</v>
      </c>
      <c r="CB234" t="e">
        <f>IF(#REF!,"AAAAAH/c7E8=",0)</f>
        <v>#REF!</v>
      </c>
      <c r="CC234" t="e">
        <f>IF(#REF!,"AAAAAH/c7FA=",0)</f>
        <v>#REF!</v>
      </c>
      <c r="CD234" t="e">
        <f>IF(#REF!,"AAAAAH/c7FE=",0)</f>
        <v>#REF!</v>
      </c>
      <c r="CE234" t="e">
        <f>IF(#REF!,"AAAAAH/c7FI=",0)</f>
        <v>#REF!</v>
      </c>
      <c r="CF234" t="e">
        <f>IF(#REF!,"AAAAAH/c7FM=",0)</f>
        <v>#REF!</v>
      </c>
      <c r="CG234" t="e">
        <f>IF(#REF!,"AAAAAH/c7FQ=",0)</f>
        <v>#REF!</v>
      </c>
      <c r="CH234" t="e">
        <f>IF(#REF!,"AAAAAH/c7FU=",0)</f>
        <v>#REF!</v>
      </c>
      <c r="CI234" t="e">
        <f>IF(#REF!,"AAAAAH/c7FY=",0)</f>
        <v>#REF!</v>
      </c>
      <c r="CJ234" t="e">
        <f>IF(#REF!,"AAAAAH/c7Fc=",0)</f>
        <v>#REF!</v>
      </c>
      <c r="CK234" t="e">
        <f>IF(#REF!,"AAAAAH/c7Fg=",0)</f>
        <v>#REF!</v>
      </c>
      <c r="CL234" t="e">
        <f>IF(#REF!,"AAAAAH/c7Fk=",0)</f>
        <v>#REF!</v>
      </c>
      <c r="CM234" t="e">
        <f>IF(#REF!,"AAAAAH/c7Fo=",0)</f>
        <v>#REF!</v>
      </c>
      <c r="CN234" t="e">
        <f>IF(#REF!,"AAAAAH/c7Fs=",0)</f>
        <v>#REF!</v>
      </c>
      <c r="CO234" t="e">
        <f>IF(#REF!,"AAAAAH/c7Fw=",0)</f>
        <v>#REF!</v>
      </c>
      <c r="CP234" t="e">
        <f>IF(#REF!,"AAAAAH/c7F0=",0)</f>
        <v>#REF!</v>
      </c>
      <c r="CQ234" t="e">
        <f>IF(#REF!,"AAAAAH/c7F4=",0)</f>
        <v>#REF!</v>
      </c>
      <c r="CR234" t="e">
        <f>IF(#REF!,"AAAAAH/c7F8=",0)</f>
        <v>#REF!</v>
      </c>
      <c r="CS234" t="e">
        <f>IF(#REF!,"AAAAAH/c7GA=",0)</f>
        <v>#REF!</v>
      </c>
      <c r="CT234" t="e">
        <f>IF(#REF!,"AAAAAH/c7GE=",0)</f>
        <v>#REF!</v>
      </c>
      <c r="CU234" t="e">
        <f>IF(#REF!,"AAAAAH/c7GI=",0)</f>
        <v>#REF!</v>
      </c>
      <c r="CV234" t="e">
        <f>IF(#REF!,"AAAAAH/c7GM=",0)</f>
        <v>#REF!</v>
      </c>
      <c r="CW234" t="e">
        <f>IF(#REF!,"AAAAAH/c7GQ=",0)</f>
        <v>#REF!</v>
      </c>
      <c r="CX234" t="e">
        <f>IF(#REF!,"AAAAAH/c7GU=",0)</f>
        <v>#REF!</v>
      </c>
      <c r="CY234" t="e">
        <f>IF(#REF!,"AAAAAH/c7GY=",0)</f>
        <v>#REF!</v>
      </c>
      <c r="CZ234" t="e">
        <f>IF(#REF!,"AAAAAH/c7Gc=",0)</f>
        <v>#REF!</v>
      </c>
      <c r="DA234" t="e">
        <f>IF(#REF!,"AAAAAH/c7Gg=",0)</f>
        <v>#REF!</v>
      </c>
      <c r="DB234" t="e">
        <f>IF(#REF!,"AAAAAH/c7Gk=",0)</f>
        <v>#REF!</v>
      </c>
      <c r="DC234" t="e">
        <f>IF(#REF!,"AAAAAH/c7Go=",0)</f>
        <v>#REF!</v>
      </c>
      <c r="DD234" t="e">
        <f>IF(#REF!,"AAAAAH/c7Gs=",0)</f>
        <v>#REF!</v>
      </c>
      <c r="DE234" t="e">
        <f>IF(#REF!,"AAAAAH/c7Gw=",0)</f>
        <v>#REF!</v>
      </c>
      <c r="DF234" t="e">
        <f>IF(#REF!,"AAAAAH/c7G0=",0)</f>
        <v>#REF!</v>
      </c>
      <c r="DG234" t="e">
        <f>IF(#REF!,"AAAAAH/c7G4=",0)</f>
        <v>#REF!</v>
      </c>
      <c r="DH234" t="e">
        <f>IF(#REF!,"AAAAAH/c7G8=",0)</f>
        <v>#REF!</v>
      </c>
      <c r="DI234" t="e">
        <f>IF(#REF!,"AAAAAH/c7HA=",0)</f>
        <v>#REF!</v>
      </c>
      <c r="DJ234" t="e">
        <f>IF(#REF!,"AAAAAH/c7HE=",0)</f>
        <v>#REF!</v>
      </c>
      <c r="DK234" t="e">
        <f>IF(#REF!,"AAAAAH/c7HI=",0)</f>
        <v>#REF!</v>
      </c>
      <c r="DL234" t="e">
        <f>IF(#REF!,"AAAAAH/c7HM=",0)</f>
        <v>#REF!</v>
      </c>
      <c r="DM234" t="e">
        <f>IF(#REF!,"AAAAAH/c7HQ=",0)</f>
        <v>#REF!</v>
      </c>
      <c r="DN234" t="e">
        <f>IF(#REF!,"AAAAAH/c7HU=",0)</f>
        <v>#REF!</v>
      </c>
      <c r="DO234" t="e">
        <f>IF(#REF!,"AAAAAH/c7HY=",0)</f>
        <v>#REF!</v>
      </c>
      <c r="DP234" t="e">
        <f>IF(#REF!,"AAAAAH/c7Hc=",0)</f>
        <v>#REF!</v>
      </c>
      <c r="DQ234" t="e">
        <f>IF(#REF!,"AAAAAH/c7Hg=",0)</f>
        <v>#REF!</v>
      </c>
      <c r="DR234" t="e">
        <f>IF(#REF!,"AAAAAH/c7Hk=",0)</f>
        <v>#REF!</v>
      </c>
      <c r="DS234" t="e">
        <f>IF(#REF!,"AAAAAH/c7Ho=",0)</f>
        <v>#REF!</v>
      </c>
      <c r="DT234" t="e">
        <f>IF(#REF!,"AAAAAH/c7Hs=",0)</f>
        <v>#REF!</v>
      </c>
      <c r="DU234" t="e">
        <f>IF(#REF!,"AAAAAH/c7Hw=",0)</f>
        <v>#REF!</v>
      </c>
      <c r="DV234" t="e">
        <f>IF(#REF!,"AAAAAH/c7H0=",0)</f>
        <v>#REF!</v>
      </c>
      <c r="DW234" t="e">
        <f>IF(#REF!,"AAAAAH/c7H4=",0)</f>
        <v>#REF!</v>
      </c>
      <c r="DX234" t="e">
        <f>IF(#REF!,"AAAAAH/c7H8=",0)</f>
        <v>#REF!</v>
      </c>
      <c r="DY234" t="e">
        <f>IF(#REF!,"AAAAAH/c7IA=",0)</f>
        <v>#REF!</v>
      </c>
      <c r="DZ234" t="e">
        <f>IF(#REF!,"AAAAAH/c7IE=",0)</f>
        <v>#REF!</v>
      </c>
      <c r="EA234" t="e">
        <f>IF(#REF!,"AAAAAH/c7II=",0)</f>
        <v>#REF!</v>
      </c>
      <c r="EB234" t="e">
        <f>IF(#REF!,"AAAAAH/c7IM=",0)</f>
        <v>#REF!</v>
      </c>
      <c r="EC234" t="e">
        <f>IF(#REF!,"AAAAAH/c7IQ=",0)</f>
        <v>#REF!</v>
      </c>
      <c r="ED234" t="e">
        <f>IF(#REF!,"AAAAAH/c7IU=",0)</f>
        <v>#REF!</v>
      </c>
      <c r="EE234" t="e">
        <f>IF(#REF!,"AAAAAH/c7IY=",0)</f>
        <v>#REF!</v>
      </c>
      <c r="EF234" t="e">
        <f>IF(#REF!,"AAAAAH/c7Ic=",0)</f>
        <v>#REF!</v>
      </c>
      <c r="EG234" t="e">
        <f>IF(#REF!,"AAAAAH/c7Ig=",0)</f>
        <v>#REF!</v>
      </c>
      <c r="EH234" t="e">
        <f>IF(#REF!,"AAAAAH/c7Ik=",0)</f>
        <v>#REF!</v>
      </c>
      <c r="EI234" t="e">
        <f>IF(#REF!,"AAAAAH/c7Io=",0)</f>
        <v>#REF!</v>
      </c>
      <c r="EJ234" t="e">
        <f>IF(#REF!,"AAAAAH/c7Is=",0)</f>
        <v>#REF!</v>
      </c>
      <c r="EK234" t="e">
        <f>IF(#REF!,"AAAAAH/c7Iw=",0)</f>
        <v>#REF!</v>
      </c>
      <c r="EL234" t="e">
        <f>IF(#REF!,"AAAAAH/c7I0=",0)</f>
        <v>#REF!</v>
      </c>
      <c r="EM234" t="e">
        <f>IF(#REF!,"AAAAAH/c7I4=",0)</f>
        <v>#REF!</v>
      </c>
      <c r="EN234" t="e">
        <f>IF(#REF!,"AAAAAH/c7I8=",0)</f>
        <v>#REF!</v>
      </c>
      <c r="EO234" t="e">
        <f>IF(#REF!,"AAAAAH/c7JA=",0)</f>
        <v>#REF!</v>
      </c>
      <c r="EP234" t="e">
        <f>IF(#REF!,"AAAAAH/c7JE=",0)</f>
        <v>#REF!</v>
      </c>
      <c r="EQ234" t="e">
        <f>IF(#REF!,"AAAAAH/c7JI=",0)</f>
        <v>#REF!</v>
      </c>
      <c r="ER234" t="e">
        <f>IF(#REF!,"AAAAAH/c7JM=",0)</f>
        <v>#REF!</v>
      </c>
      <c r="ES234" t="e">
        <f>IF(#REF!,"AAAAAH/c7JQ=",0)</f>
        <v>#REF!</v>
      </c>
      <c r="ET234" t="e">
        <f>IF(#REF!,"AAAAAH/c7JU=",0)</f>
        <v>#REF!</v>
      </c>
      <c r="EU234" t="e">
        <f>IF(#REF!,"AAAAAH/c7JY=",0)</f>
        <v>#REF!</v>
      </c>
      <c r="EV234" t="e">
        <f>IF(#REF!,"AAAAAH/c7Jc=",0)</f>
        <v>#REF!</v>
      </c>
      <c r="EW234" t="e">
        <f>IF(#REF!,"AAAAAH/c7Jg=",0)</f>
        <v>#REF!</v>
      </c>
      <c r="EX234" t="e">
        <f>IF(#REF!,"AAAAAH/c7Jk=",0)</f>
        <v>#REF!</v>
      </c>
      <c r="EY234" t="e">
        <f>IF(#REF!,"AAAAAH/c7Jo=",0)</f>
        <v>#REF!</v>
      </c>
      <c r="EZ234" t="e">
        <f>IF(#REF!,"AAAAAH/c7Js=",0)</f>
        <v>#REF!</v>
      </c>
      <c r="FA234" t="e">
        <f>IF(#REF!,"AAAAAH/c7Jw=",0)</f>
        <v>#REF!</v>
      </c>
      <c r="FB234" t="e">
        <f>IF(#REF!,"AAAAAH/c7J0=",0)</f>
        <v>#REF!</v>
      </c>
      <c r="FC234" t="e">
        <f>IF(#REF!,"AAAAAH/c7J4=",0)</f>
        <v>#REF!</v>
      </c>
      <c r="FD234" t="e">
        <f>IF(#REF!,"AAAAAH/c7J8=",0)</f>
        <v>#REF!</v>
      </c>
      <c r="FE234" t="e">
        <f>IF(#REF!,"AAAAAH/c7KA=",0)</f>
        <v>#REF!</v>
      </c>
      <c r="FF234" t="e">
        <f>IF(#REF!,"AAAAAH/c7KE=",0)</f>
        <v>#REF!</v>
      </c>
      <c r="FG234" t="e">
        <f>IF(#REF!,"AAAAAH/c7KI=",0)</f>
        <v>#REF!</v>
      </c>
      <c r="FH234" t="e">
        <f>IF(#REF!,"AAAAAH/c7KM=",0)</f>
        <v>#REF!</v>
      </c>
      <c r="FI234" t="e">
        <f>IF(#REF!,"AAAAAH/c7KQ=",0)</f>
        <v>#REF!</v>
      </c>
      <c r="FJ234" t="e">
        <f>IF(#REF!,"AAAAAH/c7KU=",0)</f>
        <v>#REF!</v>
      </c>
      <c r="FK234" t="e">
        <f>IF(#REF!,"AAAAAH/c7KY=",0)</f>
        <v>#REF!</v>
      </c>
      <c r="FL234" t="e">
        <f>IF(#REF!,"AAAAAH/c7Kc=",0)</f>
        <v>#REF!</v>
      </c>
      <c r="FM234" t="e">
        <f>IF(#REF!,"AAAAAH/c7Kg=",0)</f>
        <v>#REF!</v>
      </c>
      <c r="FN234" t="e">
        <f>IF(#REF!,"AAAAAH/c7Kk=",0)</f>
        <v>#REF!</v>
      </c>
      <c r="FO234" t="e">
        <f>IF(#REF!,"AAAAAH/c7Ko=",0)</f>
        <v>#REF!</v>
      </c>
      <c r="FP234" t="e">
        <f>IF(#REF!,"AAAAAH/c7Ks=",0)</f>
        <v>#REF!</v>
      </c>
      <c r="FQ234" t="e">
        <f>IF(#REF!,"AAAAAH/c7Kw=",0)</f>
        <v>#REF!</v>
      </c>
      <c r="FR234" t="e">
        <f>IF(#REF!,"AAAAAH/c7K0=",0)</f>
        <v>#REF!</v>
      </c>
      <c r="FS234" t="e">
        <f>IF(#REF!,"AAAAAH/c7K4=",0)</f>
        <v>#REF!</v>
      </c>
      <c r="FT234" t="e">
        <f>IF(#REF!,"AAAAAH/c7K8=",0)</f>
        <v>#REF!</v>
      </c>
      <c r="FU234" t="e">
        <f>IF(#REF!,"AAAAAH/c7LA=",0)</f>
        <v>#REF!</v>
      </c>
      <c r="FV234" t="e">
        <f>IF(#REF!,"AAAAAH/c7LE=",0)</f>
        <v>#REF!</v>
      </c>
      <c r="FW234" t="e">
        <f>IF(#REF!,"AAAAAH/c7LI=",0)</f>
        <v>#REF!</v>
      </c>
      <c r="FX234" t="e">
        <f>IF(#REF!,"AAAAAH/c7LM=",0)</f>
        <v>#REF!</v>
      </c>
      <c r="FY234" t="e">
        <f>IF(#REF!,"AAAAAH/c7LQ=",0)</f>
        <v>#REF!</v>
      </c>
      <c r="FZ234" t="e">
        <f>IF(#REF!,"AAAAAH/c7LU=",0)</f>
        <v>#REF!</v>
      </c>
      <c r="GA234" t="e">
        <f>IF(#REF!,"AAAAAH/c7LY=",0)</f>
        <v>#REF!</v>
      </c>
      <c r="GB234" t="e">
        <f>IF(#REF!,"AAAAAH/c7Lc=",0)</f>
        <v>#REF!</v>
      </c>
      <c r="GC234" t="e">
        <f>IF(#REF!,"AAAAAH/c7Lg=",0)</f>
        <v>#REF!</v>
      </c>
      <c r="GD234" t="e">
        <f>IF(#REF!,"AAAAAH/c7Lk=",0)</f>
        <v>#REF!</v>
      </c>
      <c r="GE234" t="e">
        <f>IF(#REF!,"AAAAAH/c7Lo=",0)</f>
        <v>#REF!</v>
      </c>
      <c r="GF234" t="e">
        <f>IF(#REF!,"AAAAAH/c7Ls=",0)</f>
        <v>#REF!</v>
      </c>
      <c r="GG234" t="e">
        <f>IF(#REF!,"AAAAAH/c7Lw=",0)</f>
        <v>#REF!</v>
      </c>
      <c r="GH234" t="e">
        <f>IF(#REF!,"AAAAAH/c7L0=",0)</f>
        <v>#REF!</v>
      </c>
      <c r="GI234" t="e">
        <f>IF(#REF!,"AAAAAH/c7L4=",0)</f>
        <v>#REF!</v>
      </c>
      <c r="GJ234" t="e">
        <f>IF(#REF!,"AAAAAH/c7L8=",0)</f>
        <v>#REF!</v>
      </c>
      <c r="GK234" t="e">
        <f>IF(#REF!,"AAAAAH/c7MA=",0)</f>
        <v>#REF!</v>
      </c>
      <c r="GL234" t="e">
        <f>IF(#REF!,"AAAAAH/c7ME=",0)</f>
        <v>#REF!</v>
      </c>
      <c r="GM234" t="e">
        <f>IF(#REF!,"AAAAAH/c7MI=",0)</f>
        <v>#REF!</v>
      </c>
      <c r="GN234" t="e">
        <f>IF(#REF!,"AAAAAH/c7MM=",0)</f>
        <v>#REF!</v>
      </c>
      <c r="GO234" t="e">
        <f>IF(#REF!,"AAAAAH/c7MQ=",0)</f>
        <v>#REF!</v>
      </c>
      <c r="GP234" t="e">
        <f>IF(#REF!,"AAAAAH/c7MU=",0)</f>
        <v>#REF!</v>
      </c>
      <c r="GQ234" t="e">
        <f>IF(#REF!,"AAAAAH/c7MY=",0)</f>
        <v>#REF!</v>
      </c>
      <c r="GR234" t="e">
        <f>IF(#REF!,"AAAAAH/c7Mc=",0)</f>
        <v>#REF!</v>
      </c>
      <c r="GS234" t="e">
        <f>IF(#REF!,"AAAAAH/c7Mg=",0)</f>
        <v>#REF!</v>
      </c>
      <c r="GT234" t="e">
        <f>IF(#REF!,"AAAAAH/c7Mk=",0)</f>
        <v>#REF!</v>
      </c>
      <c r="GU234" t="e">
        <f>IF(#REF!,"AAAAAH/c7Mo=",0)</f>
        <v>#REF!</v>
      </c>
      <c r="GV234" t="e">
        <f>IF(#REF!,"AAAAAH/c7Ms=",0)</f>
        <v>#REF!</v>
      </c>
      <c r="GW234" t="e">
        <f>IF(#REF!,"AAAAAH/c7Mw=",0)</f>
        <v>#REF!</v>
      </c>
      <c r="GX234" t="e">
        <f>IF(#REF!,"AAAAAH/c7M0=",0)</f>
        <v>#REF!</v>
      </c>
      <c r="GY234" t="e">
        <f>IF(#REF!,"AAAAAH/c7M4=",0)</f>
        <v>#REF!</v>
      </c>
      <c r="GZ234" t="e">
        <f>IF(#REF!,"AAAAAH/c7M8=",0)</f>
        <v>#REF!</v>
      </c>
      <c r="HA234" t="e">
        <f>IF(#REF!,"AAAAAH/c7NA=",0)</f>
        <v>#REF!</v>
      </c>
      <c r="HB234" t="e">
        <f>IF(#REF!,"AAAAAH/c7NE=",0)</f>
        <v>#REF!</v>
      </c>
      <c r="HC234" t="e">
        <f>IF(#REF!,"AAAAAH/c7NI=",0)</f>
        <v>#REF!</v>
      </c>
      <c r="HD234" t="e">
        <f>IF(#REF!,"AAAAAH/c7NM=",0)</f>
        <v>#REF!</v>
      </c>
      <c r="HE234" t="e">
        <f>IF(#REF!,"AAAAAH/c7NQ=",0)</f>
        <v>#REF!</v>
      </c>
      <c r="HF234" t="e">
        <f>IF(#REF!,"AAAAAH/c7NU=",0)</f>
        <v>#REF!</v>
      </c>
      <c r="HG234" t="e">
        <f>IF(#REF!,"AAAAAH/c7NY=",0)</f>
        <v>#REF!</v>
      </c>
      <c r="HH234" t="e">
        <f>IF(#REF!,"AAAAAH/c7Nc=",0)</f>
        <v>#REF!</v>
      </c>
      <c r="HI234" t="e">
        <f>IF(#REF!,"AAAAAH/c7Ng=",0)</f>
        <v>#REF!</v>
      </c>
      <c r="HJ234" t="e">
        <f>IF(#REF!,"AAAAAH/c7Nk=",0)</f>
        <v>#REF!</v>
      </c>
      <c r="HK234" t="e">
        <f>IF(#REF!,"AAAAAH/c7No=",0)</f>
        <v>#REF!</v>
      </c>
      <c r="HL234" t="e">
        <f>IF(#REF!,"AAAAAH/c7Ns=",0)</f>
        <v>#REF!</v>
      </c>
      <c r="HM234" t="e">
        <f>IF(#REF!,"AAAAAH/c7Nw=",0)</f>
        <v>#REF!</v>
      </c>
      <c r="HN234" t="e">
        <f>IF(#REF!,"AAAAAH/c7N0=",0)</f>
        <v>#REF!</v>
      </c>
      <c r="HO234" t="e">
        <f>IF(#REF!,"AAAAAH/c7N4=",0)</f>
        <v>#REF!</v>
      </c>
      <c r="HP234" t="e">
        <f>IF(#REF!,"AAAAAH/c7N8=",0)</f>
        <v>#REF!</v>
      </c>
      <c r="HQ234" t="e">
        <f>IF(#REF!,"AAAAAH/c7OA=",0)</f>
        <v>#REF!</v>
      </c>
      <c r="HR234" t="e">
        <f>IF(#REF!,"AAAAAH/c7OE=",0)</f>
        <v>#REF!</v>
      </c>
      <c r="HS234" t="e">
        <f>IF(#REF!,"AAAAAH/c7OI=",0)</f>
        <v>#REF!</v>
      </c>
      <c r="HT234" t="e">
        <f>IF(#REF!,"AAAAAH/c7OM=",0)</f>
        <v>#REF!</v>
      </c>
      <c r="HU234" t="e">
        <f>IF(#REF!,"AAAAAH/c7OQ=",0)</f>
        <v>#REF!</v>
      </c>
      <c r="HV234" t="e">
        <f>IF(#REF!,"AAAAAH/c7OU=",0)</f>
        <v>#REF!</v>
      </c>
      <c r="HW234" t="e">
        <f>IF(#REF!,"AAAAAH/c7OY=",0)</f>
        <v>#REF!</v>
      </c>
      <c r="HX234" t="e">
        <f>IF(#REF!,"AAAAAH/c7Oc=",0)</f>
        <v>#REF!</v>
      </c>
      <c r="HY234" t="e">
        <f>IF(#REF!,"AAAAAH/c7Og=",0)</f>
        <v>#REF!</v>
      </c>
      <c r="HZ234" t="e">
        <f>IF(#REF!,"AAAAAH/c7Ok=",0)</f>
        <v>#REF!</v>
      </c>
      <c r="IA234" t="e">
        <f>IF(#REF!,"AAAAAH/c7Oo=",0)</f>
        <v>#REF!</v>
      </c>
      <c r="IB234" t="e">
        <f>IF(#REF!,"AAAAAH/c7Os=",0)</f>
        <v>#REF!</v>
      </c>
      <c r="IC234" t="e">
        <f>IF(#REF!,"AAAAAH/c7Ow=",0)</f>
        <v>#REF!</v>
      </c>
      <c r="ID234" t="e">
        <f>IF(#REF!,"AAAAAH/c7O0=",0)</f>
        <v>#REF!</v>
      </c>
      <c r="IE234" t="e">
        <f>IF(#REF!,"AAAAAH/c7O4=",0)</f>
        <v>#REF!</v>
      </c>
      <c r="IF234" t="e">
        <f>IF(#REF!,"AAAAAH/c7O8=",0)</f>
        <v>#REF!</v>
      </c>
      <c r="IG234" t="e">
        <f>IF(#REF!,"AAAAAH/c7PA=",0)</f>
        <v>#REF!</v>
      </c>
      <c r="IH234" t="e">
        <f>IF(#REF!,"AAAAAH/c7PE=",0)</f>
        <v>#REF!</v>
      </c>
      <c r="II234" t="e">
        <f>IF(#REF!,"AAAAAH/c7PI=",0)</f>
        <v>#REF!</v>
      </c>
      <c r="IJ234" t="e">
        <f>IF(#REF!,"AAAAAH/c7PM=",0)</f>
        <v>#REF!</v>
      </c>
      <c r="IK234" t="e">
        <f>IF(#REF!,"AAAAAH/c7PQ=",0)</f>
        <v>#REF!</v>
      </c>
      <c r="IL234" t="e">
        <f>IF(#REF!,"AAAAAH/c7PU=",0)</f>
        <v>#REF!</v>
      </c>
      <c r="IM234" t="e">
        <f>IF(#REF!,"AAAAAH/c7PY=",0)</f>
        <v>#REF!</v>
      </c>
      <c r="IN234" t="e">
        <f>IF(#REF!,"AAAAAH/c7Pc=",0)</f>
        <v>#REF!</v>
      </c>
      <c r="IO234" t="e">
        <f>IF(#REF!,"AAAAAH/c7Pg=",0)</f>
        <v>#REF!</v>
      </c>
      <c r="IP234" t="e">
        <f>IF(#REF!,"AAAAAH/c7Pk=",0)</f>
        <v>#REF!</v>
      </c>
      <c r="IQ234" t="e">
        <f>IF(#REF!,"AAAAAH/c7Po=",0)</f>
        <v>#REF!</v>
      </c>
      <c r="IR234" t="e">
        <f>IF(#REF!,"AAAAAH/c7Ps=",0)</f>
        <v>#REF!</v>
      </c>
      <c r="IS234" t="e">
        <f>IF(#REF!,"AAAAAH/c7Pw=",0)</f>
        <v>#REF!</v>
      </c>
      <c r="IT234" t="e">
        <f>IF(#REF!,"AAAAAH/c7P0=",0)</f>
        <v>#REF!</v>
      </c>
      <c r="IU234" t="e">
        <f>IF(#REF!,"AAAAAH/c7P4=",0)</f>
        <v>#REF!</v>
      </c>
      <c r="IV234" t="e">
        <f>IF(#REF!,"AAAAAH/c7P8=",0)</f>
        <v>#REF!</v>
      </c>
    </row>
    <row r="235" spans="1:256" x14ac:dyDescent="0.25">
      <c r="A235" t="e">
        <f>IF(#REF!,"AAAAAFf/dQA=",0)</f>
        <v>#REF!</v>
      </c>
      <c r="B235" t="e">
        <f>IF(#REF!,"AAAAAFf/dQE=",0)</f>
        <v>#REF!</v>
      </c>
      <c r="C235" t="e">
        <f>IF(#REF!,"AAAAAFf/dQI=",0)</f>
        <v>#REF!</v>
      </c>
      <c r="D235" t="e">
        <f>IF(#REF!,"AAAAAFf/dQM=",0)</f>
        <v>#REF!</v>
      </c>
      <c r="E235" t="e">
        <f>IF(#REF!,"AAAAAFf/dQQ=",0)</f>
        <v>#REF!</v>
      </c>
      <c r="F235" t="e">
        <f>IF(#REF!,"AAAAAFf/dQU=",0)</f>
        <v>#REF!</v>
      </c>
      <c r="G235" t="e">
        <f>IF(#REF!,"AAAAAFf/dQY=",0)</f>
        <v>#REF!</v>
      </c>
      <c r="H235" t="e">
        <f>IF(#REF!,"AAAAAFf/dQc=",0)</f>
        <v>#REF!</v>
      </c>
      <c r="I235" t="e">
        <f>IF(#REF!,"AAAAAFf/dQg=",0)</f>
        <v>#REF!</v>
      </c>
      <c r="J235" t="e">
        <f>IF(#REF!,"AAAAAFf/dQk=",0)</f>
        <v>#REF!</v>
      </c>
      <c r="K235" t="e">
        <f>IF(#REF!,"AAAAAFf/dQo=",0)</f>
        <v>#REF!</v>
      </c>
      <c r="L235" t="e">
        <f>IF(#REF!,"AAAAAFf/dQs=",0)</f>
        <v>#REF!</v>
      </c>
      <c r="M235" t="e">
        <f>IF(#REF!,"AAAAAFf/dQw=",0)</f>
        <v>#REF!</v>
      </c>
      <c r="N235" t="e">
        <f>IF(#REF!,"AAAAAFf/dQ0=",0)</f>
        <v>#REF!</v>
      </c>
      <c r="O235" t="e">
        <f>AND(#REF!,"AAAAAFf/dQ4=")</f>
        <v>#REF!</v>
      </c>
      <c r="P235" t="e">
        <f>AND(#REF!,"AAAAAFf/dQ8=")</f>
        <v>#REF!</v>
      </c>
      <c r="Q235" t="e">
        <f>AND(#REF!,"AAAAAFf/dRA=")</f>
        <v>#REF!</v>
      </c>
      <c r="R235" t="e">
        <f>AND(#REF!,"AAAAAFf/dRE=")</f>
        <v>#REF!</v>
      </c>
      <c r="S235" t="e">
        <f>AND(#REF!,"AAAAAFf/dRI=")</f>
        <v>#REF!</v>
      </c>
      <c r="T235" t="e">
        <f>AND(#REF!,"AAAAAFf/dRM=")</f>
        <v>#REF!</v>
      </c>
      <c r="U235" t="e">
        <f>AND(#REF!,"AAAAAFf/dRQ=")</f>
        <v>#REF!</v>
      </c>
      <c r="V235" t="e">
        <f>AND(#REF!,"AAAAAFf/dRU=")</f>
        <v>#REF!</v>
      </c>
      <c r="W235" t="e">
        <f>AND(#REF!,"AAAAAFf/dRY=")</f>
        <v>#REF!</v>
      </c>
      <c r="X235" t="e">
        <f>AND(#REF!,"AAAAAFf/dRc=")</f>
        <v>#REF!</v>
      </c>
      <c r="Y235" t="e">
        <f>AND(#REF!,"AAAAAFf/dRg=")</f>
        <v>#REF!</v>
      </c>
      <c r="Z235" t="e">
        <f>AND(#REF!,"AAAAAFf/dRk=")</f>
        <v>#REF!</v>
      </c>
      <c r="AA235" t="e">
        <f>AND(#REF!,"AAAAAFf/dRo=")</f>
        <v>#REF!</v>
      </c>
      <c r="AB235" t="e">
        <f>AND(#REF!,"AAAAAFf/dRs=")</f>
        <v>#REF!</v>
      </c>
      <c r="AC235" t="e">
        <f>AND(#REF!,"AAAAAFf/dRw=")</f>
        <v>#REF!</v>
      </c>
      <c r="AD235" t="e">
        <f>AND(#REF!,"AAAAAFf/dR0=")</f>
        <v>#REF!</v>
      </c>
      <c r="AE235" t="e">
        <f>AND(#REF!,"AAAAAFf/dR4=")</f>
        <v>#REF!</v>
      </c>
      <c r="AF235" t="e">
        <f>AND(#REF!,"AAAAAFf/dR8=")</f>
        <v>#REF!</v>
      </c>
      <c r="AG235" t="e">
        <f>AND(#REF!,"AAAAAFf/dSA=")</f>
        <v>#REF!</v>
      </c>
      <c r="AH235" t="e">
        <f>AND(#REF!,"AAAAAFf/dSE=")</f>
        <v>#REF!</v>
      </c>
      <c r="AI235" t="e">
        <f>AND(#REF!,"AAAAAFf/dSI=")</f>
        <v>#REF!</v>
      </c>
      <c r="AJ235" t="e">
        <f>AND(#REF!,"AAAAAFf/dSM=")</f>
        <v>#REF!</v>
      </c>
      <c r="AK235" t="e">
        <f>AND(#REF!,"AAAAAFf/dSQ=")</f>
        <v>#REF!</v>
      </c>
      <c r="AL235" t="e">
        <f>AND(#REF!,"AAAAAFf/dSU=")</f>
        <v>#REF!</v>
      </c>
      <c r="AM235" t="e">
        <f>AND(#REF!,"AAAAAFf/dSY=")</f>
        <v>#REF!</v>
      </c>
      <c r="AN235" t="e">
        <f>AND(#REF!,"AAAAAFf/dSc=")</f>
        <v>#REF!</v>
      </c>
      <c r="AO235" t="e">
        <f>AND(#REF!,"AAAAAFf/dSg=")</f>
        <v>#REF!</v>
      </c>
      <c r="AP235" t="e">
        <f>AND(#REF!,"AAAAAFf/dSk=")</f>
        <v>#REF!</v>
      </c>
      <c r="AQ235" t="e">
        <f>AND(#REF!,"AAAAAFf/dSo=")</f>
        <v>#REF!</v>
      </c>
      <c r="AR235" t="e">
        <f>AND(#REF!,"AAAAAFf/dSs=")</f>
        <v>#REF!</v>
      </c>
      <c r="AS235" t="e">
        <f>AND(#REF!,"AAAAAFf/dSw=")</f>
        <v>#REF!</v>
      </c>
      <c r="AT235" t="e">
        <f>AND(#REF!,"AAAAAFf/dS0=")</f>
        <v>#REF!</v>
      </c>
      <c r="AU235" t="e">
        <f>AND(#REF!,"AAAAAFf/dS4=")</f>
        <v>#REF!</v>
      </c>
      <c r="AV235" t="e">
        <f>AND(#REF!,"AAAAAFf/dS8=")</f>
        <v>#REF!</v>
      </c>
      <c r="AW235" t="e">
        <f>IF(#REF!,"AAAAAFf/dTA=",0)</f>
        <v>#REF!</v>
      </c>
      <c r="AX235" t="e">
        <f>AND(#REF!,"AAAAAFf/dTE=")</f>
        <v>#REF!</v>
      </c>
      <c r="AY235" t="e">
        <f>AND(#REF!,"AAAAAFf/dTI=")</f>
        <v>#REF!</v>
      </c>
      <c r="AZ235" t="e">
        <f>AND(#REF!,"AAAAAFf/dTM=")</f>
        <v>#REF!</v>
      </c>
      <c r="BA235" t="e">
        <f>AND(#REF!,"AAAAAFf/dTQ=")</f>
        <v>#REF!</v>
      </c>
      <c r="BB235" t="e">
        <f>AND(#REF!,"AAAAAFf/dTU=")</f>
        <v>#REF!</v>
      </c>
      <c r="BC235" t="e">
        <f>AND(#REF!,"AAAAAFf/dTY=")</f>
        <v>#REF!</v>
      </c>
      <c r="BD235" t="e">
        <f>AND(#REF!,"AAAAAFf/dTc=")</f>
        <v>#REF!</v>
      </c>
      <c r="BE235" t="e">
        <f>AND(#REF!,"AAAAAFf/dTg=")</f>
        <v>#REF!</v>
      </c>
      <c r="BF235" t="e">
        <f>AND(#REF!,"AAAAAFf/dTk=")</f>
        <v>#REF!</v>
      </c>
      <c r="BG235" t="e">
        <f>AND(#REF!,"AAAAAFf/dTo=")</f>
        <v>#REF!</v>
      </c>
      <c r="BH235" t="e">
        <f>AND(#REF!,"AAAAAFf/dTs=")</f>
        <v>#REF!</v>
      </c>
      <c r="BI235" t="e">
        <f>AND(#REF!,"AAAAAFf/dTw=")</f>
        <v>#REF!</v>
      </c>
      <c r="BJ235" t="e">
        <f>AND(#REF!,"AAAAAFf/dT0=")</f>
        <v>#REF!</v>
      </c>
      <c r="BK235" t="e">
        <f>AND(#REF!,"AAAAAFf/dT4=")</f>
        <v>#REF!</v>
      </c>
      <c r="BL235" t="e">
        <f>AND(#REF!,"AAAAAFf/dT8=")</f>
        <v>#REF!</v>
      </c>
      <c r="BM235" t="e">
        <f>AND(#REF!,"AAAAAFf/dUA=")</f>
        <v>#REF!</v>
      </c>
      <c r="BN235" t="e">
        <f>AND(#REF!,"AAAAAFf/dUE=")</f>
        <v>#REF!</v>
      </c>
      <c r="BO235" t="e">
        <f>AND(#REF!,"AAAAAFf/dUI=")</f>
        <v>#REF!</v>
      </c>
      <c r="BP235" t="e">
        <f>AND(#REF!,"AAAAAFf/dUM=")</f>
        <v>#REF!</v>
      </c>
      <c r="BQ235" t="e">
        <f>AND(#REF!,"AAAAAFf/dUQ=")</f>
        <v>#REF!</v>
      </c>
      <c r="BR235" t="e">
        <f>AND(#REF!,"AAAAAFf/dUU=")</f>
        <v>#REF!</v>
      </c>
      <c r="BS235" t="e">
        <f>AND(#REF!,"AAAAAFf/dUY=")</f>
        <v>#REF!</v>
      </c>
      <c r="BT235" t="e">
        <f>AND(#REF!,"AAAAAFf/dUc=")</f>
        <v>#REF!</v>
      </c>
      <c r="BU235" t="e">
        <f>AND(#REF!,"AAAAAFf/dUg=")</f>
        <v>#REF!</v>
      </c>
      <c r="BV235" t="e">
        <f>AND(#REF!,"AAAAAFf/dUk=")</f>
        <v>#REF!</v>
      </c>
      <c r="BW235" t="e">
        <f>AND(#REF!,"AAAAAFf/dUo=")</f>
        <v>#REF!</v>
      </c>
      <c r="BX235" t="e">
        <f>AND(#REF!,"AAAAAFf/dUs=")</f>
        <v>#REF!</v>
      </c>
      <c r="BY235" t="e">
        <f>AND(#REF!,"AAAAAFf/dUw=")</f>
        <v>#REF!</v>
      </c>
      <c r="BZ235" t="e">
        <f>AND(#REF!,"AAAAAFf/dU0=")</f>
        <v>#REF!</v>
      </c>
      <c r="CA235" t="e">
        <f>AND(#REF!,"AAAAAFf/dU4=")</f>
        <v>#REF!</v>
      </c>
      <c r="CB235" t="e">
        <f>AND(#REF!,"AAAAAFf/dU8=")</f>
        <v>#REF!</v>
      </c>
      <c r="CC235" t="e">
        <f>AND(#REF!,"AAAAAFf/dVA=")</f>
        <v>#REF!</v>
      </c>
      <c r="CD235" t="e">
        <f>AND(#REF!,"AAAAAFf/dVE=")</f>
        <v>#REF!</v>
      </c>
      <c r="CE235" t="e">
        <f>AND(#REF!,"AAAAAFf/dVI=")</f>
        <v>#REF!</v>
      </c>
      <c r="CF235" t="e">
        <f>IF(#REF!,"AAAAAFf/dVM=",0)</f>
        <v>#REF!</v>
      </c>
      <c r="CG235" t="e">
        <f>AND(#REF!,"AAAAAFf/dVQ=")</f>
        <v>#REF!</v>
      </c>
      <c r="CH235" t="e">
        <f>AND(#REF!,"AAAAAFf/dVU=")</f>
        <v>#REF!</v>
      </c>
      <c r="CI235" t="e">
        <f>AND(#REF!,"AAAAAFf/dVY=")</f>
        <v>#REF!</v>
      </c>
      <c r="CJ235" t="e">
        <f>AND(#REF!,"AAAAAFf/dVc=")</f>
        <v>#REF!</v>
      </c>
      <c r="CK235" t="e">
        <f>AND(#REF!,"AAAAAFf/dVg=")</f>
        <v>#REF!</v>
      </c>
      <c r="CL235" t="e">
        <f>AND(#REF!,"AAAAAFf/dVk=")</f>
        <v>#REF!</v>
      </c>
      <c r="CM235" t="e">
        <f>AND(#REF!,"AAAAAFf/dVo=")</f>
        <v>#REF!</v>
      </c>
      <c r="CN235" t="e">
        <f>AND(#REF!,"AAAAAFf/dVs=")</f>
        <v>#REF!</v>
      </c>
      <c r="CO235" t="e">
        <f>AND(#REF!,"AAAAAFf/dVw=")</f>
        <v>#REF!</v>
      </c>
      <c r="CP235" t="e">
        <f>AND(#REF!,"AAAAAFf/dV0=")</f>
        <v>#REF!</v>
      </c>
      <c r="CQ235" t="e">
        <f>AND(#REF!,"AAAAAFf/dV4=")</f>
        <v>#REF!</v>
      </c>
      <c r="CR235" t="e">
        <f>AND(#REF!,"AAAAAFf/dV8=")</f>
        <v>#REF!</v>
      </c>
      <c r="CS235" t="e">
        <f>AND(#REF!,"AAAAAFf/dWA=")</f>
        <v>#REF!</v>
      </c>
      <c r="CT235" t="e">
        <f>AND(#REF!,"AAAAAFf/dWE=")</f>
        <v>#REF!</v>
      </c>
      <c r="CU235" t="e">
        <f>AND(#REF!,"AAAAAFf/dWI=")</f>
        <v>#REF!</v>
      </c>
      <c r="CV235" t="e">
        <f>AND(#REF!,"AAAAAFf/dWM=")</f>
        <v>#REF!</v>
      </c>
      <c r="CW235" t="e">
        <f>AND(#REF!,"AAAAAFf/dWQ=")</f>
        <v>#REF!</v>
      </c>
      <c r="CX235" t="e">
        <f>AND(#REF!,"AAAAAFf/dWU=")</f>
        <v>#REF!</v>
      </c>
      <c r="CY235" t="e">
        <f>AND(#REF!,"AAAAAFf/dWY=")</f>
        <v>#REF!</v>
      </c>
      <c r="CZ235" t="e">
        <f>AND(#REF!,"AAAAAFf/dWc=")</f>
        <v>#REF!</v>
      </c>
      <c r="DA235" t="e">
        <f>AND(#REF!,"AAAAAFf/dWg=")</f>
        <v>#REF!</v>
      </c>
      <c r="DB235" t="e">
        <f>AND(#REF!,"AAAAAFf/dWk=")</f>
        <v>#REF!</v>
      </c>
      <c r="DC235" t="e">
        <f>AND(#REF!,"AAAAAFf/dWo=")</f>
        <v>#REF!</v>
      </c>
      <c r="DD235" t="e">
        <f>AND(#REF!,"AAAAAFf/dWs=")</f>
        <v>#REF!</v>
      </c>
      <c r="DE235" t="e">
        <f>AND(#REF!,"AAAAAFf/dWw=")</f>
        <v>#REF!</v>
      </c>
      <c r="DF235" t="e">
        <f>AND(#REF!,"AAAAAFf/dW0=")</f>
        <v>#REF!</v>
      </c>
      <c r="DG235" t="e">
        <f>AND(#REF!,"AAAAAFf/dW4=")</f>
        <v>#REF!</v>
      </c>
      <c r="DH235" t="e">
        <f>AND(#REF!,"AAAAAFf/dW8=")</f>
        <v>#REF!</v>
      </c>
      <c r="DI235" t="e">
        <f>AND(#REF!,"AAAAAFf/dXA=")</f>
        <v>#REF!</v>
      </c>
      <c r="DJ235" t="e">
        <f>AND(#REF!,"AAAAAFf/dXE=")</f>
        <v>#REF!</v>
      </c>
      <c r="DK235" t="e">
        <f>AND(#REF!,"AAAAAFf/dXI=")</f>
        <v>#REF!</v>
      </c>
      <c r="DL235" t="e">
        <f>AND(#REF!,"AAAAAFf/dXM=")</f>
        <v>#REF!</v>
      </c>
      <c r="DM235" t="e">
        <f>AND(#REF!,"AAAAAFf/dXQ=")</f>
        <v>#REF!</v>
      </c>
      <c r="DN235" t="e">
        <f>AND(#REF!,"AAAAAFf/dXU=")</f>
        <v>#REF!</v>
      </c>
      <c r="DO235" t="e">
        <f>IF(#REF!,"AAAAAFf/dXY=",0)</f>
        <v>#REF!</v>
      </c>
      <c r="DP235" t="e">
        <f>AND(#REF!,"AAAAAFf/dXc=")</f>
        <v>#REF!</v>
      </c>
      <c r="DQ235" t="e">
        <f>AND(#REF!,"AAAAAFf/dXg=")</f>
        <v>#REF!</v>
      </c>
      <c r="DR235" t="e">
        <f>AND(#REF!,"AAAAAFf/dXk=")</f>
        <v>#REF!</v>
      </c>
      <c r="DS235" t="e">
        <f>AND(#REF!,"AAAAAFf/dXo=")</f>
        <v>#REF!</v>
      </c>
      <c r="DT235" t="e">
        <f>AND(#REF!,"AAAAAFf/dXs=")</f>
        <v>#REF!</v>
      </c>
      <c r="DU235" t="e">
        <f>AND(#REF!,"AAAAAFf/dXw=")</f>
        <v>#REF!</v>
      </c>
      <c r="DV235" t="e">
        <f>AND(#REF!,"AAAAAFf/dX0=")</f>
        <v>#REF!</v>
      </c>
      <c r="DW235" t="e">
        <f>AND(#REF!,"AAAAAFf/dX4=")</f>
        <v>#REF!</v>
      </c>
      <c r="DX235" t="e">
        <f>AND(#REF!,"AAAAAFf/dX8=")</f>
        <v>#REF!</v>
      </c>
      <c r="DY235" t="e">
        <f>AND(#REF!,"AAAAAFf/dYA=")</f>
        <v>#REF!</v>
      </c>
      <c r="DZ235" t="e">
        <f>AND(#REF!,"AAAAAFf/dYE=")</f>
        <v>#REF!</v>
      </c>
      <c r="EA235" t="e">
        <f>AND(#REF!,"AAAAAFf/dYI=")</f>
        <v>#REF!</v>
      </c>
      <c r="EB235" t="e">
        <f>AND(#REF!,"AAAAAFf/dYM=")</f>
        <v>#REF!</v>
      </c>
      <c r="EC235" t="e">
        <f>AND(#REF!,"AAAAAFf/dYQ=")</f>
        <v>#REF!</v>
      </c>
      <c r="ED235" t="e">
        <f>AND(#REF!,"AAAAAFf/dYU=")</f>
        <v>#REF!</v>
      </c>
      <c r="EE235" t="e">
        <f>AND(#REF!,"AAAAAFf/dYY=")</f>
        <v>#REF!</v>
      </c>
      <c r="EF235" t="e">
        <f>AND(#REF!,"AAAAAFf/dYc=")</f>
        <v>#REF!</v>
      </c>
      <c r="EG235" t="e">
        <f>AND(#REF!,"AAAAAFf/dYg=")</f>
        <v>#REF!</v>
      </c>
      <c r="EH235" t="e">
        <f>AND(#REF!,"AAAAAFf/dYk=")</f>
        <v>#REF!</v>
      </c>
      <c r="EI235" t="e">
        <f>AND(#REF!,"AAAAAFf/dYo=")</f>
        <v>#REF!</v>
      </c>
      <c r="EJ235" t="e">
        <f>AND(#REF!,"AAAAAFf/dYs=")</f>
        <v>#REF!</v>
      </c>
      <c r="EK235" t="e">
        <f>AND(#REF!,"AAAAAFf/dYw=")</f>
        <v>#REF!</v>
      </c>
      <c r="EL235" t="e">
        <f>AND(#REF!,"AAAAAFf/dY0=")</f>
        <v>#REF!</v>
      </c>
      <c r="EM235" t="e">
        <f>AND(#REF!,"AAAAAFf/dY4=")</f>
        <v>#REF!</v>
      </c>
      <c r="EN235" t="e">
        <f>AND(#REF!,"AAAAAFf/dY8=")</f>
        <v>#REF!</v>
      </c>
      <c r="EO235" t="e">
        <f>AND(#REF!,"AAAAAFf/dZA=")</f>
        <v>#REF!</v>
      </c>
      <c r="EP235" t="e">
        <f>AND(#REF!,"AAAAAFf/dZE=")</f>
        <v>#REF!</v>
      </c>
      <c r="EQ235" t="e">
        <f>AND(#REF!,"AAAAAFf/dZI=")</f>
        <v>#REF!</v>
      </c>
      <c r="ER235" t="e">
        <f>AND(#REF!,"AAAAAFf/dZM=")</f>
        <v>#REF!</v>
      </c>
      <c r="ES235" t="e">
        <f>AND(#REF!,"AAAAAFf/dZQ=")</f>
        <v>#REF!</v>
      </c>
      <c r="ET235" t="e">
        <f>AND(#REF!,"AAAAAFf/dZU=")</f>
        <v>#REF!</v>
      </c>
      <c r="EU235" t="e">
        <f>AND(#REF!,"AAAAAFf/dZY=")</f>
        <v>#REF!</v>
      </c>
      <c r="EV235" t="e">
        <f>AND(#REF!,"AAAAAFf/dZc=")</f>
        <v>#REF!</v>
      </c>
      <c r="EW235" t="e">
        <f>AND(#REF!,"AAAAAFf/dZg=")</f>
        <v>#REF!</v>
      </c>
      <c r="EX235" t="e">
        <f>IF(#REF!,"AAAAAFf/dZk=",0)</f>
        <v>#REF!</v>
      </c>
      <c r="EY235" t="e">
        <f>AND(#REF!,"AAAAAFf/dZo=")</f>
        <v>#REF!</v>
      </c>
      <c r="EZ235" t="e">
        <f>AND(#REF!,"AAAAAFf/dZs=")</f>
        <v>#REF!</v>
      </c>
      <c r="FA235" t="e">
        <f>AND(#REF!,"AAAAAFf/dZw=")</f>
        <v>#REF!</v>
      </c>
      <c r="FB235" t="e">
        <f>AND(#REF!,"AAAAAFf/dZ0=")</f>
        <v>#REF!</v>
      </c>
      <c r="FC235" t="e">
        <f>AND(#REF!,"AAAAAFf/dZ4=")</f>
        <v>#REF!</v>
      </c>
      <c r="FD235" t="e">
        <f>AND(#REF!,"AAAAAFf/dZ8=")</f>
        <v>#REF!</v>
      </c>
      <c r="FE235" t="e">
        <f>AND(#REF!,"AAAAAFf/daA=")</f>
        <v>#REF!</v>
      </c>
      <c r="FF235" t="e">
        <f>AND(#REF!,"AAAAAFf/daE=")</f>
        <v>#REF!</v>
      </c>
      <c r="FG235" t="e">
        <f>AND(#REF!,"AAAAAFf/daI=")</f>
        <v>#REF!</v>
      </c>
      <c r="FH235" t="e">
        <f>AND(#REF!,"AAAAAFf/daM=")</f>
        <v>#REF!</v>
      </c>
      <c r="FI235" t="e">
        <f>AND(#REF!,"AAAAAFf/daQ=")</f>
        <v>#REF!</v>
      </c>
      <c r="FJ235" t="e">
        <f>AND(#REF!,"AAAAAFf/daU=")</f>
        <v>#REF!</v>
      </c>
      <c r="FK235" t="e">
        <f>AND(#REF!,"AAAAAFf/daY=")</f>
        <v>#REF!</v>
      </c>
      <c r="FL235" t="e">
        <f>AND(#REF!,"AAAAAFf/dac=")</f>
        <v>#REF!</v>
      </c>
      <c r="FM235" t="e">
        <f>AND(#REF!,"AAAAAFf/dag=")</f>
        <v>#REF!</v>
      </c>
      <c r="FN235" t="e">
        <f>AND(#REF!,"AAAAAFf/dak=")</f>
        <v>#REF!</v>
      </c>
      <c r="FO235" t="e">
        <f>AND(#REF!,"AAAAAFf/dao=")</f>
        <v>#REF!</v>
      </c>
      <c r="FP235" t="e">
        <f>AND(#REF!,"AAAAAFf/das=")</f>
        <v>#REF!</v>
      </c>
      <c r="FQ235" t="e">
        <f>AND(#REF!,"AAAAAFf/daw=")</f>
        <v>#REF!</v>
      </c>
      <c r="FR235" t="e">
        <f>AND(#REF!,"AAAAAFf/da0=")</f>
        <v>#REF!</v>
      </c>
      <c r="FS235" t="e">
        <f>AND(#REF!,"AAAAAFf/da4=")</f>
        <v>#REF!</v>
      </c>
      <c r="FT235" t="e">
        <f>AND(#REF!,"AAAAAFf/da8=")</f>
        <v>#REF!</v>
      </c>
      <c r="FU235" t="e">
        <f>AND(#REF!,"AAAAAFf/dbA=")</f>
        <v>#REF!</v>
      </c>
      <c r="FV235" t="e">
        <f>AND(#REF!,"AAAAAFf/dbE=")</f>
        <v>#REF!</v>
      </c>
      <c r="FW235" t="e">
        <f>AND(#REF!,"AAAAAFf/dbI=")</f>
        <v>#REF!</v>
      </c>
      <c r="FX235" t="e">
        <f>AND(#REF!,"AAAAAFf/dbM=")</f>
        <v>#REF!</v>
      </c>
      <c r="FY235" t="e">
        <f>AND(#REF!,"AAAAAFf/dbQ=")</f>
        <v>#REF!</v>
      </c>
      <c r="FZ235" t="e">
        <f>AND(#REF!,"AAAAAFf/dbU=")</f>
        <v>#REF!</v>
      </c>
      <c r="GA235" t="e">
        <f>AND(#REF!,"AAAAAFf/dbY=")</f>
        <v>#REF!</v>
      </c>
      <c r="GB235" t="e">
        <f>AND(#REF!,"AAAAAFf/dbc=")</f>
        <v>#REF!</v>
      </c>
      <c r="GC235" t="e">
        <f>AND(#REF!,"AAAAAFf/dbg=")</f>
        <v>#REF!</v>
      </c>
      <c r="GD235" t="e">
        <f>AND(#REF!,"AAAAAFf/dbk=")</f>
        <v>#REF!</v>
      </c>
      <c r="GE235" t="e">
        <f>AND(#REF!,"AAAAAFf/dbo=")</f>
        <v>#REF!</v>
      </c>
      <c r="GF235" t="e">
        <f>AND(#REF!,"AAAAAFf/dbs=")</f>
        <v>#REF!</v>
      </c>
      <c r="GG235" t="e">
        <f>IF(#REF!,"AAAAAFf/dbw=",0)</f>
        <v>#REF!</v>
      </c>
      <c r="GH235" t="e">
        <f>AND(#REF!,"AAAAAFf/db0=")</f>
        <v>#REF!</v>
      </c>
      <c r="GI235" t="e">
        <f>AND(#REF!,"AAAAAFf/db4=")</f>
        <v>#REF!</v>
      </c>
      <c r="GJ235" t="e">
        <f>AND(#REF!,"AAAAAFf/db8=")</f>
        <v>#REF!</v>
      </c>
      <c r="GK235" t="e">
        <f>AND(#REF!,"AAAAAFf/dcA=")</f>
        <v>#REF!</v>
      </c>
      <c r="GL235" t="e">
        <f>AND(#REF!,"AAAAAFf/dcE=")</f>
        <v>#REF!</v>
      </c>
      <c r="GM235" t="e">
        <f>AND(#REF!,"AAAAAFf/dcI=")</f>
        <v>#REF!</v>
      </c>
      <c r="GN235" t="e">
        <f>AND(#REF!,"AAAAAFf/dcM=")</f>
        <v>#REF!</v>
      </c>
      <c r="GO235" t="e">
        <f>AND(#REF!,"AAAAAFf/dcQ=")</f>
        <v>#REF!</v>
      </c>
      <c r="GP235" t="e">
        <f>AND(#REF!,"AAAAAFf/dcU=")</f>
        <v>#REF!</v>
      </c>
      <c r="GQ235" t="e">
        <f>AND(#REF!,"AAAAAFf/dcY=")</f>
        <v>#REF!</v>
      </c>
      <c r="GR235" t="e">
        <f>AND(#REF!,"AAAAAFf/dcc=")</f>
        <v>#REF!</v>
      </c>
      <c r="GS235" t="e">
        <f>AND(#REF!,"AAAAAFf/dcg=")</f>
        <v>#REF!</v>
      </c>
      <c r="GT235" t="e">
        <f>AND(#REF!,"AAAAAFf/dck=")</f>
        <v>#REF!</v>
      </c>
      <c r="GU235" t="e">
        <f>AND(#REF!,"AAAAAFf/dco=")</f>
        <v>#REF!</v>
      </c>
      <c r="GV235" t="e">
        <f>AND(#REF!,"AAAAAFf/dcs=")</f>
        <v>#REF!</v>
      </c>
      <c r="GW235" t="e">
        <f>AND(#REF!,"AAAAAFf/dcw=")</f>
        <v>#REF!</v>
      </c>
      <c r="GX235" t="e">
        <f>AND(#REF!,"AAAAAFf/dc0=")</f>
        <v>#REF!</v>
      </c>
      <c r="GY235" t="e">
        <f>AND(#REF!,"AAAAAFf/dc4=")</f>
        <v>#REF!</v>
      </c>
      <c r="GZ235" t="e">
        <f>AND(#REF!,"AAAAAFf/dc8=")</f>
        <v>#REF!</v>
      </c>
      <c r="HA235" t="e">
        <f>AND(#REF!,"AAAAAFf/ddA=")</f>
        <v>#REF!</v>
      </c>
      <c r="HB235" t="e">
        <f>AND(#REF!,"AAAAAFf/ddE=")</f>
        <v>#REF!</v>
      </c>
      <c r="HC235" t="e">
        <f>AND(#REF!,"AAAAAFf/ddI=")</f>
        <v>#REF!</v>
      </c>
      <c r="HD235" t="e">
        <f>AND(#REF!,"AAAAAFf/ddM=")</f>
        <v>#REF!</v>
      </c>
      <c r="HE235" t="e">
        <f>AND(#REF!,"AAAAAFf/ddQ=")</f>
        <v>#REF!</v>
      </c>
      <c r="HF235" t="e">
        <f>AND(#REF!,"AAAAAFf/ddU=")</f>
        <v>#REF!</v>
      </c>
      <c r="HG235" t="e">
        <f>AND(#REF!,"AAAAAFf/ddY=")</f>
        <v>#REF!</v>
      </c>
      <c r="HH235" t="e">
        <f>AND(#REF!,"AAAAAFf/ddc=")</f>
        <v>#REF!</v>
      </c>
      <c r="HI235" t="e">
        <f>AND(#REF!,"AAAAAFf/ddg=")</f>
        <v>#REF!</v>
      </c>
      <c r="HJ235" t="e">
        <f>AND(#REF!,"AAAAAFf/ddk=")</f>
        <v>#REF!</v>
      </c>
      <c r="HK235" t="e">
        <f>AND(#REF!,"AAAAAFf/ddo=")</f>
        <v>#REF!</v>
      </c>
      <c r="HL235" t="e">
        <f>AND(#REF!,"AAAAAFf/dds=")</f>
        <v>#REF!</v>
      </c>
      <c r="HM235" t="e">
        <f>AND(#REF!,"AAAAAFf/ddw=")</f>
        <v>#REF!</v>
      </c>
      <c r="HN235" t="e">
        <f>AND(#REF!,"AAAAAFf/dd0=")</f>
        <v>#REF!</v>
      </c>
      <c r="HO235" t="e">
        <f>AND(#REF!,"AAAAAFf/dd4=")</f>
        <v>#REF!</v>
      </c>
      <c r="HP235" t="e">
        <f>IF(#REF!,"AAAAAFf/dd8=",0)</f>
        <v>#REF!</v>
      </c>
      <c r="HQ235" t="e">
        <f>AND(#REF!,"AAAAAFf/deA=")</f>
        <v>#REF!</v>
      </c>
      <c r="HR235" t="e">
        <f>AND(#REF!,"AAAAAFf/deE=")</f>
        <v>#REF!</v>
      </c>
      <c r="HS235" t="e">
        <f>AND(#REF!,"AAAAAFf/deI=")</f>
        <v>#REF!</v>
      </c>
      <c r="HT235" t="e">
        <f>AND(#REF!,"AAAAAFf/deM=")</f>
        <v>#REF!</v>
      </c>
      <c r="HU235" t="e">
        <f>AND(#REF!,"AAAAAFf/deQ=")</f>
        <v>#REF!</v>
      </c>
      <c r="HV235" t="e">
        <f>AND(#REF!,"AAAAAFf/deU=")</f>
        <v>#REF!</v>
      </c>
      <c r="HW235" t="e">
        <f>AND(#REF!,"AAAAAFf/deY=")</f>
        <v>#REF!</v>
      </c>
      <c r="HX235" t="e">
        <f>AND(#REF!,"AAAAAFf/dec=")</f>
        <v>#REF!</v>
      </c>
      <c r="HY235" t="e">
        <f>AND(#REF!,"AAAAAFf/deg=")</f>
        <v>#REF!</v>
      </c>
      <c r="HZ235" t="e">
        <f>AND(#REF!,"AAAAAFf/dek=")</f>
        <v>#REF!</v>
      </c>
      <c r="IA235" t="e">
        <f>AND(#REF!,"AAAAAFf/deo=")</f>
        <v>#REF!</v>
      </c>
      <c r="IB235" t="e">
        <f>AND(#REF!,"AAAAAFf/des=")</f>
        <v>#REF!</v>
      </c>
      <c r="IC235" t="e">
        <f>AND(#REF!,"AAAAAFf/dew=")</f>
        <v>#REF!</v>
      </c>
      <c r="ID235" t="e">
        <f>AND(#REF!,"AAAAAFf/de0=")</f>
        <v>#REF!</v>
      </c>
      <c r="IE235" t="e">
        <f>AND(#REF!,"AAAAAFf/de4=")</f>
        <v>#REF!</v>
      </c>
      <c r="IF235" t="e">
        <f>AND(#REF!,"AAAAAFf/de8=")</f>
        <v>#REF!</v>
      </c>
      <c r="IG235" t="e">
        <f>AND(#REF!,"AAAAAFf/dfA=")</f>
        <v>#REF!</v>
      </c>
      <c r="IH235" t="e">
        <f>AND(#REF!,"AAAAAFf/dfE=")</f>
        <v>#REF!</v>
      </c>
      <c r="II235" t="e">
        <f>AND(#REF!,"AAAAAFf/dfI=")</f>
        <v>#REF!</v>
      </c>
      <c r="IJ235" t="e">
        <f>AND(#REF!,"AAAAAFf/dfM=")</f>
        <v>#REF!</v>
      </c>
      <c r="IK235" t="e">
        <f>AND(#REF!,"AAAAAFf/dfQ=")</f>
        <v>#REF!</v>
      </c>
      <c r="IL235" t="e">
        <f>AND(#REF!,"AAAAAFf/dfU=")</f>
        <v>#REF!</v>
      </c>
      <c r="IM235" t="e">
        <f>AND(#REF!,"AAAAAFf/dfY=")</f>
        <v>#REF!</v>
      </c>
      <c r="IN235" t="e">
        <f>AND(#REF!,"AAAAAFf/dfc=")</f>
        <v>#REF!</v>
      </c>
      <c r="IO235" t="e">
        <f>AND(#REF!,"AAAAAFf/dfg=")</f>
        <v>#REF!</v>
      </c>
      <c r="IP235" t="e">
        <f>AND(#REF!,"AAAAAFf/dfk=")</f>
        <v>#REF!</v>
      </c>
      <c r="IQ235" t="e">
        <f>AND(#REF!,"AAAAAFf/dfo=")</f>
        <v>#REF!</v>
      </c>
      <c r="IR235" t="e">
        <f>AND(#REF!,"AAAAAFf/dfs=")</f>
        <v>#REF!</v>
      </c>
      <c r="IS235" t="e">
        <f>AND(#REF!,"AAAAAFf/dfw=")</f>
        <v>#REF!</v>
      </c>
      <c r="IT235" t="e">
        <f>AND(#REF!,"AAAAAFf/df0=")</f>
        <v>#REF!</v>
      </c>
      <c r="IU235" t="e">
        <f>AND(#REF!,"AAAAAFf/df4=")</f>
        <v>#REF!</v>
      </c>
      <c r="IV235" t="e">
        <f>AND(#REF!,"AAAAAFf/df8=")</f>
        <v>#REF!</v>
      </c>
    </row>
    <row r="236" spans="1:256" x14ac:dyDescent="0.25">
      <c r="A236" t="e">
        <f>AND(#REF!,"AAAAAGKvmwA=")</f>
        <v>#REF!</v>
      </c>
      <c r="B236" t="e">
        <f>AND(#REF!,"AAAAAGKvmwE=")</f>
        <v>#REF!</v>
      </c>
      <c r="C236" t="e">
        <f>IF(#REF!,"AAAAAGKvmwI=",0)</f>
        <v>#REF!</v>
      </c>
      <c r="D236" t="e">
        <f>AND(#REF!,"AAAAAGKvmwM=")</f>
        <v>#REF!</v>
      </c>
      <c r="E236" t="e">
        <f>AND(#REF!,"AAAAAGKvmwQ=")</f>
        <v>#REF!</v>
      </c>
      <c r="F236" t="e">
        <f>AND(#REF!,"AAAAAGKvmwU=")</f>
        <v>#REF!</v>
      </c>
      <c r="G236" t="e">
        <f>AND(#REF!,"AAAAAGKvmwY=")</f>
        <v>#REF!</v>
      </c>
      <c r="H236" t="e">
        <f>AND(#REF!,"AAAAAGKvmwc=")</f>
        <v>#REF!</v>
      </c>
      <c r="I236" t="e">
        <f>AND(#REF!,"AAAAAGKvmwg=")</f>
        <v>#REF!</v>
      </c>
      <c r="J236" t="e">
        <f>AND(#REF!,"AAAAAGKvmwk=")</f>
        <v>#REF!</v>
      </c>
      <c r="K236" t="e">
        <f>AND(#REF!,"AAAAAGKvmwo=")</f>
        <v>#REF!</v>
      </c>
      <c r="L236" t="e">
        <f>AND(#REF!,"AAAAAGKvmws=")</f>
        <v>#REF!</v>
      </c>
      <c r="M236" t="e">
        <f>AND(#REF!,"AAAAAGKvmww=")</f>
        <v>#REF!</v>
      </c>
      <c r="N236" t="e">
        <f>AND(#REF!,"AAAAAGKvmw0=")</f>
        <v>#REF!</v>
      </c>
      <c r="O236" t="e">
        <f>AND(#REF!,"AAAAAGKvmw4=")</f>
        <v>#REF!</v>
      </c>
      <c r="P236" t="e">
        <f>AND(#REF!,"AAAAAGKvmw8=")</f>
        <v>#REF!</v>
      </c>
      <c r="Q236" t="e">
        <f>AND(#REF!,"AAAAAGKvmxA=")</f>
        <v>#REF!</v>
      </c>
      <c r="R236" t="e">
        <f>AND(#REF!,"AAAAAGKvmxE=")</f>
        <v>#REF!</v>
      </c>
      <c r="S236" t="e">
        <f>AND(#REF!,"AAAAAGKvmxI=")</f>
        <v>#REF!</v>
      </c>
      <c r="T236" t="e">
        <f>AND(#REF!,"AAAAAGKvmxM=")</f>
        <v>#REF!</v>
      </c>
      <c r="U236" t="e">
        <f>AND(#REF!,"AAAAAGKvmxQ=")</f>
        <v>#REF!</v>
      </c>
      <c r="V236" t="e">
        <f>AND(#REF!,"AAAAAGKvmxU=")</f>
        <v>#REF!</v>
      </c>
      <c r="W236" t="e">
        <f>AND(#REF!,"AAAAAGKvmxY=")</f>
        <v>#REF!</v>
      </c>
      <c r="X236" t="e">
        <f>AND(#REF!,"AAAAAGKvmxc=")</f>
        <v>#REF!</v>
      </c>
      <c r="Y236" t="e">
        <f>AND(#REF!,"AAAAAGKvmxg=")</f>
        <v>#REF!</v>
      </c>
      <c r="Z236" t="e">
        <f>AND(#REF!,"AAAAAGKvmxk=")</f>
        <v>#REF!</v>
      </c>
      <c r="AA236" t="e">
        <f>AND(#REF!,"AAAAAGKvmxo=")</f>
        <v>#REF!</v>
      </c>
      <c r="AB236" t="e">
        <f>AND(#REF!,"AAAAAGKvmxs=")</f>
        <v>#REF!</v>
      </c>
      <c r="AC236" t="e">
        <f>AND(#REF!,"AAAAAGKvmxw=")</f>
        <v>#REF!</v>
      </c>
      <c r="AD236" t="e">
        <f>AND(#REF!,"AAAAAGKvmx0=")</f>
        <v>#REF!</v>
      </c>
      <c r="AE236" t="e">
        <f>AND(#REF!,"AAAAAGKvmx4=")</f>
        <v>#REF!</v>
      </c>
      <c r="AF236" t="e">
        <f>AND(#REF!,"AAAAAGKvmx8=")</f>
        <v>#REF!</v>
      </c>
      <c r="AG236" t="e">
        <f>AND(#REF!,"AAAAAGKvmyA=")</f>
        <v>#REF!</v>
      </c>
      <c r="AH236" t="e">
        <f>AND(#REF!,"AAAAAGKvmyE=")</f>
        <v>#REF!</v>
      </c>
      <c r="AI236" t="e">
        <f>AND(#REF!,"AAAAAGKvmyI=")</f>
        <v>#REF!</v>
      </c>
      <c r="AJ236" t="e">
        <f>AND(#REF!,"AAAAAGKvmyM=")</f>
        <v>#REF!</v>
      </c>
      <c r="AK236" t="e">
        <f>AND(#REF!,"AAAAAGKvmyQ=")</f>
        <v>#REF!</v>
      </c>
      <c r="AL236" t="e">
        <f>IF(#REF!,"AAAAAGKvmyU=",0)</f>
        <v>#REF!</v>
      </c>
      <c r="AM236" t="e">
        <f>AND(#REF!,"AAAAAGKvmyY=")</f>
        <v>#REF!</v>
      </c>
      <c r="AN236" t="e">
        <f>AND(#REF!,"AAAAAGKvmyc=")</f>
        <v>#REF!</v>
      </c>
      <c r="AO236" t="e">
        <f>AND(#REF!,"AAAAAGKvmyg=")</f>
        <v>#REF!</v>
      </c>
      <c r="AP236" t="e">
        <f>AND(#REF!,"AAAAAGKvmyk=")</f>
        <v>#REF!</v>
      </c>
      <c r="AQ236" t="e">
        <f>AND(#REF!,"AAAAAGKvmyo=")</f>
        <v>#REF!</v>
      </c>
      <c r="AR236" t="e">
        <f>AND(#REF!,"AAAAAGKvmys=")</f>
        <v>#REF!</v>
      </c>
      <c r="AS236" t="e">
        <f>AND(#REF!,"AAAAAGKvmyw=")</f>
        <v>#REF!</v>
      </c>
      <c r="AT236" t="e">
        <f>AND(#REF!,"AAAAAGKvmy0=")</f>
        <v>#REF!</v>
      </c>
      <c r="AU236" t="e">
        <f>AND(#REF!,"AAAAAGKvmy4=")</f>
        <v>#REF!</v>
      </c>
      <c r="AV236" t="e">
        <f>AND(#REF!,"AAAAAGKvmy8=")</f>
        <v>#REF!</v>
      </c>
      <c r="AW236" t="e">
        <f>AND(#REF!,"AAAAAGKvmzA=")</f>
        <v>#REF!</v>
      </c>
      <c r="AX236" t="e">
        <f>AND(#REF!,"AAAAAGKvmzE=")</f>
        <v>#REF!</v>
      </c>
      <c r="AY236" t="e">
        <f>AND(#REF!,"AAAAAGKvmzI=")</f>
        <v>#REF!</v>
      </c>
      <c r="AZ236" t="e">
        <f>AND(#REF!,"AAAAAGKvmzM=")</f>
        <v>#REF!</v>
      </c>
      <c r="BA236" t="e">
        <f>AND(#REF!,"AAAAAGKvmzQ=")</f>
        <v>#REF!</v>
      </c>
      <c r="BB236" t="e">
        <f>AND(#REF!,"AAAAAGKvmzU=")</f>
        <v>#REF!</v>
      </c>
      <c r="BC236" t="e">
        <f>AND(#REF!,"AAAAAGKvmzY=")</f>
        <v>#REF!</v>
      </c>
      <c r="BD236" t="e">
        <f>AND(#REF!,"AAAAAGKvmzc=")</f>
        <v>#REF!</v>
      </c>
      <c r="BE236" t="e">
        <f>AND(#REF!,"AAAAAGKvmzg=")</f>
        <v>#REF!</v>
      </c>
      <c r="BF236" t="e">
        <f>AND(#REF!,"AAAAAGKvmzk=")</f>
        <v>#REF!</v>
      </c>
      <c r="BG236" t="e">
        <f>AND(#REF!,"AAAAAGKvmzo=")</f>
        <v>#REF!</v>
      </c>
      <c r="BH236" t="e">
        <f>AND(#REF!,"AAAAAGKvmzs=")</f>
        <v>#REF!</v>
      </c>
      <c r="BI236" t="e">
        <f>AND(#REF!,"AAAAAGKvmzw=")</f>
        <v>#REF!</v>
      </c>
      <c r="BJ236" t="e">
        <f>AND(#REF!,"AAAAAGKvmz0=")</f>
        <v>#REF!</v>
      </c>
      <c r="BK236" t="e">
        <f>AND(#REF!,"AAAAAGKvmz4=")</f>
        <v>#REF!</v>
      </c>
      <c r="BL236" t="e">
        <f>AND(#REF!,"AAAAAGKvmz8=")</f>
        <v>#REF!</v>
      </c>
      <c r="BM236" t="e">
        <f>AND(#REF!,"AAAAAGKvm0A=")</f>
        <v>#REF!</v>
      </c>
      <c r="BN236" t="e">
        <f>AND(#REF!,"AAAAAGKvm0E=")</f>
        <v>#REF!</v>
      </c>
      <c r="BO236" t="e">
        <f>AND(#REF!,"AAAAAGKvm0I=")</f>
        <v>#REF!</v>
      </c>
      <c r="BP236" t="e">
        <f>AND(#REF!,"AAAAAGKvm0M=")</f>
        <v>#REF!</v>
      </c>
      <c r="BQ236" t="e">
        <f>AND(#REF!,"AAAAAGKvm0Q=")</f>
        <v>#REF!</v>
      </c>
      <c r="BR236" t="e">
        <f>AND(#REF!,"AAAAAGKvm0U=")</f>
        <v>#REF!</v>
      </c>
      <c r="BS236" t="e">
        <f>AND(#REF!,"AAAAAGKvm0Y=")</f>
        <v>#REF!</v>
      </c>
      <c r="BT236" t="e">
        <f>AND(#REF!,"AAAAAGKvm0c=")</f>
        <v>#REF!</v>
      </c>
      <c r="BU236" t="e">
        <f>IF(#REF!,"AAAAAGKvm0g=",0)</f>
        <v>#REF!</v>
      </c>
      <c r="BV236" t="e">
        <f>AND(#REF!,"AAAAAGKvm0k=")</f>
        <v>#REF!</v>
      </c>
      <c r="BW236" t="e">
        <f>AND(#REF!,"AAAAAGKvm0o=")</f>
        <v>#REF!</v>
      </c>
      <c r="BX236" t="e">
        <f>AND(#REF!,"AAAAAGKvm0s=")</f>
        <v>#REF!</v>
      </c>
      <c r="BY236" t="e">
        <f>AND(#REF!,"AAAAAGKvm0w=")</f>
        <v>#REF!</v>
      </c>
      <c r="BZ236" t="e">
        <f>AND(#REF!,"AAAAAGKvm00=")</f>
        <v>#REF!</v>
      </c>
      <c r="CA236" t="e">
        <f>AND(#REF!,"AAAAAGKvm04=")</f>
        <v>#REF!</v>
      </c>
      <c r="CB236" t="e">
        <f>AND(#REF!,"AAAAAGKvm08=")</f>
        <v>#REF!</v>
      </c>
      <c r="CC236" t="e">
        <f>AND(#REF!,"AAAAAGKvm1A=")</f>
        <v>#REF!</v>
      </c>
      <c r="CD236" t="e">
        <f>AND(#REF!,"AAAAAGKvm1E=")</f>
        <v>#REF!</v>
      </c>
      <c r="CE236" t="e">
        <f>AND(#REF!,"AAAAAGKvm1I=")</f>
        <v>#REF!</v>
      </c>
      <c r="CF236" t="e">
        <f>AND(#REF!,"AAAAAGKvm1M=")</f>
        <v>#REF!</v>
      </c>
      <c r="CG236" t="e">
        <f>AND(#REF!,"AAAAAGKvm1Q=")</f>
        <v>#REF!</v>
      </c>
      <c r="CH236" t="e">
        <f>AND(#REF!,"AAAAAGKvm1U=")</f>
        <v>#REF!</v>
      </c>
      <c r="CI236" t="e">
        <f>AND(#REF!,"AAAAAGKvm1Y=")</f>
        <v>#REF!</v>
      </c>
      <c r="CJ236" t="e">
        <f>AND(#REF!,"AAAAAGKvm1c=")</f>
        <v>#REF!</v>
      </c>
      <c r="CK236" t="e">
        <f>AND(#REF!,"AAAAAGKvm1g=")</f>
        <v>#REF!</v>
      </c>
      <c r="CL236" t="e">
        <f>AND(#REF!,"AAAAAGKvm1k=")</f>
        <v>#REF!</v>
      </c>
      <c r="CM236" t="e">
        <f>AND(#REF!,"AAAAAGKvm1o=")</f>
        <v>#REF!</v>
      </c>
      <c r="CN236" t="e">
        <f>AND(#REF!,"AAAAAGKvm1s=")</f>
        <v>#REF!</v>
      </c>
      <c r="CO236" t="e">
        <f>AND(#REF!,"AAAAAGKvm1w=")</f>
        <v>#REF!</v>
      </c>
      <c r="CP236" t="e">
        <f>AND(#REF!,"AAAAAGKvm10=")</f>
        <v>#REF!</v>
      </c>
      <c r="CQ236" t="e">
        <f>AND(#REF!,"AAAAAGKvm14=")</f>
        <v>#REF!</v>
      </c>
      <c r="CR236" t="e">
        <f>AND(#REF!,"AAAAAGKvm18=")</f>
        <v>#REF!</v>
      </c>
      <c r="CS236" t="e">
        <f>AND(#REF!,"AAAAAGKvm2A=")</f>
        <v>#REF!</v>
      </c>
      <c r="CT236" t="e">
        <f>AND(#REF!,"AAAAAGKvm2E=")</f>
        <v>#REF!</v>
      </c>
      <c r="CU236" t="e">
        <f>AND(#REF!,"AAAAAGKvm2I=")</f>
        <v>#REF!</v>
      </c>
      <c r="CV236" t="e">
        <f>AND(#REF!,"AAAAAGKvm2M=")</f>
        <v>#REF!</v>
      </c>
      <c r="CW236" t="e">
        <f>AND(#REF!,"AAAAAGKvm2Q=")</f>
        <v>#REF!</v>
      </c>
      <c r="CX236" t="e">
        <f>AND(#REF!,"AAAAAGKvm2U=")</f>
        <v>#REF!</v>
      </c>
      <c r="CY236" t="e">
        <f>AND(#REF!,"AAAAAGKvm2Y=")</f>
        <v>#REF!</v>
      </c>
      <c r="CZ236" t="e">
        <f>AND(#REF!,"AAAAAGKvm2c=")</f>
        <v>#REF!</v>
      </c>
      <c r="DA236" t="e">
        <f>AND(#REF!,"AAAAAGKvm2g=")</f>
        <v>#REF!</v>
      </c>
      <c r="DB236" t="e">
        <f>AND(#REF!,"AAAAAGKvm2k=")</f>
        <v>#REF!</v>
      </c>
      <c r="DC236" t="e">
        <f>AND(#REF!,"AAAAAGKvm2o=")</f>
        <v>#REF!</v>
      </c>
      <c r="DD236" t="e">
        <f>IF(#REF!,"AAAAAGKvm2s=",0)</f>
        <v>#REF!</v>
      </c>
      <c r="DE236" t="e">
        <f>AND(#REF!,"AAAAAGKvm2w=")</f>
        <v>#REF!</v>
      </c>
      <c r="DF236" t="e">
        <f>AND(#REF!,"AAAAAGKvm20=")</f>
        <v>#REF!</v>
      </c>
      <c r="DG236" t="e">
        <f>AND(#REF!,"AAAAAGKvm24=")</f>
        <v>#REF!</v>
      </c>
      <c r="DH236" t="e">
        <f>AND(#REF!,"AAAAAGKvm28=")</f>
        <v>#REF!</v>
      </c>
      <c r="DI236" t="e">
        <f>AND(#REF!,"AAAAAGKvm3A=")</f>
        <v>#REF!</v>
      </c>
      <c r="DJ236" t="e">
        <f>AND(#REF!,"AAAAAGKvm3E=")</f>
        <v>#REF!</v>
      </c>
      <c r="DK236" t="e">
        <f>AND(#REF!,"AAAAAGKvm3I=")</f>
        <v>#REF!</v>
      </c>
      <c r="DL236" t="e">
        <f>AND(#REF!,"AAAAAGKvm3M=")</f>
        <v>#REF!</v>
      </c>
      <c r="DM236" t="e">
        <f>AND(#REF!,"AAAAAGKvm3Q=")</f>
        <v>#REF!</v>
      </c>
      <c r="DN236" t="e">
        <f>AND(#REF!,"AAAAAGKvm3U=")</f>
        <v>#REF!</v>
      </c>
      <c r="DO236" t="e">
        <f>AND(#REF!,"AAAAAGKvm3Y=")</f>
        <v>#REF!</v>
      </c>
      <c r="DP236" t="e">
        <f>AND(#REF!,"AAAAAGKvm3c=")</f>
        <v>#REF!</v>
      </c>
      <c r="DQ236" t="e">
        <f>AND(#REF!,"AAAAAGKvm3g=")</f>
        <v>#REF!</v>
      </c>
      <c r="DR236" t="e">
        <f>AND(#REF!,"AAAAAGKvm3k=")</f>
        <v>#REF!</v>
      </c>
      <c r="DS236" t="e">
        <f>AND(#REF!,"AAAAAGKvm3o=")</f>
        <v>#REF!</v>
      </c>
      <c r="DT236" t="e">
        <f>AND(#REF!,"AAAAAGKvm3s=")</f>
        <v>#REF!</v>
      </c>
      <c r="DU236" t="e">
        <f>AND(#REF!,"AAAAAGKvm3w=")</f>
        <v>#REF!</v>
      </c>
      <c r="DV236" t="e">
        <f>AND(#REF!,"AAAAAGKvm30=")</f>
        <v>#REF!</v>
      </c>
      <c r="DW236" t="e">
        <f>AND(#REF!,"AAAAAGKvm34=")</f>
        <v>#REF!</v>
      </c>
      <c r="DX236" t="e">
        <f>AND(#REF!,"AAAAAGKvm38=")</f>
        <v>#REF!</v>
      </c>
      <c r="DY236" t="e">
        <f>AND(#REF!,"AAAAAGKvm4A=")</f>
        <v>#REF!</v>
      </c>
      <c r="DZ236" t="e">
        <f>AND(#REF!,"AAAAAGKvm4E=")</f>
        <v>#REF!</v>
      </c>
      <c r="EA236" t="e">
        <f>AND(#REF!,"AAAAAGKvm4I=")</f>
        <v>#REF!</v>
      </c>
      <c r="EB236" t="e">
        <f>AND(#REF!,"AAAAAGKvm4M=")</f>
        <v>#REF!</v>
      </c>
      <c r="EC236" t="e">
        <f>AND(#REF!,"AAAAAGKvm4Q=")</f>
        <v>#REF!</v>
      </c>
      <c r="ED236" t="e">
        <f>AND(#REF!,"AAAAAGKvm4U=")</f>
        <v>#REF!</v>
      </c>
      <c r="EE236" t="e">
        <f>AND(#REF!,"AAAAAGKvm4Y=")</f>
        <v>#REF!</v>
      </c>
      <c r="EF236" t="e">
        <f>AND(#REF!,"AAAAAGKvm4c=")</f>
        <v>#REF!</v>
      </c>
      <c r="EG236" t="e">
        <f>AND(#REF!,"AAAAAGKvm4g=")</f>
        <v>#REF!</v>
      </c>
      <c r="EH236" t="e">
        <f>AND(#REF!,"AAAAAGKvm4k=")</f>
        <v>#REF!</v>
      </c>
      <c r="EI236" t="e">
        <f>AND(#REF!,"AAAAAGKvm4o=")</f>
        <v>#REF!</v>
      </c>
      <c r="EJ236" t="e">
        <f>AND(#REF!,"AAAAAGKvm4s=")</f>
        <v>#REF!</v>
      </c>
      <c r="EK236" t="e">
        <f>AND(#REF!,"AAAAAGKvm4w=")</f>
        <v>#REF!</v>
      </c>
      <c r="EL236" t="e">
        <f>AND(#REF!,"AAAAAGKvm40=")</f>
        <v>#REF!</v>
      </c>
      <c r="EM236" t="e">
        <f>IF(#REF!,"AAAAAGKvm44=",0)</f>
        <v>#REF!</v>
      </c>
      <c r="EN236" t="e">
        <f>AND(#REF!,"AAAAAGKvm48=")</f>
        <v>#REF!</v>
      </c>
      <c r="EO236" t="e">
        <f>AND(#REF!,"AAAAAGKvm5A=")</f>
        <v>#REF!</v>
      </c>
      <c r="EP236" t="e">
        <f>AND(#REF!,"AAAAAGKvm5E=")</f>
        <v>#REF!</v>
      </c>
      <c r="EQ236" t="e">
        <f>AND(#REF!,"AAAAAGKvm5I=")</f>
        <v>#REF!</v>
      </c>
      <c r="ER236" t="e">
        <f>AND(#REF!,"AAAAAGKvm5M=")</f>
        <v>#REF!</v>
      </c>
      <c r="ES236" t="e">
        <f>AND(#REF!,"AAAAAGKvm5Q=")</f>
        <v>#REF!</v>
      </c>
      <c r="ET236" t="e">
        <f>AND(#REF!,"AAAAAGKvm5U=")</f>
        <v>#REF!</v>
      </c>
      <c r="EU236" t="e">
        <f>AND(#REF!,"AAAAAGKvm5Y=")</f>
        <v>#REF!</v>
      </c>
      <c r="EV236" t="e">
        <f>AND(#REF!,"AAAAAGKvm5c=")</f>
        <v>#REF!</v>
      </c>
      <c r="EW236" t="e">
        <f>AND(#REF!,"AAAAAGKvm5g=")</f>
        <v>#REF!</v>
      </c>
      <c r="EX236" t="e">
        <f>AND(#REF!,"AAAAAGKvm5k=")</f>
        <v>#REF!</v>
      </c>
      <c r="EY236" t="e">
        <f>AND(#REF!,"AAAAAGKvm5o=")</f>
        <v>#REF!</v>
      </c>
      <c r="EZ236" t="e">
        <f>AND(#REF!,"AAAAAGKvm5s=")</f>
        <v>#REF!</v>
      </c>
      <c r="FA236" t="e">
        <f>AND(#REF!,"AAAAAGKvm5w=")</f>
        <v>#REF!</v>
      </c>
      <c r="FB236" t="e">
        <f>AND(#REF!,"AAAAAGKvm50=")</f>
        <v>#REF!</v>
      </c>
      <c r="FC236" t="e">
        <f>AND(#REF!,"AAAAAGKvm54=")</f>
        <v>#REF!</v>
      </c>
      <c r="FD236" t="e">
        <f>AND(#REF!,"AAAAAGKvm58=")</f>
        <v>#REF!</v>
      </c>
      <c r="FE236" t="e">
        <f>AND(#REF!,"AAAAAGKvm6A=")</f>
        <v>#REF!</v>
      </c>
      <c r="FF236" t="e">
        <f>AND(#REF!,"AAAAAGKvm6E=")</f>
        <v>#REF!</v>
      </c>
      <c r="FG236" t="e">
        <f>AND(#REF!,"AAAAAGKvm6I=")</f>
        <v>#REF!</v>
      </c>
      <c r="FH236" t="e">
        <f>AND(#REF!,"AAAAAGKvm6M=")</f>
        <v>#REF!</v>
      </c>
      <c r="FI236" t="e">
        <f>AND(#REF!,"AAAAAGKvm6Q=")</f>
        <v>#REF!</v>
      </c>
      <c r="FJ236" t="e">
        <f>AND(#REF!,"AAAAAGKvm6U=")</f>
        <v>#REF!</v>
      </c>
      <c r="FK236" t="e">
        <f>AND(#REF!,"AAAAAGKvm6Y=")</f>
        <v>#REF!</v>
      </c>
      <c r="FL236" t="e">
        <f>AND(#REF!,"AAAAAGKvm6c=")</f>
        <v>#REF!</v>
      </c>
      <c r="FM236" t="e">
        <f>AND(#REF!,"AAAAAGKvm6g=")</f>
        <v>#REF!</v>
      </c>
      <c r="FN236" t="e">
        <f>AND(#REF!,"AAAAAGKvm6k=")</f>
        <v>#REF!</v>
      </c>
      <c r="FO236" t="e">
        <f>AND(#REF!,"AAAAAGKvm6o=")</f>
        <v>#REF!</v>
      </c>
      <c r="FP236" t="e">
        <f>AND(#REF!,"AAAAAGKvm6s=")</f>
        <v>#REF!</v>
      </c>
      <c r="FQ236" t="e">
        <f>AND(#REF!,"AAAAAGKvm6w=")</f>
        <v>#REF!</v>
      </c>
      <c r="FR236" t="e">
        <f>AND(#REF!,"AAAAAGKvm60=")</f>
        <v>#REF!</v>
      </c>
      <c r="FS236" t="e">
        <f>AND(#REF!,"AAAAAGKvm64=")</f>
        <v>#REF!</v>
      </c>
      <c r="FT236" t="e">
        <f>AND(#REF!,"AAAAAGKvm68=")</f>
        <v>#REF!</v>
      </c>
      <c r="FU236" t="e">
        <f>AND(#REF!,"AAAAAGKvm7A=")</f>
        <v>#REF!</v>
      </c>
      <c r="FV236" t="e">
        <f>IF(#REF!,"AAAAAGKvm7E=",0)</f>
        <v>#REF!</v>
      </c>
      <c r="FW236" t="e">
        <f>AND(#REF!,"AAAAAGKvm7I=")</f>
        <v>#REF!</v>
      </c>
      <c r="FX236" t="e">
        <f>AND(#REF!,"AAAAAGKvm7M=")</f>
        <v>#REF!</v>
      </c>
      <c r="FY236" t="e">
        <f>AND(#REF!,"AAAAAGKvm7Q=")</f>
        <v>#REF!</v>
      </c>
      <c r="FZ236" t="e">
        <f>AND(#REF!,"AAAAAGKvm7U=")</f>
        <v>#REF!</v>
      </c>
      <c r="GA236" t="e">
        <f>AND(#REF!,"AAAAAGKvm7Y=")</f>
        <v>#REF!</v>
      </c>
      <c r="GB236" t="e">
        <f>AND(#REF!,"AAAAAGKvm7c=")</f>
        <v>#REF!</v>
      </c>
      <c r="GC236" t="e">
        <f>AND(#REF!,"AAAAAGKvm7g=")</f>
        <v>#REF!</v>
      </c>
      <c r="GD236" t="e">
        <f>AND(#REF!,"AAAAAGKvm7k=")</f>
        <v>#REF!</v>
      </c>
      <c r="GE236" t="e">
        <f>AND(#REF!,"AAAAAGKvm7o=")</f>
        <v>#REF!</v>
      </c>
      <c r="GF236" t="e">
        <f>AND(#REF!,"AAAAAGKvm7s=")</f>
        <v>#REF!</v>
      </c>
      <c r="GG236" t="e">
        <f>AND(#REF!,"AAAAAGKvm7w=")</f>
        <v>#REF!</v>
      </c>
      <c r="GH236" t="e">
        <f>AND(#REF!,"AAAAAGKvm70=")</f>
        <v>#REF!</v>
      </c>
      <c r="GI236" t="e">
        <f>AND(#REF!,"AAAAAGKvm74=")</f>
        <v>#REF!</v>
      </c>
      <c r="GJ236" t="e">
        <f>AND(#REF!,"AAAAAGKvm78=")</f>
        <v>#REF!</v>
      </c>
      <c r="GK236" t="e">
        <f>AND(#REF!,"AAAAAGKvm8A=")</f>
        <v>#REF!</v>
      </c>
      <c r="GL236" t="e">
        <f>AND(#REF!,"AAAAAGKvm8E=")</f>
        <v>#REF!</v>
      </c>
      <c r="GM236" t="e">
        <f>AND(#REF!,"AAAAAGKvm8I=")</f>
        <v>#REF!</v>
      </c>
      <c r="GN236" t="e">
        <f>AND(#REF!,"AAAAAGKvm8M=")</f>
        <v>#REF!</v>
      </c>
      <c r="GO236" t="e">
        <f>AND(#REF!,"AAAAAGKvm8Q=")</f>
        <v>#REF!</v>
      </c>
      <c r="GP236" t="e">
        <f>AND(#REF!,"AAAAAGKvm8U=")</f>
        <v>#REF!</v>
      </c>
      <c r="GQ236" t="e">
        <f>AND(#REF!,"AAAAAGKvm8Y=")</f>
        <v>#REF!</v>
      </c>
      <c r="GR236" t="e">
        <f>AND(#REF!,"AAAAAGKvm8c=")</f>
        <v>#REF!</v>
      </c>
      <c r="GS236" t="e">
        <f>AND(#REF!,"AAAAAGKvm8g=")</f>
        <v>#REF!</v>
      </c>
      <c r="GT236" t="e">
        <f>AND(#REF!,"AAAAAGKvm8k=")</f>
        <v>#REF!</v>
      </c>
      <c r="GU236" t="e">
        <f>AND(#REF!,"AAAAAGKvm8o=")</f>
        <v>#REF!</v>
      </c>
      <c r="GV236" t="e">
        <f>AND(#REF!,"AAAAAGKvm8s=")</f>
        <v>#REF!</v>
      </c>
      <c r="GW236" t="e">
        <f>AND(#REF!,"AAAAAGKvm8w=")</f>
        <v>#REF!</v>
      </c>
      <c r="GX236" t="e">
        <f>AND(#REF!,"AAAAAGKvm80=")</f>
        <v>#REF!</v>
      </c>
      <c r="GY236" t="e">
        <f>AND(#REF!,"AAAAAGKvm84=")</f>
        <v>#REF!</v>
      </c>
      <c r="GZ236" t="e">
        <f>AND(#REF!,"AAAAAGKvm88=")</f>
        <v>#REF!</v>
      </c>
      <c r="HA236" t="e">
        <f>AND(#REF!,"AAAAAGKvm9A=")</f>
        <v>#REF!</v>
      </c>
      <c r="HB236" t="e">
        <f>AND(#REF!,"AAAAAGKvm9E=")</f>
        <v>#REF!</v>
      </c>
      <c r="HC236" t="e">
        <f>AND(#REF!,"AAAAAGKvm9I=")</f>
        <v>#REF!</v>
      </c>
      <c r="HD236" t="e">
        <f>AND(#REF!,"AAAAAGKvm9M=")</f>
        <v>#REF!</v>
      </c>
      <c r="HE236" t="e">
        <f>IF(#REF!,"AAAAAGKvm9Q=",0)</f>
        <v>#REF!</v>
      </c>
      <c r="HF236" t="e">
        <f>AND(#REF!,"AAAAAGKvm9U=")</f>
        <v>#REF!</v>
      </c>
      <c r="HG236" t="e">
        <f>AND(#REF!,"AAAAAGKvm9Y=")</f>
        <v>#REF!</v>
      </c>
      <c r="HH236" t="e">
        <f>AND(#REF!,"AAAAAGKvm9c=")</f>
        <v>#REF!</v>
      </c>
      <c r="HI236" t="e">
        <f>AND(#REF!,"AAAAAGKvm9g=")</f>
        <v>#REF!</v>
      </c>
      <c r="HJ236" t="e">
        <f>AND(#REF!,"AAAAAGKvm9k=")</f>
        <v>#REF!</v>
      </c>
      <c r="HK236" t="e">
        <f>AND(#REF!,"AAAAAGKvm9o=")</f>
        <v>#REF!</v>
      </c>
      <c r="HL236" t="e">
        <f>AND(#REF!,"AAAAAGKvm9s=")</f>
        <v>#REF!</v>
      </c>
      <c r="HM236" t="e">
        <f>AND(#REF!,"AAAAAGKvm9w=")</f>
        <v>#REF!</v>
      </c>
      <c r="HN236" t="e">
        <f>AND(#REF!,"AAAAAGKvm90=")</f>
        <v>#REF!</v>
      </c>
      <c r="HO236" t="e">
        <f>AND(#REF!,"AAAAAGKvm94=")</f>
        <v>#REF!</v>
      </c>
      <c r="HP236" t="e">
        <f>AND(#REF!,"AAAAAGKvm98=")</f>
        <v>#REF!</v>
      </c>
      <c r="HQ236" t="e">
        <f>AND(#REF!,"AAAAAGKvm+A=")</f>
        <v>#REF!</v>
      </c>
      <c r="HR236" t="e">
        <f>AND(#REF!,"AAAAAGKvm+E=")</f>
        <v>#REF!</v>
      </c>
      <c r="HS236" t="e">
        <f>AND(#REF!,"AAAAAGKvm+I=")</f>
        <v>#REF!</v>
      </c>
      <c r="HT236" t="e">
        <f>AND(#REF!,"AAAAAGKvm+M=")</f>
        <v>#REF!</v>
      </c>
      <c r="HU236" t="e">
        <f>AND(#REF!,"AAAAAGKvm+Q=")</f>
        <v>#REF!</v>
      </c>
      <c r="HV236" t="e">
        <f>AND(#REF!,"AAAAAGKvm+U=")</f>
        <v>#REF!</v>
      </c>
      <c r="HW236" t="e">
        <f>AND(#REF!,"AAAAAGKvm+Y=")</f>
        <v>#REF!</v>
      </c>
      <c r="HX236" t="e">
        <f>AND(#REF!,"AAAAAGKvm+c=")</f>
        <v>#REF!</v>
      </c>
      <c r="HY236" t="e">
        <f>AND(#REF!,"AAAAAGKvm+g=")</f>
        <v>#REF!</v>
      </c>
      <c r="HZ236" t="e">
        <f>AND(#REF!,"AAAAAGKvm+k=")</f>
        <v>#REF!</v>
      </c>
      <c r="IA236" t="e">
        <f>AND(#REF!,"AAAAAGKvm+o=")</f>
        <v>#REF!</v>
      </c>
      <c r="IB236" t="e">
        <f>AND(#REF!,"AAAAAGKvm+s=")</f>
        <v>#REF!</v>
      </c>
      <c r="IC236" t="e">
        <f>AND(#REF!,"AAAAAGKvm+w=")</f>
        <v>#REF!</v>
      </c>
      <c r="ID236" t="e">
        <f>AND(#REF!,"AAAAAGKvm+0=")</f>
        <v>#REF!</v>
      </c>
      <c r="IE236" t="e">
        <f>AND(#REF!,"AAAAAGKvm+4=")</f>
        <v>#REF!</v>
      </c>
      <c r="IF236" t="e">
        <f>AND(#REF!,"AAAAAGKvm+8=")</f>
        <v>#REF!</v>
      </c>
      <c r="IG236" t="e">
        <f>AND(#REF!,"AAAAAGKvm/A=")</f>
        <v>#REF!</v>
      </c>
      <c r="IH236" t="e">
        <f>AND(#REF!,"AAAAAGKvm/E=")</f>
        <v>#REF!</v>
      </c>
      <c r="II236" t="e">
        <f>AND(#REF!,"AAAAAGKvm/I=")</f>
        <v>#REF!</v>
      </c>
      <c r="IJ236" t="e">
        <f>AND(#REF!,"AAAAAGKvm/M=")</f>
        <v>#REF!</v>
      </c>
      <c r="IK236" t="e">
        <f>AND(#REF!,"AAAAAGKvm/Q=")</f>
        <v>#REF!</v>
      </c>
      <c r="IL236" t="e">
        <f>AND(#REF!,"AAAAAGKvm/U=")</f>
        <v>#REF!</v>
      </c>
      <c r="IM236" t="e">
        <f>AND(#REF!,"AAAAAGKvm/Y=")</f>
        <v>#REF!</v>
      </c>
      <c r="IN236" t="e">
        <f>IF(#REF!,"AAAAAGKvm/c=",0)</f>
        <v>#REF!</v>
      </c>
      <c r="IO236" t="e">
        <f>IF(#REF!,"AAAAAGKvm/g=",0)</f>
        <v>#REF!</v>
      </c>
      <c r="IP236" t="e">
        <f>IF(#REF!,"AAAAAGKvm/k=",0)</f>
        <v>#REF!</v>
      </c>
      <c r="IQ236" t="e">
        <f>IF(#REF!,"AAAAAGKvm/o=",0)</f>
        <v>#REF!</v>
      </c>
      <c r="IR236" t="e">
        <f>IF(#REF!,"AAAAAGKvm/s=",0)</f>
        <v>#REF!</v>
      </c>
      <c r="IS236" t="e">
        <f>IF(#REF!,"AAAAAGKvm/w=",0)</f>
        <v>#REF!</v>
      </c>
      <c r="IT236" t="e">
        <f>IF(#REF!,"AAAAAGKvm/0=",0)</f>
        <v>#REF!</v>
      </c>
      <c r="IU236" t="e">
        <f>IF(#REF!,"AAAAAGKvm/4=",0)</f>
        <v>#REF!</v>
      </c>
      <c r="IV236" t="e">
        <f>IF(#REF!,"AAAAAGKvm/8=",0)</f>
        <v>#REF!</v>
      </c>
    </row>
    <row r="237" spans="1:256" x14ac:dyDescent="0.25">
      <c r="A237" t="e">
        <f>IF(#REF!,"AAAAAHFf/wA=",0)</f>
        <v>#REF!</v>
      </c>
      <c r="B237" t="e">
        <f>IF(#REF!,"AAAAAHFf/wE=",0)</f>
        <v>#REF!</v>
      </c>
      <c r="C237" t="e">
        <f>IF(#REF!,"AAAAAHFf/wI=",0)</f>
        <v>#REF!</v>
      </c>
      <c r="D237" t="e">
        <f>IF(#REF!,"AAAAAHFf/wM=",0)</f>
        <v>#REF!</v>
      </c>
      <c r="E237" t="e">
        <f>IF(#REF!,"AAAAAHFf/wQ=",0)</f>
        <v>#REF!</v>
      </c>
      <c r="F237" t="e">
        <f>IF(#REF!,"AAAAAHFf/wU=",0)</f>
        <v>#REF!</v>
      </c>
      <c r="G237" t="e">
        <f>IF(#REF!,"AAAAAHFf/wY=",0)</f>
        <v>#REF!</v>
      </c>
      <c r="H237" t="e">
        <f>IF(#REF!,"AAAAAHFf/wc=",0)</f>
        <v>#REF!</v>
      </c>
      <c r="I237" t="e">
        <f>IF(#REF!,"AAAAAHFf/wg=",0)</f>
        <v>#REF!</v>
      </c>
      <c r="J237" t="e">
        <f>IF(#REF!,"AAAAAHFf/wk=",0)</f>
        <v>#REF!</v>
      </c>
      <c r="K237" t="e">
        <f>IF(#REF!,"AAAAAHFf/wo=",0)</f>
        <v>#REF!</v>
      </c>
      <c r="L237" t="e">
        <f>IF(#REF!,"AAAAAHFf/ws=",0)</f>
        <v>#REF!</v>
      </c>
      <c r="M237" t="e">
        <f>IF(#REF!,"AAAAAHFf/ww=",0)</f>
        <v>#REF!</v>
      </c>
      <c r="N237" t="e">
        <f>IF(#REF!,"AAAAAHFf/w0=",0)</f>
        <v>#REF!</v>
      </c>
      <c r="O237" t="e">
        <f>IF(#REF!,"AAAAAHFf/w4=",0)</f>
        <v>#REF!</v>
      </c>
      <c r="P237" t="e">
        <f>IF(#REF!,"AAAAAHFf/w8=",0)</f>
        <v>#REF!</v>
      </c>
      <c r="Q237" t="e">
        <f>IF(#REF!,"AAAAAHFf/xA=",0)</f>
        <v>#REF!</v>
      </c>
      <c r="R237" t="e">
        <f>IF(#REF!,"AAAAAHFf/xE=",0)</f>
        <v>#REF!</v>
      </c>
      <c r="S237" t="e">
        <f>IF(#REF!,"AAAAAHFf/xI=",0)</f>
        <v>#REF!</v>
      </c>
      <c r="T237" t="e">
        <f>IF(#REF!,"AAAAAHFf/xM=",0)</f>
        <v>#REF!</v>
      </c>
      <c r="U237" t="e">
        <f>IF(#REF!,"AAAAAHFf/xQ=",0)</f>
        <v>#REF!</v>
      </c>
      <c r="V237" t="e">
        <f>IF(#REF!,"AAAAAHFf/xU=",0)</f>
        <v>#REF!</v>
      </c>
      <c r="W237" t="e">
        <f>IF(#REF!,"AAAAAHFf/xY=",0)</f>
        <v>#REF!</v>
      </c>
      <c r="X237" t="e">
        <f>IF(#REF!,"AAAAAHFf/xc=",0)</f>
        <v>#REF!</v>
      </c>
      <c r="Y237" t="e">
        <f>IF(#REF!,"AAAAAHFf/xg=",0)</f>
        <v>#REF!</v>
      </c>
      <c r="Z237" t="e">
        <f>IF(#REF!,"AAAAAHFf/xk=",0)</f>
        <v>#REF!</v>
      </c>
      <c r="AA237" t="e">
        <f>IF(#REF!,"AAAAAHFf/xo=",0)</f>
        <v>#REF!</v>
      </c>
      <c r="AB237" t="e">
        <f>IF(#REF!,"AAAAAHFf/xs=",0)</f>
        <v>#REF!</v>
      </c>
      <c r="AC237" t="e">
        <f>IF(#REF!,"AAAAAHFf/xw=",0)</f>
        <v>#REF!</v>
      </c>
      <c r="AD237" t="e">
        <f>IF(#REF!,"AAAAAHFf/x0=",0)</f>
        <v>#REF!</v>
      </c>
      <c r="AE237" t="e">
        <f>IF(#REF!,"AAAAAHFf/x4=",0)</f>
        <v>#REF!</v>
      </c>
      <c r="AF237" t="e">
        <f>IF(#REF!,"AAAAAHFf/x8=",0)</f>
        <v>#REF!</v>
      </c>
      <c r="AG237" t="e">
        <f>IF(#REF!,"AAAAAHFf/yA=",0)</f>
        <v>#REF!</v>
      </c>
      <c r="AH237" t="e">
        <f>IF(#REF!,"AAAAAHFf/yE=",0)</f>
        <v>#REF!</v>
      </c>
      <c r="AI237" t="e">
        <f>IF(#REF!,"AAAAAHFf/yI=",0)</f>
        <v>#REF!</v>
      </c>
      <c r="AJ237" t="e">
        <f>IF(#REF!,"AAAAAHFf/yM=",0)</f>
        <v>#REF!</v>
      </c>
      <c r="AK237" t="e">
        <f>IF(#REF!,"AAAAAHFf/yQ=",0)</f>
        <v>#REF!</v>
      </c>
      <c r="AL237" t="e">
        <f>IF(#REF!,"AAAAAHFf/yU=",0)</f>
        <v>#REF!</v>
      </c>
      <c r="AM237" t="e">
        <f>IF(#REF!,"AAAAAHFf/yY=",0)</f>
        <v>#REF!</v>
      </c>
      <c r="AN237" t="e">
        <f>IF(#REF!,"AAAAAHFf/yc=",0)</f>
        <v>#REF!</v>
      </c>
      <c r="AO237" t="e">
        <f>IF(#REF!,"AAAAAHFf/yg=",0)</f>
        <v>#REF!</v>
      </c>
      <c r="AP237" t="e">
        <f>IF(#REF!,"AAAAAHFf/yk=",0)</f>
        <v>#REF!</v>
      </c>
      <c r="AQ237" t="e">
        <f>IF(#REF!,"AAAAAHFf/yo=",0)</f>
        <v>#REF!</v>
      </c>
      <c r="AR237" t="e">
        <f>IF(#REF!,"AAAAAHFf/ys=",0)</f>
        <v>#REF!</v>
      </c>
      <c r="AS237" t="e">
        <f>IF(#REF!,"AAAAAHFf/yw=",0)</f>
        <v>#REF!</v>
      </c>
      <c r="AT237" t="e">
        <f>IF(#REF!,"AAAAAHFf/y0=",0)</f>
        <v>#REF!</v>
      </c>
      <c r="AU237" t="e">
        <f>IF(#REF!,"AAAAAHFf/y4=",0)</f>
        <v>#REF!</v>
      </c>
      <c r="AV237" t="e">
        <f>IF(#REF!,"AAAAAHFf/y8=",0)</f>
        <v>#REF!</v>
      </c>
      <c r="AW237" t="e">
        <f>IF(#REF!,"AAAAAHFf/zA=",0)</f>
        <v>#REF!</v>
      </c>
      <c r="AX237" t="e">
        <f>IF(#REF!,"AAAAAHFf/zE=",0)</f>
        <v>#REF!</v>
      </c>
      <c r="AY237" t="e">
        <f>IF(#REF!,"AAAAAHFf/zI=",0)</f>
        <v>#REF!</v>
      </c>
      <c r="AZ237" t="e">
        <f>IF(#REF!,"AAAAAHFf/zM=",0)</f>
        <v>#REF!</v>
      </c>
      <c r="BA237" t="e">
        <f>IF(#REF!,"AAAAAHFf/zQ=",0)</f>
        <v>#REF!</v>
      </c>
      <c r="BB237" t="e">
        <f>IF(#REF!,"AAAAAHFf/zU=",0)</f>
        <v>#REF!</v>
      </c>
      <c r="BC237" t="e">
        <f>IF(#REF!,"AAAAAHFf/zY=",0)</f>
        <v>#REF!</v>
      </c>
      <c r="BD237" t="e">
        <f>IF(#REF!,"AAAAAHFf/zc=",0)</f>
        <v>#REF!</v>
      </c>
      <c r="BE237" t="e">
        <f>IF(#REF!,"AAAAAHFf/zg=",0)</f>
        <v>#REF!</v>
      </c>
      <c r="BF237" t="e">
        <f>IF(#REF!,"AAAAAHFf/zk=",0)</f>
        <v>#REF!</v>
      </c>
      <c r="BG237" t="e">
        <f>IF(#REF!,"AAAAAHFf/zo=",0)</f>
        <v>#REF!</v>
      </c>
      <c r="BH237" t="e">
        <f>IF(#REF!,"AAAAAHFf/zs=",0)</f>
        <v>#REF!</v>
      </c>
      <c r="BI237" t="e">
        <f>IF(#REF!,"AAAAAHFf/zw=",0)</f>
        <v>#REF!</v>
      </c>
      <c r="BJ237" t="e">
        <f>IF(#REF!,"AAAAAHFf/z0=",0)</f>
        <v>#REF!</v>
      </c>
      <c r="BK237" t="e">
        <f>IF(#REF!,"AAAAAHFf/z4=",0)</f>
        <v>#REF!</v>
      </c>
      <c r="BL237" t="e">
        <f>IF(#REF!,"AAAAAHFf/z8=",0)</f>
        <v>#REF!</v>
      </c>
      <c r="BM237" t="e">
        <f>IF(#REF!,"AAAAAHFf/0A=",0)</f>
        <v>#REF!</v>
      </c>
      <c r="BN237" t="e">
        <f>IF(#REF!,"AAAAAHFf/0E=",0)</f>
        <v>#REF!</v>
      </c>
      <c r="BO237" t="e">
        <f>IF(#REF!,"AAAAAHFf/0I=",0)</f>
        <v>#REF!</v>
      </c>
      <c r="BP237" t="e">
        <f>IF(#REF!,"AAAAAHFf/0M=",0)</f>
        <v>#REF!</v>
      </c>
      <c r="BQ237" t="e">
        <f>IF(#REF!,"AAAAAHFf/0Q=",0)</f>
        <v>#REF!</v>
      </c>
      <c r="BR237" t="e">
        <f>IF(#REF!,"AAAAAHFf/0U=",0)</f>
        <v>#REF!</v>
      </c>
      <c r="BS237" t="e">
        <f>IF(#REF!,"AAAAAHFf/0Y=",0)</f>
        <v>#REF!</v>
      </c>
      <c r="BT237" t="e">
        <f>IF(#REF!,"AAAAAHFf/0c=",0)</f>
        <v>#REF!</v>
      </c>
      <c r="BU237" t="e">
        <f>IF(#REF!,"AAAAAHFf/0g=",0)</f>
        <v>#REF!</v>
      </c>
      <c r="BV237" t="e">
        <f>IF(#REF!,"AAAAAHFf/0k=",0)</f>
        <v>#REF!</v>
      </c>
      <c r="BW237" t="e">
        <f>IF(#REF!,"AAAAAHFf/0o=",0)</f>
        <v>#REF!</v>
      </c>
      <c r="BX237" t="e">
        <f>IF(#REF!,"AAAAAHFf/0s=",0)</f>
        <v>#REF!</v>
      </c>
      <c r="BY237" t="e">
        <f>IF(#REF!,"AAAAAHFf/0w=",0)</f>
        <v>#REF!</v>
      </c>
      <c r="BZ237" t="e">
        <f>IF(#REF!,"AAAAAHFf/00=",0)</f>
        <v>#REF!</v>
      </c>
      <c r="CA237" t="e">
        <f>IF(#REF!,"AAAAAHFf/04=",0)</f>
        <v>#REF!</v>
      </c>
      <c r="CB237" t="e">
        <f>IF(#REF!,"AAAAAHFf/08=",0)</f>
        <v>#REF!</v>
      </c>
      <c r="CC237" t="e">
        <f>IF(#REF!,"AAAAAHFf/1A=",0)</f>
        <v>#REF!</v>
      </c>
      <c r="CD237" t="e">
        <f>IF(#REF!,"AAAAAHFf/1E=",0)</f>
        <v>#REF!</v>
      </c>
      <c r="CE237" t="e">
        <f>IF(#REF!,"AAAAAHFf/1I=",0)</f>
        <v>#REF!</v>
      </c>
      <c r="CF237" t="e">
        <f>IF(#REF!,"AAAAAHFf/1M=",0)</f>
        <v>#REF!</v>
      </c>
      <c r="CG237" t="e">
        <f>IF(#REF!,"AAAAAHFf/1Q=",0)</f>
        <v>#REF!</v>
      </c>
      <c r="CH237" t="e">
        <f>IF(#REF!,"AAAAAHFf/1U=",0)</f>
        <v>#REF!</v>
      </c>
      <c r="CI237" t="e">
        <f>IF(#REF!,"AAAAAHFf/1Y=",0)</f>
        <v>#REF!</v>
      </c>
      <c r="CJ237" t="e">
        <f>IF(#REF!,"AAAAAHFf/1c=",0)</f>
        <v>#REF!</v>
      </c>
      <c r="CK237" t="e">
        <f>IF(#REF!,"AAAAAHFf/1g=",0)</f>
        <v>#REF!</v>
      </c>
      <c r="CL237" t="e">
        <f>IF(#REF!,"AAAAAHFf/1k=",0)</f>
        <v>#REF!</v>
      </c>
      <c r="CM237" t="e">
        <f>IF(#REF!,"AAAAAHFf/1o=",0)</f>
        <v>#REF!</v>
      </c>
      <c r="CN237" t="e">
        <f>IF(#REF!,"AAAAAHFf/1s=",0)</f>
        <v>#REF!</v>
      </c>
      <c r="CO237" t="e">
        <f>IF(#REF!,"AAAAAHFf/1w=",0)</f>
        <v>#REF!</v>
      </c>
      <c r="CP237" t="e">
        <f>IF(#REF!,"AAAAAHFf/10=",0)</f>
        <v>#REF!</v>
      </c>
      <c r="CQ237" t="e">
        <f>IF(#REF!,"AAAAAHFf/14=",0)</f>
        <v>#REF!</v>
      </c>
      <c r="CR237" t="e">
        <f>IF(#REF!,"AAAAAHFf/18=",0)</f>
        <v>#REF!</v>
      </c>
      <c r="CS237" t="e">
        <f>IF(#REF!,"AAAAAHFf/2A=",0)</f>
        <v>#REF!</v>
      </c>
      <c r="CT237" t="e">
        <f>IF(#REF!,"AAAAAHFf/2E=",0)</f>
        <v>#REF!</v>
      </c>
      <c r="CU237" t="e">
        <f>IF(#REF!,"AAAAAHFf/2I=",0)</f>
        <v>#REF!</v>
      </c>
      <c r="CV237" t="e">
        <f>IF(#REF!,"AAAAAHFf/2M=",0)</f>
        <v>#REF!</v>
      </c>
      <c r="CW237" t="e">
        <f>IF(#REF!,"AAAAAHFf/2Q=",0)</f>
        <v>#REF!</v>
      </c>
      <c r="CX237" t="e">
        <f>IF(#REF!,"AAAAAHFf/2U=",0)</f>
        <v>#REF!</v>
      </c>
      <c r="CY237" t="e">
        <f>IF(#REF!,"AAAAAHFf/2Y=",0)</f>
        <v>#REF!</v>
      </c>
      <c r="CZ237" t="e">
        <f>IF(#REF!,"AAAAAHFf/2c=",0)</f>
        <v>#REF!</v>
      </c>
      <c r="DA237" t="e">
        <f>IF(#REF!,"AAAAAHFf/2g=",0)</f>
        <v>#REF!</v>
      </c>
      <c r="DB237" t="e">
        <f>IF(#REF!,"AAAAAHFf/2k=",0)</f>
        <v>#REF!</v>
      </c>
      <c r="DC237" t="e">
        <f>IF(#REF!,"AAAAAHFf/2o=",0)</f>
        <v>#REF!</v>
      </c>
      <c r="DD237" t="e">
        <f>IF(#REF!,"AAAAAHFf/2s=",0)</f>
        <v>#REF!</v>
      </c>
      <c r="DE237" t="e">
        <f>IF(#REF!,"AAAAAHFf/2w=",0)</f>
        <v>#REF!</v>
      </c>
      <c r="DF237" t="e">
        <f>IF(#REF!,"AAAAAHFf/20=",0)</f>
        <v>#REF!</v>
      </c>
      <c r="DG237" t="e">
        <f>IF(#REF!,"AAAAAHFf/24=",0)</f>
        <v>#REF!</v>
      </c>
      <c r="DH237" t="e">
        <f>IF(#REF!,"AAAAAHFf/28=",0)</f>
        <v>#REF!</v>
      </c>
      <c r="DI237" t="e">
        <f>IF(#REF!,"AAAAAHFf/3A=",0)</f>
        <v>#REF!</v>
      </c>
      <c r="DJ237" t="e">
        <f>IF(#REF!,"AAAAAHFf/3E=",0)</f>
        <v>#REF!</v>
      </c>
      <c r="DK237" t="e">
        <f>IF(#REF!,"AAAAAHFf/3I=",0)</f>
        <v>#REF!</v>
      </c>
      <c r="DL237">
        <f>IF('Please read'!1:1,"AAAAAHFf/3M=",0)</f>
        <v>0</v>
      </c>
      <c r="DM237" t="e">
        <f>AND('Please read'!B1,"AAAAAHFf/3Q=")</f>
        <v>#VALUE!</v>
      </c>
      <c r="DN237" t="e">
        <f>AND('Please read'!C1,"AAAAAHFf/3U=")</f>
        <v>#VALUE!</v>
      </c>
      <c r="DO237" t="e">
        <f>AND('Please read'!D1,"AAAAAHFf/3Y=")</f>
        <v>#VALUE!</v>
      </c>
      <c r="DP237" t="e">
        <f>AND('Please read'!E1,"AAAAAHFf/3c=")</f>
        <v>#VALUE!</v>
      </c>
      <c r="DQ237" t="e">
        <f>AND('Please read'!F1,"AAAAAHFf/3g=")</f>
        <v>#VALUE!</v>
      </c>
      <c r="DR237" t="e">
        <f>AND('Please read'!G1,"AAAAAHFf/3k=")</f>
        <v>#VALUE!</v>
      </c>
      <c r="DS237" t="e">
        <f>AND('Please read'!H1,"AAAAAHFf/3o=")</f>
        <v>#VALUE!</v>
      </c>
      <c r="DT237" t="e">
        <f>AND('Please read'!I1,"AAAAAHFf/3s=")</f>
        <v>#VALUE!</v>
      </c>
      <c r="DU237" t="e">
        <f>AND('Please read'!J1,"AAAAAHFf/3w=")</f>
        <v>#VALUE!</v>
      </c>
      <c r="DV237" t="e">
        <f>AND('Please read'!K1,"AAAAAHFf/30=")</f>
        <v>#VALUE!</v>
      </c>
      <c r="DW237" t="e">
        <f>AND('Please read'!L1,"AAAAAHFf/34=")</f>
        <v>#VALUE!</v>
      </c>
      <c r="DX237" t="e">
        <f>AND('Please read'!M1,"AAAAAHFf/38=")</f>
        <v>#VALUE!</v>
      </c>
      <c r="DY237" t="e">
        <f>AND('Please read'!N1,"AAAAAHFf/4A=")</f>
        <v>#VALUE!</v>
      </c>
      <c r="DZ237">
        <f>IF('Please read'!2:2,"AAAAAHFf/4E=",0)</f>
        <v>0</v>
      </c>
      <c r="EA237" t="e">
        <f>AND('Please read'!B2,"AAAAAHFf/4I=")</f>
        <v>#VALUE!</v>
      </c>
      <c r="EB237" t="e">
        <f>AND('Please read'!C2,"AAAAAHFf/4M=")</f>
        <v>#VALUE!</v>
      </c>
      <c r="EC237" t="e">
        <f>AND('Please read'!D2,"AAAAAHFf/4Q=")</f>
        <v>#VALUE!</v>
      </c>
      <c r="ED237" t="e">
        <f>AND('Please read'!E2,"AAAAAHFf/4U=")</f>
        <v>#VALUE!</v>
      </c>
      <c r="EE237" t="e">
        <f>AND('Please read'!F2,"AAAAAHFf/4Y=")</f>
        <v>#VALUE!</v>
      </c>
      <c r="EF237" t="e">
        <f>AND('Please read'!G2,"AAAAAHFf/4c=")</f>
        <v>#VALUE!</v>
      </c>
      <c r="EG237" t="e">
        <f>AND('Please read'!H2,"AAAAAHFf/4g=")</f>
        <v>#VALUE!</v>
      </c>
      <c r="EH237" t="e">
        <f>AND('Please read'!I2,"AAAAAHFf/4k=")</f>
        <v>#VALUE!</v>
      </c>
      <c r="EI237" t="e">
        <f>AND('Please read'!J2,"AAAAAHFf/4o=")</f>
        <v>#VALUE!</v>
      </c>
      <c r="EJ237" t="e">
        <f>AND('Please read'!K2,"AAAAAHFf/4s=")</f>
        <v>#VALUE!</v>
      </c>
      <c r="EK237" t="e">
        <f>AND('Please read'!L2,"AAAAAHFf/4w=")</f>
        <v>#VALUE!</v>
      </c>
      <c r="EL237" t="e">
        <f>AND('Please read'!M2,"AAAAAHFf/40=")</f>
        <v>#VALUE!</v>
      </c>
      <c r="EM237" t="e">
        <f>AND('Please read'!N2,"AAAAAHFf/44=")</f>
        <v>#VALUE!</v>
      </c>
      <c r="EN237">
        <f>IF('Please read'!3:3,"AAAAAHFf/48=",0)</f>
        <v>0</v>
      </c>
      <c r="EO237" t="e">
        <f>AND('Please read'!B3,"AAAAAHFf/5A=")</f>
        <v>#VALUE!</v>
      </c>
      <c r="EP237" t="e">
        <f>AND('Please read'!C3,"AAAAAHFf/5E=")</f>
        <v>#VALUE!</v>
      </c>
      <c r="EQ237" t="e">
        <f>AND('Please read'!D3,"AAAAAHFf/5I=")</f>
        <v>#VALUE!</v>
      </c>
      <c r="ER237" t="e">
        <f>AND('Please read'!E3,"AAAAAHFf/5M=")</f>
        <v>#VALUE!</v>
      </c>
      <c r="ES237" t="e">
        <f>AND('Please read'!F3,"AAAAAHFf/5Q=")</f>
        <v>#VALUE!</v>
      </c>
      <c r="ET237" t="e">
        <f>AND('Please read'!G3,"AAAAAHFf/5U=")</f>
        <v>#VALUE!</v>
      </c>
      <c r="EU237" t="e">
        <f>AND('Please read'!H3,"AAAAAHFf/5Y=")</f>
        <v>#VALUE!</v>
      </c>
      <c r="EV237" t="e">
        <f>AND('Please read'!I3,"AAAAAHFf/5c=")</f>
        <v>#VALUE!</v>
      </c>
      <c r="EW237" t="e">
        <f>AND('Please read'!J3,"AAAAAHFf/5g=")</f>
        <v>#VALUE!</v>
      </c>
      <c r="EX237" t="e">
        <f>AND('Please read'!K3,"AAAAAHFf/5k=")</f>
        <v>#VALUE!</v>
      </c>
      <c r="EY237" t="e">
        <f>AND('Please read'!L3,"AAAAAHFf/5o=")</f>
        <v>#VALUE!</v>
      </c>
      <c r="EZ237" t="e">
        <f>AND('Please read'!M3,"AAAAAHFf/5s=")</f>
        <v>#VALUE!</v>
      </c>
      <c r="FA237" t="e">
        <f>AND('Please read'!N3,"AAAAAHFf/5w=")</f>
        <v>#VALUE!</v>
      </c>
      <c r="FB237">
        <f>IF('Please read'!4:4,"AAAAAHFf/50=",0)</f>
        <v>0</v>
      </c>
      <c r="FC237" t="e">
        <f>AND('Please read'!B4,"AAAAAHFf/54=")</f>
        <v>#VALUE!</v>
      </c>
      <c r="FD237" t="e">
        <f>AND('Please read'!C4,"AAAAAHFf/58=")</f>
        <v>#VALUE!</v>
      </c>
      <c r="FE237" t="e">
        <f>AND('Please read'!D4,"AAAAAHFf/6A=")</f>
        <v>#VALUE!</v>
      </c>
      <c r="FF237" t="e">
        <f>AND('Please read'!E4,"AAAAAHFf/6E=")</f>
        <v>#VALUE!</v>
      </c>
      <c r="FG237" t="e">
        <f>AND('Please read'!F4,"AAAAAHFf/6I=")</f>
        <v>#VALUE!</v>
      </c>
      <c r="FH237" t="e">
        <f>AND('Please read'!G4,"AAAAAHFf/6M=")</f>
        <v>#VALUE!</v>
      </c>
      <c r="FI237" t="e">
        <f>AND('Please read'!H4,"AAAAAHFf/6Q=")</f>
        <v>#VALUE!</v>
      </c>
      <c r="FJ237" t="e">
        <f>AND('Please read'!I4,"AAAAAHFf/6U=")</f>
        <v>#VALUE!</v>
      </c>
      <c r="FK237" t="e">
        <f>AND('Please read'!J4,"AAAAAHFf/6Y=")</f>
        <v>#VALUE!</v>
      </c>
      <c r="FL237" t="e">
        <f>AND('Please read'!K4,"AAAAAHFf/6c=")</f>
        <v>#VALUE!</v>
      </c>
      <c r="FM237" t="e">
        <f>AND('Please read'!L4,"AAAAAHFf/6g=")</f>
        <v>#VALUE!</v>
      </c>
      <c r="FN237" t="e">
        <f>AND('Please read'!M4,"AAAAAHFf/6k=")</f>
        <v>#VALUE!</v>
      </c>
      <c r="FO237" t="e">
        <f>AND('Please read'!N4,"AAAAAHFf/6o=")</f>
        <v>#VALUE!</v>
      </c>
      <c r="FP237">
        <f>IF('Please read'!5:5,"AAAAAHFf/6s=",0)</f>
        <v>0</v>
      </c>
      <c r="FQ237" t="e">
        <f>AND('Please read'!B5,"AAAAAHFf/6w=")</f>
        <v>#VALUE!</v>
      </c>
      <c r="FR237" t="e">
        <f>AND('Please read'!C5,"AAAAAHFf/60=")</f>
        <v>#VALUE!</v>
      </c>
      <c r="FS237" t="e">
        <f>AND('Please read'!D5,"AAAAAHFf/64=")</f>
        <v>#VALUE!</v>
      </c>
      <c r="FT237" t="e">
        <f>AND('Please read'!E5,"AAAAAHFf/68=")</f>
        <v>#VALUE!</v>
      </c>
      <c r="FU237" t="e">
        <f>AND('Please read'!F5,"AAAAAHFf/7A=")</f>
        <v>#VALUE!</v>
      </c>
      <c r="FV237" t="e">
        <f>AND('Please read'!G5,"AAAAAHFf/7E=")</f>
        <v>#VALUE!</v>
      </c>
      <c r="FW237" t="e">
        <f>AND('Please read'!H5,"AAAAAHFf/7I=")</f>
        <v>#VALUE!</v>
      </c>
      <c r="FX237" t="e">
        <f>AND('Please read'!I5,"AAAAAHFf/7M=")</f>
        <v>#VALUE!</v>
      </c>
      <c r="FY237" t="e">
        <f>AND('Please read'!J5,"AAAAAHFf/7Q=")</f>
        <v>#VALUE!</v>
      </c>
      <c r="FZ237" t="e">
        <f>AND('Please read'!K5,"AAAAAHFf/7U=")</f>
        <v>#VALUE!</v>
      </c>
      <c r="GA237" t="e">
        <f>AND('Please read'!L5,"AAAAAHFf/7Y=")</f>
        <v>#VALUE!</v>
      </c>
      <c r="GB237" t="e">
        <f>AND('Please read'!M5,"AAAAAHFf/7c=")</f>
        <v>#VALUE!</v>
      </c>
      <c r="GC237" t="e">
        <f>AND('Please read'!N5,"AAAAAHFf/7g=")</f>
        <v>#VALUE!</v>
      </c>
      <c r="GD237">
        <f>IF('Please read'!6:6,"AAAAAHFf/7k=",0)</f>
        <v>0</v>
      </c>
      <c r="GE237" t="e">
        <f>AND('Please read'!B6,"AAAAAHFf/7o=")</f>
        <v>#VALUE!</v>
      </c>
      <c r="GF237" t="e">
        <f>AND('Please read'!C6,"AAAAAHFf/7s=")</f>
        <v>#VALUE!</v>
      </c>
      <c r="GG237" t="e">
        <f>AND('Please read'!D6,"AAAAAHFf/7w=")</f>
        <v>#VALUE!</v>
      </c>
      <c r="GH237" t="e">
        <f>AND('Please read'!E6,"AAAAAHFf/70=")</f>
        <v>#VALUE!</v>
      </c>
      <c r="GI237" t="e">
        <f>AND('Please read'!F6,"AAAAAHFf/74=")</f>
        <v>#VALUE!</v>
      </c>
      <c r="GJ237" t="e">
        <f>AND('Please read'!G6,"AAAAAHFf/78=")</f>
        <v>#VALUE!</v>
      </c>
      <c r="GK237" t="e">
        <f>AND('Please read'!H6,"AAAAAHFf/8A=")</f>
        <v>#VALUE!</v>
      </c>
      <c r="GL237" t="e">
        <f>AND('Please read'!I6,"AAAAAHFf/8E=")</f>
        <v>#VALUE!</v>
      </c>
      <c r="GM237" t="e">
        <f>AND('Please read'!J6,"AAAAAHFf/8I=")</f>
        <v>#VALUE!</v>
      </c>
      <c r="GN237" t="e">
        <f>AND('Please read'!K6,"AAAAAHFf/8M=")</f>
        <v>#VALUE!</v>
      </c>
      <c r="GO237" t="e">
        <f>AND('Please read'!L6,"AAAAAHFf/8Q=")</f>
        <v>#VALUE!</v>
      </c>
      <c r="GP237" t="e">
        <f>AND('Please read'!M6,"AAAAAHFf/8U=")</f>
        <v>#VALUE!</v>
      </c>
      <c r="GQ237" t="e">
        <f>AND('Please read'!N6,"AAAAAHFf/8Y=")</f>
        <v>#VALUE!</v>
      </c>
      <c r="GR237">
        <f>IF('Please read'!7:7,"AAAAAHFf/8c=",0)</f>
        <v>0</v>
      </c>
      <c r="GS237" t="e">
        <f>AND('Please read'!B7,"AAAAAHFf/8g=")</f>
        <v>#VALUE!</v>
      </c>
      <c r="GT237" t="e">
        <f>AND('Please read'!C7,"AAAAAHFf/8k=")</f>
        <v>#VALUE!</v>
      </c>
      <c r="GU237" t="e">
        <f>AND('Please read'!D7,"AAAAAHFf/8o=")</f>
        <v>#VALUE!</v>
      </c>
      <c r="GV237" t="e">
        <f>AND('Please read'!E7,"AAAAAHFf/8s=")</f>
        <v>#VALUE!</v>
      </c>
      <c r="GW237" t="e">
        <f>AND('Please read'!F7,"AAAAAHFf/8w=")</f>
        <v>#VALUE!</v>
      </c>
      <c r="GX237" t="e">
        <f>AND('Please read'!G7,"AAAAAHFf/80=")</f>
        <v>#VALUE!</v>
      </c>
      <c r="GY237" t="e">
        <f>AND('Please read'!H7,"AAAAAHFf/84=")</f>
        <v>#VALUE!</v>
      </c>
      <c r="GZ237" t="e">
        <f>AND('Please read'!I7,"AAAAAHFf/88=")</f>
        <v>#VALUE!</v>
      </c>
      <c r="HA237" t="e">
        <f>AND('Please read'!J7,"AAAAAHFf/9A=")</f>
        <v>#VALUE!</v>
      </c>
      <c r="HB237" t="e">
        <f>AND('Please read'!K7,"AAAAAHFf/9E=")</f>
        <v>#VALUE!</v>
      </c>
      <c r="HC237" t="e">
        <f>AND('Please read'!L7,"AAAAAHFf/9I=")</f>
        <v>#VALUE!</v>
      </c>
      <c r="HD237" t="e">
        <f>AND('Please read'!M7,"AAAAAHFf/9M=")</f>
        <v>#VALUE!</v>
      </c>
      <c r="HE237" t="e">
        <f>AND('Please read'!N7,"AAAAAHFf/9Q=")</f>
        <v>#VALUE!</v>
      </c>
      <c r="HF237">
        <f>IF('Please read'!8:8,"AAAAAHFf/9U=",0)</f>
        <v>0</v>
      </c>
      <c r="HG237" t="e">
        <f>AND('Please read'!B8,"AAAAAHFf/9Y=")</f>
        <v>#VALUE!</v>
      </c>
      <c r="HH237" t="e">
        <f>AND('Please read'!C8,"AAAAAHFf/9c=")</f>
        <v>#VALUE!</v>
      </c>
      <c r="HI237" t="e">
        <f>AND('Please read'!D8,"AAAAAHFf/9g=")</f>
        <v>#VALUE!</v>
      </c>
      <c r="HJ237" t="e">
        <f>AND('Please read'!E8,"AAAAAHFf/9k=")</f>
        <v>#VALUE!</v>
      </c>
      <c r="HK237" t="e">
        <f>AND('Please read'!F8,"AAAAAHFf/9o=")</f>
        <v>#VALUE!</v>
      </c>
      <c r="HL237" t="e">
        <f>AND('Please read'!G8,"AAAAAHFf/9s=")</f>
        <v>#VALUE!</v>
      </c>
      <c r="HM237" t="e">
        <f>AND('Please read'!H8,"AAAAAHFf/9w=")</f>
        <v>#VALUE!</v>
      </c>
      <c r="HN237" t="e">
        <f>AND('Please read'!I8,"AAAAAHFf/90=")</f>
        <v>#VALUE!</v>
      </c>
      <c r="HO237" t="e">
        <f>AND('Please read'!J8,"AAAAAHFf/94=")</f>
        <v>#VALUE!</v>
      </c>
      <c r="HP237" t="e">
        <f>AND('Please read'!K8,"AAAAAHFf/98=")</f>
        <v>#VALUE!</v>
      </c>
      <c r="HQ237" t="e">
        <f>AND('Please read'!L8,"AAAAAHFf/+A=")</f>
        <v>#VALUE!</v>
      </c>
      <c r="HR237" t="e">
        <f>AND('Please read'!M8,"AAAAAHFf/+E=")</f>
        <v>#VALUE!</v>
      </c>
      <c r="HS237" t="e">
        <f>AND('Please read'!N8,"AAAAAHFf/+I=")</f>
        <v>#VALUE!</v>
      </c>
      <c r="HT237">
        <f>IF('Please read'!9:9,"AAAAAHFf/+M=",0)</f>
        <v>0</v>
      </c>
      <c r="HU237" t="e">
        <f>AND('Please read'!B9,"AAAAAHFf/+Q=")</f>
        <v>#VALUE!</v>
      </c>
      <c r="HV237" t="e">
        <f>AND('Please read'!C9,"AAAAAHFf/+U=")</f>
        <v>#VALUE!</v>
      </c>
      <c r="HW237" t="e">
        <f>AND('Please read'!D9,"AAAAAHFf/+Y=")</f>
        <v>#VALUE!</v>
      </c>
      <c r="HX237" t="e">
        <f>AND('Please read'!E9,"AAAAAHFf/+c=")</f>
        <v>#VALUE!</v>
      </c>
      <c r="HY237" t="e">
        <f>AND('Please read'!F9,"AAAAAHFf/+g=")</f>
        <v>#VALUE!</v>
      </c>
      <c r="HZ237" t="e">
        <f>AND('Please read'!G9,"AAAAAHFf/+k=")</f>
        <v>#VALUE!</v>
      </c>
      <c r="IA237" t="e">
        <f>AND('Please read'!H9,"AAAAAHFf/+o=")</f>
        <v>#VALUE!</v>
      </c>
      <c r="IB237" t="e">
        <f>AND('Please read'!I9,"AAAAAHFf/+s=")</f>
        <v>#VALUE!</v>
      </c>
      <c r="IC237" t="e">
        <f>AND('Please read'!J9,"AAAAAHFf/+w=")</f>
        <v>#VALUE!</v>
      </c>
      <c r="ID237" t="e">
        <f>AND('Please read'!K9,"AAAAAHFf/+0=")</f>
        <v>#VALUE!</v>
      </c>
      <c r="IE237" t="e">
        <f>AND('Please read'!L9,"AAAAAHFf/+4=")</f>
        <v>#VALUE!</v>
      </c>
      <c r="IF237" t="e">
        <f>AND('Please read'!M9,"AAAAAHFf/+8=")</f>
        <v>#VALUE!</v>
      </c>
      <c r="IG237" t="e">
        <f>AND('Please read'!N9,"AAAAAHFf//A=")</f>
        <v>#VALUE!</v>
      </c>
      <c r="IH237">
        <f>IF('Please read'!10:10,"AAAAAHFf//E=",0)</f>
        <v>0</v>
      </c>
      <c r="II237" t="e">
        <f>AND('Please read'!B10,"AAAAAHFf//I=")</f>
        <v>#VALUE!</v>
      </c>
      <c r="IJ237" t="e">
        <f>AND('Please read'!C10,"AAAAAHFf//M=")</f>
        <v>#VALUE!</v>
      </c>
      <c r="IK237" t="e">
        <f>AND('Please read'!D10,"AAAAAHFf//Q=")</f>
        <v>#VALUE!</v>
      </c>
      <c r="IL237" t="e">
        <f>AND('Please read'!E10,"AAAAAHFf//U=")</f>
        <v>#VALUE!</v>
      </c>
      <c r="IM237" t="e">
        <f>AND('Please read'!F10,"AAAAAHFf//Y=")</f>
        <v>#VALUE!</v>
      </c>
      <c r="IN237" t="e">
        <f>AND('Please read'!G10,"AAAAAHFf//c=")</f>
        <v>#VALUE!</v>
      </c>
      <c r="IO237" t="e">
        <f>AND('Please read'!H10,"AAAAAHFf//g=")</f>
        <v>#VALUE!</v>
      </c>
      <c r="IP237" t="e">
        <f>AND('Please read'!I10,"AAAAAHFf//k=")</f>
        <v>#VALUE!</v>
      </c>
      <c r="IQ237" t="e">
        <f>AND('Please read'!J10,"AAAAAHFf//o=")</f>
        <v>#VALUE!</v>
      </c>
      <c r="IR237" t="e">
        <f>AND('Please read'!K10,"AAAAAHFf//s=")</f>
        <v>#VALUE!</v>
      </c>
      <c r="IS237" t="e">
        <f>AND('Please read'!L10,"AAAAAHFf//w=")</f>
        <v>#VALUE!</v>
      </c>
      <c r="IT237" t="e">
        <f>AND('Please read'!M10,"AAAAAHFf//0=")</f>
        <v>#VALUE!</v>
      </c>
      <c r="IU237" t="e">
        <f>AND('Please read'!N10,"AAAAAHFf//4=")</f>
        <v>#VALUE!</v>
      </c>
      <c r="IV237">
        <f>IF('Please read'!11:11,"AAAAAHFf//8=",0)</f>
        <v>0</v>
      </c>
    </row>
    <row r="238" spans="1:256" x14ac:dyDescent="0.25">
      <c r="A238" t="e">
        <f>AND('Please read'!B11,"AAAAAHNnrAA=")</f>
        <v>#VALUE!</v>
      </c>
      <c r="B238" t="e">
        <f>AND('Please read'!C11,"AAAAAHNnrAE=")</f>
        <v>#VALUE!</v>
      </c>
      <c r="C238" t="e">
        <f>AND('Please read'!D11,"AAAAAHNnrAI=")</f>
        <v>#VALUE!</v>
      </c>
      <c r="D238" t="e">
        <f>AND('Please read'!E11,"AAAAAHNnrAM=")</f>
        <v>#VALUE!</v>
      </c>
      <c r="E238" t="e">
        <f>AND('Please read'!F11,"AAAAAHNnrAQ=")</f>
        <v>#VALUE!</v>
      </c>
      <c r="F238" t="e">
        <f>AND('Please read'!G11,"AAAAAHNnrAU=")</f>
        <v>#VALUE!</v>
      </c>
      <c r="G238" t="e">
        <f>AND('Please read'!H11,"AAAAAHNnrAY=")</f>
        <v>#VALUE!</v>
      </c>
      <c r="H238" t="e">
        <f>AND('Please read'!I11,"AAAAAHNnrAc=")</f>
        <v>#VALUE!</v>
      </c>
      <c r="I238" t="e">
        <f>AND('Please read'!J11,"AAAAAHNnrAg=")</f>
        <v>#VALUE!</v>
      </c>
      <c r="J238" t="e">
        <f>AND('Please read'!K11,"AAAAAHNnrAk=")</f>
        <v>#VALUE!</v>
      </c>
      <c r="K238" t="e">
        <f>AND('Please read'!L11,"AAAAAHNnrAo=")</f>
        <v>#VALUE!</v>
      </c>
      <c r="L238" t="e">
        <f>AND('Please read'!M11,"AAAAAHNnrAs=")</f>
        <v>#VALUE!</v>
      </c>
      <c r="M238" t="e">
        <f>AND('Please read'!N11,"AAAAAHNnrAw=")</f>
        <v>#VALUE!</v>
      </c>
      <c r="N238">
        <f>IF('Please read'!12:12,"AAAAAHNnrA0=",0)</f>
        <v>0</v>
      </c>
      <c r="O238" t="e">
        <f>AND('Please read'!B12,"AAAAAHNnrA4=")</f>
        <v>#VALUE!</v>
      </c>
      <c r="P238" t="e">
        <f>AND('Please read'!C12,"AAAAAHNnrA8=")</f>
        <v>#VALUE!</v>
      </c>
      <c r="Q238" t="e">
        <f>AND('Please read'!D12,"AAAAAHNnrBA=")</f>
        <v>#VALUE!</v>
      </c>
      <c r="R238" t="e">
        <f>AND('Please read'!E12,"AAAAAHNnrBE=")</f>
        <v>#VALUE!</v>
      </c>
      <c r="S238" t="e">
        <f>AND('Please read'!F12,"AAAAAHNnrBI=")</f>
        <v>#VALUE!</v>
      </c>
      <c r="T238" t="e">
        <f>AND('Please read'!G12,"AAAAAHNnrBM=")</f>
        <v>#VALUE!</v>
      </c>
      <c r="U238" t="e">
        <f>AND('Please read'!H12,"AAAAAHNnrBQ=")</f>
        <v>#VALUE!</v>
      </c>
      <c r="V238" t="e">
        <f>AND('Please read'!I12,"AAAAAHNnrBU=")</f>
        <v>#VALUE!</v>
      </c>
      <c r="W238" t="e">
        <f>AND('Please read'!J12,"AAAAAHNnrBY=")</f>
        <v>#VALUE!</v>
      </c>
      <c r="X238" t="e">
        <f>AND('Please read'!K12,"AAAAAHNnrBc=")</f>
        <v>#VALUE!</v>
      </c>
      <c r="Y238" t="e">
        <f>AND('Please read'!L12,"AAAAAHNnrBg=")</f>
        <v>#VALUE!</v>
      </c>
      <c r="Z238" t="e">
        <f>AND('Please read'!M12,"AAAAAHNnrBk=")</f>
        <v>#VALUE!</v>
      </c>
      <c r="AA238" t="e">
        <f>AND('Please read'!N12,"AAAAAHNnrBo=")</f>
        <v>#VALUE!</v>
      </c>
      <c r="AB238">
        <f>IF('Please read'!13:13,"AAAAAHNnrBs=",0)</f>
        <v>0</v>
      </c>
      <c r="AC238" t="e">
        <f>AND('Please read'!B13,"AAAAAHNnrBw=")</f>
        <v>#VALUE!</v>
      </c>
      <c r="AD238" t="e">
        <f>AND('Please read'!C13,"AAAAAHNnrB0=")</f>
        <v>#VALUE!</v>
      </c>
      <c r="AE238" t="e">
        <f>AND('Please read'!D13,"AAAAAHNnrB4=")</f>
        <v>#VALUE!</v>
      </c>
      <c r="AF238" t="e">
        <f>AND('Please read'!E13,"AAAAAHNnrB8=")</f>
        <v>#VALUE!</v>
      </c>
      <c r="AG238" t="e">
        <f>AND('Please read'!F13,"AAAAAHNnrCA=")</f>
        <v>#VALUE!</v>
      </c>
      <c r="AH238" t="e">
        <f>AND('Please read'!G13,"AAAAAHNnrCE=")</f>
        <v>#VALUE!</v>
      </c>
      <c r="AI238" t="e">
        <f>AND('Please read'!H13,"AAAAAHNnrCI=")</f>
        <v>#VALUE!</v>
      </c>
      <c r="AJ238" t="e">
        <f>AND('Please read'!I13,"AAAAAHNnrCM=")</f>
        <v>#VALUE!</v>
      </c>
      <c r="AK238" t="e">
        <f>AND('Please read'!J13,"AAAAAHNnrCQ=")</f>
        <v>#VALUE!</v>
      </c>
      <c r="AL238" t="e">
        <f>AND('Please read'!K13,"AAAAAHNnrCU=")</f>
        <v>#VALUE!</v>
      </c>
      <c r="AM238" t="e">
        <f>AND('Please read'!L13,"AAAAAHNnrCY=")</f>
        <v>#VALUE!</v>
      </c>
      <c r="AN238" t="e">
        <f>AND('Please read'!M13,"AAAAAHNnrCc=")</f>
        <v>#VALUE!</v>
      </c>
      <c r="AO238" t="e">
        <f>AND('Please read'!N13,"AAAAAHNnrCg=")</f>
        <v>#VALUE!</v>
      </c>
      <c r="AP238">
        <f>IF('Please read'!14:14,"AAAAAHNnrCk=",0)</f>
        <v>0</v>
      </c>
      <c r="AQ238" t="e">
        <f>AND('Please read'!B14,"AAAAAHNnrCo=")</f>
        <v>#VALUE!</v>
      </c>
      <c r="AR238" t="e">
        <f>AND('Please read'!C14,"AAAAAHNnrCs=")</f>
        <v>#VALUE!</v>
      </c>
      <c r="AS238" t="e">
        <f>AND('Please read'!D14,"AAAAAHNnrCw=")</f>
        <v>#VALUE!</v>
      </c>
      <c r="AT238" t="e">
        <f>AND('Please read'!E14,"AAAAAHNnrC0=")</f>
        <v>#VALUE!</v>
      </c>
      <c r="AU238" t="e">
        <f>AND('Please read'!F14,"AAAAAHNnrC4=")</f>
        <v>#VALUE!</v>
      </c>
      <c r="AV238" t="e">
        <f>AND('Please read'!G14,"AAAAAHNnrC8=")</f>
        <v>#VALUE!</v>
      </c>
      <c r="AW238" t="e">
        <f>AND('Please read'!H14,"AAAAAHNnrDA=")</f>
        <v>#VALUE!</v>
      </c>
      <c r="AX238" t="e">
        <f>AND('Please read'!I14,"AAAAAHNnrDE=")</f>
        <v>#VALUE!</v>
      </c>
      <c r="AY238" t="e">
        <f>AND('Please read'!J14,"AAAAAHNnrDI=")</f>
        <v>#VALUE!</v>
      </c>
      <c r="AZ238" t="e">
        <f>AND('Please read'!K14,"AAAAAHNnrDM=")</f>
        <v>#VALUE!</v>
      </c>
      <c r="BA238" t="e">
        <f>AND('Please read'!L14,"AAAAAHNnrDQ=")</f>
        <v>#VALUE!</v>
      </c>
      <c r="BB238" t="e">
        <f>AND('Please read'!M14,"AAAAAHNnrDU=")</f>
        <v>#VALUE!</v>
      </c>
      <c r="BC238" t="e">
        <f>AND('Please read'!N14,"AAAAAHNnrDY=")</f>
        <v>#VALUE!</v>
      </c>
      <c r="BD238">
        <f>IF('Please read'!15:15,"AAAAAHNnrDc=",0)</f>
        <v>0</v>
      </c>
      <c r="BE238" t="e">
        <f>AND('Please read'!B15,"AAAAAHNnrDg=")</f>
        <v>#VALUE!</v>
      </c>
      <c r="BF238" t="e">
        <f>AND('Please read'!C15,"AAAAAHNnrDk=")</f>
        <v>#VALUE!</v>
      </c>
      <c r="BG238" t="e">
        <f>AND('Please read'!D15,"AAAAAHNnrDo=")</f>
        <v>#VALUE!</v>
      </c>
      <c r="BH238" t="e">
        <f>AND('Please read'!E15,"AAAAAHNnrDs=")</f>
        <v>#VALUE!</v>
      </c>
      <c r="BI238" t="e">
        <f>AND('Please read'!F15,"AAAAAHNnrDw=")</f>
        <v>#VALUE!</v>
      </c>
      <c r="BJ238" t="e">
        <f>AND('Please read'!G15,"AAAAAHNnrD0=")</f>
        <v>#VALUE!</v>
      </c>
      <c r="BK238" t="e">
        <f>AND('Please read'!H15,"AAAAAHNnrD4=")</f>
        <v>#VALUE!</v>
      </c>
      <c r="BL238" t="e">
        <f>AND('Please read'!I15,"AAAAAHNnrD8=")</f>
        <v>#VALUE!</v>
      </c>
      <c r="BM238" t="e">
        <f>AND('Please read'!J15,"AAAAAHNnrEA=")</f>
        <v>#VALUE!</v>
      </c>
      <c r="BN238" t="e">
        <f>AND('Please read'!K15,"AAAAAHNnrEE=")</f>
        <v>#VALUE!</v>
      </c>
      <c r="BO238" t="e">
        <f>AND('Please read'!L15,"AAAAAHNnrEI=")</f>
        <v>#VALUE!</v>
      </c>
      <c r="BP238" t="e">
        <f>AND('Please read'!M15,"AAAAAHNnrEM=")</f>
        <v>#VALUE!</v>
      </c>
      <c r="BQ238" t="e">
        <f>AND('Please read'!N15,"AAAAAHNnrEQ=")</f>
        <v>#VALUE!</v>
      </c>
      <c r="BR238">
        <f>IF('Please read'!16:16,"AAAAAHNnrEU=",0)</f>
        <v>0</v>
      </c>
      <c r="BS238" t="e">
        <f>AND('Please read'!B16,"AAAAAHNnrEY=")</f>
        <v>#VALUE!</v>
      </c>
      <c r="BT238" t="e">
        <f>AND('Please read'!C16,"AAAAAHNnrEc=")</f>
        <v>#VALUE!</v>
      </c>
      <c r="BU238" t="e">
        <f>AND('Please read'!D16,"AAAAAHNnrEg=")</f>
        <v>#VALUE!</v>
      </c>
      <c r="BV238" t="e">
        <f>AND('Please read'!E16,"AAAAAHNnrEk=")</f>
        <v>#VALUE!</v>
      </c>
      <c r="BW238" t="e">
        <f>AND('Please read'!F16,"AAAAAHNnrEo=")</f>
        <v>#VALUE!</v>
      </c>
      <c r="BX238" t="e">
        <f>AND('Please read'!G16,"AAAAAHNnrEs=")</f>
        <v>#VALUE!</v>
      </c>
      <c r="BY238" t="e">
        <f>AND('Please read'!H16,"AAAAAHNnrEw=")</f>
        <v>#VALUE!</v>
      </c>
      <c r="BZ238" t="e">
        <f>AND('Please read'!I16,"AAAAAHNnrE0=")</f>
        <v>#VALUE!</v>
      </c>
      <c r="CA238" t="e">
        <f>AND('Please read'!J16,"AAAAAHNnrE4=")</f>
        <v>#VALUE!</v>
      </c>
      <c r="CB238" t="e">
        <f>AND('Please read'!K16,"AAAAAHNnrE8=")</f>
        <v>#VALUE!</v>
      </c>
      <c r="CC238" t="e">
        <f>AND('Please read'!L16,"AAAAAHNnrFA=")</f>
        <v>#VALUE!</v>
      </c>
      <c r="CD238" t="e">
        <f>AND('Please read'!M16,"AAAAAHNnrFE=")</f>
        <v>#VALUE!</v>
      </c>
      <c r="CE238" t="e">
        <f>AND('Please read'!N16,"AAAAAHNnrFI=")</f>
        <v>#VALUE!</v>
      </c>
      <c r="CF238">
        <f>IF('Please read'!17:17,"AAAAAHNnrFM=",0)</f>
        <v>0</v>
      </c>
      <c r="CG238" t="e">
        <f>AND('Please read'!B17,"AAAAAHNnrFQ=")</f>
        <v>#VALUE!</v>
      </c>
      <c r="CH238" t="e">
        <f>AND('Please read'!C17,"AAAAAHNnrFU=")</f>
        <v>#VALUE!</v>
      </c>
      <c r="CI238" t="e">
        <f>AND('Please read'!D17,"AAAAAHNnrFY=")</f>
        <v>#VALUE!</v>
      </c>
      <c r="CJ238" t="e">
        <f>AND('Please read'!E17,"AAAAAHNnrFc=")</f>
        <v>#VALUE!</v>
      </c>
      <c r="CK238" t="e">
        <f>AND('Please read'!F17,"AAAAAHNnrFg=")</f>
        <v>#VALUE!</v>
      </c>
      <c r="CL238" t="e">
        <f>AND('Please read'!G17,"AAAAAHNnrFk=")</f>
        <v>#VALUE!</v>
      </c>
      <c r="CM238" t="e">
        <f>AND('Please read'!H17,"AAAAAHNnrFo=")</f>
        <v>#VALUE!</v>
      </c>
      <c r="CN238" t="e">
        <f>AND('Please read'!I17,"AAAAAHNnrFs=")</f>
        <v>#VALUE!</v>
      </c>
      <c r="CO238" t="e">
        <f>AND('Please read'!J17,"AAAAAHNnrFw=")</f>
        <v>#VALUE!</v>
      </c>
      <c r="CP238" t="e">
        <f>AND('Please read'!K17,"AAAAAHNnrF0=")</f>
        <v>#VALUE!</v>
      </c>
      <c r="CQ238" t="e">
        <f>AND('Please read'!L17,"AAAAAHNnrF4=")</f>
        <v>#VALUE!</v>
      </c>
      <c r="CR238" t="e">
        <f>AND('Please read'!M17,"AAAAAHNnrF8=")</f>
        <v>#VALUE!</v>
      </c>
      <c r="CS238" t="e">
        <f>AND('Please read'!N17,"AAAAAHNnrGA=")</f>
        <v>#VALUE!</v>
      </c>
      <c r="CT238">
        <f>IF('Please read'!18:18,"AAAAAHNnrGE=",0)</f>
        <v>0</v>
      </c>
      <c r="CU238" t="e">
        <f>AND('Please read'!B18,"AAAAAHNnrGI=")</f>
        <v>#VALUE!</v>
      </c>
      <c r="CV238" t="e">
        <f>AND('Please read'!C18,"AAAAAHNnrGM=")</f>
        <v>#VALUE!</v>
      </c>
      <c r="CW238" t="e">
        <f>AND('Please read'!D18,"AAAAAHNnrGQ=")</f>
        <v>#VALUE!</v>
      </c>
      <c r="CX238" t="e">
        <f>AND('Please read'!E18,"AAAAAHNnrGU=")</f>
        <v>#VALUE!</v>
      </c>
      <c r="CY238" t="e">
        <f>AND('Please read'!F18,"AAAAAHNnrGY=")</f>
        <v>#VALUE!</v>
      </c>
      <c r="CZ238" t="e">
        <f>AND('Please read'!G18,"AAAAAHNnrGc=")</f>
        <v>#VALUE!</v>
      </c>
      <c r="DA238" t="e">
        <f>AND('Please read'!H18,"AAAAAHNnrGg=")</f>
        <v>#VALUE!</v>
      </c>
      <c r="DB238" t="e">
        <f>AND('Please read'!I18,"AAAAAHNnrGk=")</f>
        <v>#VALUE!</v>
      </c>
      <c r="DC238" t="e">
        <f>AND('Please read'!J18,"AAAAAHNnrGo=")</f>
        <v>#VALUE!</v>
      </c>
      <c r="DD238" t="e">
        <f>AND('Please read'!K18,"AAAAAHNnrGs=")</f>
        <v>#VALUE!</v>
      </c>
      <c r="DE238" t="e">
        <f>AND('Please read'!L18,"AAAAAHNnrGw=")</f>
        <v>#VALUE!</v>
      </c>
      <c r="DF238" t="e">
        <f>AND('Please read'!M18,"AAAAAHNnrG0=")</f>
        <v>#VALUE!</v>
      </c>
      <c r="DG238" t="e">
        <f>AND('Please read'!N18,"AAAAAHNnrG4=")</f>
        <v>#VALUE!</v>
      </c>
      <c r="DH238">
        <f>IF('Please read'!19:19,"AAAAAHNnrG8=",0)</f>
        <v>0</v>
      </c>
      <c r="DI238" t="e">
        <f>AND('Please read'!B19,"AAAAAHNnrHA=")</f>
        <v>#VALUE!</v>
      </c>
      <c r="DJ238" t="e">
        <f>AND('Please read'!C19,"AAAAAHNnrHE=")</f>
        <v>#VALUE!</v>
      </c>
      <c r="DK238" t="e">
        <f>AND('Please read'!D19,"AAAAAHNnrHI=")</f>
        <v>#VALUE!</v>
      </c>
      <c r="DL238" t="e">
        <f>AND('Please read'!E19,"AAAAAHNnrHM=")</f>
        <v>#VALUE!</v>
      </c>
      <c r="DM238" t="e">
        <f>AND('Please read'!F19,"AAAAAHNnrHQ=")</f>
        <v>#VALUE!</v>
      </c>
      <c r="DN238" t="e">
        <f>AND('Please read'!G19,"AAAAAHNnrHU=")</f>
        <v>#VALUE!</v>
      </c>
      <c r="DO238" t="e">
        <f>AND('Please read'!H19,"AAAAAHNnrHY=")</f>
        <v>#VALUE!</v>
      </c>
      <c r="DP238" t="e">
        <f>AND('Please read'!I19,"AAAAAHNnrHc=")</f>
        <v>#VALUE!</v>
      </c>
      <c r="DQ238" t="e">
        <f>AND('Please read'!J19,"AAAAAHNnrHg=")</f>
        <v>#VALUE!</v>
      </c>
      <c r="DR238" t="e">
        <f>AND('Please read'!K19,"AAAAAHNnrHk=")</f>
        <v>#VALUE!</v>
      </c>
      <c r="DS238" t="e">
        <f>AND('Please read'!L19,"AAAAAHNnrHo=")</f>
        <v>#VALUE!</v>
      </c>
      <c r="DT238" t="e">
        <f>AND('Please read'!M19,"AAAAAHNnrHs=")</f>
        <v>#VALUE!</v>
      </c>
      <c r="DU238" t="e">
        <f>AND('Please read'!N19,"AAAAAHNnrHw=")</f>
        <v>#VALUE!</v>
      </c>
      <c r="DV238">
        <f>IF('Please read'!20:20,"AAAAAHNnrH0=",0)</f>
        <v>0</v>
      </c>
      <c r="DW238" t="e">
        <f>AND('Please read'!B20,"AAAAAHNnrH4=")</f>
        <v>#VALUE!</v>
      </c>
      <c r="DX238" t="e">
        <f>AND('Please read'!C20,"AAAAAHNnrH8=")</f>
        <v>#VALUE!</v>
      </c>
      <c r="DY238" t="e">
        <f>AND('Please read'!D20,"AAAAAHNnrIA=")</f>
        <v>#VALUE!</v>
      </c>
      <c r="DZ238" t="e">
        <f>AND('Please read'!E20,"AAAAAHNnrIE=")</f>
        <v>#VALUE!</v>
      </c>
      <c r="EA238" t="e">
        <f>AND('Please read'!F20,"AAAAAHNnrII=")</f>
        <v>#VALUE!</v>
      </c>
      <c r="EB238" t="e">
        <f>AND('Please read'!G20,"AAAAAHNnrIM=")</f>
        <v>#VALUE!</v>
      </c>
      <c r="EC238" t="e">
        <f>AND('Please read'!H20,"AAAAAHNnrIQ=")</f>
        <v>#VALUE!</v>
      </c>
      <c r="ED238" t="e">
        <f>AND('Please read'!I20,"AAAAAHNnrIU=")</f>
        <v>#VALUE!</v>
      </c>
      <c r="EE238" t="e">
        <f>AND('Please read'!J20,"AAAAAHNnrIY=")</f>
        <v>#VALUE!</v>
      </c>
      <c r="EF238" t="e">
        <f>AND('Please read'!K20,"AAAAAHNnrIc=")</f>
        <v>#VALUE!</v>
      </c>
      <c r="EG238" t="e">
        <f>AND('Please read'!L20,"AAAAAHNnrIg=")</f>
        <v>#VALUE!</v>
      </c>
      <c r="EH238" t="e">
        <f>AND('Please read'!M20,"AAAAAHNnrIk=")</f>
        <v>#VALUE!</v>
      </c>
      <c r="EI238" t="e">
        <f>AND('Please read'!N20,"AAAAAHNnrIo=")</f>
        <v>#VALUE!</v>
      </c>
      <c r="EJ238">
        <f>IF('Please read'!21:21,"AAAAAHNnrIs=",0)</f>
        <v>0</v>
      </c>
      <c r="EK238" t="e">
        <f>AND('Please read'!B21,"AAAAAHNnrIw=")</f>
        <v>#VALUE!</v>
      </c>
      <c r="EL238" t="e">
        <f>AND('Please read'!C21,"AAAAAHNnrI0=")</f>
        <v>#VALUE!</v>
      </c>
      <c r="EM238" t="e">
        <f>AND('Please read'!D21,"AAAAAHNnrI4=")</f>
        <v>#VALUE!</v>
      </c>
      <c r="EN238" t="e">
        <f>AND('Please read'!E21,"AAAAAHNnrI8=")</f>
        <v>#VALUE!</v>
      </c>
      <c r="EO238" t="e">
        <f>AND('Please read'!F21,"AAAAAHNnrJA=")</f>
        <v>#VALUE!</v>
      </c>
      <c r="EP238" t="e">
        <f>AND('Please read'!G21,"AAAAAHNnrJE=")</f>
        <v>#VALUE!</v>
      </c>
      <c r="EQ238" t="e">
        <f>AND('Please read'!H21,"AAAAAHNnrJI=")</f>
        <v>#VALUE!</v>
      </c>
      <c r="ER238" t="e">
        <f>AND('Please read'!I21,"AAAAAHNnrJM=")</f>
        <v>#VALUE!</v>
      </c>
      <c r="ES238" t="e">
        <f>AND('Please read'!J21,"AAAAAHNnrJQ=")</f>
        <v>#VALUE!</v>
      </c>
      <c r="ET238" t="e">
        <f>AND('Please read'!K21,"AAAAAHNnrJU=")</f>
        <v>#VALUE!</v>
      </c>
      <c r="EU238" t="e">
        <f>AND('Please read'!L21,"AAAAAHNnrJY=")</f>
        <v>#VALUE!</v>
      </c>
      <c r="EV238" t="e">
        <f>AND('Please read'!M21,"AAAAAHNnrJc=")</f>
        <v>#VALUE!</v>
      </c>
      <c r="EW238" t="e">
        <f>AND('Please read'!N21,"AAAAAHNnrJg=")</f>
        <v>#VALUE!</v>
      </c>
      <c r="EX238">
        <f>IF('Please read'!22:22,"AAAAAHNnrJk=",0)</f>
        <v>0</v>
      </c>
      <c r="EY238" t="e">
        <f>AND('Please read'!B22,"AAAAAHNnrJo=")</f>
        <v>#VALUE!</v>
      </c>
      <c r="EZ238" t="e">
        <f>AND('Please read'!C22,"AAAAAHNnrJs=")</f>
        <v>#VALUE!</v>
      </c>
      <c r="FA238" t="e">
        <f>AND('Please read'!D22,"AAAAAHNnrJw=")</f>
        <v>#VALUE!</v>
      </c>
      <c r="FB238" t="e">
        <f>AND('Please read'!E22,"AAAAAHNnrJ0=")</f>
        <v>#VALUE!</v>
      </c>
      <c r="FC238" t="e">
        <f>AND('Please read'!F22,"AAAAAHNnrJ4=")</f>
        <v>#VALUE!</v>
      </c>
      <c r="FD238" t="e">
        <f>AND('Please read'!G22,"AAAAAHNnrJ8=")</f>
        <v>#VALUE!</v>
      </c>
      <c r="FE238" t="e">
        <f>AND('Please read'!H22,"AAAAAHNnrKA=")</f>
        <v>#VALUE!</v>
      </c>
      <c r="FF238" t="e">
        <f>AND('Please read'!I22,"AAAAAHNnrKE=")</f>
        <v>#VALUE!</v>
      </c>
      <c r="FG238" t="e">
        <f>AND('Please read'!J22,"AAAAAHNnrKI=")</f>
        <v>#VALUE!</v>
      </c>
      <c r="FH238" t="e">
        <f>AND('Please read'!K22,"AAAAAHNnrKM=")</f>
        <v>#VALUE!</v>
      </c>
      <c r="FI238" t="e">
        <f>AND('Please read'!L22,"AAAAAHNnrKQ=")</f>
        <v>#VALUE!</v>
      </c>
      <c r="FJ238" t="e">
        <f>AND('Please read'!M22,"AAAAAHNnrKU=")</f>
        <v>#VALUE!</v>
      </c>
      <c r="FK238" t="e">
        <f>AND('Please read'!N22,"AAAAAHNnrKY=")</f>
        <v>#VALUE!</v>
      </c>
      <c r="FL238">
        <f>IF('Please read'!23:23,"AAAAAHNnrKc=",0)</f>
        <v>0</v>
      </c>
      <c r="FM238" t="e">
        <f>AND('Please read'!B23,"AAAAAHNnrKg=")</f>
        <v>#VALUE!</v>
      </c>
      <c r="FN238" t="e">
        <f>AND('Please read'!C23,"AAAAAHNnrKk=")</f>
        <v>#VALUE!</v>
      </c>
      <c r="FO238" t="e">
        <f>AND('Please read'!D23,"AAAAAHNnrKo=")</f>
        <v>#VALUE!</v>
      </c>
      <c r="FP238" t="e">
        <f>AND('Please read'!E23,"AAAAAHNnrKs=")</f>
        <v>#VALUE!</v>
      </c>
      <c r="FQ238" t="e">
        <f>AND('Please read'!F23,"AAAAAHNnrKw=")</f>
        <v>#VALUE!</v>
      </c>
      <c r="FR238" t="e">
        <f>AND('Please read'!G23,"AAAAAHNnrK0=")</f>
        <v>#VALUE!</v>
      </c>
      <c r="FS238" t="e">
        <f>AND('Please read'!H23,"AAAAAHNnrK4=")</f>
        <v>#VALUE!</v>
      </c>
      <c r="FT238" t="e">
        <f>AND('Please read'!I23,"AAAAAHNnrK8=")</f>
        <v>#VALUE!</v>
      </c>
      <c r="FU238" t="e">
        <f>AND('Please read'!J23,"AAAAAHNnrLA=")</f>
        <v>#VALUE!</v>
      </c>
      <c r="FV238" t="e">
        <f>AND('Please read'!K23,"AAAAAHNnrLE=")</f>
        <v>#VALUE!</v>
      </c>
      <c r="FW238" t="e">
        <f>AND('Please read'!L23,"AAAAAHNnrLI=")</f>
        <v>#VALUE!</v>
      </c>
      <c r="FX238" t="e">
        <f>AND('Please read'!M23,"AAAAAHNnrLM=")</f>
        <v>#VALUE!</v>
      </c>
      <c r="FY238" t="e">
        <f>AND('Please read'!N23,"AAAAAHNnrLQ=")</f>
        <v>#VALUE!</v>
      </c>
      <c r="FZ238">
        <f>IF('Please read'!24:24,"AAAAAHNnrLU=",0)</f>
        <v>0</v>
      </c>
      <c r="GA238" t="e">
        <f>AND('Please read'!B24,"AAAAAHNnrLY=")</f>
        <v>#VALUE!</v>
      </c>
      <c r="GB238" t="e">
        <f>AND('Please read'!C24,"AAAAAHNnrLc=")</f>
        <v>#VALUE!</v>
      </c>
      <c r="GC238" t="e">
        <f>AND('Please read'!D24,"AAAAAHNnrLg=")</f>
        <v>#VALUE!</v>
      </c>
      <c r="GD238" t="e">
        <f>AND('Please read'!E24,"AAAAAHNnrLk=")</f>
        <v>#VALUE!</v>
      </c>
      <c r="GE238" t="e">
        <f>AND('Please read'!F24,"AAAAAHNnrLo=")</f>
        <v>#VALUE!</v>
      </c>
      <c r="GF238" t="e">
        <f>AND('Please read'!G24,"AAAAAHNnrLs=")</f>
        <v>#VALUE!</v>
      </c>
      <c r="GG238" t="e">
        <f>AND('Please read'!H24,"AAAAAHNnrLw=")</f>
        <v>#VALUE!</v>
      </c>
      <c r="GH238" t="e">
        <f>AND('Please read'!I24,"AAAAAHNnrL0=")</f>
        <v>#VALUE!</v>
      </c>
      <c r="GI238" t="e">
        <f>AND('Please read'!J24,"AAAAAHNnrL4=")</f>
        <v>#VALUE!</v>
      </c>
      <c r="GJ238" t="e">
        <f>AND('Please read'!K24,"AAAAAHNnrL8=")</f>
        <v>#VALUE!</v>
      </c>
      <c r="GK238" t="e">
        <f>AND('Please read'!L24,"AAAAAHNnrMA=")</f>
        <v>#VALUE!</v>
      </c>
      <c r="GL238" t="e">
        <f>AND('Please read'!M24,"AAAAAHNnrME=")</f>
        <v>#VALUE!</v>
      </c>
      <c r="GM238" t="e">
        <f>AND('Please read'!N24,"AAAAAHNnrMI=")</f>
        <v>#VALUE!</v>
      </c>
      <c r="GN238">
        <f>IF('Please read'!25:25,"AAAAAHNnrMM=",0)</f>
        <v>0</v>
      </c>
      <c r="GO238" t="e">
        <f>AND('Please read'!B25,"AAAAAHNnrMQ=")</f>
        <v>#VALUE!</v>
      </c>
      <c r="GP238" t="e">
        <f>AND('Please read'!C25,"AAAAAHNnrMU=")</f>
        <v>#VALUE!</v>
      </c>
      <c r="GQ238" t="e">
        <f>AND('Please read'!D25,"AAAAAHNnrMY=")</f>
        <v>#VALUE!</v>
      </c>
      <c r="GR238" t="e">
        <f>AND('Please read'!E25,"AAAAAHNnrMc=")</f>
        <v>#VALUE!</v>
      </c>
      <c r="GS238" t="e">
        <f>AND('Please read'!F25,"AAAAAHNnrMg=")</f>
        <v>#VALUE!</v>
      </c>
      <c r="GT238" t="e">
        <f>AND('Please read'!G25,"AAAAAHNnrMk=")</f>
        <v>#VALUE!</v>
      </c>
      <c r="GU238" t="e">
        <f>AND('Please read'!H25,"AAAAAHNnrMo=")</f>
        <v>#VALUE!</v>
      </c>
      <c r="GV238" t="e">
        <f>AND('Please read'!I25,"AAAAAHNnrMs=")</f>
        <v>#VALUE!</v>
      </c>
      <c r="GW238" t="e">
        <f>AND('Please read'!J25,"AAAAAHNnrMw=")</f>
        <v>#VALUE!</v>
      </c>
      <c r="GX238" t="e">
        <f>AND('Please read'!K25,"AAAAAHNnrM0=")</f>
        <v>#VALUE!</v>
      </c>
      <c r="GY238" t="e">
        <f>AND('Please read'!L25,"AAAAAHNnrM4=")</f>
        <v>#VALUE!</v>
      </c>
      <c r="GZ238" t="e">
        <f>AND('Please read'!M25,"AAAAAHNnrM8=")</f>
        <v>#VALUE!</v>
      </c>
      <c r="HA238" t="e">
        <f>AND('Please read'!N25,"AAAAAHNnrNA=")</f>
        <v>#VALUE!</v>
      </c>
      <c r="HB238">
        <f>IF('Please read'!26:26,"AAAAAHNnrNE=",0)</f>
        <v>0</v>
      </c>
      <c r="HC238" t="e">
        <f>AND('Please read'!B26,"AAAAAHNnrNI=")</f>
        <v>#VALUE!</v>
      </c>
      <c r="HD238" t="e">
        <f>AND('Please read'!C26,"AAAAAHNnrNM=")</f>
        <v>#VALUE!</v>
      </c>
      <c r="HE238" t="e">
        <f>AND('Please read'!D26,"AAAAAHNnrNQ=")</f>
        <v>#VALUE!</v>
      </c>
      <c r="HF238" t="e">
        <f>AND('Please read'!E26,"AAAAAHNnrNU=")</f>
        <v>#VALUE!</v>
      </c>
      <c r="HG238" t="e">
        <f>AND('Please read'!F26,"AAAAAHNnrNY=")</f>
        <v>#VALUE!</v>
      </c>
      <c r="HH238" t="e">
        <f>AND('Please read'!G26,"AAAAAHNnrNc=")</f>
        <v>#VALUE!</v>
      </c>
      <c r="HI238" t="e">
        <f>AND('Please read'!H26,"AAAAAHNnrNg=")</f>
        <v>#VALUE!</v>
      </c>
      <c r="HJ238" t="e">
        <f>AND('Please read'!I26,"AAAAAHNnrNk=")</f>
        <v>#VALUE!</v>
      </c>
      <c r="HK238" t="e">
        <f>AND('Please read'!J26,"AAAAAHNnrNo=")</f>
        <v>#VALUE!</v>
      </c>
      <c r="HL238" t="e">
        <f>AND('Please read'!K26,"AAAAAHNnrNs=")</f>
        <v>#VALUE!</v>
      </c>
      <c r="HM238" t="e">
        <f>AND('Please read'!L26,"AAAAAHNnrNw=")</f>
        <v>#VALUE!</v>
      </c>
      <c r="HN238" t="e">
        <f>AND('Please read'!M26,"AAAAAHNnrN0=")</f>
        <v>#VALUE!</v>
      </c>
      <c r="HO238" t="e">
        <f>AND('Please read'!N26,"AAAAAHNnrN4=")</f>
        <v>#VALUE!</v>
      </c>
      <c r="HP238">
        <f>IF('Please read'!27:27,"AAAAAHNnrN8=",0)</f>
        <v>0</v>
      </c>
      <c r="HQ238" t="e">
        <f>AND('Please read'!B27,"AAAAAHNnrOA=")</f>
        <v>#VALUE!</v>
      </c>
      <c r="HR238" t="e">
        <f>AND('Please read'!C27,"AAAAAHNnrOE=")</f>
        <v>#VALUE!</v>
      </c>
      <c r="HS238" t="e">
        <f>AND('Please read'!D27,"AAAAAHNnrOI=")</f>
        <v>#VALUE!</v>
      </c>
      <c r="HT238" t="e">
        <f>AND('Please read'!E27,"AAAAAHNnrOM=")</f>
        <v>#VALUE!</v>
      </c>
      <c r="HU238" t="e">
        <f>AND('Please read'!F27,"AAAAAHNnrOQ=")</f>
        <v>#VALUE!</v>
      </c>
      <c r="HV238" t="e">
        <f>AND('Please read'!G27,"AAAAAHNnrOU=")</f>
        <v>#VALUE!</v>
      </c>
      <c r="HW238" t="e">
        <f>AND('Please read'!H27,"AAAAAHNnrOY=")</f>
        <v>#VALUE!</v>
      </c>
      <c r="HX238" t="e">
        <f>AND('Please read'!I27,"AAAAAHNnrOc=")</f>
        <v>#VALUE!</v>
      </c>
      <c r="HY238" t="e">
        <f>AND('Please read'!J27,"AAAAAHNnrOg=")</f>
        <v>#VALUE!</v>
      </c>
      <c r="HZ238" t="e">
        <f>AND('Please read'!K27,"AAAAAHNnrOk=")</f>
        <v>#VALUE!</v>
      </c>
      <c r="IA238" t="e">
        <f>AND('Please read'!L27,"AAAAAHNnrOo=")</f>
        <v>#VALUE!</v>
      </c>
      <c r="IB238" t="e">
        <f>AND('Please read'!M27,"AAAAAHNnrOs=")</f>
        <v>#VALUE!</v>
      </c>
      <c r="IC238" t="e">
        <f>AND('Please read'!N27,"AAAAAHNnrOw=")</f>
        <v>#VALUE!</v>
      </c>
      <c r="ID238">
        <f>IF('Please read'!28:28,"AAAAAHNnrO0=",0)</f>
        <v>0</v>
      </c>
      <c r="IE238">
        <f>IF('Please read'!A:A,"AAAAAHNnrO4=",0)</f>
        <v>0</v>
      </c>
      <c r="IF238">
        <f>IF('Please read'!B:B,"AAAAAHNnrO8=",0)</f>
        <v>0</v>
      </c>
      <c r="IG238">
        <f>IF('Please read'!C:C,"AAAAAHNnrPA=",0)</f>
        <v>0</v>
      </c>
      <c r="IH238">
        <f>IF('Please read'!D:D,"AAAAAHNnrPE=",0)</f>
        <v>0</v>
      </c>
      <c r="II238">
        <f>IF('Please read'!E:E,"AAAAAHNnrPI=",0)</f>
        <v>0</v>
      </c>
      <c r="IJ238">
        <f>IF('Please read'!F:F,"AAAAAHNnrPM=",0)</f>
        <v>0</v>
      </c>
      <c r="IK238">
        <f>IF('Please read'!G:G,"AAAAAHNnrPQ=",0)</f>
        <v>0</v>
      </c>
      <c r="IL238">
        <f>IF('Please read'!H:H,"AAAAAHNnrPU=",0)</f>
        <v>0</v>
      </c>
      <c r="IM238">
        <f>IF('Please read'!I:I,"AAAAAHNnrPY=",0)</f>
        <v>0</v>
      </c>
      <c r="IN238">
        <f>IF('Please read'!J:J,"AAAAAHNnrPc=",0)</f>
        <v>0</v>
      </c>
      <c r="IO238">
        <f>IF('Please read'!K:K,"AAAAAHNnrPg=",0)</f>
        <v>0</v>
      </c>
      <c r="IP238">
        <f>IF('Please read'!L:L,"AAAAAHNnrPk=",0)</f>
        <v>0</v>
      </c>
      <c r="IQ238">
        <f>IF('Please read'!M:M,"AAAAAHNnrPo=",0)</f>
        <v>0</v>
      </c>
      <c r="IR238">
        <f>IF('Please read'!N:N,"AAAAAHNnrPs=",0)</f>
        <v>0</v>
      </c>
      <c r="IS238">
        <f>IF('Black &amp; White load sheet'!1:1,"AAAAAHNnrPw=",0)</f>
        <v>0</v>
      </c>
      <c r="IT238" t="e">
        <f>AND('Black &amp; White load sheet'!A1,"AAAAAHNnrP0=")</f>
        <v>#VALUE!</v>
      </c>
      <c r="IU238" t="b">
        <f>AND('Black &amp; White load sheet'!B1,"AAAAAHNnrP4=")</f>
        <v>1</v>
      </c>
      <c r="IV238" t="b">
        <f>AND('Black &amp; White load sheet'!C1,"AAAAAHNnrP8=")</f>
        <v>0</v>
      </c>
    </row>
    <row r="239" spans="1:256" x14ac:dyDescent="0.25">
      <c r="A239" t="b">
        <f>AND('Black &amp; White load sheet'!D1,"AAAAAGft/AA=")</f>
        <v>0</v>
      </c>
      <c r="B239" t="b">
        <f>AND('Black &amp; White load sheet'!E1,"AAAAAGft/AE=")</f>
        <v>1</v>
      </c>
      <c r="C239" t="b">
        <f>AND('Black &amp; White load sheet'!F1,"AAAAAGft/AI=")</f>
        <v>1</v>
      </c>
      <c r="D239" t="b">
        <f>AND('Black &amp; White load sheet'!G1,"AAAAAGft/AM=")</f>
        <v>1</v>
      </c>
      <c r="E239" t="b">
        <f>AND('Black &amp; White load sheet'!H1,"AAAAAGft/AQ=")</f>
        <v>1</v>
      </c>
      <c r="F239" t="b">
        <f>AND('Black &amp; White load sheet'!I1,"AAAAAGft/AU=")</f>
        <v>1</v>
      </c>
      <c r="G239" t="b">
        <f>AND('Black &amp; White load sheet'!J1,"AAAAAGft/AY=")</f>
        <v>1</v>
      </c>
      <c r="H239" t="e">
        <f>AND('Black &amp; White load sheet'!K1,"AAAAAGft/Ac=")</f>
        <v>#VALUE!</v>
      </c>
      <c r="I239" t="b">
        <f>AND('Black &amp; White load sheet'!L1,"AAAAAGft/Ag=")</f>
        <v>1</v>
      </c>
      <c r="J239" t="e">
        <f>AND('Black &amp; White load sheet'!M1,"AAAAAGft/Ak=")</f>
        <v>#VALUE!</v>
      </c>
      <c r="K239" t="e">
        <f>AND('Black &amp; White load sheet'!N1,"AAAAAGft/Ao=")</f>
        <v>#VALUE!</v>
      </c>
      <c r="L239" t="e">
        <f>AND('Black &amp; White load sheet'!O1,"AAAAAGft/As=")</f>
        <v>#VALUE!</v>
      </c>
      <c r="M239" t="e">
        <f>AND('Black &amp; White load sheet'!P1,"AAAAAGft/Aw=")</f>
        <v>#VALUE!</v>
      </c>
      <c r="N239" t="e">
        <f>AND('Black &amp; White load sheet'!Q1,"AAAAAGft/A0=")</f>
        <v>#VALUE!</v>
      </c>
      <c r="O239" t="str">
        <f>IF('Black &amp; White load sheet'!2:2,"AAAAAGft/A4=",0)</f>
        <v>AAAAAGft/A4=</v>
      </c>
      <c r="P239" t="e">
        <f>AND('Black &amp; White load sheet'!A2,"AAAAAGft/A8=")</f>
        <v>#VALUE!</v>
      </c>
      <c r="Q239" t="b">
        <f>AND('Black &amp; White load sheet'!B2,"AAAAAGft/BA=")</f>
        <v>1</v>
      </c>
      <c r="R239" t="b">
        <f>AND('Black &amp; White load sheet'!C2,"AAAAAGft/BE=")</f>
        <v>1</v>
      </c>
      <c r="S239" t="b">
        <f>AND('Black &amp; White load sheet'!D2,"AAAAAGft/BI=")</f>
        <v>1</v>
      </c>
      <c r="T239" t="b">
        <f>AND('Black &amp; White load sheet'!E2,"AAAAAGft/BM=")</f>
        <v>1</v>
      </c>
      <c r="U239" t="b">
        <f>AND('Black &amp; White load sheet'!F2,"AAAAAGft/BQ=")</f>
        <v>1</v>
      </c>
      <c r="V239" t="b">
        <f>AND('Black &amp; White load sheet'!G2,"AAAAAGft/BU=")</f>
        <v>1</v>
      </c>
      <c r="W239" t="b">
        <f>AND('Black &amp; White load sheet'!H2,"AAAAAGft/BY=")</f>
        <v>1</v>
      </c>
      <c r="X239" t="b">
        <f>AND('Black &amp; White load sheet'!I2,"AAAAAGft/Bc=")</f>
        <v>1</v>
      </c>
      <c r="Y239" t="b">
        <f>AND('Black &amp; White load sheet'!J2,"AAAAAGft/Bg=")</f>
        <v>1</v>
      </c>
      <c r="Z239" t="b">
        <f>AND('Black &amp; White load sheet'!K2,"AAAAAGft/Bk=")</f>
        <v>1</v>
      </c>
      <c r="AA239" t="e">
        <f>AND('Black &amp; White load sheet'!L2,"AAAAAGft/Bo=")</f>
        <v>#VALUE!</v>
      </c>
      <c r="AB239" t="e">
        <f>AND('Black &amp; White load sheet'!M2,"AAAAAGft/Bs=")</f>
        <v>#VALUE!</v>
      </c>
      <c r="AC239" t="e">
        <f>AND('Black &amp; White load sheet'!N2,"AAAAAGft/Bw=")</f>
        <v>#VALUE!</v>
      </c>
      <c r="AD239" t="b">
        <f>AND('Black &amp; White load sheet'!O2,"AAAAAGft/B0=")</f>
        <v>1</v>
      </c>
      <c r="AE239" t="b">
        <f>AND('Black &amp; White load sheet'!P2,"AAAAAGft/B4=")</f>
        <v>1</v>
      </c>
      <c r="AF239" t="b">
        <f>AND('Black &amp; White load sheet'!Q2,"AAAAAGft/B8=")</f>
        <v>1</v>
      </c>
      <c r="AG239">
        <f>IF('Black &amp; White load sheet'!3:3,"AAAAAGft/CA=",0)</f>
        <v>0</v>
      </c>
      <c r="AH239" t="e">
        <f>AND('Black &amp; White load sheet'!A3,"AAAAAGft/CE=")</f>
        <v>#VALUE!</v>
      </c>
      <c r="AI239" t="e">
        <f>AND('Black &amp; White load sheet'!B3,"AAAAAGft/CI=")</f>
        <v>#VALUE!</v>
      </c>
      <c r="AJ239" t="e">
        <f>AND('Black &amp; White load sheet'!C3,"AAAAAGft/CM=")</f>
        <v>#VALUE!</v>
      </c>
      <c r="AK239" t="e">
        <f>AND('Black &amp; White load sheet'!D3,"AAAAAGft/CQ=")</f>
        <v>#VALUE!</v>
      </c>
      <c r="AL239" t="e">
        <f>AND('Black &amp; White load sheet'!E3,"AAAAAGft/CU=")</f>
        <v>#VALUE!</v>
      </c>
      <c r="AM239" t="e">
        <f>AND('Black &amp; White load sheet'!F3,"AAAAAGft/CY=")</f>
        <v>#VALUE!</v>
      </c>
      <c r="AN239" t="e">
        <f>AND('Black &amp; White load sheet'!G3,"AAAAAGft/Cc=")</f>
        <v>#VALUE!</v>
      </c>
      <c r="AO239" t="e">
        <f>AND('Black &amp; White load sheet'!H3,"AAAAAGft/Cg=")</f>
        <v>#VALUE!</v>
      </c>
      <c r="AP239" t="e">
        <f>AND('Black &amp; White load sheet'!I3,"AAAAAGft/Ck=")</f>
        <v>#VALUE!</v>
      </c>
      <c r="AQ239" t="e">
        <f>AND('Black &amp; White load sheet'!J3,"AAAAAGft/Co=")</f>
        <v>#VALUE!</v>
      </c>
      <c r="AR239" t="e">
        <f>AND('Black &amp; White load sheet'!K3,"AAAAAGft/Cs=")</f>
        <v>#VALUE!</v>
      </c>
      <c r="AS239" t="e">
        <f>AND('Black &amp; White load sheet'!L3,"AAAAAGft/Cw=")</f>
        <v>#VALUE!</v>
      </c>
      <c r="AT239" t="e">
        <f>AND('Black &amp; White load sheet'!M3,"AAAAAGft/C0=")</f>
        <v>#VALUE!</v>
      </c>
      <c r="AU239" t="e">
        <f>AND('Black &amp; White load sheet'!N3,"AAAAAGft/C4=")</f>
        <v>#VALUE!</v>
      </c>
      <c r="AV239" t="b">
        <f>AND('Black &amp; White load sheet'!O3,"AAAAAGft/C8=")</f>
        <v>1</v>
      </c>
      <c r="AW239" t="b">
        <f>AND('Black &amp; White load sheet'!P3,"AAAAAGft/DA=")</f>
        <v>1</v>
      </c>
      <c r="AX239" t="b">
        <f>AND('Black &amp; White load sheet'!Q3,"AAAAAGft/DE=")</f>
        <v>1</v>
      </c>
      <c r="AY239">
        <f>IF('Black &amp; White load sheet'!4:4,"AAAAAGft/DI=",0)</f>
        <v>0</v>
      </c>
      <c r="AZ239" t="b">
        <f>AND('Black &amp; White load sheet'!A4,"AAAAAGft/DM=")</f>
        <v>1</v>
      </c>
      <c r="BA239" t="b">
        <f>AND('Black &amp; White load sheet'!B4,"AAAAAGft/DQ=")</f>
        <v>0</v>
      </c>
      <c r="BB239" t="b">
        <f>AND('Black &amp; White load sheet'!C4,"AAAAAGft/DU=")</f>
        <v>0</v>
      </c>
      <c r="BC239" t="b">
        <f>AND('Black &amp; White load sheet'!D4,"AAAAAGft/DY=")</f>
        <v>0</v>
      </c>
      <c r="BD239" t="b">
        <f>AND('Black &amp; White load sheet'!E4,"AAAAAGft/Dc=")</f>
        <v>0</v>
      </c>
      <c r="BE239" t="b">
        <f>AND('Black &amp; White load sheet'!F4,"AAAAAGft/Dg=")</f>
        <v>0</v>
      </c>
      <c r="BF239" t="b">
        <f>AND('Black &amp; White load sheet'!G4,"AAAAAGft/Dk=")</f>
        <v>0</v>
      </c>
      <c r="BG239" t="b">
        <f>AND('Black &amp; White load sheet'!H4,"AAAAAGft/Do=")</f>
        <v>0</v>
      </c>
      <c r="BH239" t="b">
        <f>AND('Black &amp; White load sheet'!I4,"AAAAAGft/Ds=")</f>
        <v>0</v>
      </c>
      <c r="BI239" t="b">
        <f>AND('Black &amp; White load sheet'!J4,"AAAAAGft/Dw=")</f>
        <v>0</v>
      </c>
      <c r="BJ239" t="e">
        <f>AND('Black &amp; White load sheet'!K4,"AAAAAGft/D0=")</f>
        <v>#VALUE!</v>
      </c>
      <c r="BK239" t="b">
        <f>AND('Black &amp; White load sheet'!L4,"AAAAAGft/D4=")</f>
        <v>0</v>
      </c>
      <c r="BL239" t="b">
        <f>AND('Black &amp; White load sheet'!M4,"AAAAAGft/D8=")</f>
        <v>0</v>
      </c>
      <c r="BM239" t="e">
        <f>AND('Black &amp; White load sheet'!N4,"AAAAAGft/EA=")</f>
        <v>#VALUE!</v>
      </c>
      <c r="BN239" t="b">
        <f>AND('Black &amp; White load sheet'!O4,"AAAAAGft/EE=")</f>
        <v>1</v>
      </c>
      <c r="BO239" t="b">
        <f>AND('Black &amp; White load sheet'!P4,"AAAAAGft/EI=")</f>
        <v>1</v>
      </c>
      <c r="BP239" t="b">
        <f>AND('Black &amp; White load sheet'!Q4,"AAAAAGft/EM=")</f>
        <v>1</v>
      </c>
      <c r="BQ239">
        <f>IF('Black &amp; White load sheet'!5:5,"AAAAAGft/EQ=",0)</f>
        <v>0</v>
      </c>
      <c r="BR239" t="b">
        <f>AND('Black &amp; White load sheet'!A5,"AAAAAGft/EU=")</f>
        <v>1</v>
      </c>
      <c r="BS239" t="b">
        <f>AND('Black &amp; White load sheet'!B5,"AAAAAGft/EY=")</f>
        <v>0</v>
      </c>
      <c r="BT239" t="b">
        <f>AND('Black &amp; White load sheet'!C5,"AAAAAGft/Ec=")</f>
        <v>0</v>
      </c>
      <c r="BU239" t="b">
        <f>AND('Black &amp; White load sheet'!D5,"AAAAAGft/Eg=")</f>
        <v>0</v>
      </c>
      <c r="BV239" t="b">
        <f>AND('Black &amp; White load sheet'!E5,"AAAAAGft/Ek=")</f>
        <v>0</v>
      </c>
      <c r="BW239" t="b">
        <f>AND('Black &amp; White load sheet'!F5,"AAAAAGft/Eo=")</f>
        <v>0</v>
      </c>
      <c r="BX239" t="b">
        <f>AND('Black &amp; White load sheet'!G5,"AAAAAGft/Es=")</f>
        <v>0</v>
      </c>
      <c r="BY239" t="b">
        <f>AND('Black &amp; White load sheet'!H5,"AAAAAGft/Ew=")</f>
        <v>0</v>
      </c>
      <c r="BZ239" t="b">
        <f>AND('Black &amp; White load sheet'!I5,"AAAAAGft/E0=")</f>
        <v>0</v>
      </c>
      <c r="CA239" t="b">
        <f>AND('Black &amp; White load sheet'!J5,"AAAAAGft/E4=")</f>
        <v>1</v>
      </c>
      <c r="CB239" t="e">
        <f>AND('Black &amp; White load sheet'!K5,"AAAAAGft/E8=")</f>
        <v>#VALUE!</v>
      </c>
      <c r="CC239" t="b">
        <f>AND('Black &amp; White load sheet'!L5,"AAAAAGft/FA=")</f>
        <v>1</v>
      </c>
      <c r="CD239" t="b">
        <f>AND('Black &amp; White load sheet'!M5,"AAAAAGft/FE=")</f>
        <v>1</v>
      </c>
      <c r="CE239" t="e">
        <f>AND('Black &amp; White load sheet'!N5,"AAAAAGft/FI=")</f>
        <v>#VALUE!</v>
      </c>
      <c r="CF239" t="b">
        <f>AND('Black &amp; White load sheet'!O5,"AAAAAGft/FM=")</f>
        <v>1</v>
      </c>
      <c r="CG239" t="b">
        <f>AND('Black &amp; White load sheet'!P5,"AAAAAGft/FQ=")</f>
        <v>1</v>
      </c>
      <c r="CH239" t="b">
        <f>AND('Black &amp; White load sheet'!Q5,"AAAAAGft/FU=")</f>
        <v>1</v>
      </c>
      <c r="CI239">
        <f>IF('Black &amp; White load sheet'!6:6,"AAAAAGft/FY=",0)</f>
        <v>0</v>
      </c>
      <c r="CJ239" t="b">
        <f>AND('Black &amp; White load sheet'!A6,"AAAAAGft/Fc=")</f>
        <v>1</v>
      </c>
      <c r="CK239" t="b">
        <f>AND('Black &amp; White load sheet'!B6,"AAAAAGft/Fg=")</f>
        <v>0</v>
      </c>
      <c r="CL239" t="b">
        <f>AND('Black &amp; White load sheet'!C6,"AAAAAGft/Fk=")</f>
        <v>0</v>
      </c>
      <c r="CM239" t="b">
        <f>AND('Black &amp; White load sheet'!D6,"AAAAAGft/Fo=")</f>
        <v>0</v>
      </c>
      <c r="CN239" t="b">
        <f>AND('Black &amp; White load sheet'!E6,"AAAAAGft/Fs=")</f>
        <v>0</v>
      </c>
      <c r="CO239" t="b">
        <f>AND('Black &amp; White load sheet'!F6,"AAAAAGft/Fw=")</f>
        <v>0</v>
      </c>
      <c r="CP239" t="b">
        <f>AND('Black &amp; White load sheet'!G6,"AAAAAGft/F0=")</f>
        <v>0</v>
      </c>
      <c r="CQ239" t="b">
        <f>AND('Black &amp; White load sheet'!H6,"AAAAAGft/F4=")</f>
        <v>0</v>
      </c>
      <c r="CR239" t="b">
        <f>AND('Black &amp; White load sheet'!I6,"AAAAAGft/F8=")</f>
        <v>1</v>
      </c>
      <c r="CS239" t="b">
        <f>AND('Black &amp; White load sheet'!J6,"AAAAAGft/GA=")</f>
        <v>0</v>
      </c>
      <c r="CT239" t="e">
        <f>AND('Black &amp; White load sheet'!K6,"AAAAAGft/GE=")</f>
        <v>#VALUE!</v>
      </c>
      <c r="CU239" t="b">
        <f>AND('Black &amp; White load sheet'!L6,"AAAAAGft/GI=")</f>
        <v>1</v>
      </c>
      <c r="CV239" t="b">
        <f>AND('Black &amp; White load sheet'!M6,"AAAAAGft/GM=")</f>
        <v>1</v>
      </c>
      <c r="CW239" t="e">
        <f>AND('Black &amp; White load sheet'!N6,"AAAAAGft/GQ=")</f>
        <v>#VALUE!</v>
      </c>
      <c r="CX239" t="b">
        <f>AND('Black &amp; White load sheet'!O6,"AAAAAGft/GU=")</f>
        <v>1</v>
      </c>
      <c r="CY239" t="b">
        <f>AND('Black &amp; White load sheet'!P6,"AAAAAGft/GY=")</f>
        <v>1</v>
      </c>
      <c r="CZ239" t="b">
        <f>AND('Black &amp; White load sheet'!Q6,"AAAAAGft/Gc=")</f>
        <v>1</v>
      </c>
      <c r="DA239">
        <f>IF('Black &amp; White load sheet'!7:7,"AAAAAGft/Gg=",0)</f>
        <v>0</v>
      </c>
      <c r="DB239" t="b">
        <f>AND('Black &amp; White load sheet'!A7,"AAAAAGft/Gk=")</f>
        <v>1</v>
      </c>
      <c r="DC239" t="b">
        <f>AND('Black &amp; White load sheet'!B7,"AAAAAGft/Go=")</f>
        <v>0</v>
      </c>
      <c r="DD239" t="b">
        <f>AND('Black &amp; White load sheet'!C7,"AAAAAGft/Gs=")</f>
        <v>0</v>
      </c>
      <c r="DE239" t="b">
        <f>AND('Black &amp; White load sheet'!D7,"AAAAAGft/Gw=")</f>
        <v>0</v>
      </c>
      <c r="DF239" t="b">
        <f>AND('Black &amp; White load sheet'!E7,"AAAAAGft/G0=")</f>
        <v>0</v>
      </c>
      <c r="DG239" t="b">
        <f>AND('Black &amp; White load sheet'!F7,"AAAAAGft/G4=")</f>
        <v>0</v>
      </c>
      <c r="DH239" t="b">
        <f>AND('Black &amp; White load sheet'!G7,"AAAAAGft/G8=")</f>
        <v>0</v>
      </c>
      <c r="DI239" t="b">
        <f>AND('Black &amp; White load sheet'!H7,"AAAAAGft/HA=")</f>
        <v>0</v>
      </c>
      <c r="DJ239" t="b">
        <f>AND('Black &amp; White load sheet'!I7,"AAAAAGft/HE=")</f>
        <v>1</v>
      </c>
      <c r="DK239" t="b">
        <f>AND('Black &amp; White load sheet'!J7,"AAAAAGft/HI=")</f>
        <v>1</v>
      </c>
      <c r="DL239" t="e">
        <f>AND('Black &amp; White load sheet'!K7,"AAAAAGft/HM=")</f>
        <v>#VALUE!</v>
      </c>
      <c r="DM239" t="b">
        <f>AND('Black &amp; White load sheet'!L7,"AAAAAGft/HQ=")</f>
        <v>1</v>
      </c>
      <c r="DN239" t="b">
        <f>AND('Black &amp; White load sheet'!M7,"AAAAAGft/HU=")</f>
        <v>1</v>
      </c>
      <c r="DO239">
        <f>IF('Black &amp; White load sheet'!8:8,"AAAAAGft/HY=",0)</f>
        <v>0</v>
      </c>
      <c r="DP239" t="b">
        <f>AND('Black &amp; White load sheet'!A8,"AAAAAGft/Hc=")</f>
        <v>1</v>
      </c>
      <c r="DQ239" t="b">
        <f>AND('Black &amp; White load sheet'!B8,"AAAAAGft/Hg=")</f>
        <v>0</v>
      </c>
      <c r="DR239" t="b">
        <f>AND('Black &amp; White load sheet'!C8,"AAAAAGft/Hk=")</f>
        <v>0</v>
      </c>
      <c r="DS239" t="b">
        <f>AND('Black &amp; White load sheet'!D8,"AAAAAGft/Ho=")</f>
        <v>0</v>
      </c>
      <c r="DT239" t="b">
        <f>AND('Black &amp; White load sheet'!E8,"AAAAAGft/Hs=")</f>
        <v>0</v>
      </c>
      <c r="DU239" t="b">
        <f>AND('Black &amp; White load sheet'!F8,"AAAAAGft/Hw=")</f>
        <v>0</v>
      </c>
      <c r="DV239" t="b">
        <f>AND('Black &amp; White load sheet'!G8,"AAAAAGft/H0=")</f>
        <v>0</v>
      </c>
      <c r="DW239" t="b">
        <f>AND('Black &amp; White load sheet'!H8,"AAAAAGft/H4=")</f>
        <v>1</v>
      </c>
      <c r="DX239" t="b">
        <f>AND('Black &amp; White load sheet'!I8,"AAAAAGft/H8=")</f>
        <v>0</v>
      </c>
      <c r="DY239" t="b">
        <f>AND('Black &amp; White load sheet'!J8,"AAAAAGft/IA=")</f>
        <v>0</v>
      </c>
      <c r="DZ239" t="e">
        <f>AND('Black &amp; White load sheet'!K8,"AAAAAGft/IE=")</f>
        <v>#VALUE!</v>
      </c>
      <c r="EA239" t="b">
        <f>AND('Black &amp; White load sheet'!L8,"AAAAAGft/II=")</f>
        <v>1</v>
      </c>
      <c r="EB239" t="b">
        <f>AND('Black &amp; White load sheet'!M8,"AAAAAGft/IM=")</f>
        <v>1</v>
      </c>
      <c r="EC239">
        <f>IF('Black &amp; White load sheet'!9:9,"AAAAAGft/IQ=",0)</f>
        <v>0</v>
      </c>
      <c r="ED239" t="b">
        <f>AND('Black &amp; White load sheet'!A9,"AAAAAGft/IU=")</f>
        <v>1</v>
      </c>
      <c r="EE239" t="b">
        <f>AND('Black &amp; White load sheet'!B9,"AAAAAGft/IY=")</f>
        <v>0</v>
      </c>
      <c r="EF239" t="b">
        <f>AND('Black &amp; White load sheet'!C9,"AAAAAGft/Ic=")</f>
        <v>0</v>
      </c>
      <c r="EG239" t="b">
        <f>AND('Black &amp; White load sheet'!D9,"AAAAAGft/Ig=")</f>
        <v>0</v>
      </c>
      <c r="EH239" t="b">
        <f>AND('Black &amp; White load sheet'!E9,"AAAAAGft/Ik=")</f>
        <v>0</v>
      </c>
      <c r="EI239" t="b">
        <f>AND('Black &amp; White load sheet'!F9,"AAAAAGft/Io=")</f>
        <v>0</v>
      </c>
      <c r="EJ239" t="b">
        <f>AND('Black &amp; White load sheet'!G9,"AAAAAGft/Is=")</f>
        <v>0</v>
      </c>
      <c r="EK239" t="b">
        <f>AND('Black &amp; White load sheet'!H9,"AAAAAGft/Iw=")</f>
        <v>1</v>
      </c>
      <c r="EL239" t="b">
        <f>AND('Black &amp; White load sheet'!I9,"AAAAAGft/I0=")</f>
        <v>0</v>
      </c>
      <c r="EM239" t="b">
        <f>AND('Black &amp; White load sheet'!J9,"AAAAAGft/I4=")</f>
        <v>1</v>
      </c>
      <c r="EN239" t="e">
        <f>AND('Black &amp; White load sheet'!K9,"AAAAAGft/I8=")</f>
        <v>#VALUE!</v>
      </c>
      <c r="EO239" t="b">
        <f>AND('Black &amp; White load sheet'!L9,"AAAAAGft/JA=")</f>
        <v>1</v>
      </c>
      <c r="EP239" t="b">
        <f>AND('Black &amp; White load sheet'!M9,"AAAAAGft/JE=")</f>
        <v>1</v>
      </c>
      <c r="EQ239">
        <f>IF('Black &amp; White load sheet'!10:10,"AAAAAGft/JI=",0)</f>
        <v>0</v>
      </c>
      <c r="ER239" t="b">
        <f>AND('Black &amp; White load sheet'!A10,"AAAAAGft/JM=")</f>
        <v>1</v>
      </c>
      <c r="ES239" t="b">
        <f>AND('Black &amp; White load sheet'!B10,"AAAAAGft/JQ=")</f>
        <v>0</v>
      </c>
      <c r="ET239" t="b">
        <f>AND('Black &amp; White load sheet'!C10,"AAAAAGft/JU=")</f>
        <v>0</v>
      </c>
      <c r="EU239" t="b">
        <f>AND('Black &amp; White load sheet'!D10,"AAAAAGft/JY=")</f>
        <v>0</v>
      </c>
      <c r="EV239" t="b">
        <f>AND('Black &amp; White load sheet'!E10,"AAAAAGft/Jc=")</f>
        <v>0</v>
      </c>
      <c r="EW239" t="b">
        <f>AND('Black &amp; White load sheet'!F10,"AAAAAGft/Jg=")</f>
        <v>0</v>
      </c>
      <c r="EX239" t="b">
        <f>AND('Black &amp; White load sheet'!G10,"AAAAAGft/Jk=")</f>
        <v>0</v>
      </c>
      <c r="EY239" t="b">
        <f>AND('Black &amp; White load sheet'!H10,"AAAAAGft/Jo=")</f>
        <v>1</v>
      </c>
      <c r="EZ239" t="b">
        <f>AND('Black &amp; White load sheet'!I10,"AAAAAGft/Js=")</f>
        <v>1</v>
      </c>
      <c r="FA239" t="b">
        <f>AND('Black &amp; White load sheet'!J10,"AAAAAGft/Jw=")</f>
        <v>0</v>
      </c>
      <c r="FB239" t="e">
        <f>AND('Black &amp; White load sheet'!K10,"AAAAAGft/J0=")</f>
        <v>#VALUE!</v>
      </c>
      <c r="FC239" t="b">
        <f>AND('Black &amp; White load sheet'!L10,"AAAAAGft/J4=")</f>
        <v>1</v>
      </c>
      <c r="FD239" t="b">
        <f>AND('Black &amp; White load sheet'!M10,"AAAAAGft/J8=")</f>
        <v>1</v>
      </c>
      <c r="FE239">
        <f>IF('Black &amp; White load sheet'!11:11,"AAAAAGft/KA=",0)</f>
        <v>0</v>
      </c>
      <c r="FF239" t="b">
        <f>AND('Black &amp; White load sheet'!A11,"AAAAAGft/KE=")</f>
        <v>1</v>
      </c>
      <c r="FG239" t="b">
        <f>AND('Black &amp; White load sheet'!B11,"AAAAAGft/KI=")</f>
        <v>0</v>
      </c>
      <c r="FH239" t="b">
        <f>AND('Black &amp; White load sheet'!C11,"AAAAAGft/KM=")</f>
        <v>0</v>
      </c>
      <c r="FI239" t="b">
        <f>AND('Black &amp; White load sheet'!D11,"AAAAAGft/KQ=")</f>
        <v>0</v>
      </c>
      <c r="FJ239" t="b">
        <f>AND('Black &amp; White load sheet'!E11,"AAAAAGft/KU=")</f>
        <v>0</v>
      </c>
      <c r="FK239" t="b">
        <f>AND('Black &amp; White load sheet'!F11,"AAAAAGft/KY=")</f>
        <v>0</v>
      </c>
      <c r="FL239" t="b">
        <f>AND('Black &amp; White load sheet'!G11,"AAAAAGft/Kc=")</f>
        <v>0</v>
      </c>
      <c r="FM239" t="b">
        <f>AND('Black &amp; White load sheet'!H11,"AAAAAGft/Kg=")</f>
        <v>1</v>
      </c>
      <c r="FN239" t="b">
        <f>AND('Black &amp; White load sheet'!I11,"AAAAAGft/Kk=")</f>
        <v>1</v>
      </c>
      <c r="FO239" t="b">
        <f>AND('Black &amp; White load sheet'!J11,"AAAAAGft/Ko=")</f>
        <v>1</v>
      </c>
      <c r="FP239" t="e">
        <f>AND('Black &amp; White load sheet'!K11,"AAAAAGft/Ks=")</f>
        <v>#VALUE!</v>
      </c>
      <c r="FQ239" t="b">
        <f>AND('Black &amp; White load sheet'!L11,"AAAAAGft/Kw=")</f>
        <v>1</v>
      </c>
      <c r="FR239" t="b">
        <f>AND('Black &amp; White load sheet'!M11,"AAAAAGft/K0=")</f>
        <v>1</v>
      </c>
      <c r="FS239">
        <f>IF('Black &amp; White load sheet'!12:12,"AAAAAGft/K4=",0)</f>
        <v>0</v>
      </c>
      <c r="FT239" t="b">
        <f>AND('Black &amp; White load sheet'!A12,"AAAAAGft/K8=")</f>
        <v>1</v>
      </c>
      <c r="FU239" t="b">
        <f>AND('Black &amp; White load sheet'!B12,"AAAAAGft/LA=")</f>
        <v>0</v>
      </c>
      <c r="FV239" t="b">
        <f>AND('Black &amp; White load sheet'!C12,"AAAAAGft/LE=")</f>
        <v>0</v>
      </c>
      <c r="FW239" t="b">
        <f>AND('Black &amp; White load sheet'!D12,"AAAAAGft/LI=")</f>
        <v>0</v>
      </c>
      <c r="FX239" t="b">
        <f>AND('Black &amp; White load sheet'!E12,"AAAAAGft/LM=")</f>
        <v>0</v>
      </c>
      <c r="FY239" t="b">
        <f>AND('Black &amp; White load sheet'!F12,"AAAAAGft/LQ=")</f>
        <v>0</v>
      </c>
      <c r="FZ239" t="b">
        <f>AND('Black &amp; White load sheet'!G12,"AAAAAGft/LU=")</f>
        <v>1</v>
      </c>
      <c r="GA239" t="b">
        <f>AND('Black &amp; White load sheet'!H12,"AAAAAGft/LY=")</f>
        <v>0</v>
      </c>
      <c r="GB239" t="b">
        <f>AND('Black &amp; White load sheet'!I12,"AAAAAGft/Lc=")</f>
        <v>0</v>
      </c>
      <c r="GC239" t="b">
        <f>AND('Black &amp; White load sheet'!J12,"AAAAAGft/Lg=")</f>
        <v>0</v>
      </c>
      <c r="GD239" t="e">
        <f>AND('Black &amp; White load sheet'!K12,"AAAAAGft/Lk=")</f>
        <v>#VALUE!</v>
      </c>
      <c r="GE239" t="b">
        <f>AND('Black &amp; White load sheet'!L12,"AAAAAGft/Lo=")</f>
        <v>1</v>
      </c>
      <c r="GF239" t="b">
        <f>AND('Black &amp; White load sheet'!M12,"AAAAAGft/Ls=")</f>
        <v>1</v>
      </c>
      <c r="GG239">
        <f>IF('Black &amp; White load sheet'!13:13,"AAAAAGft/Lw=",0)</f>
        <v>0</v>
      </c>
      <c r="GH239" t="b">
        <f>AND('Black &amp; White load sheet'!A13,"AAAAAGft/L0=")</f>
        <v>1</v>
      </c>
      <c r="GI239" t="b">
        <f>AND('Black &amp; White load sheet'!B13,"AAAAAGft/L4=")</f>
        <v>0</v>
      </c>
      <c r="GJ239" t="b">
        <f>AND('Black &amp; White load sheet'!C13,"AAAAAGft/L8=")</f>
        <v>0</v>
      </c>
      <c r="GK239" t="b">
        <f>AND('Black &amp; White load sheet'!D13,"AAAAAGft/MA=")</f>
        <v>0</v>
      </c>
      <c r="GL239" t="b">
        <f>AND('Black &amp; White load sheet'!E13,"AAAAAGft/ME=")</f>
        <v>0</v>
      </c>
      <c r="GM239" t="b">
        <f>AND('Black &amp; White load sheet'!F13,"AAAAAGft/MI=")</f>
        <v>0</v>
      </c>
      <c r="GN239" t="b">
        <f>AND('Black &amp; White load sheet'!G13,"AAAAAGft/MM=")</f>
        <v>1</v>
      </c>
      <c r="GO239" t="b">
        <f>AND('Black &amp; White load sheet'!H13,"AAAAAGft/MQ=")</f>
        <v>0</v>
      </c>
      <c r="GP239" t="b">
        <f>AND('Black &amp; White load sheet'!I13,"AAAAAGft/MU=")</f>
        <v>0</v>
      </c>
      <c r="GQ239" t="b">
        <f>AND('Black &amp; White load sheet'!J13,"AAAAAGft/MY=")</f>
        <v>1</v>
      </c>
      <c r="GR239" t="e">
        <f>AND('Black &amp; White load sheet'!K13,"AAAAAGft/Mc=")</f>
        <v>#VALUE!</v>
      </c>
      <c r="GS239" t="b">
        <f>AND('Black &amp; White load sheet'!L13,"AAAAAGft/Mg=")</f>
        <v>1</v>
      </c>
      <c r="GT239" t="b">
        <f>AND('Black &amp; White load sheet'!M13,"AAAAAGft/Mk=")</f>
        <v>1</v>
      </c>
      <c r="GU239">
        <f>IF('Black &amp; White load sheet'!14:14,"AAAAAGft/Mo=",0)</f>
        <v>0</v>
      </c>
      <c r="GV239" t="b">
        <f>AND('Black &amp; White load sheet'!A14,"AAAAAGft/Ms=")</f>
        <v>1</v>
      </c>
      <c r="GW239" t="b">
        <f>AND('Black &amp; White load sheet'!B14,"AAAAAGft/Mw=")</f>
        <v>0</v>
      </c>
      <c r="GX239" t="b">
        <f>AND('Black &amp; White load sheet'!C14,"AAAAAGft/M0=")</f>
        <v>0</v>
      </c>
      <c r="GY239" t="b">
        <f>AND('Black &amp; White load sheet'!D14,"AAAAAGft/M4=")</f>
        <v>0</v>
      </c>
      <c r="GZ239" t="b">
        <f>AND('Black &amp; White load sheet'!E14,"AAAAAGft/M8=")</f>
        <v>0</v>
      </c>
      <c r="HA239" t="b">
        <f>AND('Black &amp; White load sheet'!F14,"AAAAAGft/NA=")</f>
        <v>0</v>
      </c>
      <c r="HB239" t="b">
        <f>AND('Black &amp; White load sheet'!G14,"AAAAAGft/NE=")</f>
        <v>1</v>
      </c>
      <c r="HC239" t="b">
        <f>AND('Black &amp; White load sheet'!H14,"AAAAAGft/NI=")</f>
        <v>0</v>
      </c>
      <c r="HD239" t="b">
        <f>AND('Black &amp; White load sheet'!I14,"AAAAAGft/NM=")</f>
        <v>1</v>
      </c>
      <c r="HE239" t="b">
        <f>AND('Black &amp; White load sheet'!J14,"AAAAAGft/NQ=")</f>
        <v>0</v>
      </c>
      <c r="HF239" t="e">
        <f>AND('Black &amp; White load sheet'!K14,"AAAAAGft/NU=")</f>
        <v>#VALUE!</v>
      </c>
      <c r="HG239" t="b">
        <f>AND('Black &amp; White load sheet'!L14,"AAAAAGft/NY=")</f>
        <v>1</v>
      </c>
      <c r="HH239" t="b">
        <f>AND('Black &amp; White load sheet'!M14,"AAAAAGft/Nc=")</f>
        <v>1</v>
      </c>
      <c r="HI239">
        <f>IF('Black &amp; White load sheet'!15:15,"AAAAAGft/Ng=",0)</f>
        <v>0</v>
      </c>
      <c r="HJ239" t="b">
        <f>AND('Black &amp; White load sheet'!A15,"AAAAAGft/Nk=")</f>
        <v>1</v>
      </c>
      <c r="HK239" t="b">
        <f>AND('Black &amp; White load sheet'!B15,"AAAAAGft/No=")</f>
        <v>0</v>
      </c>
      <c r="HL239" t="b">
        <f>AND('Black &amp; White load sheet'!C15,"AAAAAGft/Ns=")</f>
        <v>0</v>
      </c>
      <c r="HM239" t="b">
        <f>AND('Black &amp; White load sheet'!D15,"AAAAAGft/Nw=")</f>
        <v>0</v>
      </c>
      <c r="HN239" t="b">
        <f>AND('Black &amp; White load sheet'!E15,"AAAAAGft/N0=")</f>
        <v>0</v>
      </c>
      <c r="HO239" t="b">
        <f>AND('Black &amp; White load sheet'!F15,"AAAAAGft/N4=")</f>
        <v>0</v>
      </c>
      <c r="HP239" t="b">
        <f>AND('Black &amp; White load sheet'!G15,"AAAAAGft/N8=")</f>
        <v>1</v>
      </c>
      <c r="HQ239" t="b">
        <f>AND('Black &amp; White load sheet'!H15,"AAAAAGft/OA=")</f>
        <v>0</v>
      </c>
      <c r="HR239" t="b">
        <f>AND('Black &amp; White load sheet'!I15,"AAAAAGft/OE=")</f>
        <v>1</v>
      </c>
      <c r="HS239" t="b">
        <f>AND('Black &amp; White load sheet'!J15,"AAAAAGft/OI=")</f>
        <v>1</v>
      </c>
      <c r="HT239" t="e">
        <f>AND('Black &amp; White load sheet'!K15,"AAAAAGft/OM=")</f>
        <v>#VALUE!</v>
      </c>
      <c r="HU239" t="b">
        <f>AND('Black &amp; White load sheet'!L15,"AAAAAGft/OQ=")</f>
        <v>1</v>
      </c>
      <c r="HV239" t="b">
        <f>AND('Black &amp; White load sheet'!M15,"AAAAAGft/OU=")</f>
        <v>1</v>
      </c>
      <c r="HW239">
        <f>IF('Black &amp; White load sheet'!16:16,"AAAAAGft/OY=",0)</f>
        <v>0</v>
      </c>
      <c r="HX239" t="b">
        <f>AND('Black &amp; White load sheet'!A16,"AAAAAGft/Oc=")</f>
        <v>1</v>
      </c>
      <c r="HY239" t="b">
        <f>AND('Black &amp; White load sheet'!B16,"AAAAAGft/Og=")</f>
        <v>0</v>
      </c>
      <c r="HZ239" t="b">
        <f>AND('Black &amp; White load sheet'!C16,"AAAAAGft/Ok=")</f>
        <v>0</v>
      </c>
      <c r="IA239" t="b">
        <f>AND('Black &amp; White load sheet'!D16,"AAAAAGft/Oo=")</f>
        <v>0</v>
      </c>
      <c r="IB239" t="b">
        <f>AND('Black &amp; White load sheet'!E16,"AAAAAGft/Os=")</f>
        <v>0</v>
      </c>
      <c r="IC239" t="b">
        <f>AND('Black &amp; White load sheet'!F16,"AAAAAGft/Ow=")</f>
        <v>1</v>
      </c>
      <c r="ID239" t="b">
        <f>AND('Black &amp; White load sheet'!G16,"AAAAAGft/O0=")</f>
        <v>0</v>
      </c>
      <c r="IE239" t="b">
        <f>AND('Black &amp; White load sheet'!H16,"AAAAAGft/O4=")</f>
        <v>0</v>
      </c>
      <c r="IF239" t="b">
        <f>AND('Black &amp; White load sheet'!I16,"AAAAAGft/O8=")</f>
        <v>0</v>
      </c>
      <c r="IG239" t="b">
        <f>AND('Black &amp; White load sheet'!J16,"AAAAAGft/PA=")</f>
        <v>0</v>
      </c>
      <c r="IH239" t="e">
        <f>AND('Black &amp; White load sheet'!K16,"AAAAAGft/PE=")</f>
        <v>#VALUE!</v>
      </c>
      <c r="II239" t="b">
        <f>AND('Black &amp; White load sheet'!L16,"AAAAAGft/PI=")</f>
        <v>1</v>
      </c>
      <c r="IJ239" t="b">
        <f>AND('Black &amp; White load sheet'!M16,"AAAAAGft/PM=")</f>
        <v>1</v>
      </c>
      <c r="IK239">
        <f>IF('Black &amp; White load sheet'!17:17,"AAAAAGft/PQ=",0)</f>
        <v>0</v>
      </c>
      <c r="IL239" t="b">
        <f>AND('Black &amp; White load sheet'!A17,"AAAAAGft/PU=")</f>
        <v>1</v>
      </c>
      <c r="IM239" t="b">
        <f>AND('Black &amp; White load sheet'!B17,"AAAAAGft/PY=")</f>
        <v>0</v>
      </c>
      <c r="IN239" t="b">
        <f>AND('Black &amp; White load sheet'!C17,"AAAAAGft/Pc=")</f>
        <v>0</v>
      </c>
      <c r="IO239" t="b">
        <f>AND('Black &amp; White load sheet'!D17,"AAAAAGft/Pg=")</f>
        <v>0</v>
      </c>
      <c r="IP239" t="b">
        <f>AND('Black &amp; White load sheet'!E17,"AAAAAGft/Pk=")</f>
        <v>0</v>
      </c>
      <c r="IQ239" t="b">
        <f>AND('Black &amp; White load sheet'!F17,"AAAAAGft/Po=")</f>
        <v>1</v>
      </c>
      <c r="IR239" t="b">
        <f>AND('Black &amp; White load sheet'!G17,"AAAAAGft/Ps=")</f>
        <v>0</v>
      </c>
      <c r="IS239" t="b">
        <f>AND('Black &amp; White load sheet'!H17,"AAAAAGft/Pw=")</f>
        <v>0</v>
      </c>
      <c r="IT239" t="b">
        <f>AND('Black &amp; White load sheet'!I17,"AAAAAGft/P0=")</f>
        <v>0</v>
      </c>
      <c r="IU239" t="b">
        <f>AND('Black &amp; White load sheet'!J17,"AAAAAGft/P4=")</f>
        <v>1</v>
      </c>
      <c r="IV239" t="e">
        <f>AND('Black &amp; White load sheet'!K17,"AAAAAGft/P8=")</f>
        <v>#VALUE!</v>
      </c>
    </row>
    <row r="240" spans="1:256" x14ac:dyDescent="0.25">
      <c r="A240" t="b">
        <f>AND('Black &amp; White load sheet'!L17,"AAAAADfv7gA=")</f>
        <v>1</v>
      </c>
      <c r="B240" t="b">
        <f>AND('Black &amp; White load sheet'!M17,"AAAAADfv7gE=")</f>
        <v>1</v>
      </c>
      <c r="C240">
        <f>IF('Black &amp; White load sheet'!18:18,"AAAAADfv7gI=",0)</f>
        <v>0</v>
      </c>
      <c r="D240" t="b">
        <f>AND('Black &amp; White load sheet'!A18,"AAAAADfv7gM=")</f>
        <v>1</v>
      </c>
      <c r="E240" t="b">
        <f>AND('Black &amp; White load sheet'!B18,"AAAAADfv7gQ=")</f>
        <v>0</v>
      </c>
      <c r="F240" t="b">
        <f>AND('Black &amp; White load sheet'!C18,"AAAAADfv7gU=")</f>
        <v>0</v>
      </c>
      <c r="G240" t="b">
        <f>AND('Black &amp; White load sheet'!D18,"AAAAADfv7gY=")</f>
        <v>0</v>
      </c>
      <c r="H240" t="b">
        <f>AND('Black &amp; White load sheet'!E18,"AAAAADfv7gc=")</f>
        <v>0</v>
      </c>
      <c r="I240" t="b">
        <f>AND('Black &amp; White load sheet'!F18,"AAAAADfv7gg=")</f>
        <v>1</v>
      </c>
      <c r="J240" t="b">
        <f>AND('Black &amp; White load sheet'!G18,"AAAAADfv7gk=")</f>
        <v>0</v>
      </c>
      <c r="K240" t="b">
        <f>AND('Black &amp; White load sheet'!H18,"AAAAADfv7go=")</f>
        <v>0</v>
      </c>
      <c r="L240" t="b">
        <f>AND('Black &amp; White load sheet'!I18,"AAAAADfv7gs=")</f>
        <v>1</v>
      </c>
      <c r="M240" t="b">
        <f>AND('Black &amp; White load sheet'!J18,"AAAAADfv7gw=")</f>
        <v>0</v>
      </c>
      <c r="N240" t="e">
        <f>AND('Black &amp; White load sheet'!K18,"AAAAADfv7g0=")</f>
        <v>#VALUE!</v>
      </c>
      <c r="O240" t="b">
        <f>AND('Black &amp; White load sheet'!L18,"AAAAADfv7g4=")</f>
        <v>1</v>
      </c>
      <c r="P240" t="b">
        <f>AND('Black &amp; White load sheet'!M18,"AAAAADfv7g8=")</f>
        <v>1</v>
      </c>
      <c r="Q240">
        <f>IF('Black &amp; White load sheet'!19:19,"AAAAADfv7hA=",0)</f>
        <v>0</v>
      </c>
      <c r="R240" t="b">
        <f>AND('Black &amp; White load sheet'!A19,"AAAAADfv7hE=")</f>
        <v>1</v>
      </c>
      <c r="S240" t="b">
        <f>AND('Black &amp; White load sheet'!B19,"AAAAADfv7hI=")</f>
        <v>0</v>
      </c>
      <c r="T240" t="b">
        <f>AND('Black &amp; White load sheet'!C19,"AAAAADfv7hM=")</f>
        <v>0</v>
      </c>
      <c r="U240" t="b">
        <f>AND('Black &amp; White load sheet'!D19,"AAAAADfv7hQ=")</f>
        <v>0</v>
      </c>
      <c r="V240" t="b">
        <f>AND('Black &amp; White load sheet'!E19,"AAAAADfv7hU=")</f>
        <v>0</v>
      </c>
      <c r="W240" t="b">
        <f>AND('Black &amp; White load sheet'!F19,"AAAAADfv7hY=")</f>
        <v>1</v>
      </c>
      <c r="X240" t="b">
        <f>AND('Black &amp; White load sheet'!G19,"AAAAADfv7hc=")</f>
        <v>0</v>
      </c>
      <c r="Y240" t="b">
        <f>AND('Black &amp; White load sheet'!H19,"AAAAADfv7hg=")</f>
        <v>0</v>
      </c>
      <c r="Z240" t="b">
        <f>AND('Black &amp; White load sheet'!I19,"AAAAADfv7hk=")</f>
        <v>1</v>
      </c>
      <c r="AA240" t="b">
        <f>AND('Black &amp; White load sheet'!J19,"AAAAADfv7ho=")</f>
        <v>1</v>
      </c>
      <c r="AB240" t="e">
        <f>AND('Black &amp; White load sheet'!K19,"AAAAADfv7hs=")</f>
        <v>#VALUE!</v>
      </c>
      <c r="AC240" t="b">
        <f>AND('Black &amp; White load sheet'!L19,"AAAAADfv7hw=")</f>
        <v>1</v>
      </c>
      <c r="AD240" t="b">
        <f>AND('Black &amp; White load sheet'!M19,"AAAAADfv7h0=")</f>
        <v>1</v>
      </c>
      <c r="AE240">
        <f>IF('Black &amp; White load sheet'!20:20,"AAAAADfv7h4=",0)</f>
        <v>0</v>
      </c>
      <c r="AF240" t="b">
        <f>AND('Black &amp; White load sheet'!A20,"AAAAADfv7h8=")</f>
        <v>1</v>
      </c>
      <c r="AG240" t="b">
        <f>AND('Black &amp; White load sheet'!B20,"AAAAADfv7iA=")</f>
        <v>0</v>
      </c>
      <c r="AH240" t="b">
        <f>AND('Black &amp; White load sheet'!C20,"AAAAADfv7iE=")</f>
        <v>0</v>
      </c>
      <c r="AI240" t="b">
        <f>AND('Black &amp; White load sheet'!D20,"AAAAADfv7iI=")</f>
        <v>0</v>
      </c>
      <c r="AJ240" t="b">
        <f>AND('Black &amp; White load sheet'!E20,"AAAAADfv7iM=")</f>
        <v>1</v>
      </c>
      <c r="AK240" t="b">
        <f>AND('Black &amp; White load sheet'!F20,"AAAAADfv7iQ=")</f>
        <v>0</v>
      </c>
      <c r="AL240" t="b">
        <f>AND('Black &amp; White load sheet'!G20,"AAAAADfv7iU=")</f>
        <v>0</v>
      </c>
      <c r="AM240" t="b">
        <f>AND('Black &amp; White load sheet'!H20,"AAAAADfv7iY=")</f>
        <v>0</v>
      </c>
      <c r="AN240" t="b">
        <f>AND('Black &amp; White load sheet'!I20,"AAAAADfv7ic=")</f>
        <v>0</v>
      </c>
      <c r="AO240" t="b">
        <f>AND('Black &amp; White load sheet'!J20,"AAAAADfv7ig=")</f>
        <v>0</v>
      </c>
      <c r="AP240" t="e">
        <f>AND('Black &amp; White load sheet'!K20,"AAAAADfv7ik=")</f>
        <v>#VALUE!</v>
      </c>
      <c r="AQ240" t="b">
        <f>AND('Black &amp; White load sheet'!L20,"AAAAADfv7io=")</f>
        <v>1</v>
      </c>
      <c r="AR240" t="b">
        <f>AND('Black &amp; White load sheet'!M20,"AAAAADfv7is=")</f>
        <v>1</v>
      </c>
      <c r="AS240">
        <f>IF('Black &amp; White load sheet'!21:21,"AAAAADfv7iw=",0)</f>
        <v>0</v>
      </c>
      <c r="AT240" t="b">
        <f>AND('Black &amp; White load sheet'!A21,"AAAAADfv7i0=")</f>
        <v>1</v>
      </c>
      <c r="AU240" t="b">
        <f>AND('Black &amp; White load sheet'!B21,"AAAAADfv7i4=")</f>
        <v>0</v>
      </c>
      <c r="AV240" t="b">
        <f>AND('Black &amp; White load sheet'!C21,"AAAAADfv7i8=")</f>
        <v>0</v>
      </c>
      <c r="AW240" t="b">
        <f>AND('Black &amp; White load sheet'!D21,"AAAAADfv7jA=")</f>
        <v>0</v>
      </c>
      <c r="AX240" t="b">
        <f>AND('Black &amp; White load sheet'!E21,"AAAAADfv7jE=")</f>
        <v>1</v>
      </c>
      <c r="AY240" t="b">
        <f>AND('Black &amp; White load sheet'!F21,"AAAAADfv7jI=")</f>
        <v>0</v>
      </c>
      <c r="AZ240" t="b">
        <f>AND('Black &amp; White load sheet'!G21,"AAAAADfv7jM=")</f>
        <v>0</v>
      </c>
      <c r="BA240" t="b">
        <f>AND('Black &amp; White load sheet'!H21,"AAAAADfv7jQ=")</f>
        <v>0</v>
      </c>
      <c r="BB240" t="b">
        <f>AND('Black &amp; White load sheet'!I21,"AAAAADfv7jU=")</f>
        <v>0</v>
      </c>
      <c r="BC240" t="b">
        <f>AND('Black &amp; White load sheet'!J21,"AAAAADfv7jY=")</f>
        <v>1</v>
      </c>
      <c r="BD240" t="e">
        <f>AND('Black &amp; White load sheet'!K21,"AAAAADfv7jc=")</f>
        <v>#VALUE!</v>
      </c>
      <c r="BE240" t="b">
        <f>AND('Black &amp; White load sheet'!L21,"AAAAADfv7jg=")</f>
        <v>1</v>
      </c>
      <c r="BF240" t="b">
        <f>AND('Black &amp; White load sheet'!M21,"AAAAADfv7jk=")</f>
        <v>1</v>
      </c>
      <c r="BG240">
        <f>IF('Black &amp; White load sheet'!22:22,"AAAAADfv7jo=",0)</f>
        <v>0</v>
      </c>
      <c r="BH240" t="b">
        <f>AND('Black &amp; White load sheet'!A22,"AAAAADfv7js=")</f>
        <v>1</v>
      </c>
      <c r="BI240" t="b">
        <f>AND('Black &amp; White load sheet'!B22,"AAAAADfv7jw=")</f>
        <v>0</v>
      </c>
      <c r="BJ240" t="b">
        <f>AND('Black &amp; White load sheet'!C22,"AAAAADfv7j0=")</f>
        <v>0</v>
      </c>
      <c r="BK240" t="b">
        <f>AND('Black &amp; White load sheet'!D22,"AAAAADfv7j4=")</f>
        <v>0</v>
      </c>
      <c r="BL240" t="b">
        <f>AND('Black &amp; White load sheet'!E22,"AAAAADfv7j8=")</f>
        <v>1</v>
      </c>
      <c r="BM240" t="b">
        <f>AND('Black &amp; White load sheet'!F22,"AAAAADfv7kA=")</f>
        <v>0</v>
      </c>
      <c r="BN240" t="b">
        <f>AND('Black &amp; White load sheet'!G22,"AAAAADfv7kE=")</f>
        <v>0</v>
      </c>
      <c r="BO240" t="b">
        <f>AND('Black &amp; White load sheet'!H22,"AAAAADfv7kI=")</f>
        <v>0</v>
      </c>
      <c r="BP240" t="b">
        <f>AND('Black &amp; White load sheet'!I22,"AAAAADfv7kM=")</f>
        <v>1</v>
      </c>
      <c r="BQ240" t="b">
        <f>AND('Black &amp; White load sheet'!J22,"AAAAADfv7kQ=")</f>
        <v>0</v>
      </c>
      <c r="BR240" t="e">
        <f>AND('Black &amp; White load sheet'!K22,"AAAAADfv7kU=")</f>
        <v>#VALUE!</v>
      </c>
      <c r="BS240" t="b">
        <f>AND('Black &amp; White load sheet'!L22,"AAAAADfv7kY=")</f>
        <v>1</v>
      </c>
      <c r="BT240" t="b">
        <f>AND('Black &amp; White load sheet'!M22,"AAAAADfv7kc=")</f>
        <v>1</v>
      </c>
      <c r="BU240">
        <f>IF('Black &amp; White load sheet'!23:23,"AAAAADfv7kg=",0)</f>
        <v>0</v>
      </c>
      <c r="BV240" t="b">
        <f>AND('Black &amp; White load sheet'!A23,"AAAAADfv7kk=")</f>
        <v>1</v>
      </c>
      <c r="BW240" t="b">
        <f>AND('Black &amp; White load sheet'!B23,"AAAAADfv7ko=")</f>
        <v>0</v>
      </c>
      <c r="BX240" t="b">
        <f>AND('Black &amp; White load sheet'!C23,"AAAAADfv7ks=")</f>
        <v>0</v>
      </c>
      <c r="BY240" t="b">
        <f>AND('Black &amp; White load sheet'!D23,"AAAAADfv7kw=")</f>
        <v>0</v>
      </c>
      <c r="BZ240" t="b">
        <f>AND('Black &amp; White load sheet'!E23,"AAAAADfv7k0=")</f>
        <v>1</v>
      </c>
      <c r="CA240" t="b">
        <f>AND('Black &amp; White load sheet'!F23,"AAAAADfv7k4=")</f>
        <v>0</v>
      </c>
      <c r="CB240" t="b">
        <f>AND('Black &amp; White load sheet'!G23,"AAAAADfv7k8=")</f>
        <v>0</v>
      </c>
      <c r="CC240" t="b">
        <f>AND('Black &amp; White load sheet'!H23,"AAAAADfv7lA=")</f>
        <v>0</v>
      </c>
      <c r="CD240" t="b">
        <f>AND('Black &amp; White load sheet'!I23,"AAAAADfv7lE=")</f>
        <v>1</v>
      </c>
      <c r="CE240" t="b">
        <f>AND('Black &amp; White load sheet'!J23,"AAAAADfv7lI=")</f>
        <v>1</v>
      </c>
      <c r="CF240" t="e">
        <f>AND('Black &amp; White load sheet'!K23,"AAAAADfv7lM=")</f>
        <v>#VALUE!</v>
      </c>
      <c r="CG240" t="b">
        <f>AND('Black &amp; White load sheet'!L23,"AAAAADfv7lQ=")</f>
        <v>1</v>
      </c>
      <c r="CH240" t="b">
        <f>AND('Black &amp; White load sheet'!M23,"AAAAADfv7lU=")</f>
        <v>1</v>
      </c>
      <c r="CI240">
        <f>IF('Black &amp; White load sheet'!24:24,"AAAAADfv7lY=",0)</f>
        <v>0</v>
      </c>
      <c r="CJ240" t="b">
        <f>AND('Black &amp; White load sheet'!A24,"AAAAADfv7lc=")</f>
        <v>1</v>
      </c>
      <c r="CK240" t="b">
        <f>AND('Black &amp; White load sheet'!B24,"AAAAADfv7lg=")</f>
        <v>0</v>
      </c>
      <c r="CL240" t="b">
        <f>AND('Black &amp; White load sheet'!C24,"AAAAADfv7lk=")</f>
        <v>0</v>
      </c>
      <c r="CM240" t="b">
        <f>AND('Black &amp; White load sheet'!D24,"AAAAADfv7lo=")</f>
        <v>0</v>
      </c>
      <c r="CN240" t="b">
        <f>AND('Black &amp; White load sheet'!E24,"AAAAADfv7ls=")</f>
        <v>1</v>
      </c>
      <c r="CO240" t="b">
        <f>AND('Black &amp; White load sheet'!F24,"AAAAADfv7lw=")</f>
        <v>0</v>
      </c>
      <c r="CP240" t="b">
        <f>AND('Black &amp; White load sheet'!G24,"AAAAADfv7l0=")</f>
        <v>0</v>
      </c>
      <c r="CQ240" t="b">
        <f>AND('Black &amp; White load sheet'!H24,"AAAAADfv7l4=")</f>
        <v>1</v>
      </c>
      <c r="CR240" t="b">
        <f>AND('Black &amp; White load sheet'!I24,"AAAAADfv7l8=")</f>
        <v>0</v>
      </c>
      <c r="CS240" t="b">
        <f>AND('Black &amp; White load sheet'!J24,"AAAAADfv7mA=")</f>
        <v>0</v>
      </c>
      <c r="CT240" t="e">
        <f>AND('Black &amp; White load sheet'!K24,"AAAAADfv7mE=")</f>
        <v>#VALUE!</v>
      </c>
      <c r="CU240" t="b">
        <f>AND('Black &amp; White load sheet'!L24,"AAAAADfv7mI=")</f>
        <v>1</v>
      </c>
      <c r="CV240" t="b">
        <f>AND('Black &amp; White load sheet'!M24,"AAAAADfv7mM=")</f>
        <v>1</v>
      </c>
      <c r="CW240">
        <f>IF('Black &amp; White load sheet'!25:25,"AAAAADfv7mQ=",0)</f>
        <v>0</v>
      </c>
      <c r="CX240" t="b">
        <f>AND('Black &amp; White load sheet'!A25,"AAAAADfv7mU=")</f>
        <v>1</v>
      </c>
      <c r="CY240" t="b">
        <f>AND('Black &amp; White load sheet'!B25,"AAAAADfv7mY=")</f>
        <v>0</v>
      </c>
      <c r="CZ240" t="b">
        <f>AND('Black &amp; White load sheet'!C25,"AAAAADfv7mc=")</f>
        <v>0</v>
      </c>
      <c r="DA240" t="b">
        <f>AND('Black &amp; White load sheet'!D25,"AAAAADfv7mg=")</f>
        <v>0</v>
      </c>
      <c r="DB240" t="b">
        <f>AND('Black &amp; White load sheet'!E25,"AAAAADfv7mk=")</f>
        <v>1</v>
      </c>
      <c r="DC240" t="b">
        <f>AND('Black &amp; White load sheet'!F25,"AAAAADfv7mo=")</f>
        <v>0</v>
      </c>
      <c r="DD240" t="b">
        <f>AND('Black &amp; White load sheet'!G25,"AAAAADfv7ms=")</f>
        <v>0</v>
      </c>
      <c r="DE240" t="b">
        <f>AND('Black &amp; White load sheet'!H25,"AAAAADfv7mw=")</f>
        <v>1</v>
      </c>
      <c r="DF240" t="b">
        <f>AND('Black &amp; White load sheet'!I25,"AAAAADfv7m0=")</f>
        <v>0</v>
      </c>
      <c r="DG240" t="b">
        <f>AND('Black &amp; White load sheet'!J25,"AAAAADfv7m4=")</f>
        <v>1</v>
      </c>
      <c r="DH240" t="e">
        <f>AND('Black &amp; White load sheet'!K25,"AAAAADfv7m8=")</f>
        <v>#VALUE!</v>
      </c>
      <c r="DI240" t="b">
        <f>AND('Black &amp; White load sheet'!L25,"AAAAADfv7nA=")</f>
        <v>1</v>
      </c>
      <c r="DJ240" t="b">
        <f>AND('Black &amp; White load sheet'!M25,"AAAAADfv7nE=")</f>
        <v>1</v>
      </c>
      <c r="DK240">
        <f>IF('Black &amp; White load sheet'!26:26,"AAAAADfv7nI=",0)</f>
        <v>0</v>
      </c>
      <c r="DL240" t="b">
        <f>AND('Black &amp; White load sheet'!A26,"AAAAADfv7nM=")</f>
        <v>1</v>
      </c>
      <c r="DM240" t="b">
        <f>AND('Black &amp; White load sheet'!B26,"AAAAADfv7nQ=")</f>
        <v>0</v>
      </c>
      <c r="DN240" t="b">
        <f>AND('Black &amp; White load sheet'!C26,"AAAAADfv7nU=")</f>
        <v>0</v>
      </c>
      <c r="DO240" t="b">
        <f>AND('Black &amp; White load sheet'!D26,"AAAAADfv7nY=")</f>
        <v>0</v>
      </c>
      <c r="DP240" t="b">
        <f>AND('Black &amp; White load sheet'!E26,"AAAAADfv7nc=")</f>
        <v>1</v>
      </c>
      <c r="DQ240" t="b">
        <f>AND('Black &amp; White load sheet'!F26,"AAAAADfv7ng=")</f>
        <v>0</v>
      </c>
      <c r="DR240" t="b">
        <f>AND('Black &amp; White load sheet'!G26,"AAAAADfv7nk=")</f>
        <v>0</v>
      </c>
      <c r="DS240" t="b">
        <f>AND('Black &amp; White load sheet'!H26,"AAAAADfv7no=")</f>
        <v>1</v>
      </c>
      <c r="DT240" t="b">
        <f>AND('Black &amp; White load sheet'!I26,"AAAAADfv7ns=")</f>
        <v>1</v>
      </c>
      <c r="DU240" t="b">
        <f>AND('Black &amp; White load sheet'!J26,"AAAAADfv7nw=")</f>
        <v>0</v>
      </c>
      <c r="DV240" t="e">
        <f>AND('Black &amp; White load sheet'!K26,"AAAAADfv7n0=")</f>
        <v>#VALUE!</v>
      </c>
      <c r="DW240" t="b">
        <f>AND('Black &amp; White load sheet'!L26,"AAAAADfv7n4=")</f>
        <v>1</v>
      </c>
      <c r="DX240" t="b">
        <f>AND('Black &amp; White load sheet'!M26,"AAAAADfv7n8=")</f>
        <v>1</v>
      </c>
      <c r="DY240">
        <f>IF('Black &amp; White load sheet'!27:27,"AAAAADfv7oA=",0)</f>
        <v>0</v>
      </c>
      <c r="DZ240" t="b">
        <f>AND('Black &amp; White load sheet'!A27,"AAAAADfv7oE=")</f>
        <v>1</v>
      </c>
      <c r="EA240" t="b">
        <f>AND('Black &amp; White load sheet'!B27,"AAAAADfv7oI=")</f>
        <v>0</v>
      </c>
      <c r="EB240" t="b">
        <f>AND('Black &amp; White load sheet'!C27,"AAAAADfv7oM=")</f>
        <v>0</v>
      </c>
      <c r="EC240" t="b">
        <f>AND('Black &amp; White load sheet'!D27,"AAAAADfv7oQ=")</f>
        <v>0</v>
      </c>
      <c r="ED240" t="b">
        <f>AND('Black &amp; White load sheet'!E27,"AAAAADfv7oU=")</f>
        <v>1</v>
      </c>
      <c r="EE240" t="b">
        <f>AND('Black &amp; White load sheet'!F27,"AAAAADfv7oY=")</f>
        <v>0</v>
      </c>
      <c r="EF240" t="b">
        <f>AND('Black &amp; White load sheet'!G27,"AAAAADfv7oc=")</f>
        <v>0</v>
      </c>
      <c r="EG240" t="b">
        <f>AND('Black &amp; White load sheet'!H27,"AAAAADfv7og=")</f>
        <v>1</v>
      </c>
      <c r="EH240" t="b">
        <f>AND('Black &amp; White load sheet'!I27,"AAAAADfv7ok=")</f>
        <v>1</v>
      </c>
      <c r="EI240" t="b">
        <f>AND('Black &amp; White load sheet'!J27,"AAAAADfv7oo=")</f>
        <v>1</v>
      </c>
      <c r="EJ240" t="e">
        <f>AND('Black &amp; White load sheet'!K27,"AAAAADfv7os=")</f>
        <v>#VALUE!</v>
      </c>
      <c r="EK240" t="b">
        <f>AND('Black &amp; White load sheet'!L27,"AAAAADfv7ow=")</f>
        <v>1</v>
      </c>
      <c r="EL240" t="b">
        <f>AND('Black &amp; White load sheet'!M27,"AAAAADfv7o0=")</f>
        <v>1</v>
      </c>
      <c r="EM240">
        <f>IF('Black &amp; White load sheet'!28:28,"AAAAADfv7o4=",0)</f>
        <v>0</v>
      </c>
      <c r="EN240" t="b">
        <f>AND('Black &amp; White load sheet'!A28,"AAAAADfv7o8=")</f>
        <v>1</v>
      </c>
      <c r="EO240" t="b">
        <f>AND('Black &amp; White load sheet'!B28,"AAAAADfv7pA=")</f>
        <v>0</v>
      </c>
      <c r="EP240" t="b">
        <f>AND('Black &amp; White load sheet'!C28,"AAAAADfv7pE=")</f>
        <v>0</v>
      </c>
      <c r="EQ240" t="b">
        <f>AND('Black &amp; White load sheet'!D28,"AAAAADfv7pI=")</f>
        <v>0</v>
      </c>
      <c r="ER240" t="b">
        <f>AND('Black &amp; White load sheet'!E28,"AAAAADfv7pM=")</f>
        <v>1</v>
      </c>
      <c r="ES240" t="b">
        <f>AND('Black &amp; White load sheet'!F28,"AAAAADfv7pQ=")</f>
        <v>0</v>
      </c>
      <c r="ET240" t="b">
        <f>AND('Black &amp; White load sheet'!G28,"AAAAADfv7pU=")</f>
        <v>1</v>
      </c>
      <c r="EU240" t="b">
        <f>AND('Black &amp; White load sheet'!H28,"AAAAADfv7pY=")</f>
        <v>0</v>
      </c>
      <c r="EV240" t="b">
        <f>AND('Black &amp; White load sheet'!I28,"AAAAADfv7pc=")</f>
        <v>0</v>
      </c>
      <c r="EW240" t="b">
        <f>AND('Black &amp; White load sheet'!J28,"AAAAADfv7pg=")</f>
        <v>0</v>
      </c>
      <c r="EX240" t="e">
        <f>AND('Black &amp; White load sheet'!K28,"AAAAADfv7pk=")</f>
        <v>#VALUE!</v>
      </c>
      <c r="EY240" t="b">
        <f>AND('Black &amp; White load sheet'!L28,"AAAAADfv7po=")</f>
        <v>1</v>
      </c>
      <c r="EZ240" t="b">
        <f>AND('Black &amp; White load sheet'!M28,"AAAAADfv7ps=")</f>
        <v>1</v>
      </c>
      <c r="FA240">
        <f>IF('Black &amp; White load sheet'!29:29,"AAAAADfv7pw=",0)</f>
        <v>0</v>
      </c>
      <c r="FB240" t="b">
        <f>AND('Black &amp; White load sheet'!A29,"AAAAADfv7p0=")</f>
        <v>1</v>
      </c>
      <c r="FC240" t="b">
        <f>AND('Black &amp; White load sheet'!B29,"AAAAADfv7p4=")</f>
        <v>0</v>
      </c>
      <c r="FD240" t="b">
        <f>AND('Black &amp; White load sheet'!C29,"AAAAADfv7p8=")</f>
        <v>0</v>
      </c>
      <c r="FE240" t="b">
        <f>AND('Black &amp; White load sheet'!D29,"AAAAADfv7qA=")</f>
        <v>0</v>
      </c>
      <c r="FF240" t="b">
        <f>AND('Black &amp; White load sheet'!E29,"AAAAADfv7qE=")</f>
        <v>1</v>
      </c>
      <c r="FG240" t="b">
        <f>AND('Black &amp; White load sheet'!F29,"AAAAADfv7qI=")</f>
        <v>0</v>
      </c>
      <c r="FH240" t="b">
        <f>AND('Black &amp; White load sheet'!G29,"AAAAADfv7qM=")</f>
        <v>1</v>
      </c>
      <c r="FI240" t="b">
        <f>AND('Black &amp; White load sheet'!H29,"AAAAADfv7qQ=")</f>
        <v>0</v>
      </c>
      <c r="FJ240" t="b">
        <f>AND('Black &amp; White load sheet'!I29,"AAAAADfv7qU=")</f>
        <v>0</v>
      </c>
      <c r="FK240" t="b">
        <f>AND('Black &amp; White load sheet'!J29,"AAAAADfv7qY=")</f>
        <v>1</v>
      </c>
      <c r="FL240" t="e">
        <f>AND('Black &amp; White load sheet'!K29,"AAAAADfv7qc=")</f>
        <v>#VALUE!</v>
      </c>
      <c r="FM240" t="b">
        <f>AND('Black &amp; White load sheet'!L29,"AAAAADfv7qg=")</f>
        <v>1</v>
      </c>
      <c r="FN240" t="b">
        <f>AND('Black &amp; White load sheet'!M29,"AAAAADfv7qk=")</f>
        <v>1</v>
      </c>
      <c r="FO240">
        <f>IF('Black &amp; White load sheet'!30:30,"AAAAADfv7qo=",0)</f>
        <v>0</v>
      </c>
      <c r="FP240" t="b">
        <f>AND('Black &amp; White load sheet'!A30,"AAAAADfv7qs=")</f>
        <v>1</v>
      </c>
      <c r="FQ240" t="b">
        <f>AND('Black &amp; White load sheet'!B30,"AAAAADfv7qw=")</f>
        <v>0</v>
      </c>
      <c r="FR240" t="b">
        <f>AND('Black &amp; White load sheet'!C30,"AAAAADfv7q0=")</f>
        <v>0</v>
      </c>
      <c r="FS240" t="b">
        <f>AND('Black &amp; White load sheet'!D30,"AAAAADfv7q4=")</f>
        <v>0</v>
      </c>
      <c r="FT240" t="b">
        <f>AND('Black &amp; White load sheet'!E30,"AAAAADfv7q8=")</f>
        <v>1</v>
      </c>
      <c r="FU240" t="b">
        <f>AND('Black &amp; White load sheet'!F30,"AAAAADfv7rA=")</f>
        <v>0</v>
      </c>
      <c r="FV240" t="b">
        <f>AND('Black &amp; White load sheet'!G30,"AAAAADfv7rE=")</f>
        <v>1</v>
      </c>
      <c r="FW240" t="b">
        <f>AND('Black &amp; White load sheet'!H30,"AAAAADfv7rI=")</f>
        <v>0</v>
      </c>
      <c r="FX240" t="b">
        <f>AND('Black &amp; White load sheet'!I30,"AAAAADfv7rM=")</f>
        <v>1</v>
      </c>
      <c r="FY240" t="b">
        <f>AND('Black &amp; White load sheet'!J30,"AAAAADfv7rQ=")</f>
        <v>0</v>
      </c>
      <c r="FZ240" t="e">
        <f>AND('Black &amp; White load sheet'!K30,"AAAAADfv7rU=")</f>
        <v>#VALUE!</v>
      </c>
      <c r="GA240" t="b">
        <f>AND('Black &amp; White load sheet'!L30,"AAAAADfv7rY=")</f>
        <v>1</v>
      </c>
      <c r="GB240" t="b">
        <f>AND('Black &amp; White load sheet'!M30,"AAAAADfv7rc=")</f>
        <v>1</v>
      </c>
      <c r="GC240">
        <f>IF('Black &amp; White load sheet'!31:31,"AAAAADfv7rg=",0)</f>
        <v>0</v>
      </c>
      <c r="GD240" t="b">
        <f>AND('Black &amp; White load sheet'!A31,"AAAAADfv7rk=")</f>
        <v>1</v>
      </c>
      <c r="GE240" t="b">
        <f>AND('Black &amp; White load sheet'!B31,"AAAAADfv7ro=")</f>
        <v>0</v>
      </c>
      <c r="GF240" t="b">
        <f>AND('Black &amp; White load sheet'!C31,"AAAAADfv7rs=")</f>
        <v>0</v>
      </c>
      <c r="GG240" t="b">
        <f>AND('Black &amp; White load sheet'!D31,"AAAAADfv7rw=")</f>
        <v>0</v>
      </c>
      <c r="GH240" t="b">
        <f>AND('Black &amp; White load sheet'!E31,"AAAAADfv7r0=")</f>
        <v>1</v>
      </c>
      <c r="GI240" t="b">
        <f>AND('Black &amp; White load sheet'!F31,"AAAAADfv7r4=")</f>
        <v>0</v>
      </c>
      <c r="GJ240" t="b">
        <f>AND('Black &amp; White load sheet'!G31,"AAAAADfv7r8=")</f>
        <v>1</v>
      </c>
      <c r="GK240" t="b">
        <f>AND('Black &amp; White load sheet'!H31,"AAAAADfv7sA=")</f>
        <v>0</v>
      </c>
      <c r="GL240" t="b">
        <f>AND('Black &amp; White load sheet'!I31,"AAAAADfv7sE=")</f>
        <v>1</v>
      </c>
      <c r="GM240" t="b">
        <f>AND('Black &amp; White load sheet'!J31,"AAAAADfv7sI=")</f>
        <v>1</v>
      </c>
      <c r="GN240" t="e">
        <f>AND('Black &amp; White load sheet'!K31,"AAAAADfv7sM=")</f>
        <v>#VALUE!</v>
      </c>
      <c r="GO240" t="b">
        <f>AND('Black &amp; White load sheet'!L31,"AAAAADfv7sQ=")</f>
        <v>1</v>
      </c>
      <c r="GP240" t="b">
        <f>AND('Black &amp; White load sheet'!M31,"AAAAADfv7sU=")</f>
        <v>1</v>
      </c>
      <c r="GQ240">
        <f>IF('Black &amp; White load sheet'!32:32,"AAAAADfv7sY=",0)</f>
        <v>0</v>
      </c>
      <c r="GR240" t="b">
        <f>AND('Black &amp; White load sheet'!A32,"AAAAADfv7sc=")</f>
        <v>1</v>
      </c>
      <c r="GS240" t="b">
        <f>AND('Black &amp; White load sheet'!B32,"AAAAADfv7sg=")</f>
        <v>0</v>
      </c>
      <c r="GT240" t="b">
        <f>AND('Black &amp; White load sheet'!C32,"AAAAADfv7sk=")</f>
        <v>0</v>
      </c>
      <c r="GU240" t="b">
        <f>AND('Black &amp; White load sheet'!D32,"AAAAADfv7so=")</f>
        <v>0</v>
      </c>
      <c r="GV240" t="b">
        <f>AND('Black &amp; White load sheet'!E32,"AAAAADfv7ss=")</f>
        <v>1</v>
      </c>
      <c r="GW240" t="b">
        <f>AND('Black &amp; White load sheet'!F32,"AAAAADfv7sw=")</f>
        <v>1</v>
      </c>
      <c r="GX240" t="b">
        <f>AND('Black &amp; White load sheet'!G32,"AAAAADfv7s0=")</f>
        <v>0</v>
      </c>
      <c r="GY240" t="b">
        <f>AND('Black &amp; White load sheet'!H32,"AAAAADfv7s4=")</f>
        <v>0</v>
      </c>
      <c r="GZ240" t="b">
        <f>AND('Black &amp; White load sheet'!I32,"AAAAADfv7s8=")</f>
        <v>0</v>
      </c>
      <c r="HA240" t="b">
        <f>AND('Black &amp; White load sheet'!J32,"AAAAADfv7tA=")</f>
        <v>0</v>
      </c>
      <c r="HB240" t="e">
        <f>AND('Black &amp; White load sheet'!K32,"AAAAADfv7tE=")</f>
        <v>#VALUE!</v>
      </c>
      <c r="HC240" t="b">
        <f>AND('Black &amp; White load sheet'!L32,"AAAAADfv7tI=")</f>
        <v>1</v>
      </c>
      <c r="HD240" t="b">
        <f>AND('Black &amp; White load sheet'!M32,"AAAAADfv7tM=")</f>
        <v>1</v>
      </c>
      <c r="HE240">
        <f>IF('Black &amp; White load sheet'!33:33,"AAAAADfv7tQ=",0)</f>
        <v>0</v>
      </c>
      <c r="HF240" t="b">
        <f>AND('Black &amp; White load sheet'!A33,"AAAAADfv7tU=")</f>
        <v>1</v>
      </c>
      <c r="HG240" t="b">
        <f>AND('Black &amp; White load sheet'!B33,"AAAAADfv7tY=")</f>
        <v>0</v>
      </c>
      <c r="HH240" t="b">
        <f>AND('Black &amp; White load sheet'!C33,"AAAAADfv7tc=")</f>
        <v>0</v>
      </c>
      <c r="HI240" t="b">
        <f>AND('Black &amp; White load sheet'!D33,"AAAAADfv7tg=")</f>
        <v>0</v>
      </c>
      <c r="HJ240" t="b">
        <f>AND('Black &amp; White load sheet'!E33,"AAAAADfv7tk=")</f>
        <v>1</v>
      </c>
      <c r="HK240" t="b">
        <f>AND('Black &amp; White load sheet'!F33,"AAAAADfv7to=")</f>
        <v>1</v>
      </c>
      <c r="HL240" t="b">
        <f>AND('Black &amp; White load sheet'!G33,"AAAAADfv7ts=")</f>
        <v>0</v>
      </c>
      <c r="HM240" t="b">
        <f>AND('Black &amp; White load sheet'!H33,"AAAAADfv7tw=")</f>
        <v>0</v>
      </c>
      <c r="HN240" t="b">
        <f>AND('Black &amp; White load sheet'!I33,"AAAAADfv7t0=")</f>
        <v>0</v>
      </c>
      <c r="HO240" t="b">
        <f>AND('Black &amp; White load sheet'!J33,"AAAAADfv7t4=")</f>
        <v>1</v>
      </c>
      <c r="HP240" t="e">
        <f>AND('Black &amp; White load sheet'!K33,"AAAAADfv7t8=")</f>
        <v>#VALUE!</v>
      </c>
      <c r="HQ240" t="b">
        <f>AND('Black &amp; White load sheet'!L33,"AAAAADfv7uA=")</f>
        <v>1</v>
      </c>
      <c r="HR240" t="b">
        <f>AND('Black &amp; White load sheet'!M33,"AAAAADfv7uE=")</f>
        <v>1</v>
      </c>
      <c r="HS240">
        <f>IF('Black &amp; White load sheet'!34:34,"AAAAADfv7uI=",0)</f>
        <v>0</v>
      </c>
      <c r="HT240" t="b">
        <f>AND('Black &amp; White load sheet'!A34,"AAAAADfv7uM=")</f>
        <v>1</v>
      </c>
      <c r="HU240" t="b">
        <f>AND('Black &amp; White load sheet'!B34,"AAAAADfv7uQ=")</f>
        <v>0</v>
      </c>
      <c r="HV240" t="b">
        <f>AND('Black &amp; White load sheet'!C34,"AAAAADfv7uU=")</f>
        <v>0</v>
      </c>
      <c r="HW240" t="b">
        <f>AND('Black &amp; White load sheet'!D34,"AAAAADfv7uY=")</f>
        <v>0</v>
      </c>
      <c r="HX240" t="b">
        <f>AND('Black &amp; White load sheet'!E34,"AAAAADfv7uc=")</f>
        <v>1</v>
      </c>
      <c r="HY240" t="b">
        <f>AND('Black &amp; White load sheet'!F34,"AAAAADfv7ug=")</f>
        <v>1</v>
      </c>
      <c r="HZ240" t="b">
        <f>AND('Black &amp; White load sheet'!G34,"AAAAADfv7uk=")</f>
        <v>0</v>
      </c>
      <c r="IA240" t="b">
        <f>AND('Black &amp; White load sheet'!H34,"AAAAADfv7uo=")</f>
        <v>0</v>
      </c>
      <c r="IB240" t="b">
        <f>AND('Black &amp; White load sheet'!I34,"AAAAADfv7us=")</f>
        <v>1</v>
      </c>
      <c r="IC240" t="b">
        <f>AND('Black &amp; White load sheet'!J34,"AAAAADfv7uw=")</f>
        <v>0</v>
      </c>
      <c r="ID240" t="e">
        <f>AND('Black &amp; White load sheet'!K34,"AAAAADfv7u0=")</f>
        <v>#VALUE!</v>
      </c>
      <c r="IE240" t="b">
        <f>AND('Black &amp; White load sheet'!L34,"AAAAADfv7u4=")</f>
        <v>1</v>
      </c>
      <c r="IF240" t="b">
        <f>AND('Black &amp; White load sheet'!M34,"AAAAADfv7u8=")</f>
        <v>1</v>
      </c>
      <c r="IG240">
        <f>IF('Black &amp; White load sheet'!35:35,"AAAAADfv7vA=",0)</f>
        <v>0</v>
      </c>
      <c r="IH240" t="b">
        <f>AND('Black &amp; White load sheet'!A35,"AAAAADfv7vE=")</f>
        <v>1</v>
      </c>
      <c r="II240" t="b">
        <f>AND('Black &amp; White load sheet'!B35,"AAAAADfv7vI=")</f>
        <v>0</v>
      </c>
      <c r="IJ240" t="b">
        <f>AND('Black &amp; White load sheet'!C35,"AAAAADfv7vM=")</f>
        <v>0</v>
      </c>
      <c r="IK240" t="b">
        <f>AND('Black &amp; White load sheet'!D35,"AAAAADfv7vQ=")</f>
        <v>0</v>
      </c>
      <c r="IL240" t="b">
        <f>AND('Black &amp; White load sheet'!E35,"AAAAADfv7vU=")</f>
        <v>1</v>
      </c>
      <c r="IM240" t="b">
        <f>AND('Black &amp; White load sheet'!F35,"AAAAADfv7vY=")</f>
        <v>1</v>
      </c>
      <c r="IN240" t="b">
        <f>AND('Black &amp; White load sheet'!G35,"AAAAADfv7vc=")</f>
        <v>0</v>
      </c>
      <c r="IO240" t="b">
        <f>AND('Black &amp; White load sheet'!H35,"AAAAADfv7vg=")</f>
        <v>0</v>
      </c>
      <c r="IP240" t="b">
        <f>AND('Black &amp; White load sheet'!I35,"AAAAADfv7vk=")</f>
        <v>1</v>
      </c>
      <c r="IQ240" t="b">
        <f>AND('Black &amp; White load sheet'!J35,"AAAAADfv7vo=")</f>
        <v>1</v>
      </c>
      <c r="IR240" t="e">
        <f>AND('Black &amp; White load sheet'!K35,"AAAAADfv7vs=")</f>
        <v>#VALUE!</v>
      </c>
      <c r="IS240" t="b">
        <f>AND('Black &amp; White load sheet'!L35,"AAAAADfv7vw=")</f>
        <v>1</v>
      </c>
      <c r="IT240" t="b">
        <f>AND('Black &amp; White load sheet'!M35,"AAAAADfv7v0=")</f>
        <v>1</v>
      </c>
      <c r="IU240">
        <f>IF('Black &amp; White load sheet'!36:36,"AAAAADfv7v4=",0)</f>
        <v>0</v>
      </c>
      <c r="IV240" t="b">
        <f>AND('Black &amp; White load sheet'!A36,"AAAAADfv7v8=")</f>
        <v>1</v>
      </c>
    </row>
    <row r="241" spans="1:256" x14ac:dyDescent="0.25">
      <c r="A241" t="b">
        <f>AND('Black &amp; White load sheet'!B36,"AAAAAH9J+wA=")</f>
        <v>0</v>
      </c>
      <c r="B241" t="b">
        <f>AND('Black &amp; White load sheet'!C36,"AAAAAH9J+wE=")</f>
        <v>0</v>
      </c>
      <c r="C241" t="b">
        <f>AND('Black &amp; White load sheet'!D36,"AAAAAH9J+wI=")</f>
        <v>0</v>
      </c>
      <c r="D241" t="b">
        <f>AND('Black &amp; White load sheet'!E36,"AAAAAH9J+wM=")</f>
        <v>1</v>
      </c>
      <c r="E241" t="b">
        <f>AND('Black &amp; White load sheet'!F36,"AAAAAH9J+wQ=")</f>
        <v>0</v>
      </c>
      <c r="F241" t="b">
        <f>AND('Black &amp; White load sheet'!G36,"AAAAAH9J+wU=")</f>
        <v>0</v>
      </c>
      <c r="G241" t="b">
        <f>AND('Black &amp; White load sheet'!H36,"AAAAAH9J+wY=")</f>
        <v>0</v>
      </c>
      <c r="H241" t="b">
        <f>AND('Black &amp; White load sheet'!I36,"AAAAAH9J+wc=")</f>
        <v>0</v>
      </c>
      <c r="I241" t="b">
        <f>AND('Black &amp; White load sheet'!J36,"AAAAAH9J+wg=")</f>
        <v>0</v>
      </c>
      <c r="J241" t="e">
        <f>AND('Black &amp; White load sheet'!K36,"AAAAAH9J+wk=")</f>
        <v>#VALUE!</v>
      </c>
      <c r="K241" t="b">
        <f>AND('Black &amp; White load sheet'!L36,"AAAAAH9J+wo=")</f>
        <v>1</v>
      </c>
      <c r="L241" t="b">
        <f>AND('Black &amp; White load sheet'!M36,"AAAAAH9J+ws=")</f>
        <v>1</v>
      </c>
      <c r="M241" t="str">
        <f>IF('Black &amp; White load sheet'!37:37,"AAAAAH9J+ww=",0)</f>
        <v>AAAAAH9J+ww=</v>
      </c>
      <c r="N241" t="b">
        <f>AND('Black &amp; White load sheet'!A37,"AAAAAH9J+w0=")</f>
        <v>1</v>
      </c>
      <c r="O241" t="b">
        <f>AND('Black &amp; White load sheet'!B37,"AAAAAH9J+w4=")</f>
        <v>0</v>
      </c>
      <c r="P241" t="b">
        <f>AND('Black &amp; White load sheet'!C37,"AAAAAH9J+w8=")</f>
        <v>0</v>
      </c>
      <c r="Q241" t="b">
        <f>AND('Black &amp; White load sheet'!D37,"AAAAAH9J+xA=")</f>
        <v>0</v>
      </c>
      <c r="R241" t="b">
        <f>AND('Black &amp; White load sheet'!E37,"AAAAAH9J+xE=")</f>
        <v>1</v>
      </c>
      <c r="S241" t="b">
        <f>AND('Black &amp; White load sheet'!F37,"AAAAAH9J+xI=")</f>
        <v>0</v>
      </c>
      <c r="T241" t="b">
        <f>AND('Black &amp; White load sheet'!G37,"AAAAAH9J+xM=")</f>
        <v>0</v>
      </c>
      <c r="U241" t="b">
        <f>AND('Black &amp; White load sheet'!H37,"AAAAAH9J+xQ=")</f>
        <v>0</v>
      </c>
      <c r="V241" t="b">
        <f>AND('Black &amp; White load sheet'!I37,"AAAAAH9J+xU=")</f>
        <v>0</v>
      </c>
      <c r="W241" t="b">
        <f>AND('Black &amp; White load sheet'!J37,"AAAAAH9J+xY=")</f>
        <v>1</v>
      </c>
      <c r="X241" t="e">
        <f>AND('Black &amp; White load sheet'!K37,"AAAAAH9J+xc=")</f>
        <v>#VALUE!</v>
      </c>
      <c r="Y241" t="b">
        <f>AND('Black &amp; White load sheet'!L37,"AAAAAH9J+xg=")</f>
        <v>1</v>
      </c>
      <c r="Z241" t="b">
        <f>AND('Black &amp; White load sheet'!M37,"AAAAAH9J+xk=")</f>
        <v>1</v>
      </c>
      <c r="AA241">
        <f>IF('Black &amp; White load sheet'!38:38,"AAAAAH9J+xo=",0)</f>
        <v>0</v>
      </c>
      <c r="AB241" t="b">
        <f>AND('Black &amp; White load sheet'!A38,"AAAAAH9J+xs=")</f>
        <v>1</v>
      </c>
      <c r="AC241" t="b">
        <f>AND('Black &amp; White load sheet'!B38,"AAAAAH9J+xw=")</f>
        <v>0</v>
      </c>
      <c r="AD241" t="b">
        <f>AND('Black &amp; White load sheet'!C38,"AAAAAH9J+x0=")</f>
        <v>0</v>
      </c>
      <c r="AE241" t="b">
        <f>AND('Black &amp; White load sheet'!D38,"AAAAAH9J+x4=")</f>
        <v>0</v>
      </c>
      <c r="AF241" t="b">
        <f>AND('Black &amp; White load sheet'!E38,"AAAAAH9J+x8=")</f>
        <v>1</v>
      </c>
      <c r="AG241" t="b">
        <f>AND('Black &amp; White load sheet'!F38,"AAAAAH9J+yA=")</f>
        <v>0</v>
      </c>
      <c r="AH241" t="b">
        <f>AND('Black &amp; White load sheet'!G38,"AAAAAH9J+yE=")</f>
        <v>0</v>
      </c>
      <c r="AI241" t="b">
        <f>AND('Black &amp; White load sheet'!H38,"AAAAAH9J+yI=")</f>
        <v>0</v>
      </c>
      <c r="AJ241" t="b">
        <f>AND('Black &amp; White load sheet'!I38,"AAAAAH9J+yM=")</f>
        <v>1</v>
      </c>
      <c r="AK241" t="b">
        <f>AND('Black &amp; White load sheet'!J38,"AAAAAH9J+yQ=")</f>
        <v>0</v>
      </c>
      <c r="AL241" t="e">
        <f>AND('Black &amp; White load sheet'!K38,"AAAAAH9J+yU=")</f>
        <v>#VALUE!</v>
      </c>
      <c r="AM241" t="b">
        <f>AND('Black &amp; White load sheet'!L38,"AAAAAH9J+yY=")</f>
        <v>1</v>
      </c>
      <c r="AN241" t="b">
        <f>AND('Black &amp; White load sheet'!M38,"AAAAAH9J+yc=")</f>
        <v>1</v>
      </c>
      <c r="AO241">
        <f>IF('Black &amp; White load sheet'!39:39,"AAAAAH9J+yg=",0)</f>
        <v>0</v>
      </c>
      <c r="AP241" t="b">
        <f>AND('Black &amp; White load sheet'!A39,"AAAAAH9J+yk=")</f>
        <v>1</v>
      </c>
      <c r="AQ241" t="b">
        <f>AND('Black &amp; White load sheet'!B39,"AAAAAH9J+yo=")</f>
        <v>0</v>
      </c>
      <c r="AR241" t="b">
        <f>AND('Black &amp; White load sheet'!C39,"AAAAAH9J+ys=")</f>
        <v>0</v>
      </c>
      <c r="AS241" t="b">
        <f>AND('Black &amp; White load sheet'!D39,"AAAAAH9J+yw=")</f>
        <v>0</v>
      </c>
      <c r="AT241" t="b">
        <f>AND('Black &amp; White load sheet'!E39,"AAAAAH9J+y0=")</f>
        <v>1</v>
      </c>
      <c r="AU241" t="b">
        <f>AND('Black &amp; White load sheet'!F39,"AAAAAH9J+y4=")</f>
        <v>0</v>
      </c>
      <c r="AV241" t="b">
        <f>AND('Black &amp; White load sheet'!G39,"AAAAAH9J+y8=")</f>
        <v>0</v>
      </c>
      <c r="AW241" t="b">
        <f>AND('Black &amp; White load sheet'!H39,"AAAAAH9J+zA=")</f>
        <v>0</v>
      </c>
      <c r="AX241" t="b">
        <f>AND('Black &amp; White load sheet'!I39,"AAAAAH9J+zE=")</f>
        <v>1</v>
      </c>
      <c r="AY241" t="b">
        <f>AND('Black &amp; White load sheet'!J39,"AAAAAH9J+zI=")</f>
        <v>1</v>
      </c>
      <c r="AZ241" t="e">
        <f>AND('Black &amp; White load sheet'!K39,"AAAAAH9J+zM=")</f>
        <v>#VALUE!</v>
      </c>
      <c r="BA241" t="b">
        <f>AND('Black &amp; White load sheet'!L39,"AAAAAH9J+zQ=")</f>
        <v>1</v>
      </c>
      <c r="BB241" t="b">
        <f>AND('Black &amp; White load sheet'!M39,"AAAAAH9J+zU=")</f>
        <v>1</v>
      </c>
      <c r="BC241">
        <f>IF('Black &amp; White load sheet'!40:40,"AAAAAH9J+zY=",0)</f>
        <v>0</v>
      </c>
      <c r="BD241" t="b">
        <f>AND('Black &amp; White load sheet'!A40,"AAAAAH9J+zc=")</f>
        <v>1</v>
      </c>
      <c r="BE241" t="b">
        <f>AND('Black &amp; White load sheet'!B40,"AAAAAH9J+zg=")</f>
        <v>0</v>
      </c>
      <c r="BF241" t="b">
        <f>AND('Black &amp; White load sheet'!C40,"AAAAAH9J+zk=")</f>
        <v>0</v>
      </c>
      <c r="BG241" t="b">
        <f>AND('Black &amp; White load sheet'!D40,"AAAAAH9J+zo=")</f>
        <v>0</v>
      </c>
      <c r="BH241" t="b">
        <f>AND('Black &amp; White load sheet'!E40,"AAAAAH9J+zs=")</f>
        <v>1</v>
      </c>
      <c r="BI241" t="b">
        <f>AND('Black &amp; White load sheet'!F40,"AAAAAH9J+zw=")</f>
        <v>0</v>
      </c>
      <c r="BJ241" t="b">
        <f>AND('Black &amp; White load sheet'!G40,"AAAAAH9J+z0=")</f>
        <v>0</v>
      </c>
      <c r="BK241" t="b">
        <f>AND('Black &amp; White load sheet'!H40,"AAAAAH9J+z4=")</f>
        <v>1</v>
      </c>
      <c r="BL241" t="b">
        <f>AND('Black &amp; White load sheet'!I40,"AAAAAH9J+z8=")</f>
        <v>0</v>
      </c>
      <c r="BM241" t="b">
        <f>AND('Black &amp; White load sheet'!J40,"AAAAAH9J+0A=")</f>
        <v>0</v>
      </c>
      <c r="BN241" t="e">
        <f>AND('Black &amp; White load sheet'!K40,"AAAAAH9J+0E=")</f>
        <v>#VALUE!</v>
      </c>
      <c r="BO241" t="b">
        <f>AND('Black &amp; White load sheet'!L40,"AAAAAH9J+0I=")</f>
        <v>1</v>
      </c>
      <c r="BP241" t="b">
        <f>AND('Black &amp; White load sheet'!M40,"AAAAAH9J+0M=")</f>
        <v>1</v>
      </c>
      <c r="BQ241">
        <f>IF('Black &amp; White load sheet'!41:41,"AAAAAH9J+0Q=",0)</f>
        <v>0</v>
      </c>
      <c r="BR241" t="b">
        <f>AND('Black &amp; White load sheet'!A41,"AAAAAH9J+0U=")</f>
        <v>1</v>
      </c>
      <c r="BS241" t="b">
        <f>AND('Black &amp; White load sheet'!B41,"AAAAAH9J+0Y=")</f>
        <v>0</v>
      </c>
      <c r="BT241" t="b">
        <f>AND('Black &amp; White load sheet'!C41,"AAAAAH9J+0c=")</f>
        <v>0</v>
      </c>
      <c r="BU241" t="b">
        <f>AND('Black &amp; White load sheet'!D41,"AAAAAH9J+0g=")</f>
        <v>0</v>
      </c>
      <c r="BV241" t="b">
        <f>AND('Black &amp; White load sheet'!E41,"AAAAAH9J+0k=")</f>
        <v>1</v>
      </c>
      <c r="BW241" t="b">
        <f>AND('Black &amp; White load sheet'!F41,"AAAAAH9J+0o=")</f>
        <v>0</v>
      </c>
      <c r="BX241" t="b">
        <f>AND('Black &amp; White load sheet'!G41,"AAAAAH9J+0s=")</f>
        <v>0</v>
      </c>
      <c r="BY241" t="b">
        <f>AND('Black &amp; White load sheet'!H41,"AAAAAH9J+0w=")</f>
        <v>1</v>
      </c>
      <c r="BZ241" t="b">
        <f>AND('Black &amp; White load sheet'!I41,"AAAAAH9J+00=")</f>
        <v>0</v>
      </c>
      <c r="CA241" t="b">
        <f>AND('Black &amp; White load sheet'!J41,"AAAAAH9J+04=")</f>
        <v>1</v>
      </c>
      <c r="CB241" t="e">
        <f>AND('Black &amp; White load sheet'!K41,"AAAAAH9J+08=")</f>
        <v>#VALUE!</v>
      </c>
      <c r="CC241" t="b">
        <f>AND('Black &amp; White load sheet'!L41,"AAAAAH9J+1A=")</f>
        <v>1</v>
      </c>
      <c r="CD241" t="b">
        <f>AND('Black &amp; White load sheet'!M41,"AAAAAH9J+1E=")</f>
        <v>1</v>
      </c>
      <c r="CE241">
        <f>IF('Black &amp; White load sheet'!42:42,"AAAAAH9J+1I=",0)</f>
        <v>0</v>
      </c>
      <c r="CF241" t="b">
        <f>AND('Black &amp; White load sheet'!A42,"AAAAAH9J+1M=")</f>
        <v>1</v>
      </c>
      <c r="CG241" t="b">
        <f>AND('Black &amp; White load sheet'!B42,"AAAAAH9J+1Q=")</f>
        <v>0</v>
      </c>
      <c r="CH241" t="b">
        <f>AND('Black &amp; White load sheet'!C42,"AAAAAH9J+1U=")</f>
        <v>0</v>
      </c>
      <c r="CI241" t="b">
        <f>AND('Black &amp; White load sheet'!D42,"AAAAAH9J+1Y=")</f>
        <v>0</v>
      </c>
      <c r="CJ241" t="b">
        <f>AND('Black &amp; White load sheet'!E42,"AAAAAH9J+1c=")</f>
        <v>1</v>
      </c>
      <c r="CK241" t="b">
        <f>AND('Black &amp; White load sheet'!F42,"AAAAAH9J+1g=")</f>
        <v>0</v>
      </c>
      <c r="CL241" t="b">
        <f>AND('Black &amp; White load sheet'!G42,"AAAAAH9J+1k=")</f>
        <v>0</v>
      </c>
      <c r="CM241" t="b">
        <f>AND('Black &amp; White load sheet'!H42,"AAAAAH9J+1o=")</f>
        <v>1</v>
      </c>
      <c r="CN241" t="b">
        <f>AND('Black &amp; White load sheet'!I42,"AAAAAH9J+1s=")</f>
        <v>1</v>
      </c>
      <c r="CO241" t="b">
        <f>AND('Black &amp; White load sheet'!J42,"AAAAAH9J+1w=")</f>
        <v>0</v>
      </c>
      <c r="CP241" t="e">
        <f>AND('Black &amp; White load sheet'!K42,"AAAAAH9J+10=")</f>
        <v>#VALUE!</v>
      </c>
      <c r="CQ241" t="b">
        <f>AND('Black &amp; White load sheet'!L42,"AAAAAH9J+14=")</f>
        <v>1</v>
      </c>
      <c r="CR241" t="b">
        <f>AND('Black &amp; White load sheet'!M42,"AAAAAH9J+18=")</f>
        <v>1</v>
      </c>
      <c r="CS241">
        <f>IF('Black &amp; White load sheet'!43:43,"AAAAAH9J+2A=",0)</f>
        <v>0</v>
      </c>
      <c r="CT241" t="b">
        <f>AND('Black &amp; White load sheet'!A43,"AAAAAH9J+2E=")</f>
        <v>1</v>
      </c>
      <c r="CU241" t="b">
        <f>AND('Black &amp; White load sheet'!B43,"AAAAAH9J+2I=")</f>
        <v>0</v>
      </c>
      <c r="CV241" t="b">
        <f>AND('Black &amp; White load sheet'!C43,"AAAAAH9J+2M=")</f>
        <v>0</v>
      </c>
      <c r="CW241" t="b">
        <f>AND('Black &amp; White load sheet'!D43,"AAAAAH9J+2Q=")</f>
        <v>0</v>
      </c>
      <c r="CX241" t="b">
        <f>AND('Black &amp; White load sheet'!E43,"AAAAAH9J+2U=")</f>
        <v>1</v>
      </c>
      <c r="CY241" t="b">
        <f>AND('Black &amp; White load sheet'!F43,"AAAAAH9J+2Y=")</f>
        <v>0</v>
      </c>
      <c r="CZ241" t="b">
        <f>AND('Black &amp; White load sheet'!G43,"AAAAAH9J+2c=")</f>
        <v>0</v>
      </c>
      <c r="DA241" t="b">
        <f>AND('Black &amp; White load sheet'!H43,"AAAAAH9J+2g=")</f>
        <v>1</v>
      </c>
      <c r="DB241" t="b">
        <f>AND('Black &amp; White load sheet'!I43,"AAAAAH9J+2k=")</f>
        <v>1</v>
      </c>
      <c r="DC241" t="b">
        <f>AND('Black &amp; White load sheet'!J43,"AAAAAH9J+2o=")</f>
        <v>1</v>
      </c>
      <c r="DD241" t="e">
        <f>AND('Black &amp; White load sheet'!K43,"AAAAAH9J+2s=")</f>
        <v>#VALUE!</v>
      </c>
      <c r="DE241" t="b">
        <f>AND('Black &amp; White load sheet'!L43,"AAAAAH9J+2w=")</f>
        <v>1</v>
      </c>
      <c r="DF241" t="b">
        <f>AND('Black &amp; White load sheet'!M43,"AAAAAH9J+20=")</f>
        <v>1</v>
      </c>
      <c r="DG241">
        <f>IF('Black &amp; White load sheet'!44:44,"AAAAAH9J+24=",0)</f>
        <v>0</v>
      </c>
      <c r="DH241" t="b">
        <f>AND('Black &amp; White load sheet'!A44,"AAAAAH9J+28=")</f>
        <v>1</v>
      </c>
      <c r="DI241" t="b">
        <f>AND('Black &amp; White load sheet'!B44,"AAAAAH9J+3A=")</f>
        <v>1</v>
      </c>
      <c r="DJ241" t="b">
        <f>AND('Black &amp; White load sheet'!C44,"AAAAAH9J+3E=")</f>
        <v>0</v>
      </c>
      <c r="DK241" t="b">
        <f>AND('Black &amp; White load sheet'!D44,"AAAAAH9J+3I=")</f>
        <v>0</v>
      </c>
      <c r="DL241" t="b">
        <f>AND('Black &amp; White load sheet'!E44,"AAAAAH9J+3M=")</f>
        <v>0</v>
      </c>
      <c r="DM241" t="b">
        <f>AND('Black &amp; White load sheet'!F44,"AAAAAH9J+3Q=")</f>
        <v>0</v>
      </c>
      <c r="DN241" t="b">
        <f>AND('Black &amp; White load sheet'!G44,"AAAAAH9J+3U=")</f>
        <v>0</v>
      </c>
      <c r="DO241" t="b">
        <f>AND('Black &amp; White load sheet'!H44,"AAAAAH9J+3Y=")</f>
        <v>0</v>
      </c>
      <c r="DP241" t="b">
        <f>AND('Black &amp; White load sheet'!I44,"AAAAAH9J+3c=")</f>
        <v>0</v>
      </c>
      <c r="DQ241" t="b">
        <f>AND('Black &amp; White load sheet'!J44,"AAAAAH9J+3g=")</f>
        <v>0</v>
      </c>
      <c r="DR241" t="e">
        <f>AND('Black &amp; White load sheet'!K44,"AAAAAH9J+3k=")</f>
        <v>#VALUE!</v>
      </c>
      <c r="DS241" t="b">
        <f>AND('Black &amp; White load sheet'!L44,"AAAAAH9J+3o=")</f>
        <v>1</v>
      </c>
      <c r="DT241" t="b">
        <f>AND('Black &amp; White load sheet'!M44,"AAAAAH9J+3s=")</f>
        <v>1</v>
      </c>
      <c r="DU241">
        <f>IF('Black &amp; White load sheet'!45:45,"AAAAAH9J+3w=",0)</f>
        <v>0</v>
      </c>
      <c r="DV241" t="b">
        <f>AND('Black &amp; White load sheet'!A45,"AAAAAH9J+30=")</f>
        <v>1</v>
      </c>
      <c r="DW241" t="b">
        <f>AND('Black &amp; White load sheet'!B45,"AAAAAH9J+34=")</f>
        <v>1</v>
      </c>
      <c r="DX241" t="b">
        <f>AND('Black &amp; White load sheet'!C45,"AAAAAH9J+38=")</f>
        <v>0</v>
      </c>
      <c r="DY241" t="b">
        <f>AND('Black &amp; White load sheet'!D45,"AAAAAH9J+4A=")</f>
        <v>0</v>
      </c>
      <c r="DZ241" t="b">
        <f>AND('Black &amp; White load sheet'!E45,"AAAAAH9J+4E=")</f>
        <v>0</v>
      </c>
      <c r="EA241" t="b">
        <f>AND('Black &amp; White load sheet'!F45,"AAAAAH9J+4I=")</f>
        <v>0</v>
      </c>
      <c r="EB241" t="b">
        <f>AND('Black &amp; White load sheet'!G45,"AAAAAH9J+4M=")</f>
        <v>0</v>
      </c>
      <c r="EC241" t="b">
        <f>AND('Black &amp; White load sheet'!H45,"AAAAAH9J+4Q=")</f>
        <v>0</v>
      </c>
      <c r="ED241" t="b">
        <f>AND('Black &amp; White load sheet'!I45,"AAAAAH9J+4U=")</f>
        <v>0</v>
      </c>
      <c r="EE241" t="b">
        <f>AND('Black &amp; White load sheet'!J45,"AAAAAH9J+4Y=")</f>
        <v>1</v>
      </c>
      <c r="EF241" t="e">
        <f>AND('Black &amp; White load sheet'!K45,"AAAAAH9J+4c=")</f>
        <v>#VALUE!</v>
      </c>
      <c r="EG241" t="b">
        <f>AND('Black &amp; White load sheet'!L45,"AAAAAH9J+4g=")</f>
        <v>1</v>
      </c>
      <c r="EH241" t="b">
        <f>AND('Black &amp; White load sheet'!M45,"AAAAAH9J+4k=")</f>
        <v>1</v>
      </c>
      <c r="EI241">
        <f>IF('Black &amp; White load sheet'!46:46,"AAAAAH9J+4o=",0)</f>
        <v>0</v>
      </c>
      <c r="EJ241" t="b">
        <f>AND('Black &amp; White load sheet'!A46,"AAAAAH9J+4s=")</f>
        <v>1</v>
      </c>
      <c r="EK241" t="b">
        <f>AND('Black &amp; White load sheet'!B46,"AAAAAH9J+4w=")</f>
        <v>1</v>
      </c>
      <c r="EL241" t="b">
        <f>AND('Black &amp; White load sheet'!C46,"AAAAAH9J+40=")</f>
        <v>0</v>
      </c>
      <c r="EM241" t="b">
        <f>AND('Black &amp; White load sheet'!D46,"AAAAAH9J+44=")</f>
        <v>0</v>
      </c>
      <c r="EN241" t="b">
        <f>AND('Black &amp; White load sheet'!E46,"AAAAAH9J+48=")</f>
        <v>0</v>
      </c>
      <c r="EO241" t="b">
        <f>AND('Black &amp; White load sheet'!F46,"AAAAAH9J+5A=")</f>
        <v>0</v>
      </c>
      <c r="EP241" t="b">
        <f>AND('Black &amp; White load sheet'!G46,"AAAAAH9J+5E=")</f>
        <v>0</v>
      </c>
      <c r="EQ241" t="b">
        <f>AND('Black &amp; White load sheet'!H46,"AAAAAH9J+5I=")</f>
        <v>0</v>
      </c>
      <c r="ER241" t="b">
        <f>AND('Black &amp; White load sheet'!I46,"AAAAAH9J+5M=")</f>
        <v>1</v>
      </c>
      <c r="ES241" t="b">
        <f>AND('Black &amp; White load sheet'!J46,"AAAAAH9J+5Q=")</f>
        <v>0</v>
      </c>
      <c r="ET241" t="e">
        <f>AND('Black &amp; White load sheet'!K46,"AAAAAH9J+5U=")</f>
        <v>#VALUE!</v>
      </c>
      <c r="EU241" t="b">
        <f>AND('Black &amp; White load sheet'!L46,"AAAAAH9J+5Y=")</f>
        <v>1</v>
      </c>
      <c r="EV241" t="b">
        <f>AND('Black &amp; White load sheet'!M46,"AAAAAH9J+5c=")</f>
        <v>1</v>
      </c>
      <c r="EW241">
        <f>IF('Black &amp; White load sheet'!47:47,"AAAAAH9J+5g=",0)</f>
        <v>0</v>
      </c>
      <c r="EX241" t="b">
        <f>AND('Black &amp; White load sheet'!A47,"AAAAAH9J+5k=")</f>
        <v>1</v>
      </c>
      <c r="EY241" t="b">
        <f>AND('Black &amp; White load sheet'!B47,"AAAAAH9J+5o=")</f>
        <v>1</v>
      </c>
      <c r="EZ241" t="b">
        <f>AND('Black &amp; White load sheet'!C47,"AAAAAH9J+5s=")</f>
        <v>0</v>
      </c>
      <c r="FA241" t="b">
        <f>AND('Black &amp; White load sheet'!D47,"AAAAAH9J+5w=")</f>
        <v>0</v>
      </c>
      <c r="FB241" t="b">
        <f>AND('Black &amp; White load sheet'!E47,"AAAAAH9J+50=")</f>
        <v>0</v>
      </c>
      <c r="FC241" t="b">
        <f>AND('Black &amp; White load sheet'!F47,"AAAAAH9J+54=")</f>
        <v>0</v>
      </c>
      <c r="FD241" t="b">
        <f>AND('Black &amp; White load sheet'!G47,"AAAAAH9J+58=")</f>
        <v>0</v>
      </c>
      <c r="FE241" t="b">
        <f>AND('Black &amp; White load sheet'!H47,"AAAAAH9J+6A=")</f>
        <v>0</v>
      </c>
      <c r="FF241" t="b">
        <f>AND('Black &amp; White load sheet'!I47,"AAAAAH9J+6E=")</f>
        <v>1</v>
      </c>
      <c r="FG241" t="b">
        <f>AND('Black &amp; White load sheet'!J47,"AAAAAH9J+6I=")</f>
        <v>1</v>
      </c>
      <c r="FH241" t="e">
        <f>AND('Black &amp; White load sheet'!K47,"AAAAAH9J+6M=")</f>
        <v>#VALUE!</v>
      </c>
      <c r="FI241" t="b">
        <f>AND('Black &amp; White load sheet'!L47,"AAAAAH9J+6Q=")</f>
        <v>1</v>
      </c>
      <c r="FJ241" t="b">
        <f>AND('Black &amp; White load sheet'!M47,"AAAAAH9J+6U=")</f>
        <v>1</v>
      </c>
      <c r="FK241">
        <f>IF('Black &amp; White load sheet'!48:48,"AAAAAH9J+6Y=",0)</f>
        <v>0</v>
      </c>
      <c r="FL241" t="b">
        <f>AND('Black &amp; White load sheet'!A48,"AAAAAH9J+6c=")</f>
        <v>1</v>
      </c>
      <c r="FM241" t="b">
        <f>AND('Black &amp; White load sheet'!B48,"AAAAAH9J+6g=")</f>
        <v>1</v>
      </c>
      <c r="FN241" t="b">
        <f>AND('Black &amp; White load sheet'!C48,"AAAAAH9J+6k=")</f>
        <v>0</v>
      </c>
      <c r="FO241" t="b">
        <f>AND('Black &amp; White load sheet'!D48,"AAAAAH9J+6o=")</f>
        <v>0</v>
      </c>
      <c r="FP241" t="b">
        <f>AND('Black &amp; White load sheet'!E48,"AAAAAH9J+6s=")</f>
        <v>0</v>
      </c>
      <c r="FQ241" t="b">
        <f>AND('Black &amp; White load sheet'!F48,"AAAAAH9J+6w=")</f>
        <v>0</v>
      </c>
      <c r="FR241" t="b">
        <f>AND('Black &amp; White load sheet'!G48,"AAAAAH9J+60=")</f>
        <v>0</v>
      </c>
      <c r="FS241" t="b">
        <f>AND('Black &amp; White load sheet'!H48,"AAAAAH9J+64=")</f>
        <v>1</v>
      </c>
      <c r="FT241" t="b">
        <f>AND('Black &amp; White load sheet'!I48,"AAAAAH9J+68=")</f>
        <v>0</v>
      </c>
      <c r="FU241" t="b">
        <f>AND('Black &amp; White load sheet'!J48,"AAAAAH9J+7A=")</f>
        <v>0</v>
      </c>
      <c r="FV241" t="e">
        <f>AND('Black &amp; White load sheet'!K48,"AAAAAH9J+7E=")</f>
        <v>#VALUE!</v>
      </c>
      <c r="FW241" t="b">
        <f>AND('Black &amp; White load sheet'!L48,"AAAAAH9J+7I=")</f>
        <v>1</v>
      </c>
      <c r="FX241" t="b">
        <f>AND('Black &amp; White load sheet'!M48,"AAAAAH9J+7M=")</f>
        <v>1</v>
      </c>
      <c r="FY241">
        <f>IF('Black &amp; White load sheet'!49:49,"AAAAAH9J+7Q=",0)</f>
        <v>0</v>
      </c>
      <c r="FZ241" t="b">
        <f>AND('Black &amp; White load sheet'!A49,"AAAAAH9J+7U=")</f>
        <v>1</v>
      </c>
      <c r="GA241" t="b">
        <f>AND('Black &amp; White load sheet'!B49,"AAAAAH9J+7Y=")</f>
        <v>1</v>
      </c>
      <c r="GB241" t="b">
        <f>AND('Black &amp; White load sheet'!C49,"AAAAAH9J+7c=")</f>
        <v>0</v>
      </c>
      <c r="GC241" t="b">
        <f>AND('Black &amp; White load sheet'!D49,"AAAAAH9J+7g=")</f>
        <v>0</v>
      </c>
      <c r="GD241" t="b">
        <f>AND('Black &amp; White load sheet'!E49,"AAAAAH9J+7k=")</f>
        <v>0</v>
      </c>
      <c r="GE241" t="b">
        <f>AND('Black &amp; White load sheet'!F49,"AAAAAH9J+7o=")</f>
        <v>0</v>
      </c>
      <c r="GF241" t="b">
        <f>AND('Black &amp; White load sheet'!G49,"AAAAAH9J+7s=")</f>
        <v>0</v>
      </c>
      <c r="GG241" t="b">
        <f>AND('Black &amp; White load sheet'!H49,"AAAAAH9J+7w=")</f>
        <v>1</v>
      </c>
      <c r="GH241" t="b">
        <f>AND('Black &amp; White load sheet'!I49,"AAAAAH9J+70=")</f>
        <v>0</v>
      </c>
      <c r="GI241" t="b">
        <f>AND('Black &amp; White load sheet'!J49,"AAAAAH9J+74=")</f>
        <v>1</v>
      </c>
      <c r="GJ241" t="e">
        <f>AND('Black &amp; White load sheet'!K49,"AAAAAH9J+78=")</f>
        <v>#VALUE!</v>
      </c>
      <c r="GK241" t="b">
        <f>AND('Black &amp; White load sheet'!L49,"AAAAAH9J+8A=")</f>
        <v>1</v>
      </c>
      <c r="GL241" t="b">
        <f>AND('Black &amp; White load sheet'!M49,"AAAAAH9J+8E=")</f>
        <v>1</v>
      </c>
      <c r="GM241">
        <f>IF('Black &amp; White load sheet'!50:50,"AAAAAH9J+8I=",0)</f>
        <v>0</v>
      </c>
      <c r="GN241" t="b">
        <f>AND('Black &amp; White load sheet'!A50,"AAAAAH9J+8M=")</f>
        <v>1</v>
      </c>
      <c r="GO241" t="b">
        <f>AND('Black &amp; White load sheet'!B50,"AAAAAH9J+8Q=")</f>
        <v>1</v>
      </c>
      <c r="GP241" t="b">
        <f>AND('Black &amp; White load sheet'!C50,"AAAAAH9J+8U=")</f>
        <v>0</v>
      </c>
      <c r="GQ241" t="b">
        <f>AND('Black &amp; White load sheet'!D50,"AAAAAH9J+8Y=")</f>
        <v>0</v>
      </c>
      <c r="GR241" t="b">
        <f>AND('Black &amp; White load sheet'!E50,"AAAAAH9J+8c=")</f>
        <v>0</v>
      </c>
      <c r="GS241" t="b">
        <f>AND('Black &amp; White load sheet'!F50,"AAAAAH9J+8g=")</f>
        <v>0</v>
      </c>
      <c r="GT241" t="b">
        <f>AND('Black &amp; White load sheet'!G50,"AAAAAH9J+8k=")</f>
        <v>0</v>
      </c>
      <c r="GU241" t="b">
        <f>AND('Black &amp; White load sheet'!H50,"AAAAAH9J+8o=")</f>
        <v>1</v>
      </c>
      <c r="GV241" t="b">
        <f>AND('Black &amp; White load sheet'!I50,"AAAAAH9J+8s=")</f>
        <v>1</v>
      </c>
      <c r="GW241" t="b">
        <f>AND('Black &amp; White load sheet'!J50,"AAAAAH9J+8w=")</f>
        <v>0</v>
      </c>
      <c r="GX241" t="e">
        <f>AND('Black &amp; White load sheet'!K50,"AAAAAH9J+80=")</f>
        <v>#VALUE!</v>
      </c>
      <c r="GY241" t="b">
        <f>AND('Black &amp; White load sheet'!L50,"AAAAAH9J+84=")</f>
        <v>1</v>
      </c>
      <c r="GZ241" t="b">
        <f>AND('Black &amp; White load sheet'!M50,"AAAAAH9J+88=")</f>
        <v>1</v>
      </c>
      <c r="HA241">
        <f>IF('Black &amp; White load sheet'!51:51,"AAAAAH9J+9A=",0)</f>
        <v>0</v>
      </c>
      <c r="HB241" t="b">
        <f>AND('Black &amp; White load sheet'!A51,"AAAAAH9J+9E=")</f>
        <v>1</v>
      </c>
      <c r="HC241" t="b">
        <f>AND('Black &amp; White load sheet'!B51,"AAAAAH9J+9I=")</f>
        <v>1</v>
      </c>
      <c r="HD241" t="b">
        <f>AND('Black &amp; White load sheet'!C51,"AAAAAH9J+9M=")</f>
        <v>0</v>
      </c>
      <c r="HE241" t="b">
        <f>AND('Black &amp; White load sheet'!D51,"AAAAAH9J+9Q=")</f>
        <v>0</v>
      </c>
      <c r="HF241" t="b">
        <f>AND('Black &amp; White load sheet'!E51,"AAAAAH9J+9U=")</f>
        <v>0</v>
      </c>
      <c r="HG241" t="b">
        <f>AND('Black &amp; White load sheet'!F51,"AAAAAH9J+9Y=")</f>
        <v>0</v>
      </c>
      <c r="HH241" t="b">
        <f>AND('Black &amp; White load sheet'!G51,"AAAAAH9J+9c=")</f>
        <v>0</v>
      </c>
      <c r="HI241" t="b">
        <f>AND('Black &amp; White load sheet'!H51,"AAAAAH9J+9g=")</f>
        <v>1</v>
      </c>
      <c r="HJ241" t="b">
        <f>AND('Black &amp; White load sheet'!I51,"AAAAAH9J+9k=")</f>
        <v>1</v>
      </c>
      <c r="HK241" t="b">
        <f>AND('Black &amp; White load sheet'!J51,"AAAAAH9J+9o=")</f>
        <v>1</v>
      </c>
      <c r="HL241" t="e">
        <f>AND('Black &amp; White load sheet'!K51,"AAAAAH9J+9s=")</f>
        <v>#VALUE!</v>
      </c>
      <c r="HM241" t="b">
        <f>AND('Black &amp; White load sheet'!L51,"AAAAAH9J+9w=")</f>
        <v>1</v>
      </c>
      <c r="HN241" t="b">
        <f>AND('Black &amp; White load sheet'!M51,"AAAAAH9J+90=")</f>
        <v>1</v>
      </c>
      <c r="HO241">
        <f>IF('Black &amp; White load sheet'!52:52,"AAAAAH9J+94=",0)</f>
        <v>0</v>
      </c>
      <c r="HP241" t="b">
        <f>AND('Black &amp; White load sheet'!A52,"AAAAAH9J+98=")</f>
        <v>1</v>
      </c>
      <c r="HQ241" t="b">
        <f>AND('Black &amp; White load sheet'!B52,"AAAAAH9J++A=")</f>
        <v>1</v>
      </c>
      <c r="HR241" t="b">
        <f>AND('Black &amp; White load sheet'!C52,"AAAAAH9J++E=")</f>
        <v>0</v>
      </c>
      <c r="HS241" t="b">
        <f>AND('Black &amp; White load sheet'!D52,"AAAAAH9J++I=")</f>
        <v>0</v>
      </c>
      <c r="HT241" t="b">
        <f>AND('Black &amp; White load sheet'!E52,"AAAAAH9J++M=")</f>
        <v>0</v>
      </c>
      <c r="HU241" t="b">
        <f>AND('Black &amp; White load sheet'!F52,"AAAAAH9J++Q=")</f>
        <v>0</v>
      </c>
      <c r="HV241" t="b">
        <f>AND('Black &amp; White load sheet'!G52,"AAAAAH9J++U=")</f>
        <v>1</v>
      </c>
      <c r="HW241" t="b">
        <f>AND('Black &amp; White load sheet'!H52,"AAAAAH9J++Y=")</f>
        <v>0</v>
      </c>
      <c r="HX241" t="b">
        <f>AND('Black &amp; White load sheet'!I52,"AAAAAH9J++c=")</f>
        <v>0</v>
      </c>
      <c r="HY241" t="b">
        <f>AND('Black &amp; White load sheet'!J52,"AAAAAH9J++g=")</f>
        <v>0</v>
      </c>
      <c r="HZ241" t="e">
        <f>AND('Black &amp; White load sheet'!K52,"AAAAAH9J++k=")</f>
        <v>#VALUE!</v>
      </c>
      <c r="IA241" t="b">
        <f>AND('Black &amp; White load sheet'!L52,"AAAAAH9J++o=")</f>
        <v>1</v>
      </c>
      <c r="IB241" t="b">
        <f>AND('Black &amp; White load sheet'!M52,"AAAAAH9J++s=")</f>
        <v>1</v>
      </c>
      <c r="IC241">
        <f>IF('Black &amp; White load sheet'!53:53,"AAAAAH9J++w=",0)</f>
        <v>0</v>
      </c>
      <c r="ID241" t="b">
        <f>AND('Black &amp; White load sheet'!A53,"AAAAAH9J++0=")</f>
        <v>1</v>
      </c>
      <c r="IE241" t="b">
        <f>AND('Black &amp; White load sheet'!B53,"AAAAAH9J++4=")</f>
        <v>1</v>
      </c>
      <c r="IF241" t="b">
        <f>AND('Black &amp; White load sheet'!C53,"AAAAAH9J++8=")</f>
        <v>0</v>
      </c>
      <c r="IG241" t="b">
        <f>AND('Black &amp; White load sheet'!D53,"AAAAAH9J+/A=")</f>
        <v>0</v>
      </c>
      <c r="IH241" t="b">
        <f>AND('Black &amp; White load sheet'!E53,"AAAAAH9J+/E=")</f>
        <v>0</v>
      </c>
      <c r="II241" t="b">
        <f>AND('Black &amp; White load sheet'!F53,"AAAAAH9J+/I=")</f>
        <v>0</v>
      </c>
      <c r="IJ241" t="b">
        <f>AND('Black &amp; White load sheet'!G53,"AAAAAH9J+/M=")</f>
        <v>1</v>
      </c>
      <c r="IK241" t="b">
        <f>AND('Black &amp; White load sheet'!H53,"AAAAAH9J+/Q=")</f>
        <v>0</v>
      </c>
      <c r="IL241" t="b">
        <f>AND('Black &amp; White load sheet'!I53,"AAAAAH9J+/U=")</f>
        <v>0</v>
      </c>
      <c r="IM241" t="b">
        <f>AND('Black &amp; White load sheet'!J53,"AAAAAH9J+/Y=")</f>
        <v>1</v>
      </c>
      <c r="IN241" t="e">
        <f>AND('Black &amp; White load sheet'!K53,"AAAAAH9J+/c=")</f>
        <v>#VALUE!</v>
      </c>
      <c r="IO241" t="b">
        <f>AND('Black &amp; White load sheet'!L53,"AAAAAH9J+/g=")</f>
        <v>1</v>
      </c>
      <c r="IP241" t="b">
        <f>AND('Black &amp; White load sheet'!M53,"AAAAAH9J+/k=")</f>
        <v>1</v>
      </c>
      <c r="IQ241">
        <f>IF('Black &amp; White load sheet'!54:54,"AAAAAH9J+/o=",0)</f>
        <v>0</v>
      </c>
      <c r="IR241" t="b">
        <f>AND('Black &amp; White load sheet'!A54,"AAAAAH9J+/s=")</f>
        <v>1</v>
      </c>
      <c r="IS241" t="b">
        <f>AND('Black &amp; White load sheet'!B54,"AAAAAH9J+/w=")</f>
        <v>1</v>
      </c>
      <c r="IT241" t="b">
        <f>AND('Black &amp; White load sheet'!C54,"AAAAAH9J+/0=")</f>
        <v>0</v>
      </c>
      <c r="IU241" t="b">
        <f>AND('Black &amp; White load sheet'!D54,"AAAAAH9J+/4=")</f>
        <v>0</v>
      </c>
      <c r="IV241" t="b">
        <f>AND('Black &amp; White load sheet'!E54,"AAAAAH9J+/8=")</f>
        <v>0</v>
      </c>
    </row>
    <row r="242" spans="1:256" x14ac:dyDescent="0.25">
      <c r="A242" t="b">
        <f>AND('Black &amp; White load sheet'!F54,"AAAAAHRPcwA=")</f>
        <v>0</v>
      </c>
      <c r="B242" t="b">
        <f>AND('Black &amp; White load sheet'!G54,"AAAAAHRPcwE=")</f>
        <v>1</v>
      </c>
      <c r="C242" t="b">
        <f>AND('Black &amp; White load sheet'!H54,"AAAAAHRPcwI=")</f>
        <v>0</v>
      </c>
      <c r="D242" t="b">
        <f>AND('Black &amp; White load sheet'!I54,"AAAAAHRPcwM=")</f>
        <v>1</v>
      </c>
      <c r="E242" t="b">
        <f>AND('Black &amp; White load sheet'!J54,"AAAAAHRPcwQ=")</f>
        <v>0</v>
      </c>
      <c r="F242" t="e">
        <f>AND('Black &amp; White load sheet'!K54,"AAAAAHRPcwU=")</f>
        <v>#VALUE!</v>
      </c>
      <c r="G242" t="b">
        <f>AND('Black &amp; White load sheet'!L54,"AAAAAHRPcwY=")</f>
        <v>1</v>
      </c>
      <c r="H242" t="b">
        <f>AND('Black &amp; White load sheet'!M54,"AAAAAHRPcwc=")</f>
        <v>1</v>
      </c>
      <c r="I242" t="str">
        <f>IF('Black &amp; White load sheet'!55:55,"AAAAAHRPcwg=",0)</f>
        <v>AAAAAHRPcwg=</v>
      </c>
      <c r="J242" t="b">
        <f>AND('Black &amp; White load sheet'!A55,"AAAAAHRPcwk=")</f>
        <v>1</v>
      </c>
      <c r="K242" t="b">
        <f>AND('Black &amp; White load sheet'!B55,"AAAAAHRPcwo=")</f>
        <v>1</v>
      </c>
      <c r="L242" t="b">
        <f>AND('Black &amp; White load sheet'!C55,"AAAAAHRPcws=")</f>
        <v>0</v>
      </c>
      <c r="M242" t="b">
        <f>AND('Black &amp; White load sheet'!D55,"AAAAAHRPcww=")</f>
        <v>0</v>
      </c>
      <c r="N242" t="b">
        <f>AND('Black &amp; White load sheet'!E55,"AAAAAHRPcw0=")</f>
        <v>0</v>
      </c>
      <c r="O242" t="b">
        <f>AND('Black &amp; White load sheet'!F55,"AAAAAHRPcw4=")</f>
        <v>0</v>
      </c>
      <c r="P242" t="b">
        <f>AND('Black &amp; White load sheet'!G55,"AAAAAHRPcw8=")</f>
        <v>1</v>
      </c>
      <c r="Q242" t="b">
        <f>AND('Black &amp; White load sheet'!H55,"AAAAAHRPcxA=")</f>
        <v>0</v>
      </c>
      <c r="R242" t="b">
        <f>AND('Black &amp; White load sheet'!I55,"AAAAAHRPcxE=")</f>
        <v>1</v>
      </c>
      <c r="S242" t="b">
        <f>AND('Black &amp; White load sheet'!J55,"AAAAAHRPcxI=")</f>
        <v>1</v>
      </c>
      <c r="T242" t="e">
        <f>AND('Black &amp; White load sheet'!K55,"AAAAAHRPcxM=")</f>
        <v>#VALUE!</v>
      </c>
      <c r="U242" t="b">
        <f>AND('Black &amp; White load sheet'!L55,"AAAAAHRPcxQ=")</f>
        <v>1</v>
      </c>
      <c r="V242" t="b">
        <f>AND('Black &amp; White load sheet'!M55,"AAAAAHRPcxU=")</f>
        <v>1</v>
      </c>
      <c r="W242">
        <f>IF('Black &amp; White load sheet'!56:56,"AAAAAHRPcxY=",0)</f>
        <v>0</v>
      </c>
      <c r="X242" t="b">
        <f>AND('Black &amp; White load sheet'!A56,"AAAAAHRPcxc=")</f>
        <v>1</v>
      </c>
      <c r="Y242" t="b">
        <f>AND('Black &amp; White load sheet'!B56,"AAAAAHRPcxg=")</f>
        <v>1</v>
      </c>
      <c r="Z242" t="b">
        <f>AND('Black &amp; White load sheet'!C56,"AAAAAHRPcxk=")</f>
        <v>0</v>
      </c>
      <c r="AA242" t="b">
        <f>AND('Black &amp; White load sheet'!D56,"AAAAAHRPcxo=")</f>
        <v>0</v>
      </c>
      <c r="AB242" t="b">
        <f>AND('Black &amp; White load sheet'!E56,"AAAAAHRPcxs=")</f>
        <v>0</v>
      </c>
      <c r="AC242" t="b">
        <f>AND('Black &amp; White load sheet'!F56,"AAAAAHRPcxw=")</f>
        <v>1</v>
      </c>
      <c r="AD242" t="b">
        <f>AND('Black &amp; White load sheet'!G56,"AAAAAHRPcx0=")</f>
        <v>0</v>
      </c>
      <c r="AE242" t="b">
        <f>AND('Black &amp; White load sheet'!H56,"AAAAAHRPcx4=")</f>
        <v>0</v>
      </c>
      <c r="AF242" t="b">
        <f>AND('Black &amp; White load sheet'!I56,"AAAAAHRPcx8=")</f>
        <v>0</v>
      </c>
      <c r="AG242" t="b">
        <f>AND('Black &amp; White load sheet'!J56,"AAAAAHRPcyA=")</f>
        <v>0</v>
      </c>
      <c r="AH242" t="e">
        <f>AND('Black &amp; White load sheet'!K56,"AAAAAHRPcyE=")</f>
        <v>#VALUE!</v>
      </c>
      <c r="AI242" t="b">
        <f>AND('Black &amp; White load sheet'!L56,"AAAAAHRPcyI=")</f>
        <v>1</v>
      </c>
      <c r="AJ242" t="b">
        <f>AND('Black &amp; White load sheet'!M56,"AAAAAHRPcyM=")</f>
        <v>1</v>
      </c>
      <c r="AK242">
        <f>IF('Black &amp; White load sheet'!57:57,"AAAAAHRPcyQ=",0)</f>
        <v>0</v>
      </c>
      <c r="AL242" t="b">
        <f>AND('Black &amp; White load sheet'!A57,"AAAAAHRPcyU=")</f>
        <v>1</v>
      </c>
      <c r="AM242" t="b">
        <f>AND('Black &amp; White load sheet'!B57,"AAAAAHRPcyY=")</f>
        <v>1</v>
      </c>
      <c r="AN242" t="b">
        <f>AND('Black &amp; White load sheet'!C57,"AAAAAHRPcyc=")</f>
        <v>0</v>
      </c>
      <c r="AO242" t="b">
        <f>AND('Black &amp; White load sheet'!D57,"AAAAAHRPcyg=")</f>
        <v>0</v>
      </c>
      <c r="AP242" t="b">
        <f>AND('Black &amp; White load sheet'!E57,"AAAAAHRPcyk=")</f>
        <v>0</v>
      </c>
      <c r="AQ242" t="b">
        <f>AND('Black &amp; White load sheet'!F57,"AAAAAHRPcyo=")</f>
        <v>1</v>
      </c>
      <c r="AR242" t="b">
        <f>AND('Black &amp; White load sheet'!G57,"AAAAAHRPcys=")</f>
        <v>0</v>
      </c>
      <c r="AS242" t="b">
        <f>AND('Black &amp; White load sheet'!H57,"AAAAAHRPcyw=")</f>
        <v>0</v>
      </c>
      <c r="AT242" t="b">
        <f>AND('Black &amp; White load sheet'!I57,"AAAAAHRPcy0=")</f>
        <v>0</v>
      </c>
      <c r="AU242" t="b">
        <f>AND('Black &amp; White load sheet'!J57,"AAAAAHRPcy4=")</f>
        <v>1</v>
      </c>
      <c r="AV242" t="e">
        <f>AND('Black &amp; White load sheet'!K57,"AAAAAHRPcy8=")</f>
        <v>#VALUE!</v>
      </c>
      <c r="AW242" t="b">
        <f>AND('Black &amp; White load sheet'!L57,"AAAAAHRPczA=")</f>
        <v>1</v>
      </c>
      <c r="AX242" t="b">
        <f>AND('Black &amp; White load sheet'!M57,"AAAAAHRPczE=")</f>
        <v>1</v>
      </c>
      <c r="AY242">
        <f>IF('Black &amp; White load sheet'!58:58,"AAAAAHRPczI=",0)</f>
        <v>0</v>
      </c>
      <c r="AZ242" t="b">
        <f>AND('Black &amp; White load sheet'!A58,"AAAAAHRPczM=")</f>
        <v>1</v>
      </c>
      <c r="BA242" t="b">
        <f>AND('Black &amp; White load sheet'!B58,"AAAAAHRPczQ=")</f>
        <v>1</v>
      </c>
      <c r="BB242" t="b">
        <f>AND('Black &amp; White load sheet'!C58,"AAAAAHRPczU=")</f>
        <v>0</v>
      </c>
      <c r="BC242" t="b">
        <f>AND('Black &amp; White load sheet'!D58,"AAAAAHRPczY=")</f>
        <v>0</v>
      </c>
      <c r="BD242" t="b">
        <f>AND('Black &amp; White load sheet'!E58,"AAAAAHRPczc=")</f>
        <v>0</v>
      </c>
      <c r="BE242" t="b">
        <f>AND('Black &amp; White load sheet'!F58,"AAAAAHRPczg=")</f>
        <v>1</v>
      </c>
      <c r="BF242" t="b">
        <f>AND('Black &amp; White load sheet'!G58,"AAAAAHRPczk=")</f>
        <v>0</v>
      </c>
      <c r="BG242" t="b">
        <f>AND('Black &amp; White load sheet'!H58,"AAAAAHRPczo=")</f>
        <v>0</v>
      </c>
      <c r="BH242" t="b">
        <f>AND('Black &amp; White load sheet'!I58,"AAAAAHRPczs=")</f>
        <v>1</v>
      </c>
      <c r="BI242" t="b">
        <f>AND('Black &amp; White load sheet'!J58,"AAAAAHRPczw=")</f>
        <v>0</v>
      </c>
      <c r="BJ242" t="e">
        <f>AND('Black &amp; White load sheet'!K58,"AAAAAHRPcz0=")</f>
        <v>#VALUE!</v>
      </c>
      <c r="BK242" t="b">
        <f>AND('Black &amp; White load sheet'!L58,"AAAAAHRPcz4=")</f>
        <v>1</v>
      </c>
      <c r="BL242" t="b">
        <f>AND('Black &amp; White load sheet'!M58,"AAAAAHRPcz8=")</f>
        <v>1</v>
      </c>
      <c r="BM242">
        <f>IF('Black &amp; White load sheet'!59:59,"AAAAAHRPc0A=",0)</f>
        <v>0</v>
      </c>
      <c r="BN242" t="b">
        <f>AND('Black &amp; White load sheet'!A59,"AAAAAHRPc0E=")</f>
        <v>1</v>
      </c>
      <c r="BO242" t="b">
        <f>AND('Black &amp; White load sheet'!B59,"AAAAAHRPc0I=")</f>
        <v>1</v>
      </c>
      <c r="BP242" t="b">
        <f>AND('Black &amp; White load sheet'!C59,"AAAAAHRPc0M=")</f>
        <v>0</v>
      </c>
      <c r="BQ242" t="b">
        <f>AND('Black &amp; White load sheet'!D59,"AAAAAHRPc0Q=")</f>
        <v>0</v>
      </c>
      <c r="BR242" t="b">
        <f>AND('Black &amp; White load sheet'!E59,"AAAAAHRPc0U=")</f>
        <v>0</v>
      </c>
      <c r="BS242" t="b">
        <f>AND('Black &amp; White load sheet'!F59,"AAAAAHRPc0Y=")</f>
        <v>1</v>
      </c>
      <c r="BT242" t="b">
        <f>AND('Black &amp; White load sheet'!G59,"AAAAAHRPc0c=")</f>
        <v>0</v>
      </c>
      <c r="BU242" t="b">
        <f>AND('Black &amp; White load sheet'!H59,"AAAAAHRPc0g=")</f>
        <v>0</v>
      </c>
      <c r="BV242" t="b">
        <f>AND('Black &amp; White load sheet'!I59,"AAAAAHRPc0k=")</f>
        <v>1</v>
      </c>
      <c r="BW242" t="b">
        <f>AND('Black &amp; White load sheet'!J59,"AAAAAHRPc0o=")</f>
        <v>1</v>
      </c>
      <c r="BX242" t="e">
        <f>AND('Black &amp; White load sheet'!K59,"AAAAAHRPc0s=")</f>
        <v>#VALUE!</v>
      </c>
      <c r="BY242" t="b">
        <f>AND('Black &amp; White load sheet'!L59,"AAAAAHRPc0w=")</f>
        <v>1</v>
      </c>
      <c r="BZ242" t="b">
        <f>AND('Black &amp; White load sheet'!M59,"AAAAAHRPc00=")</f>
        <v>1</v>
      </c>
      <c r="CA242">
        <f>IF('Black &amp; White load sheet'!60:60,"AAAAAHRPc04=",0)</f>
        <v>0</v>
      </c>
      <c r="CB242" t="b">
        <f>AND('Black &amp; White load sheet'!A60,"AAAAAHRPc08=")</f>
        <v>1</v>
      </c>
      <c r="CC242" t="b">
        <f>AND('Black &amp; White load sheet'!B60,"AAAAAHRPc1A=")</f>
        <v>1</v>
      </c>
      <c r="CD242" t="b">
        <f>AND('Black &amp; White load sheet'!C60,"AAAAAHRPc1E=")</f>
        <v>0</v>
      </c>
      <c r="CE242" t="b">
        <f>AND('Black &amp; White load sheet'!D60,"AAAAAHRPc1I=")</f>
        <v>0</v>
      </c>
      <c r="CF242" t="b">
        <f>AND('Black &amp; White load sheet'!E60,"AAAAAHRPc1M=")</f>
        <v>1</v>
      </c>
      <c r="CG242" t="b">
        <f>AND('Black &amp; White load sheet'!F60,"AAAAAHRPc1Q=")</f>
        <v>0</v>
      </c>
      <c r="CH242" t="b">
        <f>AND('Black &amp; White load sheet'!G60,"AAAAAHRPc1U=")</f>
        <v>0</v>
      </c>
      <c r="CI242" t="b">
        <f>AND('Black &amp; White load sheet'!H60,"AAAAAHRPc1Y=")</f>
        <v>0</v>
      </c>
      <c r="CJ242" t="b">
        <f>AND('Black &amp; White load sheet'!I60,"AAAAAHRPc1c=")</f>
        <v>0</v>
      </c>
      <c r="CK242" t="b">
        <f>AND('Black &amp; White load sheet'!J60,"AAAAAHRPc1g=")</f>
        <v>0</v>
      </c>
      <c r="CL242" t="e">
        <f>AND('Black &amp; White load sheet'!K60,"AAAAAHRPc1k=")</f>
        <v>#VALUE!</v>
      </c>
      <c r="CM242" t="b">
        <f>AND('Black &amp; White load sheet'!L60,"AAAAAHRPc1o=")</f>
        <v>1</v>
      </c>
      <c r="CN242" t="b">
        <f>AND('Black &amp; White load sheet'!M60,"AAAAAHRPc1s=")</f>
        <v>1</v>
      </c>
      <c r="CO242">
        <f>IF('Black &amp; White load sheet'!61:61,"AAAAAHRPc1w=",0)</f>
        <v>0</v>
      </c>
      <c r="CP242" t="b">
        <f>AND('Black &amp; White load sheet'!A61,"AAAAAHRPc10=")</f>
        <v>1</v>
      </c>
      <c r="CQ242" t="b">
        <f>AND('Black &amp; White load sheet'!B61,"AAAAAHRPc14=")</f>
        <v>1</v>
      </c>
      <c r="CR242" t="b">
        <f>AND('Black &amp; White load sheet'!C61,"AAAAAHRPc18=")</f>
        <v>0</v>
      </c>
      <c r="CS242" t="b">
        <f>AND('Black &amp; White load sheet'!D61,"AAAAAHRPc2A=")</f>
        <v>0</v>
      </c>
      <c r="CT242" t="b">
        <f>AND('Black &amp; White load sheet'!E61,"AAAAAHRPc2E=")</f>
        <v>1</v>
      </c>
      <c r="CU242" t="b">
        <f>AND('Black &amp; White load sheet'!F61,"AAAAAHRPc2I=")</f>
        <v>0</v>
      </c>
      <c r="CV242" t="b">
        <f>AND('Black &amp; White load sheet'!G61,"AAAAAHRPc2M=")</f>
        <v>0</v>
      </c>
      <c r="CW242" t="b">
        <f>AND('Black &amp; White load sheet'!H61,"AAAAAHRPc2Q=")</f>
        <v>0</v>
      </c>
      <c r="CX242" t="b">
        <f>AND('Black &amp; White load sheet'!I61,"AAAAAHRPc2U=")</f>
        <v>0</v>
      </c>
      <c r="CY242" t="b">
        <f>AND('Black &amp; White load sheet'!J61,"AAAAAHRPc2Y=")</f>
        <v>1</v>
      </c>
      <c r="CZ242" t="e">
        <f>AND('Black &amp; White load sheet'!K61,"AAAAAHRPc2c=")</f>
        <v>#VALUE!</v>
      </c>
      <c r="DA242" t="b">
        <f>AND('Black &amp; White load sheet'!L61,"AAAAAHRPc2g=")</f>
        <v>1</v>
      </c>
      <c r="DB242" t="b">
        <f>AND('Black &amp; White load sheet'!M61,"AAAAAHRPc2k=")</f>
        <v>1</v>
      </c>
      <c r="DC242">
        <f>IF('Black &amp; White load sheet'!62:62,"AAAAAHRPc2o=",0)</f>
        <v>0</v>
      </c>
      <c r="DD242" t="b">
        <f>AND('Black &amp; White load sheet'!A62,"AAAAAHRPc2s=")</f>
        <v>1</v>
      </c>
      <c r="DE242" t="b">
        <f>AND('Black &amp; White load sheet'!B62,"AAAAAHRPc2w=")</f>
        <v>1</v>
      </c>
      <c r="DF242" t="b">
        <f>AND('Black &amp; White load sheet'!C62,"AAAAAHRPc20=")</f>
        <v>0</v>
      </c>
      <c r="DG242" t="b">
        <f>AND('Black &amp; White load sheet'!D62,"AAAAAHRPc24=")</f>
        <v>0</v>
      </c>
      <c r="DH242" t="b">
        <f>AND('Black &amp; White load sheet'!E62,"AAAAAHRPc28=")</f>
        <v>1</v>
      </c>
      <c r="DI242" t="b">
        <f>AND('Black &amp; White load sheet'!F62,"AAAAAHRPc3A=")</f>
        <v>0</v>
      </c>
      <c r="DJ242" t="b">
        <f>AND('Black &amp; White load sheet'!G62,"AAAAAHRPc3E=")</f>
        <v>0</v>
      </c>
      <c r="DK242" t="b">
        <f>AND('Black &amp; White load sheet'!H62,"AAAAAHRPc3I=")</f>
        <v>0</v>
      </c>
      <c r="DL242" t="b">
        <f>AND('Black &amp; White load sheet'!I62,"AAAAAHRPc3M=")</f>
        <v>1</v>
      </c>
      <c r="DM242" t="b">
        <f>AND('Black &amp; White load sheet'!J62,"AAAAAHRPc3Q=")</f>
        <v>0</v>
      </c>
      <c r="DN242" t="e">
        <f>AND('Black &amp; White load sheet'!K62,"AAAAAHRPc3U=")</f>
        <v>#VALUE!</v>
      </c>
      <c r="DO242" t="b">
        <f>AND('Black &amp; White load sheet'!L62,"AAAAAHRPc3Y=")</f>
        <v>1</v>
      </c>
      <c r="DP242" t="b">
        <f>AND('Black &amp; White load sheet'!M62,"AAAAAHRPc3c=")</f>
        <v>1</v>
      </c>
      <c r="DQ242">
        <f>IF('Black &amp; White load sheet'!63:63,"AAAAAHRPc3g=",0)</f>
        <v>0</v>
      </c>
      <c r="DR242" t="b">
        <f>AND('Black &amp; White load sheet'!A63,"AAAAAHRPc3k=")</f>
        <v>1</v>
      </c>
      <c r="DS242" t="b">
        <f>AND('Black &amp; White load sheet'!B63,"AAAAAHRPc3o=")</f>
        <v>1</v>
      </c>
      <c r="DT242" t="b">
        <f>AND('Black &amp; White load sheet'!C63,"AAAAAHRPc3s=")</f>
        <v>0</v>
      </c>
      <c r="DU242" t="b">
        <f>AND('Black &amp; White load sheet'!D63,"AAAAAHRPc3w=")</f>
        <v>0</v>
      </c>
      <c r="DV242" t="b">
        <f>AND('Black &amp; White load sheet'!E63,"AAAAAHRPc30=")</f>
        <v>1</v>
      </c>
      <c r="DW242" t="b">
        <f>AND('Black &amp; White load sheet'!F63,"AAAAAHRPc34=")</f>
        <v>0</v>
      </c>
      <c r="DX242" t="b">
        <f>AND('Black &amp; White load sheet'!G63,"AAAAAHRPc38=")</f>
        <v>0</v>
      </c>
      <c r="DY242" t="b">
        <f>AND('Black &amp; White load sheet'!H63,"AAAAAHRPc4A=")</f>
        <v>0</v>
      </c>
      <c r="DZ242" t="b">
        <f>AND('Black &amp; White load sheet'!I63,"AAAAAHRPc4E=")</f>
        <v>1</v>
      </c>
      <c r="EA242" t="b">
        <f>AND('Black &amp; White load sheet'!J63,"AAAAAHRPc4I=")</f>
        <v>1</v>
      </c>
      <c r="EB242" t="e">
        <f>AND('Black &amp; White load sheet'!K63,"AAAAAHRPc4M=")</f>
        <v>#VALUE!</v>
      </c>
      <c r="EC242" t="b">
        <f>AND('Black &amp; White load sheet'!L63,"AAAAAHRPc4Q=")</f>
        <v>1</v>
      </c>
      <c r="ED242" t="b">
        <f>AND('Black &amp; White load sheet'!M63,"AAAAAHRPc4U=")</f>
        <v>1</v>
      </c>
      <c r="EE242">
        <f>IF('Black &amp; White load sheet'!64:64,"AAAAAHRPc4Y=",0)</f>
        <v>0</v>
      </c>
      <c r="EF242" t="b">
        <f>AND('Black &amp; White load sheet'!A64,"AAAAAHRPc4c=")</f>
        <v>1</v>
      </c>
      <c r="EG242" t="b">
        <f>AND('Black &amp; White load sheet'!B64,"AAAAAHRPc4g=")</f>
        <v>1</v>
      </c>
      <c r="EH242" t="b">
        <f>AND('Black &amp; White load sheet'!C64,"AAAAAHRPc4k=")</f>
        <v>0</v>
      </c>
      <c r="EI242" t="b">
        <f>AND('Black &amp; White load sheet'!D64,"AAAAAHRPc4o=")</f>
        <v>0</v>
      </c>
      <c r="EJ242" t="b">
        <f>AND('Black &amp; White load sheet'!E64,"AAAAAHRPc4s=")</f>
        <v>1</v>
      </c>
      <c r="EK242" t="b">
        <f>AND('Black &amp; White load sheet'!F64,"AAAAAHRPc4w=")</f>
        <v>0</v>
      </c>
      <c r="EL242" t="b">
        <f>AND('Black &amp; White load sheet'!G64,"AAAAAHRPc40=")</f>
        <v>0</v>
      </c>
      <c r="EM242" t="b">
        <f>AND('Black &amp; White load sheet'!H64,"AAAAAHRPc44=")</f>
        <v>1</v>
      </c>
      <c r="EN242" t="b">
        <f>AND('Black &amp; White load sheet'!I64,"AAAAAHRPc48=")</f>
        <v>0</v>
      </c>
      <c r="EO242" t="b">
        <f>AND('Black &amp; White load sheet'!J64,"AAAAAHRPc5A=")</f>
        <v>0</v>
      </c>
      <c r="EP242" t="e">
        <f>AND('Black &amp; White load sheet'!K64,"AAAAAHRPc5E=")</f>
        <v>#VALUE!</v>
      </c>
      <c r="EQ242" t="b">
        <f>AND('Black &amp; White load sheet'!L64,"AAAAAHRPc5I=")</f>
        <v>1</v>
      </c>
      <c r="ER242" t="b">
        <f>AND('Black &amp; White load sheet'!M64,"AAAAAHRPc5M=")</f>
        <v>1</v>
      </c>
      <c r="ES242">
        <f>IF('Black &amp; White load sheet'!65:65,"AAAAAHRPc5Q=",0)</f>
        <v>0</v>
      </c>
      <c r="ET242" t="b">
        <f>AND('Black &amp; White load sheet'!A65,"AAAAAHRPc5U=")</f>
        <v>1</v>
      </c>
      <c r="EU242" t="b">
        <f>AND('Black &amp; White load sheet'!B65,"AAAAAHRPc5Y=")</f>
        <v>1</v>
      </c>
      <c r="EV242" t="b">
        <f>AND('Black &amp; White load sheet'!C65,"AAAAAHRPc5c=")</f>
        <v>0</v>
      </c>
      <c r="EW242" t="b">
        <f>AND('Black &amp; White load sheet'!D65,"AAAAAHRPc5g=")</f>
        <v>0</v>
      </c>
      <c r="EX242" t="b">
        <f>AND('Black &amp; White load sheet'!E65,"AAAAAHRPc5k=")</f>
        <v>1</v>
      </c>
      <c r="EY242" t="b">
        <f>AND('Black &amp; White load sheet'!F65,"AAAAAHRPc5o=")</f>
        <v>0</v>
      </c>
      <c r="EZ242" t="b">
        <f>AND('Black &amp; White load sheet'!G65,"AAAAAHRPc5s=")</f>
        <v>0</v>
      </c>
      <c r="FA242" t="b">
        <f>AND('Black &amp; White load sheet'!H65,"AAAAAHRPc5w=")</f>
        <v>1</v>
      </c>
      <c r="FB242" t="b">
        <f>AND('Black &amp; White load sheet'!I65,"AAAAAHRPc50=")</f>
        <v>0</v>
      </c>
      <c r="FC242" t="b">
        <f>AND('Black &amp; White load sheet'!J65,"AAAAAHRPc54=")</f>
        <v>1</v>
      </c>
      <c r="FD242" t="e">
        <f>AND('Black &amp; White load sheet'!K65,"AAAAAHRPc58=")</f>
        <v>#VALUE!</v>
      </c>
      <c r="FE242" t="b">
        <f>AND('Black &amp; White load sheet'!L65,"AAAAAHRPc6A=")</f>
        <v>1</v>
      </c>
      <c r="FF242" t="b">
        <f>AND('Black &amp; White load sheet'!M65,"AAAAAHRPc6E=")</f>
        <v>1</v>
      </c>
      <c r="FG242">
        <f>IF('Black &amp; White load sheet'!66:66,"AAAAAHRPc6I=",0)</f>
        <v>0</v>
      </c>
      <c r="FH242" t="b">
        <f>AND('Black &amp; White load sheet'!A66,"AAAAAHRPc6M=")</f>
        <v>1</v>
      </c>
      <c r="FI242" t="b">
        <f>AND('Black &amp; White load sheet'!B66,"AAAAAHRPc6Q=")</f>
        <v>1</v>
      </c>
      <c r="FJ242" t="b">
        <f>AND('Black &amp; White load sheet'!C66,"AAAAAHRPc6U=")</f>
        <v>0</v>
      </c>
      <c r="FK242" t="b">
        <f>AND('Black &amp; White load sheet'!D66,"AAAAAHRPc6Y=")</f>
        <v>0</v>
      </c>
      <c r="FL242" t="b">
        <f>AND('Black &amp; White load sheet'!E66,"AAAAAHRPc6c=")</f>
        <v>1</v>
      </c>
      <c r="FM242" t="b">
        <f>AND('Black &amp; White load sheet'!F66,"AAAAAHRPc6g=")</f>
        <v>0</v>
      </c>
      <c r="FN242" t="b">
        <f>AND('Black &amp; White load sheet'!G66,"AAAAAHRPc6k=")</f>
        <v>0</v>
      </c>
      <c r="FO242" t="b">
        <f>AND('Black &amp; White load sheet'!H66,"AAAAAHRPc6o=")</f>
        <v>1</v>
      </c>
      <c r="FP242" t="b">
        <f>AND('Black &amp; White load sheet'!I66,"AAAAAHRPc6s=")</f>
        <v>1</v>
      </c>
      <c r="FQ242" t="b">
        <f>AND('Black &amp; White load sheet'!J66,"AAAAAHRPc6w=")</f>
        <v>0</v>
      </c>
      <c r="FR242" t="e">
        <f>AND('Black &amp; White load sheet'!K66,"AAAAAHRPc60=")</f>
        <v>#VALUE!</v>
      </c>
      <c r="FS242" t="b">
        <f>AND('Black &amp; White load sheet'!L66,"AAAAAHRPc64=")</f>
        <v>1</v>
      </c>
      <c r="FT242" t="b">
        <f>AND('Black &amp; White load sheet'!M66,"AAAAAHRPc68=")</f>
        <v>1</v>
      </c>
      <c r="FU242">
        <f>IF('Black &amp; White load sheet'!67:67,"AAAAAHRPc7A=",0)</f>
        <v>0</v>
      </c>
      <c r="FV242" t="b">
        <f>AND('Black &amp; White load sheet'!A67,"AAAAAHRPc7E=")</f>
        <v>1</v>
      </c>
      <c r="FW242" t="b">
        <f>AND('Black &amp; White load sheet'!B67,"AAAAAHRPc7I=")</f>
        <v>1</v>
      </c>
      <c r="FX242" t="b">
        <f>AND('Black &amp; White load sheet'!C67,"AAAAAHRPc7M=")</f>
        <v>0</v>
      </c>
      <c r="FY242" t="b">
        <f>AND('Black &amp; White load sheet'!D67,"AAAAAHRPc7Q=")</f>
        <v>0</v>
      </c>
      <c r="FZ242" t="b">
        <f>AND('Black &amp; White load sheet'!E67,"AAAAAHRPc7U=")</f>
        <v>1</v>
      </c>
      <c r="GA242" t="b">
        <f>AND('Black &amp; White load sheet'!F67,"AAAAAHRPc7Y=")</f>
        <v>0</v>
      </c>
      <c r="GB242" t="b">
        <f>AND('Black &amp; White load sheet'!G67,"AAAAAHRPc7c=")</f>
        <v>0</v>
      </c>
      <c r="GC242" t="b">
        <f>AND('Black &amp; White load sheet'!H67,"AAAAAHRPc7g=")</f>
        <v>1</v>
      </c>
      <c r="GD242" t="b">
        <f>AND('Black &amp; White load sheet'!I67,"AAAAAHRPc7k=")</f>
        <v>1</v>
      </c>
      <c r="GE242" t="b">
        <f>AND('Black &amp; White load sheet'!J67,"AAAAAHRPc7o=")</f>
        <v>1</v>
      </c>
      <c r="GF242" t="e">
        <f>AND('Black &amp; White load sheet'!K67,"AAAAAHRPc7s=")</f>
        <v>#VALUE!</v>
      </c>
      <c r="GG242" t="b">
        <f>AND('Black &amp; White load sheet'!L67,"AAAAAHRPc7w=")</f>
        <v>1</v>
      </c>
      <c r="GH242" t="b">
        <f>AND('Black &amp; White load sheet'!M67,"AAAAAHRPc70=")</f>
        <v>1</v>
      </c>
      <c r="GI242">
        <f>IF('Black &amp; White load sheet'!68:68,"AAAAAHRPc74=",0)</f>
        <v>0</v>
      </c>
      <c r="GJ242" t="b">
        <f>AND('Black &amp; White load sheet'!A68,"AAAAAHRPc78=")</f>
        <v>1</v>
      </c>
      <c r="GK242" t="b">
        <f>AND('Black &amp; White load sheet'!B68,"AAAAAHRPc8A=")</f>
        <v>1</v>
      </c>
      <c r="GL242" t="b">
        <f>AND('Black &amp; White load sheet'!C68,"AAAAAHRPc8E=")</f>
        <v>0</v>
      </c>
      <c r="GM242" t="b">
        <f>AND('Black &amp; White load sheet'!D68,"AAAAAHRPc8I=")</f>
        <v>0</v>
      </c>
      <c r="GN242" t="b">
        <f>AND('Black &amp; White load sheet'!E68,"AAAAAHRPc8M=")</f>
        <v>1</v>
      </c>
      <c r="GO242" t="b">
        <f>AND('Black &amp; White load sheet'!F68,"AAAAAHRPc8Q=")</f>
        <v>0</v>
      </c>
      <c r="GP242" t="b">
        <f>AND('Black &amp; White load sheet'!G68,"AAAAAHRPc8U=")</f>
        <v>1</v>
      </c>
      <c r="GQ242" t="b">
        <f>AND('Black &amp; White load sheet'!H68,"AAAAAHRPc8Y=")</f>
        <v>0</v>
      </c>
      <c r="GR242" t="b">
        <f>AND('Black &amp; White load sheet'!I68,"AAAAAHRPc8c=")</f>
        <v>0</v>
      </c>
      <c r="GS242" t="b">
        <f>AND('Black &amp; White load sheet'!J68,"AAAAAHRPc8g=")</f>
        <v>0</v>
      </c>
      <c r="GT242" t="e">
        <f>AND('Black &amp; White load sheet'!K68,"AAAAAHRPc8k=")</f>
        <v>#VALUE!</v>
      </c>
      <c r="GU242" t="b">
        <f>AND('Black &amp; White load sheet'!L68,"AAAAAHRPc8o=")</f>
        <v>1</v>
      </c>
      <c r="GV242" t="b">
        <f>AND('Black &amp; White load sheet'!M68,"AAAAAHRPc8s=")</f>
        <v>1</v>
      </c>
      <c r="GW242">
        <f>IF('Black &amp; White load sheet'!69:69,"AAAAAHRPc8w=",0)</f>
        <v>0</v>
      </c>
      <c r="GX242" t="b">
        <f>AND('Black &amp; White load sheet'!A69,"AAAAAHRPc80=")</f>
        <v>1</v>
      </c>
      <c r="GY242" t="b">
        <f>AND('Black &amp; White load sheet'!B69,"AAAAAHRPc84=")</f>
        <v>1</v>
      </c>
      <c r="GZ242" t="b">
        <f>AND('Black &amp; White load sheet'!C69,"AAAAAHRPc88=")</f>
        <v>0</v>
      </c>
      <c r="HA242" t="b">
        <f>AND('Black &amp; White load sheet'!D69,"AAAAAHRPc9A=")</f>
        <v>0</v>
      </c>
      <c r="HB242" t="b">
        <f>AND('Black &amp; White load sheet'!E69,"AAAAAHRPc9E=")</f>
        <v>1</v>
      </c>
      <c r="HC242" t="b">
        <f>AND('Black &amp; White load sheet'!F69,"AAAAAHRPc9I=")</f>
        <v>0</v>
      </c>
      <c r="HD242" t="b">
        <f>AND('Black &amp; White load sheet'!G69,"AAAAAHRPc9M=")</f>
        <v>1</v>
      </c>
      <c r="HE242" t="b">
        <f>AND('Black &amp; White load sheet'!H69,"AAAAAHRPc9Q=")</f>
        <v>0</v>
      </c>
      <c r="HF242" t="b">
        <f>AND('Black &amp; White load sheet'!I69,"AAAAAHRPc9U=")</f>
        <v>0</v>
      </c>
      <c r="HG242" t="b">
        <f>AND('Black &amp; White load sheet'!J69,"AAAAAHRPc9Y=")</f>
        <v>1</v>
      </c>
      <c r="HH242" t="e">
        <f>AND('Black &amp; White load sheet'!K69,"AAAAAHRPc9c=")</f>
        <v>#VALUE!</v>
      </c>
      <c r="HI242" t="b">
        <f>AND('Black &amp; White load sheet'!L69,"AAAAAHRPc9g=")</f>
        <v>1</v>
      </c>
      <c r="HJ242" t="b">
        <f>AND('Black &amp; White load sheet'!M69,"AAAAAHRPc9k=")</f>
        <v>1</v>
      </c>
      <c r="HK242">
        <f>IF('Black &amp; White load sheet'!70:70,"AAAAAHRPc9o=",0)</f>
        <v>0</v>
      </c>
      <c r="HL242" t="b">
        <f>AND('Black &amp; White load sheet'!A70,"AAAAAHRPc9s=")</f>
        <v>1</v>
      </c>
      <c r="HM242" t="b">
        <f>AND('Black &amp; White load sheet'!B70,"AAAAAHRPc9w=")</f>
        <v>1</v>
      </c>
      <c r="HN242" t="b">
        <f>AND('Black &amp; White load sheet'!C70,"AAAAAHRPc90=")</f>
        <v>0</v>
      </c>
      <c r="HO242" t="b">
        <f>AND('Black &amp; White load sheet'!D70,"AAAAAHRPc94=")</f>
        <v>0</v>
      </c>
      <c r="HP242" t="b">
        <f>AND('Black &amp; White load sheet'!E70,"AAAAAHRPc98=")</f>
        <v>1</v>
      </c>
      <c r="HQ242" t="b">
        <f>AND('Black &amp; White load sheet'!F70,"AAAAAHRPc+A=")</f>
        <v>0</v>
      </c>
      <c r="HR242" t="b">
        <f>AND('Black &amp; White load sheet'!G70,"AAAAAHRPc+E=")</f>
        <v>1</v>
      </c>
      <c r="HS242" t="b">
        <f>AND('Black &amp; White load sheet'!H70,"AAAAAHRPc+I=")</f>
        <v>0</v>
      </c>
      <c r="HT242" t="b">
        <f>AND('Black &amp; White load sheet'!I70,"AAAAAHRPc+M=")</f>
        <v>1</v>
      </c>
      <c r="HU242" t="b">
        <f>AND('Black &amp; White load sheet'!J70,"AAAAAHRPc+Q=")</f>
        <v>0</v>
      </c>
      <c r="HV242" t="e">
        <f>AND('Black &amp; White load sheet'!K70,"AAAAAHRPc+U=")</f>
        <v>#VALUE!</v>
      </c>
      <c r="HW242" t="b">
        <f>AND('Black &amp; White load sheet'!L70,"AAAAAHRPc+Y=")</f>
        <v>1</v>
      </c>
      <c r="HX242" t="b">
        <f>AND('Black &amp; White load sheet'!M70,"AAAAAHRPc+c=")</f>
        <v>1</v>
      </c>
      <c r="HY242">
        <f>IF('Black &amp; White load sheet'!71:71,"AAAAAHRPc+g=",0)</f>
        <v>0</v>
      </c>
      <c r="HZ242" t="b">
        <f>AND('Black &amp; White load sheet'!A71,"AAAAAHRPc+k=")</f>
        <v>1</v>
      </c>
      <c r="IA242" t="b">
        <f>AND('Black &amp; White load sheet'!B71,"AAAAAHRPc+o=")</f>
        <v>1</v>
      </c>
      <c r="IB242" t="b">
        <f>AND('Black &amp; White load sheet'!C71,"AAAAAHRPc+s=")</f>
        <v>0</v>
      </c>
      <c r="IC242" t="b">
        <f>AND('Black &amp; White load sheet'!D71,"AAAAAHRPc+w=")</f>
        <v>0</v>
      </c>
      <c r="ID242" t="b">
        <f>AND('Black &amp; White load sheet'!E71,"AAAAAHRPc+0=")</f>
        <v>1</v>
      </c>
      <c r="IE242" t="b">
        <f>AND('Black &amp; White load sheet'!F71,"AAAAAHRPc+4=")</f>
        <v>0</v>
      </c>
      <c r="IF242" t="b">
        <f>AND('Black &amp; White load sheet'!G71,"AAAAAHRPc+8=")</f>
        <v>1</v>
      </c>
      <c r="IG242" t="b">
        <f>AND('Black &amp; White load sheet'!H71,"AAAAAHRPc/A=")</f>
        <v>0</v>
      </c>
      <c r="IH242" t="b">
        <f>AND('Black &amp; White load sheet'!I71,"AAAAAHRPc/E=")</f>
        <v>1</v>
      </c>
      <c r="II242" t="b">
        <f>AND('Black &amp; White load sheet'!J71,"AAAAAHRPc/I=")</f>
        <v>1</v>
      </c>
      <c r="IJ242" t="e">
        <f>AND('Black &amp; White load sheet'!K71,"AAAAAHRPc/M=")</f>
        <v>#VALUE!</v>
      </c>
      <c r="IK242" t="b">
        <f>AND('Black &amp; White load sheet'!L71,"AAAAAHRPc/Q=")</f>
        <v>1</v>
      </c>
      <c r="IL242" t="b">
        <f>AND('Black &amp; White load sheet'!M71,"AAAAAHRPc/U=")</f>
        <v>1</v>
      </c>
      <c r="IM242">
        <f>IF('Black &amp; White load sheet'!72:72,"AAAAAHRPc/Y=",0)</f>
        <v>0</v>
      </c>
      <c r="IN242" t="b">
        <f>AND('Black &amp; White load sheet'!A72,"AAAAAHRPc/c=")</f>
        <v>1</v>
      </c>
      <c r="IO242" t="b">
        <f>AND('Black &amp; White load sheet'!B72,"AAAAAHRPc/g=")</f>
        <v>1</v>
      </c>
      <c r="IP242" t="b">
        <f>AND('Black &amp; White load sheet'!C72,"AAAAAHRPc/k=")</f>
        <v>0</v>
      </c>
      <c r="IQ242" t="b">
        <f>AND('Black &amp; White load sheet'!D72,"AAAAAHRPc/o=")</f>
        <v>0</v>
      </c>
      <c r="IR242" t="b">
        <f>AND('Black &amp; White load sheet'!E72,"AAAAAHRPc/s=")</f>
        <v>1</v>
      </c>
      <c r="IS242" t="b">
        <f>AND('Black &amp; White load sheet'!F72,"AAAAAHRPc/w=")</f>
        <v>1</v>
      </c>
      <c r="IT242" t="b">
        <f>AND('Black &amp; White load sheet'!G72,"AAAAAHRPc/0=")</f>
        <v>0</v>
      </c>
      <c r="IU242" t="b">
        <f>AND('Black &amp; White load sheet'!H72,"AAAAAHRPc/4=")</f>
        <v>0</v>
      </c>
      <c r="IV242" t="b">
        <f>AND('Black &amp; White load sheet'!I72,"AAAAAHRPc/8=")</f>
        <v>0</v>
      </c>
    </row>
    <row r="243" spans="1:256" x14ac:dyDescent="0.25">
      <c r="A243" t="b">
        <f>AND('Black &amp; White load sheet'!J72,"AAAAAHxV7gA=")</f>
        <v>0</v>
      </c>
      <c r="B243" t="e">
        <f>AND('Black &amp; White load sheet'!K72,"AAAAAHxV7gE=")</f>
        <v>#VALUE!</v>
      </c>
      <c r="C243" t="b">
        <f>AND('Black &amp; White load sheet'!L72,"AAAAAHxV7gI=")</f>
        <v>1</v>
      </c>
      <c r="D243" t="b">
        <f>AND('Black &amp; White load sheet'!M72,"AAAAAHxV7gM=")</f>
        <v>1</v>
      </c>
      <c r="E243" t="str">
        <f>IF('Black &amp; White load sheet'!73:73,"AAAAAHxV7gQ=",0)</f>
        <v>AAAAAHxV7gQ=</v>
      </c>
      <c r="F243" t="b">
        <f>AND('Black &amp; White load sheet'!A73,"AAAAAHxV7gU=")</f>
        <v>1</v>
      </c>
      <c r="G243" t="b">
        <f>AND('Black &amp; White load sheet'!B73,"AAAAAHxV7gY=")</f>
        <v>1</v>
      </c>
      <c r="H243" t="b">
        <f>AND('Black &amp; White load sheet'!C73,"AAAAAHxV7gc=")</f>
        <v>0</v>
      </c>
      <c r="I243" t="b">
        <f>AND('Black &amp; White load sheet'!D73,"AAAAAHxV7gg=")</f>
        <v>0</v>
      </c>
      <c r="J243" t="b">
        <f>AND('Black &amp; White load sheet'!E73,"AAAAAHxV7gk=")</f>
        <v>1</v>
      </c>
      <c r="K243" t="b">
        <f>AND('Black &amp; White load sheet'!F73,"AAAAAHxV7go=")</f>
        <v>1</v>
      </c>
      <c r="L243" t="b">
        <f>AND('Black &amp; White load sheet'!G73,"AAAAAHxV7gs=")</f>
        <v>0</v>
      </c>
      <c r="M243" t="b">
        <f>AND('Black &amp; White load sheet'!H73,"AAAAAHxV7gw=")</f>
        <v>0</v>
      </c>
      <c r="N243" t="b">
        <f>AND('Black &amp; White load sheet'!I73,"AAAAAHxV7g0=")</f>
        <v>0</v>
      </c>
      <c r="O243" t="b">
        <f>AND('Black &amp; White load sheet'!J73,"AAAAAHxV7g4=")</f>
        <v>1</v>
      </c>
      <c r="P243" t="e">
        <f>AND('Black &amp; White load sheet'!K73,"AAAAAHxV7g8=")</f>
        <v>#VALUE!</v>
      </c>
      <c r="Q243" t="b">
        <f>AND('Black &amp; White load sheet'!L73,"AAAAAHxV7hA=")</f>
        <v>1</v>
      </c>
      <c r="R243" t="b">
        <f>AND('Black &amp; White load sheet'!M73,"AAAAAHxV7hE=")</f>
        <v>1</v>
      </c>
      <c r="S243">
        <f>IF('Black &amp; White load sheet'!74:74,"AAAAAHxV7hI=",0)</f>
        <v>0</v>
      </c>
      <c r="T243" t="b">
        <f>AND('Black &amp; White load sheet'!A74,"AAAAAHxV7hM=")</f>
        <v>1</v>
      </c>
      <c r="U243" t="b">
        <f>AND('Black &amp; White load sheet'!B74,"AAAAAHxV7hQ=")</f>
        <v>1</v>
      </c>
      <c r="V243" t="b">
        <f>AND('Black &amp; White load sheet'!C74,"AAAAAHxV7hU=")</f>
        <v>0</v>
      </c>
      <c r="W243" t="b">
        <f>AND('Black &amp; White load sheet'!D74,"AAAAAHxV7hY=")</f>
        <v>0</v>
      </c>
      <c r="X243" t="b">
        <f>AND('Black &amp; White load sheet'!E74,"AAAAAHxV7hc=")</f>
        <v>1</v>
      </c>
      <c r="Y243" t="b">
        <f>AND('Black &amp; White load sheet'!F74,"AAAAAHxV7hg=")</f>
        <v>1</v>
      </c>
      <c r="Z243" t="b">
        <f>AND('Black &amp; White load sheet'!G74,"AAAAAHxV7hk=")</f>
        <v>0</v>
      </c>
      <c r="AA243" t="b">
        <f>AND('Black &amp; White load sheet'!H74,"AAAAAHxV7ho=")</f>
        <v>0</v>
      </c>
      <c r="AB243" t="b">
        <f>AND('Black &amp; White load sheet'!I74,"AAAAAHxV7hs=")</f>
        <v>1</v>
      </c>
      <c r="AC243" t="b">
        <f>AND('Black &amp; White load sheet'!J74,"AAAAAHxV7hw=")</f>
        <v>0</v>
      </c>
      <c r="AD243" t="e">
        <f>AND('Black &amp; White load sheet'!K74,"AAAAAHxV7h0=")</f>
        <v>#VALUE!</v>
      </c>
      <c r="AE243" t="b">
        <f>AND('Black &amp; White load sheet'!L74,"AAAAAHxV7h4=")</f>
        <v>1</v>
      </c>
      <c r="AF243" t="b">
        <f>AND('Black &amp; White load sheet'!M74,"AAAAAHxV7h8=")</f>
        <v>1</v>
      </c>
      <c r="AG243">
        <f>IF('Black &amp; White load sheet'!75:75,"AAAAAHxV7iA=",0)</f>
        <v>0</v>
      </c>
      <c r="AH243" t="b">
        <f>AND('Black &amp; White load sheet'!A75,"AAAAAHxV7iE=")</f>
        <v>1</v>
      </c>
      <c r="AI243" t="b">
        <f>AND('Black &amp; White load sheet'!B75,"AAAAAHxV7iI=")</f>
        <v>1</v>
      </c>
      <c r="AJ243" t="b">
        <f>AND('Black &amp; White load sheet'!C75,"AAAAAHxV7iM=")</f>
        <v>0</v>
      </c>
      <c r="AK243" t="b">
        <f>AND('Black &amp; White load sheet'!D75,"AAAAAHxV7iQ=")</f>
        <v>0</v>
      </c>
      <c r="AL243" t="b">
        <f>AND('Black &amp; White load sheet'!E75,"AAAAAHxV7iU=")</f>
        <v>1</v>
      </c>
      <c r="AM243" t="b">
        <f>AND('Black &amp; White load sheet'!F75,"AAAAAHxV7iY=")</f>
        <v>1</v>
      </c>
      <c r="AN243" t="b">
        <f>AND('Black &amp; White load sheet'!G75,"AAAAAHxV7ic=")</f>
        <v>0</v>
      </c>
      <c r="AO243" t="b">
        <f>AND('Black &amp; White load sheet'!H75,"AAAAAHxV7ig=")</f>
        <v>0</v>
      </c>
      <c r="AP243" t="b">
        <f>AND('Black &amp; White load sheet'!I75,"AAAAAHxV7ik=")</f>
        <v>1</v>
      </c>
      <c r="AQ243" t="b">
        <f>AND('Black &amp; White load sheet'!J75,"AAAAAHxV7io=")</f>
        <v>1</v>
      </c>
      <c r="AR243" t="e">
        <f>AND('Black &amp; White load sheet'!K75,"AAAAAHxV7is=")</f>
        <v>#VALUE!</v>
      </c>
      <c r="AS243" t="b">
        <f>AND('Black &amp; White load sheet'!L75,"AAAAAHxV7iw=")</f>
        <v>1</v>
      </c>
      <c r="AT243" t="b">
        <f>AND('Black &amp; White load sheet'!M75,"AAAAAHxV7i0=")</f>
        <v>1</v>
      </c>
      <c r="AU243">
        <f>IF('Black &amp; White load sheet'!76:76,"AAAAAHxV7i4=",0)</f>
        <v>0</v>
      </c>
      <c r="AV243" t="b">
        <f>AND('Black &amp; White load sheet'!A76,"AAAAAHxV7i8=")</f>
        <v>1</v>
      </c>
      <c r="AW243" t="b">
        <f>AND('Black &amp; White load sheet'!B76,"AAAAAHxV7jA=")</f>
        <v>1</v>
      </c>
      <c r="AX243" t="b">
        <f>AND('Black &amp; White load sheet'!C76,"AAAAAHxV7jE=")</f>
        <v>0</v>
      </c>
      <c r="AY243" t="b">
        <f>AND('Black &amp; White load sheet'!D76,"AAAAAHxV7jI=")</f>
        <v>0</v>
      </c>
      <c r="AZ243" t="b">
        <f>AND('Black &amp; White load sheet'!E76,"AAAAAHxV7jM=")</f>
        <v>1</v>
      </c>
      <c r="BA243" t="b">
        <f>AND('Black &amp; White load sheet'!F76,"AAAAAHxV7jQ=")</f>
        <v>0</v>
      </c>
      <c r="BB243" t="b">
        <f>AND('Black &amp; White load sheet'!G76,"AAAAAHxV7jU=")</f>
        <v>0</v>
      </c>
      <c r="BC243" t="b">
        <f>AND('Black &amp; White load sheet'!H76,"AAAAAHxV7jY=")</f>
        <v>0</v>
      </c>
      <c r="BD243" t="b">
        <f>AND('Black &amp; White load sheet'!I76,"AAAAAHxV7jc=")</f>
        <v>0</v>
      </c>
      <c r="BE243" t="b">
        <f>AND('Black &amp; White load sheet'!J76,"AAAAAHxV7jg=")</f>
        <v>0</v>
      </c>
      <c r="BF243" t="e">
        <f>AND('Black &amp; White load sheet'!K76,"AAAAAHxV7jk=")</f>
        <v>#VALUE!</v>
      </c>
      <c r="BG243" t="b">
        <f>AND('Black &amp; White load sheet'!L76,"AAAAAHxV7jo=")</f>
        <v>1</v>
      </c>
      <c r="BH243" t="b">
        <f>AND('Black &amp; White load sheet'!M76,"AAAAAHxV7js=")</f>
        <v>1</v>
      </c>
      <c r="BI243">
        <f>IF('Black &amp; White load sheet'!77:77,"AAAAAHxV7jw=",0)</f>
        <v>0</v>
      </c>
      <c r="BJ243" t="b">
        <f>AND('Black &amp; White load sheet'!A77,"AAAAAHxV7j0=")</f>
        <v>1</v>
      </c>
      <c r="BK243" t="b">
        <f>AND('Black &amp; White load sheet'!B77,"AAAAAHxV7j4=")</f>
        <v>1</v>
      </c>
      <c r="BL243" t="b">
        <f>AND('Black &amp; White load sheet'!C77,"AAAAAHxV7j8=")</f>
        <v>0</v>
      </c>
      <c r="BM243" t="b">
        <f>AND('Black &amp; White load sheet'!D77,"AAAAAHxV7kA=")</f>
        <v>0</v>
      </c>
      <c r="BN243" t="b">
        <f>AND('Black &amp; White load sheet'!E77,"AAAAAHxV7kE=")</f>
        <v>1</v>
      </c>
      <c r="BO243" t="b">
        <f>AND('Black &amp; White load sheet'!F77,"AAAAAHxV7kI=")</f>
        <v>0</v>
      </c>
      <c r="BP243" t="b">
        <f>AND('Black &amp; White load sheet'!G77,"AAAAAHxV7kM=")</f>
        <v>0</v>
      </c>
      <c r="BQ243" t="b">
        <f>AND('Black &amp; White load sheet'!H77,"AAAAAHxV7kQ=")</f>
        <v>0</v>
      </c>
      <c r="BR243" t="b">
        <f>AND('Black &amp; White load sheet'!I77,"AAAAAHxV7kU=")</f>
        <v>0</v>
      </c>
      <c r="BS243" t="b">
        <f>AND('Black &amp; White load sheet'!J77,"AAAAAHxV7kY=")</f>
        <v>1</v>
      </c>
      <c r="BT243" t="e">
        <f>AND('Black &amp; White load sheet'!K77,"AAAAAHxV7kc=")</f>
        <v>#VALUE!</v>
      </c>
      <c r="BU243" t="b">
        <f>AND('Black &amp; White load sheet'!L77,"AAAAAHxV7kg=")</f>
        <v>1</v>
      </c>
      <c r="BV243" t="b">
        <f>AND('Black &amp; White load sheet'!M77,"AAAAAHxV7kk=")</f>
        <v>1</v>
      </c>
      <c r="BW243">
        <f>IF('Black &amp; White load sheet'!78:78,"AAAAAHxV7ko=",0)</f>
        <v>0</v>
      </c>
      <c r="BX243" t="b">
        <f>AND('Black &amp; White load sheet'!A78,"AAAAAHxV7ks=")</f>
        <v>1</v>
      </c>
      <c r="BY243" t="b">
        <f>AND('Black &amp; White load sheet'!B78,"AAAAAHxV7kw=")</f>
        <v>1</v>
      </c>
      <c r="BZ243" t="b">
        <f>AND('Black &amp; White load sheet'!C78,"AAAAAHxV7k0=")</f>
        <v>0</v>
      </c>
      <c r="CA243" t="b">
        <f>AND('Black &amp; White load sheet'!D78,"AAAAAHxV7k4=")</f>
        <v>0</v>
      </c>
      <c r="CB243" t="b">
        <f>AND('Black &amp; White load sheet'!E78,"AAAAAHxV7k8=")</f>
        <v>1</v>
      </c>
      <c r="CC243" t="b">
        <f>AND('Black &amp; White load sheet'!F78,"AAAAAHxV7lA=")</f>
        <v>0</v>
      </c>
      <c r="CD243" t="b">
        <f>AND('Black &amp; White load sheet'!G78,"AAAAAHxV7lE=")</f>
        <v>0</v>
      </c>
      <c r="CE243" t="b">
        <f>AND('Black &amp; White load sheet'!H78,"AAAAAHxV7lI=")</f>
        <v>0</v>
      </c>
      <c r="CF243" t="b">
        <f>AND('Black &amp; White load sheet'!I78,"AAAAAHxV7lM=")</f>
        <v>1</v>
      </c>
      <c r="CG243" t="b">
        <f>AND('Black &amp; White load sheet'!J78,"AAAAAHxV7lQ=")</f>
        <v>0</v>
      </c>
      <c r="CH243" t="e">
        <f>AND('Black &amp; White load sheet'!K78,"AAAAAHxV7lU=")</f>
        <v>#VALUE!</v>
      </c>
      <c r="CI243" t="b">
        <f>AND('Black &amp; White load sheet'!L78,"AAAAAHxV7lY=")</f>
        <v>1</v>
      </c>
      <c r="CJ243" t="b">
        <f>AND('Black &amp; White load sheet'!M78,"AAAAAHxV7lc=")</f>
        <v>1</v>
      </c>
      <c r="CK243">
        <f>IF('Black &amp; White load sheet'!79:79,"AAAAAHxV7lg=",0)</f>
        <v>0</v>
      </c>
      <c r="CL243" t="b">
        <f>AND('Black &amp; White load sheet'!A79,"AAAAAHxV7lk=")</f>
        <v>1</v>
      </c>
      <c r="CM243" t="b">
        <f>AND('Black &amp; White load sheet'!B79,"AAAAAHxV7lo=")</f>
        <v>1</v>
      </c>
      <c r="CN243" t="b">
        <f>AND('Black &amp; White load sheet'!C79,"AAAAAHxV7ls=")</f>
        <v>0</v>
      </c>
      <c r="CO243" t="b">
        <f>AND('Black &amp; White load sheet'!D79,"AAAAAHxV7lw=")</f>
        <v>0</v>
      </c>
      <c r="CP243" t="b">
        <f>AND('Black &amp; White load sheet'!E79,"AAAAAHxV7l0=")</f>
        <v>1</v>
      </c>
      <c r="CQ243" t="b">
        <f>AND('Black &amp; White load sheet'!F79,"AAAAAHxV7l4=")</f>
        <v>0</v>
      </c>
      <c r="CR243" t="b">
        <f>AND('Black &amp; White load sheet'!G79,"AAAAAHxV7l8=")</f>
        <v>0</v>
      </c>
      <c r="CS243" t="b">
        <f>AND('Black &amp; White load sheet'!H79,"AAAAAHxV7mA=")</f>
        <v>0</v>
      </c>
      <c r="CT243" t="b">
        <f>AND('Black &amp; White load sheet'!I79,"AAAAAHxV7mE=")</f>
        <v>1</v>
      </c>
      <c r="CU243" t="b">
        <f>AND('Black &amp; White load sheet'!J79,"AAAAAHxV7mI=")</f>
        <v>1</v>
      </c>
      <c r="CV243" t="e">
        <f>AND('Black &amp; White load sheet'!K79,"AAAAAHxV7mM=")</f>
        <v>#VALUE!</v>
      </c>
      <c r="CW243" t="b">
        <f>AND('Black &amp; White load sheet'!L79,"AAAAAHxV7mQ=")</f>
        <v>1</v>
      </c>
      <c r="CX243" t="b">
        <f>AND('Black &amp; White load sheet'!M79,"AAAAAHxV7mU=")</f>
        <v>1</v>
      </c>
      <c r="CY243">
        <f>IF('Black &amp; White load sheet'!80:80,"AAAAAHxV7mY=",0)</f>
        <v>0</v>
      </c>
      <c r="CZ243" t="b">
        <f>AND('Black &amp; White load sheet'!A80,"AAAAAHxV7mc=")</f>
        <v>1</v>
      </c>
      <c r="DA243" t="b">
        <f>AND('Black &amp; White load sheet'!B80,"AAAAAHxV7mg=")</f>
        <v>1</v>
      </c>
      <c r="DB243" t="b">
        <f>AND('Black &amp; White load sheet'!C80,"AAAAAHxV7mk=")</f>
        <v>0</v>
      </c>
      <c r="DC243" t="b">
        <f>AND('Black &amp; White load sheet'!D80,"AAAAAHxV7mo=")</f>
        <v>0</v>
      </c>
      <c r="DD243" t="b">
        <f>AND('Black &amp; White load sheet'!E80,"AAAAAHxV7ms=")</f>
        <v>1</v>
      </c>
      <c r="DE243" t="b">
        <f>AND('Black &amp; White load sheet'!F80,"AAAAAHxV7mw=")</f>
        <v>0</v>
      </c>
      <c r="DF243" t="b">
        <f>AND('Black &amp; White load sheet'!G80,"AAAAAHxV7m0=")</f>
        <v>0</v>
      </c>
      <c r="DG243" t="b">
        <f>AND('Black &amp; White load sheet'!H80,"AAAAAHxV7m4=")</f>
        <v>1</v>
      </c>
      <c r="DH243" t="b">
        <f>AND('Black &amp; White load sheet'!I80,"AAAAAHxV7m8=")</f>
        <v>0</v>
      </c>
      <c r="DI243" t="b">
        <f>AND('Black &amp; White load sheet'!J80,"AAAAAHxV7nA=")</f>
        <v>0</v>
      </c>
      <c r="DJ243" t="e">
        <f>AND('Black &amp; White load sheet'!K80,"AAAAAHxV7nE=")</f>
        <v>#VALUE!</v>
      </c>
      <c r="DK243" t="b">
        <f>AND('Black &amp; White load sheet'!L80,"AAAAAHxV7nI=")</f>
        <v>1</v>
      </c>
      <c r="DL243" t="b">
        <f>AND('Black &amp; White load sheet'!M80,"AAAAAHxV7nM=")</f>
        <v>1</v>
      </c>
      <c r="DM243">
        <f>IF('Black &amp; White load sheet'!81:81,"AAAAAHxV7nQ=",0)</f>
        <v>0</v>
      </c>
      <c r="DN243" t="b">
        <f>AND('Black &amp; White load sheet'!A81,"AAAAAHxV7nU=")</f>
        <v>1</v>
      </c>
      <c r="DO243" t="b">
        <f>AND('Black &amp; White load sheet'!B81,"AAAAAHxV7nY=")</f>
        <v>1</v>
      </c>
      <c r="DP243" t="b">
        <f>AND('Black &amp; White load sheet'!C81,"AAAAAHxV7nc=")</f>
        <v>0</v>
      </c>
      <c r="DQ243" t="b">
        <f>AND('Black &amp; White load sheet'!D81,"AAAAAHxV7ng=")</f>
        <v>0</v>
      </c>
      <c r="DR243" t="b">
        <f>AND('Black &amp; White load sheet'!E81,"AAAAAHxV7nk=")</f>
        <v>1</v>
      </c>
      <c r="DS243" t="b">
        <f>AND('Black &amp; White load sheet'!F81,"AAAAAHxV7no=")</f>
        <v>0</v>
      </c>
      <c r="DT243" t="b">
        <f>AND('Black &amp; White load sheet'!G81,"AAAAAHxV7ns=")</f>
        <v>0</v>
      </c>
      <c r="DU243" t="b">
        <f>AND('Black &amp; White load sheet'!H81,"AAAAAHxV7nw=")</f>
        <v>1</v>
      </c>
      <c r="DV243" t="b">
        <f>AND('Black &amp; White load sheet'!I81,"AAAAAHxV7n0=")</f>
        <v>0</v>
      </c>
      <c r="DW243" t="b">
        <f>AND('Black &amp; White load sheet'!J81,"AAAAAHxV7n4=")</f>
        <v>1</v>
      </c>
      <c r="DX243" t="e">
        <f>AND('Black &amp; White load sheet'!K81,"AAAAAHxV7n8=")</f>
        <v>#VALUE!</v>
      </c>
      <c r="DY243" t="b">
        <f>AND('Black &amp; White load sheet'!L81,"AAAAAHxV7oA=")</f>
        <v>1</v>
      </c>
      <c r="DZ243" t="b">
        <f>AND('Black &amp; White load sheet'!M81,"AAAAAHxV7oE=")</f>
        <v>1</v>
      </c>
      <c r="EA243">
        <f>IF('Black &amp; White load sheet'!82:82,"AAAAAHxV7oI=",0)</f>
        <v>0</v>
      </c>
      <c r="EB243" t="b">
        <f>AND('Black &amp; White load sheet'!A82,"AAAAAHxV7oM=")</f>
        <v>1</v>
      </c>
      <c r="EC243" t="b">
        <f>AND('Black &amp; White load sheet'!B82,"AAAAAHxV7oQ=")</f>
        <v>1</v>
      </c>
      <c r="ED243" t="b">
        <f>AND('Black &amp; White load sheet'!C82,"AAAAAHxV7oU=")</f>
        <v>0</v>
      </c>
      <c r="EE243" t="b">
        <f>AND('Black &amp; White load sheet'!D82,"AAAAAHxV7oY=")</f>
        <v>0</v>
      </c>
      <c r="EF243" t="b">
        <f>AND('Black &amp; White load sheet'!E82,"AAAAAHxV7oc=")</f>
        <v>1</v>
      </c>
      <c r="EG243" t="b">
        <f>AND('Black &amp; White load sheet'!F82,"AAAAAHxV7og=")</f>
        <v>0</v>
      </c>
      <c r="EH243" t="b">
        <f>AND('Black &amp; White load sheet'!G82,"AAAAAHxV7ok=")</f>
        <v>0</v>
      </c>
      <c r="EI243" t="b">
        <f>AND('Black &amp; White load sheet'!H82,"AAAAAHxV7oo=")</f>
        <v>1</v>
      </c>
      <c r="EJ243" t="b">
        <f>AND('Black &amp; White load sheet'!I82,"AAAAAHxV7os=")</f>
        <v>1</v>
      </c>
      <c r="EK243" t="b">
        <f>AND('Black &amp; White load sheet'!J82,"AAAAAHxV7ow=")</f>
        <v>0</v>
      </c>
      <c r="EL243" t="e">
        <f>AND('Black &amp; White load sheet'!K82,"AAAAAHxV7o0=")</f>
        <v>#VALUE!</v>
      </c>
      <c r="EM243" t="b">
        <f>AND('Black &amp; White load sheet'!L82,"AAAAAHxV7o4=")</f>
        <v>1</v>
      </c>
      <c r="EN243" t="b">
        <f>AND('Black &amp; White load sheet'!M82,"AAAAAHxV7o8=")</f>
        <v>1</v>
      </c>
      <c r="EO243">
        <f>IF('Black &amp; White load sheet'!83:83,"AAAAAHxV7pA=",0)</f>
        <v>0</v>
      </c>
      <c r="EP243" t="b">
        <f>AND('Black &amp; White load sheet'!A83,"AAAAAHxV7pE=")</f>
        <v>1</v>
      </c>
      <c r="EQ243" t="b">
        <f>AND('Black &amp; White load sheet'!B83,"AAAAAHxV7pI=")</f>
        <v>1</v>
      </c>
      <c r="ER243" t="b">
        <f>AND('Black &amp; White load sheet'!C83,"AAAAAHxV7pM=")</f>
        <v>0</v>
      </c>
      <c r="ES243" t="b">
        <f>AND('Black &amp; White load sheet'!D83,"AAAAAHxV7pQ=")</f>
        <v>0</v>
      </c>
      <c r="ET243" t="b">
        <f>AND('Black &amp; White load sheet'!E83,"AAAAAHxV7pU=")</f>
        <v>1</v>
      </c>
      <c r="EU243" t="b">
        <f>AND('Black &amp; White load sheet'!F83,"AAAAAHxV7pY=")</f>
        <v>0</v>
      </c>
      <c r="EV243" t="b">
        <f>AND('Black &amp; White load sheet'!G83,"AAAAAHxV7pc=")</f>
        <v>0</v>
      </c>
      <c r="EW243" t="b">
        <f>AND('Black &amp; White load sheet'!H83,"AAAAAHxV7pg=")</f>
        <v>1</v>
      </c>
      <c r="EX243" t="b">
        <f>AND('Black &amp; White load sheet'!I83,"AAAAAHxV7pk=")</f>
        <v>1</v>
      </c>
      <c r="EY243" t="b">
        <f>AND('Black &amp; White load sheet'!J83,"AAAAAHxV7po=")</f>
        <v>1</v>
      </c>
      <c r="EZ243" t="e">
        <f>AND('Black &amp; White load sheet'!K83,"AAAAAHxV7ps=")</f>
        <v>#VALUE!</v>
      </c>
      <c r="FA243" t="b">
        <f>AND('Black &amp; White load sheet'!L83,"AAAAAHxV7pw=")</f>
        <v>1</v>
      </c>
      <c r="FB243" t="b">
        <f>AND('Black &amp; White load sheet'!M83,"AAAAAHxV7p0=")</f>
        <v>1</v>
      </c>
      <c r="FC243">
        <f>IF('Black &amp; White load sheet'!84:84,"AAAAAHxV7p4=",0)</f>
        <v>0</v>
      </c>
      <c r="FD243" t="b">
        <f>AND('Black &amp; White load sheet'!A84,"AAAAAHxV7p8=")</f>
        <v>1</v>
      </c>
      <c r="FE243" t="b">
        <f>AND('Black &amp; White load sheet'!B84,"AAAAAHxV7qA=")</f>
        <v>1</v>
      </c>
      <c r="FF243" t="b">
        <f>AND('Black &amp; White load sheet'!C84,"AAAAAHxV7qE=")</f>
        <v>0</v>
      </c>
      <c r="FG243" t="b">
        <f>AND('Black &amp; White load sheet'!D84,"AAAAAHxV7qI=")</f>
        <v>0</v>
      </c>
      <c r="FH243" t="b">
        <f>AND('Black &amp; White load sheet'!E84,"AAAAAHxV7qM=")</f>
        <v>0</v>
      </c>
      <c r="FI243" t="b">
        <f>AND('Black &amp; White load sheet'!F84,"AAAAAHxV7qQ=")</f>
        <v>0</v>
      </c>
      <c r="FJ243" t="b">
        <f>AND('Black &amp; White load sheet'!G84,"AAAAAHxV7qU=")</f>
        <v>0</v>
      </c>
      <c r="FK243" t="b">
        <f>AND('Black &amp; White load sheet'!H84,"AAAAAHxV7qY=")</f>
        <v>0</v>
      </c>
      <c r="FL243" t="b">
        <f>AND('Black &amp; White load sheet'!I84,"AAAAAHxV7qc=")</f>
        <v>0</v>
      </c>
      <c r="FM243" t="b">
        <f>AND('Black &amp; White load sheet'!J84,"AAAAAHxV7qg=")</f>
        <v>0</v>
      </c>
      <c r="FN243" t="e">
        <f>AND('Black &amp; White load sheet'!K84,"AAAAAHxV7qk=")</f>
        <v>#VALUE!</v>
      </c>
      <c r="FO243" t="b">
        <f>AND('Black &amp; White load sheet'!L84,"AAAAAHxV7qo=")</f>
        <v>1</v>
      </c>
      <c r="FP243" t="b">
        <f>AND('Black &amp; White load sheet'!M84,"AAAAAHxV7qs=")</f>
        <v>1</v>
      </c>
      <c r="FQ243">
        <f>IF('Black &amp; White load sheet'!85:85,"AAAAAHxV7qw=",0)</f>
        <v>0</v>
      </c>
      <c r="FR243" t="b">
        <f>AND('Black &amp; White load sheet'!A85,"AAAAAHxV7q0=")</f>
        <v>1</v>
      </c>
      <c r="FS243" t="b">
        <f>AND('Black &amp; White load sheet'!B85,"AAAAAHxV7q4=")</f>
        <v>1</v>
      </c>
      <c r="FT243" t="b">
        <f>AND('Black &amp; White load sheet'!C85,"AAAAAHxV7q8=")</f>
        <v>0</v>
      </c>
      <c r="FU243" t="b">
        <f>AND('Black &amp; White load sheet'!D85,"AAAAAHxV7rA=")</f>
        <v>0</v>
      </c>
      <c r="FV243" t="b">
        <f>AND('Black &amp; White load sheet'!E85,"AAAAAHxV7rE=")</f>
        <v>0</v>
      </c>
      <c r="FW243" t="b">
        <f>AND('Black &amp; White load sheet'!F85,"AAAAAHxV7rI=")</f>
        <v>0</v>
      </c>
      <c r="FX243" t="b">
        <f>AND('Black &amp; White load sheet'!G85,"AAAAAHxV7rM=")</f>
        <v>0</v>
      </c>
      <c r="FY243" t="b">
        <f>AND('Black &amp; White load sheet'!H85,"AAAAAHxV7rQ=")</f>
        <v>0</v>
      </c>
      <c r="FZ243" t="b">
        <f>AND('Black &amp; White load sheet'!I85,"AAAAAHxV7rU=")</f>
        <v>0</v>
      </c>
      <c r="GA243" t="b">
        <f>AND('Black &amp; White load sheet'!J85,"AAAAAHxV7rY=")</f>
        <v>1</v>
      </c>
      <c r="GB243" t="e">
        <f>AND('Black &amp; White load sheet'!K85,"AAAAAHxV7rc=")</f>
        <v>#VALUE!</v>
      </c>
      <c r="GC243" t="b">
        <f>AND('Black &amp; White load sheet'!L85,"AAAAAHxV7rg=")</f>
        <v>1</v>
      </c>
      <c r="GD243" t="b">
        <f>AND('Black &amp; White load sheet'!M85,"AAAAAHxV7rk=")</f>
        <v>1</v>
      </c>
      <c r="GE243">
        <f>IF('Black &amp; White load sheet'!86:86,"AAAAAHxV7ro=",0)</f>
        <v>0</v>
      </c>
      <c r="GF243" t="b">
        <f>AND('Black &amp; White load sheet'!A86,"AAAAAHxV7rs=")</f>
        <v>1</v>
      </c>
      <c r="GG243" t="b">
        <f>AND('Black &amp; White load sheet'!B86,"AAAAAHxV7rw=")</f>
        <v>1</v>
      </c>
      <c r="GH243" t="b">
        <f>AND('Black &amp; White load sheet'!C86,"AAAAAHxV7r0=")</f>
        <v>0</v>
      </c>
      <c r="GI243" t="b">
        <f>AND('Black &amp; White load sheet'!D86,"AAAAAHxV7r4=")</f>
        <v>0</v>
      </c>
      <c r="GJ243" t="b">
        <f>AND('Black &amp; White load sheet'!E86,"AAAAAHxV7r8=")</f>
        <v>0</v>
      </c>
      <c r="GK243" t="b">
        <f>AND('Black &amp; White load sheet'!F86,"AAAAAHxV7sA=")</f>
        <v>0</v>
      </c>
      <c r="GL243" t="b">
        <f>AND('Black &amp; White load sheet'!G86,"AAAAAHxV7sE=")</f>
        <v>0</v>
      </c>
      <c r="GM243" t="b">
        <f>AND('Black &amp; White load sheet'!H86,"AAAAAHxV7sI=")</f>
        <v>0</v>
      </c>
      <c r="GN243" t="b">
        <f>AND('Black &amp; White load sheet'!I86,"AAAAAHxV7sM=")</f>
        <v>1</v>
      </c>
      <c r="GO243" t="b">
        <f>AND('Black &amp; White load sheet'!J86,"AAAAAHxV7sQ=")</f>
        <v>0</v>
      </c>
      <c r="GP243" t="e">
        <f>AND('Black &amp; White load sheet'!K86,"AAAAAHxV7sU=")</f>
        <v>#VALUE!</v>
      </c>
      <c r="GQ243" t="b">
        <f>AND('Black &amp; White load sheet'!L86,"AAAAAHxV7sY=")</f>
        <v>1</v>
      </c>
      <c r="GR243" t="b">
        <f>AND('Black &amp; White load sheet'!M86,"AAAAAHxV7sc=")</f>
        <v>1</v>
      </c>
      <c r="GS243">
        <f>IF('Black &amp; White load sheet'!87:87,"AAAAAHxV7sg=",0)</f>
        <v>0</v>
      </c>
      <c r="GT243" t="b">
        <f>AND('Black &amp; White load sheet'!A87,"AAAAAHxV7sk=")</f>
        <v>1</v>
      </c>
      <c r="GU243" t="b">
        <f>AND('Black &amp; White load sheet'!B87,"AAAAAHxV7so=")</f>
        <v>1</v>
      </c>
      <c r="GV243" t="b">
        <f>AND('Black &amp; White load sheet'!C87,"AAAAAHxV7ss=")</f>
        <v>0</v>
      </c>
      <c r="GW243" t="b">
        <f>AND('Black &amp; White load sheet'!D87,"AAAAAHxV7sw=")</f>
        <v>0</v>
      </c>
      <c r="GX243" t="b">
        <f>AND('Black &amp; White load sheet'!E87,"AAAAAHxV7s0=")</f>
        <v>0</v>
      </c>
      <c r="GY243" t="b">
        <f>AND('Black &amp; White load sheet'!F87,"AAAAAHxV7s4=")</f>
        <v>0</v>
      </c>
      <c r="GZ243" t="b">
        <f>AND('Black &amp; White load sheet'!G87,"AAAAAHxV7s8=")</f>
        <v>0</v>
      </c>
      <c r="HA243" t="b">
        <f>AND('Black &amp; White load sheet'!H87,"AAAAAHxV7tA=")</f>
        <v>0</v>
      </c>
      <c r="HB243" t="b">
        <f>AND('Black &amp; White load sheet'!I87,"AAAAAHxV7tE=")</f>
        <v>1</v>
      </c>
      <c r="HC243" t="b">
        <f>AND('Black &amp; White load sheet'!J87,"AAAAAHxV7tI=")</f>
        <v>1</v>
      </c>
      <c r="HD243" t="e">
        <f>AND('Black &amp; White load sheet'!K87,"AAAAAHxV7tM=")</f>
        <v>#VALUE!</v>
      </c>
      <c r="HE243" t="b">
        <f>AND('Black &amp; White load sheet'!L87,"AAAAAHxV7tQ=")</f>
        <v>1</v>
      </c>
      <c r="HF243" t="b">
        <f>AND('Black &amp; White load sheet'!M87,"AAAAAHxV7tU=")</f>
        <v>1</v>
      </c>
      <c r="HG243">
        <f>IF('Black &amp; White load sheet'!88:88,"AAAAAHxV7tY=",0)</f>
        <v>0</v>
      </c>
      <c r="HH243" t="b">
        <f>AND('Black &amp; White load sheet'!A88,"AAAAAHxV7tc=")</f>
        <v>1</v>
      </c>
      <c r="HI243" t="b">
        <f>AND('Black &amp; White load sheet'!B88,"AAAAAHxV7tg=")</f>
        <v>1</v>
      </c>
      <c r="HJ243" t="b">
        <f>AND('Black &amp; White load sheet'!C88,"AAAAAHxV7tk=")</f>
        <v>0</v>
      </c>
      <c r="HK243" t="b">
        <f>AND('Black &amp; White load sheet'!D88,"AAAAAHxV7to=")</f>
        <v>0</v>
      </c>
      <c r="HL243" t="b">
        <f>AND('Black &amp; White load sheet'!E88,"AAAAAHxV7ts=")</f>
        <v>0</v>
      </c>
      <c r="HM243" t="b">
        <f>AND('Black &amp; White load sheet'!F88,"AAAAAHxV7tw=")</f>
        <v>0</v>
      </c>
      <c r="HN243" t="b">
        <f>AND('Black &amp; White load sheet'!G88,"AAAAAHxV7t0=")</f>
        <v>0</v>
      </c>
      <c r="HO243" t="b">
        <f>AND('Black &amp; White load sheet'!H88,"AAAAAHxV7t4=")</f>
        <v>1</v>
      </c>
      <c r="HP243" t="b">
        <f>AND('Black &amp; White load sheet'!I88,"AAAAAHxV7t8=")</f>
        <v>0</v>
      </c>
      <c r="HQ243" t="b">
        <f>AND('Black &amp; White load sheet'!J88,"AAAAAHxV7uA=")</f>
        <v>0</v>
      </c>
      <c r="HR243" t="e">
        <f>AND('Black &amp; White load sheet'!K88,"AAAAAHxV7uE=")</f>
        <v>#VALUE!</v>
      </c>
      <c r="HS243" t="b">
        <f>AND('Black &amp; White load sheet'!L88,"AAAAAHxV7uI=")</f>
        <v>1</v>
      </c>
      <c r="HT243" t="b">
        <f>AND('Black &amp; White load sheet'!M88,"AAAAAHxV7uM=")</f>
        <v>1</v>
      </c>
      <c r="HU243">
        <f>IF('Black &amp; White load sheet'!89:89,"AAAAAHxV7uQ=",0)</f>
        <v>0</v>
      </c>
      <c r="HV243" t="b">
        <f>AND('Black &amp; White load sheet'!A89,"AAAAAHxV7uU=")</f>
        <v>1</v>
      </c>
      <c r="HW243" t="b">
        <f>AND('Black &amp; White load sheet'!B89,"AAAAAHxV7uY=")</f>
        <v>1</v>
      </c>
      <c r="HX243" t="b">
        <f>AND('Black &amp; White load sheet'!C89,"AAAAAHxV7uc=")</f>
        <v>0</v>
      </c>
      <c r="HY243" t="b">
        <f>AND('Black &amp; White load sheet'!D89,"AAAAAHxV7ug=")</f>
        <v>0</v>
      </c>
      <c r="HZ243" t="b">
        <f>AND('Black &amp; White load sheet'!E89,"AAAAAHxV7uk=")</f>
        <v>0</v>
      </c>
      <c r="IA243" t="b">
        <f>AND('Black &amp; White load sheet'!F89,"AAAAAHxV7uo=")</f>
        <v>0</v>
      </c>
      <c r="IB243" t="b">
        <f>AND('Black &amp; White load sheet'!G89,"AAAAAHxV7us=")</f>
        <v>0</v>
      </c>
      <c r="IC243" t="b">
        <f>AND('Black &amp; White load sheet'!H89,"AAAAAHxV7uw=")</f>
        <v>1</v>
      </c>
      <c r="ID243" t="b">
        <f>AND('Black &amp; White load sheet'!I89,"AAAAAHxV7u0=")</f>
        <v>0</v>
      </c>
      <c r="IE243" t="b">
        <f>AND('Black &amp; White load sheet'!J89,"AAAAAHxV7u4=")</f>
        <v>1</v>
      </c>
      <c r="IF243" t="e">
        <f>AND('Black &amp; White load sheet'!K89,"AAAAAHxV7u8=")</f>
        <v>#VALUE!</v>
      </c>
      <c r="IG243" t="b">
        <f>AND('Black &amp; White load sheet'!L89,"AAAAAHxV7vA=")</f>
        <v>1</v>
      </c>
      <c r="IH243" t="b">
        <f>AND('Black &amp; White load sheet'!M89,"AAAAAHxV7vE=")</f>
        <v>1</v>
      </c>
      <c r="II243">
        <f>IF('Black &amp; White load sheet'!90:90,"AAAAAHxV7vI=",0)</f>
        <v>0</v>
      </c>
      <c r="IJ243" t="b">
        <f>AND('Black &amp; White load sheet'!A90,"AAAAAHxV7vM=")</f>
        <v>1</v>
      </c>
      <c r="IK243" t="b">
        <f>AND('Black &amp; White load sheet'!B90,"AAAAAHxV7vQ=")</f>
        <v>1</v>
      </c>
      <c r="IL243" t="b">
        <f>AND('Black &amp; White load sheet'!C90,"AAAAAHxV7vU=")</f>
        <v>0</v>
      </c>
      <c r="IM243" t="b">
        <f>AND('Black &amp; White load sheet'!D90,"AAAAAHxV7vY=")</f>
        <v>0</v>
      </c>
      <c r="IN243" t="b">
        <f>AND('Black &amp; White load sheet'!E90,"AAAAAHxV7vc=")</f>
        <v>0</v>
      </c>
      <c r="IO243" t="b">
        <f>AND('Black &amp; White load sheet'!F90,"AAAAAHxV7vg=")</f>
        <v>0</v>
      </c>
      <c r="IP243" t="b">
        <f>AND('Black &amp; White load sheet'!G90,"AAAAAHxV7vk=")</f>
        <v>0</v>
      </c>
      <c r="IQ243" t="b">
        <f>AND('Black &amp; White load sheet'!H90,"AAAAAHxV7vo=")</f>
        <v>1</v>
      </c>
      <c r="IR243" t="b">
        <f>AND('Black &amp; White load sheet'!I90,"AAAAAHxV7vs=")</f>
        <v>1</v>
      </c>
      <c r="IS243" t="b">
        <f>AND('Black &amp; White load sheet'!J90,"AAAAAHxV7vw=")</f>
        <v>0</v>
      </c>
      <c r="IT243" t="e">
        <f>AND('Black &amp; White load sheet'!K90,"AAAAAHxV7v0=")</f>
        <v>#VALUE!</v>
      </c>
      <c r="IU243" t="b">
        <f>AND('Black &amp; White load sheet'!L90,"AAAAAHxV7v4=")</f>
        <v>1</v>
      </c>
      <c r="IV243" t="b">
        <f>AND('Black &amp; White load sheet'!M90,"AAAAAHxV7v8=")</f>
        <v>1</v>
      </c>
    </row>
    <row r="244" spans="1:256" x14ac:dyDescent="0.25">
      <c r="A244" t="str">
        <f>IF('Black &amp; White load sheet'!91:91,"AAAAAGp39AA=",0)</f>
        <v>AAAAAGp39AA=</v>
      </c>
      <c r="B244" t="b">
        <f>AND('Black &amp; White load sheet'!A91,"AAAAAGp39AE=")</f>
        <v>1</v>
      </c>
      <c r="C244" t="b">
        <f>AND('Black &amp; White load sheet'!B91,"AAAAAGp39AI=")</f>
        <v>1</v>
      </c>
      <c r="D244" t="b">
        <f>AND('Black &amp; White load sheet'!C91,"AAAAAGp39AM=")</f>
        <v>0</v>
      </c>
      <c r="E244" t="b">
        <f>AND('Black &amp; White load sheet'!D91,"AAAAAGp39AQ=")</f>
        <v>0</v>
      </c>
      <c r="F244" t="b">
        <f>AND('Black &amp; White load sheet'!E91,"AAAAAGp39AU=")</f>
        <v>0</v>
      </c>
      <c r="G244" t="b">
        <f>AND('Black &amp; White load sheet'!F91,"AAAAAGp39AY=")</f>
        <v>0</v>
      </c>
      <c r="H244" t="b">
        <f>AND('Black &amp; White load sheet'!G91,"AAAAAGp39Ac=")</f>
        <v>0</v>
      </c>
      <c r="I244" t="b">
        <f>AND('Black &amp; White load sheet'!H91,"AAAAAGp39Ag=")</f>
        <v>1</v>
      </c>
      <c r="J244" t="b">
        <f>AND('Black &amp; White load sheet'!I91,"AAAAAGp39Ak=")</f>
        <v>1</v>
      </c>
      <c r="K244" t="b">
        <f>AND('Black &amp; White load sheet'!J91,"AAAAAGp39Ao=")</f>
        <v>1</v>
      </c>
      <c r="L244" t="e">
        <f>AND('Black &amp; White load sheet'!K91,"AAAAAGp39As=")</f>
        <v>#VALUE!</v>
      </c>
      <c r="M244" t="b">
        <f>AND('Black &amp; White load sheet'!L91,"AAAAAGp39Aw=")</f>
        <v>1</v>
      </c>
      <c r="N244" t="b">
        <f>AND('Black &amp; White load sheet'!M91,"AAAAAGp39A0=")</f>
        <v>1</v>
      </c>
      <c r="O244">
        <f>IF('Black &amp; White load sheet'!92:92,"AAAAAGp39A4=",0)</f>
        <v>0</v>
      </c>
      <c r="P244" t="b">
        <f>AND('Black &amp; White load sheet'!A92,"AAAAAGp39A8=")</f>
        <v>1</v>
      </c>
      <c r="Q244" t="b">
        <f>AND('Black &amp; White load sheet'!B92,"AAAAAGp39BA=")</f>
        <v>1</v>
      </c>
      <c r="R244" t="b">
        <f>AND('Black &amp; White load sheet'!C92,"AAAAAGp39BE=")</f>
        <v>0</v>
      </c>
      <c r="S244" t="b">
        <f>AND('Black &amp; White load sheet'!D92,"AAAAAGp39BI=")</f>
        <v>0</v>
      </c>
      <c r="T244" t="b">
        <f>AND('Black &amp; White load sheet'!E92,"AAAAAGp39BM=")</f>
        <v>0</v>
      </c>
      <c r="U244" t="b">
        <f>AND('Black &amp; White load sheet'!F92,"AAAAAGp39BQ=")</f>
        <v>0</v>
      </c>
      <c r="V244" t="b">
        <f>AND('Black &amp; White load sheet'!G92,"AAAAAGp39BU=")</f>
        <v>1</v>
      </c>
      <c r="W244" t="b">
        <f>AND('Black &amp; White load sheet'!H92,"AAAAAGp39BY=")</f>
        <v>0</v>
      </c>
      <c r="X244" t="b">
        <f>AND('Black &amp; White load sheet'!I92,"AAAAAGp39Bc=")</f>
        <v>0</v>
      </c>
      <c r="Y244" t="b">
        <f>AND('Black &amp; White load sheet'!J92,"AAAAAGp39Bg=")</f>
        <v>0</v>
      </c>
      <c r="Z244" t="e">
        <f>AND('Black &amp; White load sheet'!K92,"AAAAAGp39Bk=")</f>
        <v>#VALUE!</v>
      </c>
      <c r="AA244" t="b">
        <f>AND('Black &amp; White load sheet'!L92,"AAAAAGp39Bo=")</f>
        <v>1</v>
      </c>
      <c r="AB244" t="b">
        <f>AND('Black &amp; White load sheet'!M92,"AAAAAGp39Bs=")</f>
        <v>1</v>
      </c>
      <c r="AC244">
        <f>IF('Black &amp; White load sheet'!93:93,"AAAAAGp39Bw=",0)</f>
        <v>0</v>
      </c>
      <c r="AD244" t="b">
        <f>AND('Black &amp; White load sheet'!A93,"AAAAAGp39B0=")</f>
        <v>1</v>
      </c>
      <c r="AE244" t="b">
        <f>AND('Black &amp; White load sheet'!B93,"AAAAAGp39B4=")</f>
        <v>1</v>
      </c>
      <c r="AF244" t="b">
        <f>AND('Black &amp; White load sheet'!C93,"AAAAAGp39B8=")</f>
        <v>0</v>
      </c>
      <c r="AG244" t="b">
        <f>AND('Black &amp; White load sheet'!D93,"AAAAAGp39CA=")</f>
        <v>0</v>
      </c>
      <c r="AH244" t="b">
        <f>AND('Black &amp; White load sheet'!E93,"AAAAAGp39CE=")</f>
        <v>0</v>
      </c>
      <c r="AI244" t="b">
        <f>AND('Black &amp; White load sheet'!F93,"AAAAAGp39CI=")</f>
        <v>0</v>
      </c>
      <c r="AJ244" t="b">
        <f>AND('Black &amp; White load sheet'!G93,"AAAAAGp39CM=")</f>
        <v>1</v>
      </c>
      <c r="AK244" t="b">
        <f>AND('Black &amp; White load sheet'!H93,"AAAAAGp39CQ=")</f>
        <v>0</v>
      </c>
      <c r="AL244" t="b">
        <f>AND('Black &amp; White load sheet'!I93,"AAAAAGp39CU=")</f>
        <v>0</v>
      </c>
      <c r="AM244" t="b">
        <f>AND('Black &amp; White load sheet'!J93,"AAAAAGp39CY=")</f>
        <v>1</v>
      </c>
      <c r="AN244" t="e">
        <f>AND('Black &amp; White load sheet'!K93,"AAAAAGp39Cc=")</f>
        <v>#VALUE!</v>
      </c>
      <c r="AO244" t="b">
        <f>AND('Black &amp; White load sheet'!L93,"AAAAAGp39Cg=")</f>
        <v>1</v>
      </c>
      <c r="AP244" t="b">
        <f>AND('Black &amp; White load sheet'!M93,"AAAAAGp39Ck=")</f>
        <v>1</v>
      </c>
      <c r="AQ244">
        <f>IF('Black &amp; White load sheet'!94:94,"AAAAAGp39Co=",0)</f>
        <v>0</v>
      </c>
      <c r="AR244" t="b">
        <f>AND('Black &amp; White load sheet'!A94,"AAAAAGp39Cs=")</f>
        <v>1</v>
      </c>
      <c r="AS244" t="b">
        <f>AND('Black &amp; White load sheet'!B94,"AAAAAGp39Cw=")</f>
        <v>1</v>
      </c>
      <c r="AT244" t="b">
        <f>AND('Black &amp; White load sheet'!C94,"AAAAAGp39C0=")</f>
        <v>0</v>
      </c>
      <c r="AU244" t="b">
        <f>AND('Black &amp; White load sheet'!D94,"AAAAAGp39C4=")</f>
        <v>0</v>
      </c>
      <c r="AV244" t="b">
        <f>AND('Black &amp; White load sheet'!E94,"AAAAAGp39C8=")</f>
        <v>0</v>
      </c>
      <c r="AW244" t="b">
        <f>AND('Black &amp; White load sheet'!F94,"AAAAAGp39DA=")</f>
        <v>0</v>
      </c>
      <c r="AX244" t="b">
        <f>AND('Black &amp; White load sheet'!G94,"AAAAAGp39DE=")</f>
        <v>1</v>
      </c>
      <c r="AY244" t="b">
        <f>AND('Black &amp; White load sheet'!H94,"AAAAAGp39DI=")</f>
        <v>0</v>
      </c>
      <c r="AZ244" t="b">
        <f>AND('Black &amp; White load sheet'!I94,"AAAAAGp39DM=")</f>
        <v>1</v>
      </c>
      <c r="BA244" t="b">
        <f>AND('Black &amp; White load sheet'!J94,"AAAAAGp39DQ=")</f>
        <v>0</v>
      </c>
      <c r="BB244" t="e">
        <f>AND('Black &amp; White load sheet'!K94,"AAAAAGp39DU=")</f>
        <v>#VALUE!</v>
      </c>
      <c r="BC244" t="b">
        <f>AND('Black &amp; White load sheet'!L94,"AAAAAGp39DY=")</f>
        <v>1</v>
      </c>
      <c r="BD244" t="b">
        <f>AND('Black &amp; White load sheet'!M94,"AAAAAGp39Dc=")</f>
        <v>1</v>
      </c>
      <c r="BE244">
        <f>IF('Black &amp; White load sheet'!95:95,"AAAAAGp39Dg=",0)</f>
        <v>0</v>
      </c>
      <c r="BF244" t="b">
        <f>AND('Black &amp; White load sheet'!A95,"AAAAAGp39Dk=")</f>
        <v>1</v>
      </c>
      <c r="BG244" t="b">
        <f>AND('Black &amp; White load sheet'!B95,"AAAAAGp39Do=")</f>
        <v>1</v>
      </c>
      <c r="BH244" t="b">
        <f>AND('Black &amp; White load sheet'!C95,"AAAAAGp39Ds=")</f>
        <v>0</v>
      </c>
      <c r="BI244" t="b">
        <f>AND('Black &amp; White load sheet'!D95,"AAAAAGp39Dw=")</f>
        <v>0</v>
      </c>
      <c r="BJ244" t="b">
        <f>AND('Black &amp; White load sheet'!E95,"AAAAAGp39D0=")</f>
        <v>0</v>
      </c>
      <c r="BK244" t="b">
        <f>AND('Black &amp; White load sheet'!F95,"AAAAAGp39D4=")</f>
        <v>0</v>
      </c>
      <c r="BL244" t="b">
        <f>AND('Black &amp; White load sheet'!G95,"AAAAAGp39D8=")</f>
        <v>1</v>
      </c>
      <c r="BM244" t="b">
        <f>AND('Black &amp; White load sheet'!H95,"AAAAAGp39EA=")</f>
        <v>0</v>
      </c>
      <c r="BN244" t="b">
        <f>AND('Black &amp; White load sheet'!I95,"AAAAAGp39EE=")</f>
        <v>1</v>
      </c>
      <c r="BO244" t="b">
        <f>AND('Black &amp; White load sheet'!J95,"AAAAAGp39EI=")</f>
        <v>1</v>
      </c>
      <c r="BP244" t="e">
        <f>AND('Black &amp; White load sheet'!K95,"AAAAAGp39EM=")</f>
        <v>#VALUE!</v>
      </c>
      <c r="BQ244" t="b">
        <f>AND('Black &amp; White load sheet'!L95,"AAAAAGp39EQ=")</f>
        <v>1</v>
      </c>
      <c r="BR244" t="b">
        <f>AND('Black &amp; White load sheet'!M95,"AAAAAGp39EU=")</f>
        <v>1</v>
      </c>
      <c r="BS244">
        <f>IF('Black &amp; White load sheet'!96:96,"AAAAAGp39EY=",0)</f>
        <v>0</v>
      </c>
      <c r="BT244" t="b">
        <f>AND('Black &amp; White load sheet'!A96,"AAAAAGp39Ec=")</f>
        <v>1</v>
      </c>
      <c r="BU244" t="b">
        <f>AND('Black &amp; White load sheet'!B96,"AAAAAGp39Eg=")</f>
        <v>1</v>
      </c>
      <c r="BV244" t="b">
        <f>AND('Black &amp; White load sheet'!C96,"AAAAAGp39Ek=")</f>
        <v>0</v>
      </c>
      <c r="BW244" t="b">
        <f>AND('Black &amp; White load sheet'!D96,"AAAAAGp39Eo=")</f>
        <v>0</v>
      </c>
      <c r="BX244" t="b">
        <f>AND('Black &amp; White load sheet'!E96,"AAAAAGp39Es=")</f>
        <v>0</v>
      </c>
      <c r="BY244" t="b">
        <f>AND('Black &amp; White load sheet'!F96,"AAAAAGp39Ew=")</f>
        <v>1</v>
      </c>
      <c r="BZ244" t="b">
        <f>AND('Black &amp; White load sheet'!G96,"AAAAAGp39E0=")</f>
        <v>0</v>
      </c>
      <c r="CA244" t="b">
        <f>AND('Black &amp; White load sheet'!H96,"AAAAAGp39E4=")</f>
        <v>0</v>
      </c>
      <c r="CB244" t="b">
        <f>AND('Black &amp; White load sheet'!I96,"AAAAAGp39E8=")</f>
        <v>0</v>
      </c>
      <c r="CC244" t="b">
        <f>AND('Black &amp; White load sheet'!J96,"AAAAAGp39FA=")</f>
        <v>0</v>
      </c>
      <c r="CD244" t="e">
        <f>AND('Black &amp; White load sheet'!K96,"AAAAAGp39FE=")</f>
        <v>#VALUE!</v>
      </c>
      <c r="CE244" t="b">
        <f>AND('Black &amp; White load sheet'!L96,"AAAAAGp39FI=")</f>
        <v>1</v>
      </c>
      <c r="CF244" t="b">
        <f>AND('Black &amp; White load sheet'!M96,"AAAAAGp39FM=")</f>
        <v>1</v>
      </c>
      <c r="CG244">
        <f>IF('Black &amp; White load sheet'!97:97,"AAAAAGp39FQ=",0)</f>
        <v>0</v>
      </c>
      <c r="CH244" t="b">
        <f>AND('Black &amp; White load sheet'!A97,"AAAAAGp39FU=")</f>
        <v>1</v>
      </c>
      <c r="CI244" t="b">
        <f>AND('Black &amp; White load sheet'!B97,"AAAAAGp39FY=")</f>
        <v>1</v>
      </c>
      <c r="CJ244" t="b">
        <f>AND('Black &amp; White load sheet'!C97,"AAAAAGp39Fc=")</f>
        <v>0</v>
      </c>
      <c r="CK244" t="b">
        <f>AND('Black &amp; White load sheet'!D97,"AAAAAGp39Fg=")</f>
        <v>0</v>
      </c>
      <c r="CL244" t="b">
        <f>AND('Black &amp; White load sheet'!E97,"AAAAAGp39Fk=")</f>
        <v>0</v>
      </c>
      <c r="CM244" t="b">
        <f>AND('Black &amp; White load sheet'!F97,"AAAAAGp39Fo=")</f>
        <v>1</v>
      </c>
      <c r="CN244" t="b">
        <f>AND('Black &amp; White load sheet'!G97,"AAAAAGp39Fs=")</f>
        <v>0</v>
      </c>
      <c r="CO244" t="b">
        <f>AND('Black &amp; White load sheet'!H97,"AAAAAGp39Fw=")</f>
        <v>0</v>
      </c>
      <c r="CP244" t="b">
        <f>AND('Black &amp; White load sheet'!I97,"AAAAAGp39F0=")</f>
        <v>0</v>
      </c>
      <c r="CQ244" t="b">
        <f>AND('Black &amp; White load sheet'!J97,"AAAAAGp39F4=")</f>
        <v>1</v>
      </c>
      <c r="CR244" t="e">
        <f>AND('Black &amp; White load sheet'!K97,"AAAAAGp39F8=")</f>
        <v>#VALUE!</v>
      </c>
      <c r="CS244" t="b">
        <f>AND('Black &amp; White load sheet'!L97,"AAAAAGp39GA=")</f>
        <v>1</v>
      </c>
      <c r="CT244" t="b">
        <f>AND('Black &amp; White load sheet'!M97,"AAAAAGp39GE=")</f>
        <v>1</v>
      </c>
      <c r="CU244">
        <f>IF('Black &amp; White load sheet'!98:98,"AAAAAGp39GI=",0)</f>
        <v>0</v>
      </c>
      <c r="CV244" t="b">
        <f>AND('Black &amp; White load sheet'!A98,"AAAAAGp39GM=")</f>
        <v>1</v>
      </c>
      <c r="CW244" t="b">
        <f>AND('Black &amp; White load sheet'!B98,"AAAAAGp39GQ=")</f>
        <v>1</v>
      </c>
      <c r="CX244" t="b">
        <f>AND('Black &amp; White load sheet'!C98,"AAAAAGp39GU=")</f>
        <v>0</v>
      </c>
      <c r="CY244" t="b">
        <f>AND('Black &amp; White load sheet'!D98,"AAAAAGp39GY=")</f>
        <v>0</v>
      </c>
      <c r="CZ244" t="b">
        <f>AND('Black &amp; White load sheet'!E98,"AAAAAGp39Gc=")</f>
        <v>0</v>
      </c>
      <c r="DA244" t="b">
        <f>AND('Black &amp; White load sheet'!F98,"AAAAAGp39Gg=")</f>
        <v>1</v>
      </c>
      <c r="DB244" t="b">
        <f>AND('Black &amp; White load sheet'!G98,"AAAAAGp39Gk=")</f>
        <v>0</v>
      </c>
      <c r="DC244" t="b">
        <f>AND('Black &amp; White load sheet'!H98,"AAAAAGp39Go=")</f>
        <v>0</v>
      </c>
      <c r="DD244" t="b">
        <f>AND('Black &amp; White load sheet'!I98,"AAAAAGp39Gs=")</f>
        <v>1</v>
      </c>
      <c r="DE244" t="b">
        <f>AND('Black &amp; White load sheet'!J98,"AAAAAGp39Gw=")</f>
        <v>0</v>
      </c>
      <c r="DF244" t="e">
        <f>AND('Black &amp; White load sheet'!K98,"AAAAAGp39G0=")</f>
        <v>#VALUE!</v>
      </c>
      <c r="DG244" t="b">
        <f>AND('Black &amp; White load sheet'!L98,"AAAAAGp39G4=")</f>
        <v>1</v>
      </c>
      <c r="DH244" t="b">
        <f>AND('Black &amp; White load sheet'!M98,"AAAAAGp39G8=")</f>
        <v>1</v>
      </c>
      <c r="DI244">
        <f>IF('Black &amp; White load sheet'!99:99,"AAAAAGp39HA=",0)</f>
        <v>0</v>
      </c>
      <c r="DJ244" t="b">
        <f>AND('Black &amp; White load sheet'!A99,"AAAAAGp39HE=")</f>
        <v>1</v>
      </c>
      <c r="DK244" t="b">
        <f>AND('Black &amp; White load sheet'!B99,"AAAAAGp39HI=")</f>
        <v>1</v>
      </c>
      <c r="DL244" t="b">
        <f>AND('Black &amp; White load sheet'!C99,"AAAAAGp39HM=")</f>
        <v>0</v>
      </c>
      <c r="DM244" t="b">
        <f>AND('Black &amp; White load sheet'!D99,"AAAAAGp39HQ=")</f>
        <v>0</v>
      </c>
      <c r="DN244" t="b">
        <f>AND('Black &amp; White load sheet'!E99,"AAAAAGp39HU=")</f>
        <v>0</v>
      </c>
      <c r="DO244" t="b">
        <f>AND('Black &amp; White load sheet'!F99,"AAAAAGp39HY=")</f>
        <v>1</v>
      </c>
      <c r="DP244" t="b">
        <f>AND('Black &amp; White load sheet'!G99,"AAAAAGp39Hc=")</f>
        <v>0</v>
      </c>
      <c r="DQ244" t="b">
        <f>AND('Black &amp; White load sheet'!H99,"AAAAAGp39Hg=")</f>
        <v>0</v>
      </c>
      <c r="DR244" t="b">
        <f>AND('Black &amp; White load sheet'!I99,"AAAAAGp39Hk=")</f>
        <v>1</v>
      </c>
      <c r="DS244" t="b">
        <f>AND('Black &amp; White load sheet'!J99,"AAAAAGp39Ho=")</f>
        <v>1</v>
      </c>
      <c r="DT244" t="e">
        <f>AND('Black &amp; White load sheet'!K99,"AAAAAGp39Hs=")</f>
        <v>#VALUE!</v>
      </c>
      <c r="DU244" t="b">
        <f>AND('Black &amp; White load sheet'!L99,"AAAAAGp39Hw=")</f>
        <v>1</v>
      </c>
      <c r="DV244" t="b">
        <f>AND('Black &amp; White load sheet'!M99,"AAAAAGp39H0=")</f>
        <v>1</v>
      </c>
      <c r="DW244">
        <f>IF('Black &amp; White load sheet'!100:100,"AAAAAGp39H4=",0)</f>
        <v>0</v>
      </c>
      <c r="DX244" t="b">
        <f>AND('Black &amp; White load sheet'!A100,"AAAAAGp39H8=")</f>
        <v>1</v>
      </c>
      <c r="DY244" t="b">
        <f>AND('Black &amp; White load sheet'!B100,"AAAAAGp39IA=")</f>
        <v>1</v>
      </c>
      <c r="DZ244" t="b">
        <f>AND('Black &amp; White load sheet'!C100,"AAAAAGp39IE=")</f>
        <v>0</v>
      </c>
      <c r="EA244" t="b">
        <f>AND('Black &amp; White load sheet'!D100,"AAAAAGp39II=")</f>
        <v>0</v>
      </c>
      <c r="EB244" t="b">
        <f>AND('Black &amp; White load sheet'!E100,"AAAAAGp39IM=")</f>
        <v>1</v>
      </c>
      <c r="EC244" t="b">
        <f>AND('Black &amp; White load sheet'!F100,"AAAAAGp39IQ=")</f>
        <v>0</v>
      </c>
      <c r="ED244" t="b">
        <f>AND('Black &amp; White load sheet'!G100,"AAAAAGp39IU=")</f>
        <v>0</v>
      </c>
      <c r="EE244" t="b">
        <f>AND('Black &amp; White load sheet'!H100,"AAAAAGp39IY=")</f>
        <v>0</v>
      </c>
      <c r="EF244" t="b">
        <f>AND('Black &amp; White load sheet'!I100,"AAAAAGp39Ic=")</f>
        <v>0</v>
      </c>
      <c r="EG244" t="b">
        <f>AND('Black &amp; White load sheet'!J100,"AAAAAGp39Ig=")</f>
        <v>0</v>
      </c>
      <c r="EH244" t="e">
        <f>AND('Black &amp; White load sheet'!K100,"AAAAAGp39Ik=")</f>
        <v>#VALUE!</v>
      </c>
      <c r="EI244" t="b">
        <f>AND('Black &amp; White load sheet'!L100,"AAAAAGp39Io=")</f>
        <v>1</v>
      </c>
      <c r="EJ244" t="b">
        <f>AND('Black &amp; White load sheet'!M100,"AAAAAGp39Is=")</f>
        <v>1</v>
      </c>
      <c r="EK244">
        <f>IF('Black &amp; White load sheet'!101:101,"AAAAAGp39Iw=",0)</f>
        <v>0</v>
      </c>
      <c r="EL244" t="b">
        <f>AND('Black &amp; White load sheet'!A101,"AAAAAGp39I0=")</f>
        <v>1</v>
      </c>
      <c r="EM244" t="b">
        <f>AND('Black &amp; White load sheet'!B101,"AAAAAGp39I4=")</f>
        <v>1</v>
      </c>
      <c r="EN244" t="b">
        <f>AND('Black &amp; White load sheet'!C101,"AAAAAGp39I8=")</f>
        <v>0</v>
      </c>
      <c r="EO244" t="b">
        <f>AND('Black &amp; White load sheet'!D101,"AAAAAGp39JA=")</f>
        <v>0</v>
      </c>
      <c r="EP244" t="b">
        <f>AND('Black &amp; White load sheet'!E101,"AAAAAGp39JE=")</f>
        <v>1</v>
      </c>
      <c r="EQ244" t="b">
        <f>AND('Black &amp; White load sheet'!F101,"AAAAAGp39JI=")</f>
        <v>0</v>
      </c>
      <c r="ER244" t="b">
        <f>AND('Black &amp; White load sheet'!G101,"AAAAAGp39JM=")</f>
        <v>0</v>
      </c>
      <c r="ES244" t="b">
        <f>AND('Black &amp; White load sheet'!H101,"AAAAAGp39JQ=")</f>
        <v>0</v>
      </c>
      <c r="ET244" t="b">
        <f>AND('Black &amp; White load sheet'!I101,"AAAAAGp39JU=")</f>
        <v>0</v>
      </c>
      <c r="EU244" t="b">
        <f>AND('Black &amp; White load sheet'!J101,"AAAAAGp39JY=")</f>
        <v>1</v>
      </c>
      <c r="EV244" t="e">
        <f>AND('Black &amp; White load sheet'!K101,"AAAAAGp39Jc=")</f>
        <v>#VALUE!</v>
      </c>
      <c r="EW244" t="b">
        <f>AND('Black &amp; White load sheet'!L101,"AAAAAGp39Jg=")</f>
        <v>1</v>
      </c>
      <c r="EX244" t="b">
        <f>AND('Black &amp; White load sheet'!M101,"AAAAAGp39Jk=")</f>
        <v>1</v>
      </c>
      <c r="EY244">
        <f>IF('Black &amp; White load sheet'!102:102,"AAAAAGp39Jo=",0)</f>
        <v>0</v>
      </c>
      <c r="EZ244" t="b">
        <f>AND('Black &amp; White load sheet'!A102,"AAAAAGp39Js=")</f>
        <v>1</v>
      </c>
      <c r="FA244" t="b">
        <f>AND('Black &amp; White load sheet'!B102,"AAAAAGp39Jw=")</f>
        <v>1</v>
      </c>
      <c r="FB244" t="b">
        <f>AND('Black &amp; White load sheet'!C102,"AAAAAGp39J0=")</f>
        <v>0</v>
      </c>
      <c r="FC244" t="b">
        <f>AND('Black &amp; White load sheet'!D102,"AAAAAGp39J4=")</f>
        <v>0</v>
      </c>
      <c r="FD244" t="b">
        <f>AND('Black &amp; White load sheet'!E102,"AAAAAGp39J8=")</f>
        <v>1</v>
      </c>
      <c r="FE244" t="b">
        <f>AND('Black &amp; White load sheet'!F102,"AAAAAGp39KA=")</f>
        <v>0</v>
      </c>
      <c r="FF244" t="b">
        <f>AND('Black &amp; White load sheet'!G102,"AAAAAGp39KE=")</f>
        <v>0</v>
      </c>
      <c r="FG244" t="b">
        <f>AND('Black &amp; White load sheet'!H102,"AAAAAGp39KI=")</f>
        <v>0</v>
      </c>
      <c r="FH244" t="b">
        <f>AND('Black &amp; White load sheet'!I102,"AAAAAGp39KM=")</f>
        <v>1</v>
      </c>
      <c r="FI244" t="b">
        <f>AND('Black &amp; White load sheet'!J102,"AAAAAGp39KQ=")</f>
        <v>0</v>
      </c>
      <c r="FJ244" t="e">
        <f>AND('Black &amp; White load sheet'!K102,"AAAAAGp39KU=")</f>
        <v>#VALUE!</v>
      </c>
      <c r="FK244" t="b">
        <f>AND('Black &amp; White load sheet'!L102,"AAAAAGp39KY=")</f>
        <v>1</v>
      </c>
      <c r="FL244" t="b">
        <f>AND('Black &amp; White load sheet'!M102,"AAAAAGp39Kc=")</f>
        <v>1</v>
      </c>
      <c r="FM244">
        <f>IF('Black &amp; White load sheet'!103:103,"AAAAAGp39Kg=",0)</f>
        <v>0</v>
      </c>
      <c r="FN244" t="b">
        <f>AND('Black &amp; White load sheet'!A103,"AAAAAGp39Kk=")</f>
        <v>1</v>
      </c>
      <c r="FO244" t="b">
        <f>AND('Black &amp; White load sheet'!B103,"AAAAAGp39Ko=")</f>
        <v>1</v>
      </c>
      <c r="FP244" t="b">
        <f>AND('Black &amp; White load sheet'!C103,"AAAAAGp39Ks=")</f>
        <v>0</v>
      </c>
      <c r="FQ244" t="b">
        <f>AND('Black &amp; White load sheet'!D103,"AAAAAGp39Kw=")</f>
        <v>0</v>
      </c>
      <c r="FR244" t="b">
        <f>AND('Black &amp; White load sheet'!E103,"AAAAAGp39K0=")</f>
        <v>1</v>
      </c>
      <c r="FS244" t="b">
        <f>AND('Black &amp; White load sheet'!F103,"AAAAAGp39K4=")</f>
        <v>0</v>
      </c>
      <c r="FT244" t="b">
        <f>AND('Black &amp; White load sheet'!G103,"AAAAAGp39K8=")</f>
        <v>0</v>
      </c>
      <c r="FU244" t="b">
        <f>AND('Black &amp; White load sheet'!H103,"AAAAAGp39LA=")</f>
        <v>0</v>
      </c>
      <c r="FV244" t="b">
        <f>AND('Black &amp; White load sheet'!I103,"AAAAAGp39LE=")</f>
        <v>1</v>
      </c>
      <c r="FW244" t="b">
        <f>AND('Black &amp; White load sheet'!J103,"AAAAAGp39LI=")</f>
        <v>1</v>
      </c>
      <c r="FX244" t="e">
        <f>AND('Black &amp; White load sheet'!K103,"AAAAAGp39LM=")</f>
        <v>#VALUE!</v>
      </c>
      <c r="FY244" t="b">
        <f>AND('Black &amp; White load sheet'!L103,"AAAAAGp39LQ=")</f>
        <v>1</v>
      </c>
      <c r="FZ244" t="b">
        <f>AND('Black &amp; White load sheet'!M103,"AAAAAGp39LU=")</f>
        <v>1</v>
      </c>
      <c r="GA244">
        <f>IF('Black &amp; White load sheet'!104:104,"AAAAAGp39LY=",0)</f>
        <v>0</v>
      </c>
      <c r="GB244" t="b">
        <f>AND('Black &amp; White load sheet'!A104,"AAAAAGp39Lc=")</f>
        <v>1</v>
      </c>
      <c r="GC244" t="b">
        <f>AND('Black &amp; White load sheet'!B104,"AAAAAGp39Lg=")</f>
        <v>1</v>
      </c>
      <c r="GD244" t="b">
        <f>AND('Black &amp; White load sheet'!C104,"AAAAAGp39Lk=")</f>
        <v>0</v>
      </c>
      <c r="GE244" t="b">
        <f>AND('Black &amp; White load sheet'!D104,"AAAAAGp39Lo=")</f>
        <v>0</v>
      </c>
      <c r="GF244" t="b">
        <f>AND('Black &amp; White load sheet'!E104,"AAAAAGp39Ls=")</f>
        <v>1</v>
      </c>
      <c r="GG244" t="b">
        <f>AND('Black &amp; White load sheet'!F104,"AAAAAGp39Lw=")</f>
        <v>0</v>
      </c>
      <c r="GH244" t="b">
        <f>AND('Black &amp; White load sheet'!G104,"AAAAAGp39L0=")</f>
        <v>0</v>
      </c>
      <c r="GI244" t="b">
        <f>AND('Black &amp; White load sheet'!H104,"AAAAAGp39L4=")</f>
        <v>1</v>
      </c>
      <c r="GJ244" t="b">
        <f>AND('Black &amp; White load sheet'!I104,"AAAAAGp39L8=")</f>
        <v>0</v>
      </c>
      <c r="GK244" t="b">
        <f>AND('Black &amp; White load sheet'!J104,"AAAAAGp39MA=")</f>
        <v>0</v>
      </c>
      <c r="GL244" t="e">
        <f>AND('Black &amp; White load sheet'!K104,"AAAAAGp39ME=")</f>
        <v>#VALUE!</v>
      </c>
      <c r="GM244" t="b">
        <f>AND('Black &amp; White load sheet'!L104,"AAAAAGp39MI=")</f>
        <v>1</v>
      </c>
      <c r="GN244" t="b">
        <f>AND('Black &amp; White load sheet'!M104,"AAAAAGp39MM=")</f>
        <v>1</v>
      </c>
      <c r="GO244">
        <f>IF('Black &amp; White load sheet'!105:105,"AAAAAGp39MQ=",0)</f>
        <v>0</v>
      </c>
      <c r="GP244" t="b">
        <f>AND('Black &amp; White load sheet'!A105,"AAAAAGp39MU=")</f>
        <v>1</v>
      </c>
      <c r="GQ244" t="b">
        <f>AND('Black &amp; White load sheet'!B105,"AAAAAGp39MY=")</f>
        <v>1</v>
      </c>
      <c r="GR244" t="b">
        <f>AND('Black &amp; White load sheet'!C105,"AAAAAGp39Mc=")</f>
        <v>0</v>
      </c>
      <c r="GS244" t="b">
        <f>AND('Black &amp; White load sheet'!D105,"AAAAAGp39Mg=")</f>
        <v>0</v>
      </c>
      <c r="GT244" t="b">
        <f>AND('Black &amp; White load sheet'!E105,"AAAAAGp39Mk=")</f>
        <v>1</v>
      </c>
      <c r="GU244" t="b">
        <f>AND('Black &amp; White load sheet'!F105,"AAAAAGp39Mo=")</f>
        <v>0</v>
      </c>
      <c r="GV244" t="b">
        <f>AND('Black &amp; White load sheet'!G105,"AAAAAGp39Ms=")</f>
        <v>0</v>
      </c>
      <c r="GW244" t="b">
        <f>AND('Black &amp; White load sheet'!H105,"AAAAAGp39Mw=")</f>
        <v>1</v>
      </c>
      <c r="GX244" t="b">
        <f>AND('Black &amp; White load sheet'!I105,"AAAAAGp39M0=")</f>
        <v>0</v>
      </c>
      <c r="GY244" t="b">
        <f>AND('Black &amp; White load sheet'!J105,"AAAAAGp39M4=")</f>
        <v>1</v>
      </c>
      <c r="GZ244" t="e">
        <f>AND('Black &amp; White load sheet'!K105,"AAAAAGp39M8=")</f>
        <v>#VALUE!</v>
      </c>
      <c r="HA244" t="b">
        <f>AND('Black &amp; White load sheet'!L105,"AAAAAGp39NA=")</f>
        <v>1</v>
      </c>
      <c r="HB244" t="b">
        <f>AND('Black &amp; White load sheet'!M105,"AAAAAGp39NE=")</f>
        <v>1</v>
      </c>
      <c r="HC244">
        <f>IF('Black &amp; White load sheet'!106:106,"AAAAAGp39NI=",0)</f>
        <v>0</v>
      </c>
      <c r="HD244" t="b">
        <f>AND('Black &amp; White load sheet'!A106,"AAAAAGp39NM=")</f>
        <v>1</v>
      </c>
      <c r="HE244" t="b">
        <f>AND('Black &amp; White load sheet'!B106,"AAAAAGp39NQ=")</f>
        <v>1</v>
      </c>
      <c r="HF244" t="b">
        <f>AND('Black &amp; White load sheet'!C106,"AAAAAGp39NU=")</f>
        <v>0</v>
      </c>
      <c r="HG244" t="b">
        <f>AND('Black &amp; White load sheet'!D106,"AAAAAGp39NY=")</f>
        <v>0</v>
      </c>
      <c r="HH244" t="b">
        <f>AND('Black &amp; White load sheet'!E106,"AAAAAGp39Nc=")</f>
        <v>1</v>
      </c>
      <c r="HI244" t="b">
        <f>AND('Black &amp; White load sheet'!F106,"AAAAAGp39Ng=")</f>
        <v>0</v>
      </c>
      <c r="HJ244" t="b">
        <f>AND('Black &amp; White load sheet'!G106,"AAAAAGp39Nk=")</f>
        <v>0</v>
      </c>
      <c r="HK244" t="b">
        <f>AND('Black &amp; White load sheet'!H106,"AAAAAGp39No=")</f>
        <v>1</v>
      </c>
      <c r="HL244" t="b">
        <f>AND('Black &amp; White load sheet'!I106,"AAAAAGp39Ns=")</f>
        <v>1</v>
      </c>
      <c r="HM244" t="b">
        <f>AND('Black &amp; White load sheet'!J106,"AAAAAGp39Nw=")</f>
        <v>0</v>
      </c>
      <c r="HN244" t="e">
        <f>AND('Black &amp; White load sheet'!K106,"AAAAAGp39N0=")</f>
        <v>#VALUE!</v>
      </c>
      <c r="HO244" t="b">
        <f>AND('Black &amp; White load sheet'!L106,"AAAAAGp39N4=")</f>
        <v>1</v>
      </c>
      <c r="HP244" t="b">
        <f>AND('Black &amp; White load sheet'!M106,"AAAAAGp39N8=")</f>
        <v>1</v>
      </c>
      <c r="HQ244">
        <f>IF('Black &amp; White load sheet'!107:107,"AAAAAGp39OA=",0)</f>
        <v>0</v>
      </c>
      <c r="HR244" t="b">
        <f>AND('Black &amp; White load sheet'!A107,"AAAAAGp39OE=")</f>
        <v>1</v>
      </c>
      <c r="HS244" t="b">
        <f>AND('Black &amp; White load sheet'!B107,"AAAAAGp39OI=")</f>
        <v>1</v>
      </c>
      <c r="HT244" t="b">
        <f>AND('Black &amp; White load sheet'!C107,"AAAAAGp39OM=")</f>
        <v>0</v>
      </c>
      <c r="HU244" t="b">
        <f>AND('Black &amp; White load sheet'!D107,"AAAAAGp39OQ=")</f>
        <v>0</v>
      </c>
      <c r="HV244" t="b">
        <f>AND('Black &amp; White load sheet'!E107,"AAAAAGp39OU=")</f>
        <v>1</v>
      </c>
      <c r="HW244" t="b">
        <f>AND('Black &amp; White load sheet'!F107,"AAAAAGp39OY=")</f>
        <v>0</v>
      </c>
      <c r="HX244" t="b">
        <f>AND('Black &amp; White load sheet'!G107,"AAAAAGp39Oc=")</f>
        <v>0</v>
      </c>
      <c r="HY244" t="b">
        <f>AND('Black &amp; White load sheet'!H107,"AAAAAGp39Og=")</f>
        <v>1</v>
      </c>
      <c r="HZ244" t="b">
        <f>AND('Black &amp; White load sheet'!I107,"AAAAAGp39Ok=")</f>
        <v>1</v>
      </c>
      <c r="IA244" t="b">
        <f>AND('Black &amp; White load sheet'!J107,"AAAAAGp39Oo=")</f>
        <v>1</v>
      </c>
      <c r="IB244" t="e">
        <f>AND('Black &amp; White load sheet'!K107,"AAAAAGp39Os=")</f>
        <v>#VALUE!</v>
      </c>
      <c r="IC244" t="b">
        <f>AND('Black &amp; White load sheet'!L107,"AAAAAGp39Ow=")</f>
        <v>1</v>
      </c>
      <c r="ID244" t="b">
        <f>AND('Black &amp; White load sheet'!M107,"AAAAAGp39O0=")</f>
        <v>1</v>
      </c>
      <c r="IE244">
        <f>IF('Black &amp; White load sheet'!108:108,"AAAAAGp39O4=",0)</f>
        <v>0</v>
      </c>
      <c r="IF244" t="b">
        <f>AND('Black &amp; White load sheet'!A108,"AAAAAGp39O8=")</f>
        <v>1</v>
      </c>
      <c r="IG244" t="b">
        <f>AND('Black &amp; White load sheet'!B108,"AAAAAGp39PA=")</f>
        <v>1</v>
      </c>
      <c r="IH244" t="b">
        <f>AND('Black &amp; White load sheet'!C108,"AAAAAGp39PE=")</f>
        <v>0</v>
      </c>
      <c r="II244" t="b">
        <f>AND('Black &amp; White load sheet'!D108,"AAAAAGp39PI=")</f>
        <v>0</v>
      </c>
      <c r="IJ244" t="b">
        <f>AND('Black &amp; White load sheet'!E108,"AAAAAGp39PM=")</f>
        <v>1</v>
      </c>
      <c r="IK244" t="b">
        <f>AND('Black &amp; White load sheet'!F108,"AAAAAGp39PQ=")</f>
        <v>0</v>
      </c>
      <c r="IL244" t="b">
        <f>AND('Black &amp; White load sheet'!G108,"AAAAAGp39PU=")</f>
        <v>1</v>
      </c>
      <c r="IM244" t="b">
        <f>AND('Black &amp; White load sheet'!H108,"AAAAAGp39PY=")</f>
        <v>0</v>
      </c>
      <c r="IN244" t="b">
        <f>AND('Black &amp; White load sheet'!I108,"AAAAAGp39Pc=")</f>
        <v>0</v>
      </c>
      <c r="IO244" t="b">
        <f>AND('Black &amp; White load sheet'!J108,"AAAAAGp39Pg=")</f>
        <v>0</v>
      </c>
      <c r="IP244" t="e">
        <f>AND('Black &amp; White load sheet'!K108,"AAAAAGp39Pk=")</f>
        <v>#VALUE!</v>
      </c>
      <c r="IQ244" t="b">
        <f>AND('Black &amp; White load sheet'!L108,"AAAAAGp39Po=")</f>
        <v>1</v>
      </c>
      <c r="IR244" t="b">
        <f>AND('Black &amp; White load sheet'!M108,"AAAAAGp39Ps=")</f>
        <v>1</v>
      </c>
      <c r="IS244">
        <f>IF('Black &amp; White load sheet'!109:109,"AAAAAGp39Pw=",0)</f>
        <v>0</v>
      </c>
      <c r="IT244" t="b">
        <f>AND('Black &amp; White load sheet'!A109,"AAAAAGp39P0=")</f>
        <v>1</v>
      </c>
      <c r="IU244" t="b">
        <f>AND('Black &amp; White load sheet'!B109,"AAAAAGp39P4=")</f>
        <v>1</v>
      </c>
      <c r="IV244" t="b">
        <f>AND('Black &amp; White load sheet'!C109,"AAAAAGp39P8=")</f>
        <v>0</v>
      </c>
    </row>
    <row r="245" spans="1:256" x14ac:dyDescent="0.25">
      <c r="A245" t="b">
        <f>AND('Black &amp; White load sheet'!D109,"AAAAAHf7dwA=")</f>
        <v>0</v>
      </c>
      <c r="B245" t="b">
        <f>AND('Black &amp; White load sheet'!E109,"AAAAAHf7dwE=")</f>
        <v>1</v>
      </c>
      <c r="C245" t="b">
        <f>AND('Black &amp; White load sheet'!F109,"AAAAAHf7dwI=")</f>
        <v>0</v>
      </c>
      <c r="D245" t="b">
        <f>AND('Black &amp; White load sheet'!G109,"AAAAAHf7dwM=")</f>
        <v>1</v>
      </c>
      <c r="E245" t="b">
        <f>AND('Black &amp; White load sheet'!H109,"AAAAAHf7dwQ=")</f>
        <v>0</v>
      </c>
      <c r="F245" t="b">
        <f>AND('Black &amp; White load sheet'!I109,"AAAAAHf7dwU=")</f>
        <v>0</v>
      </c>
      <c r="G245" t="b">
        <f>AND('Black &amp; White load sheet'!J109,"AAAAAHf7dwY=")</f>
        <v>1</v>
      </c>
      <c r="H245" t="e">
        <f>AND('Black &amp; White load sheet'!K109,"AAAAAHf7dwc=")</f>
        <v>#VALUE!</v>
      </c>
      <c r="I245" t="b">
        <f>AND('Black &amp; White load sheet'!L109,"AAAAAHf7dwg=")</f>
        <v>1</v>
      </c>
      <c r="J245" t="b">
        <f>AND('Black &amp; White load sheet'!M109,"AAAAAHf7dwk=")</f>
        <v>1</v>
      </c>
      <c r="K245">
        <f>IF('Black &amp; White load sheet'!110:110,"AAAAAHf7dwo=",0)</f>
        <v>0</v>
      </c>
      <c r="L245" t="b">
        <f>AND('Black &amp; White load sheet'!A110,"AAAAAHf7dws=")</f>
        <v>1</v>
      </c>
      <c r="M245" t="b">
        <f>AND('Black &amp; White load sheet'!B110,"AAAAAHf7dww=")</f>
        <v>1</v>
      </c>
      <c r="N245" t="b">
        <f>AND('Black &amp; White load sheet'!C110,"AAAAAHf7dw0=")</f>
        <v>0</v>
      </c>
      <c r="O245" t="b">
        <f>AND('Black &amp; White load sheet'!D110,"AAAAAHf7dw4=")</f>
        <v>0</v>
      </c>
      <c r="P245" t="b">
        <f>AND('Black &amp; White load sheet'!E110,"AAAAAHf7dw8=")</f>
        <v>1</v>
      </c>
      <c r="Q245" t="b">
        <f>AND('Black &amp; White load sheet'!F110,"AAAAAHf7dxA=")</f>
        <v>0</v>
      </c>
      <c r="R245" t="b">
        <f>AND('Black &amp; White load sheet'!G110,"AAAAAHf7dxE=")</f>
        <v>1</v>
      </c>
      <c r="S245" t="b">
        <f>AND('Black &amp; White load sheet'!H110,"AAAAAHf7dxI=")</f>
        <v>0</v>
      </c>
      <c r="T245" t="b">
        <f>AND('Black &amp; White load sheet'!I110,"AAAAAHf7dxM=")</f>
        <v>1</v>
      </c>
      <c r="U245" t="b">
        <f>AND('Black &amp; White load sheet'!J110,"AAAAAHf7dxQ=")</f>
        <v>0</v>
      </c>
      <c r="V245" t="e">
        <f>AND('Black &amp; White load sheet'!K110,"AAAAAHf7dxU=")</f>
        <v>#VALUE!</v>
      </c>
      <c r="W245" t="b">
        <f>AND('Black &amp; White load sheet'!L110,"AAAAAHf7dxY=")</f>
        <v>1</v>
      </c>
      <c r="X245" t="b">
        <f>AND('Black &amp; White load sheet'!M110,"AAAAAHf7dxc=")</f>
        <v>1</v>
      </c>
      <c r="Y245">
        <f>IF('Black &amp; White load sheet'!111:111,"AAAAAHf7dxg=",0)</f>
        <v>0</v>
      </c>
      <c r="Z245" t="b">
        <f>AND('Black &amp; White load sheet'!A111,"AAAAAHf7dxk=")</f>
        <v>1</v>
      </c>
      <c r="AA245" t="b">
        <f>AND('Black &amp; White load sheet'!B111,"AAAAAHf7dxo=")</f>
        <v>1</v>
      </c>
      <c r="AB245" t="b">
        <f>AND('Black &amp; White load sheet'!C111,"AAAAAHf7dxs=")</f>
        <v>0</v>
      </c>
      <c r="AC245" t="b">
        <f>AND('Black &amp; White load sheet'!D111,"AAAAAHf7dxw=")</f>
        <v>0</v>
      </c>
      <c r="AD245" t="b">
        <f>AND('Black &amp; White load sheet'!E111,"AAAAAHf7dx0=")</f>
        <v>1</v>
      </c>
      <c r="AE245" t="b">
        <f>AND('Black &amp; White load sheet'!F111,"AAAAAHf7dx4=")</f>
        <v>0</v>
      </c>
      <c r="AF245" t="b">
        <f>AND('Black &amp; White load sheet'!G111,"AAAAAHf7dx8=")</f>
        <v>1</v>
      </c>
      <c r="AG245" t="b">
        <f>AND('Black &amp; White load sheet'!H111,"AAAAAHf7dyA=")</f>
        <v>0</v>
      </c>
      <c r="AH245" t="b">
        <f>AND('Black &amp; White load sheet'!I111,"AAAAAHf7dyE=")</f>
        <v>1</v>
      </c>
      <c r="AI245" t="b">
        <f>AND('Black &amp; White load sheet'!J111,"AAAAAHf7dyI=")</f>
        <v>1</v>
      </c>
      <c r="AJ245" t="e">
        <f>AND('Black &amp; White load sheet'!K111,"AAAAAHf7dyM=")</f>
        <v>#VALUE!</v>
      </c>
      <c r="AK245" t="b">
        <f>AND('Black &amp; White load sheet'!L111,"AAAAAHf7dyQ=")</f>
        <v>1</v>
      </c>
      <c r="AL245" t="b">
        <f>AND('Black &amp; White load sheet'!M111,"AAAAAHf7dyU=")</f>
        <v>1</v>
      </c>
      <c r="AM245">
        <f>IF('Black &amp; White load sheet'!112:112,"AAAAAHf7dyY=",0)</f>
        <v>0</v>
      </c>
      <c r="AN245" t="b">
        <f>AND('Black &amp; White load sheet'!A112,"AAAAAHf7dyc=")</f>
        <v>1</v>
      </c>
      <c r="AO245" t="b">
        <f>AND('Black &amp; White load sheet'!B112,"AAAAAHf7dyg=")</f>
        <v>1</v>
      </c>
      <c r="AP245" t="b">
        <f>AND('Black &amp; White load sheet'!C112,"AAAAAHf7dyk=")</f>
        <v>0</v>
      </c>
      <c r="AQ245" t="b">
        <f>AND('Black &amp; White load sheet'!D112,"AAAAAHf7dyo=")</f>
        <v>0</v>
      </c>
      <c r="AR245" t="b">
        <f>AND('Black &amp; White load sheet'!E112,"AAAAAHf7dys=")</f>
        <v>1</v>
      </c>
      <c r="AS245" t="b">
        <f>AND('Black &amp; White load sheet'!F112,"AAAAAHf7dyw=")</f>
        <v>1</v>
      </c>
      <c r="AT245" t="b">
        <f>AND('Black &amp; White load sheet'!G112,"AAAAAHf7dy0=")</f>
        <v>0</v>
      </c>
      <c r="AU245" t="b">
        <f>AND('Black &amp; White load sheet'!H112,"AAAAAHf7dy4=")</f>
        <v>0</v>
      </c>
      <c r="AV245" t="b">
        <f>AND('Black &amp; White load sheet'!I112,"AAAAAHf7dy8=")</f>
        <v>0</v>
      </c>
      <c r="AW245" t="b">
        <f>AND('Black &amp; White load sheet'!J112,"AAAAAHf7dzA=")</f>
        <v>0</v>
      </c>
      <c r="AX245" t="e">
        <f>AND('Black &amp; White load sheet'!K112,"AAAAAHf7dzE=")</f>
        <v>#VALUE!</v>
      </c>
      <c r="AY245" t="b">
        <f>AND('Black &amp; White load sheet'!L112,"AAAAAHf7dzI=")</f>
        <v>1</v>
      </c>
      <c r="AZ245" t="b">
        <f>AND('Black &amp; White load sheet'!M112,"AAAAAHf7dzM=")</f>
        <v>1</v>
      </c>
      <c r="BA245">
        <f>IF('Black &amp; White load sheet'!113:113,"AAAAAHf7dzQ=",0)</f>
        <v>0</v>
      </c>
      <c r="BB245" t="b">
        <f>AND('Black &amp; White load sheet'!A113,"AAAAAHf7dzU=")</f>
        <v>1</v>
      </c>
      <c r="BC245" t="b">
        <f>AND('Black &amp; White load sheet'!B113,"AAAAAHf7dzY=")</f>
        <v>1</v>
      </c>
      <c r="BD245" t="b">
        <f>AND('Black &amp; White load sheet'!C113,"AAAAAHf7dzc=")</f>
        <v>0</v>
      </c>
      <c r="BE245" t="b">
        <f>AND('Black &amp; White load sheet'!D113,"AAAAAHf7dzg=")</f>
        <v>0</v>
      </c>
      <c r="BF245" t="b">
        <f>AND('Black &amp; White load sheet'!E113,"AAAAAHf7dzk=")</f>
        <v>1</v>
      </c>
      <c r="BG245" t="b">
        <f>AND('Black &amp; White load sheet'!F113,"AAAAAHf7dzo=")</f>
        <v>1</v>
      </c>
      <c r="BH245" t="b">
        <f>AND('Black &amp; White load sheet'!G113,"AAAAAHf7dzs=")</f>
        <v>0</v>
      </c>
      <c r="BI245" t="b">
        <f>AND('Black &amp; White load sheet'!H113,"AAAAAHf7dzw=")</f>
        <v>0</v>
      </c>
      <c r="BJ245" t="b">
        <f>AND('Black &amp; White load sheet'!I113,"AAAAAHf7dz0=")</f>
        <v>0</v>
      </c>
      <c r="BK245" t="b">
        <f>AND('Black &amp; White load sheet'!J113,"AAAAAHf7dz4=")</f>
        <v>1</v>
      </c>
      <c r="BL245" t="e">
        <f>AND('Black &amp; White load sheet'!K113,"AAAAAHf7dz8=")</f>
        <v>#VALUE!</v>
      </c>
      <c r="BM245" t="b">
        <f>AND('Black &amp; White load sheet'!L113,"AAAAAHf7d0A=")</f>
        <v>1</v>
      </c>
      <c r="BN245" t="b">
        <f>AND('Black &amp; White load sheet'!M113,"AAAAAHf7d0E=")</f>
        <v>1</v>
      </c>
      <c r="BO245">
        <f>IF('Black &amp; White load sheet'!114:114,"AAAAAHf7d0I=",0)</f>
        <v>0</v>
      </c>
      <c r="BP245" t="b">
        <f>AND('Black &amp; White load sheet'!A114,"AAAAAHf7d0M=")</f>
        <v>1</v>
      </c>
      <c r="BQ245" t="b">
        <f>AND('Black &amp; White load sheet'!B114,"AAAAAHf7d0Q=")</f>
        <v>1</v>
      </c>
      <c r="BR245" t="b">
        <f>AND('Black &amp; White load sheet'!C114,"AAAAAHf7d0U=")</f>
        <v>0</v>
      </c>
      <c r="BS245" t="b">
        <f>AND('Black &amp; White load sheet'!D114,"AAAAAHf7d0Y=")</f>
        <v>0</v>
      </c>
      <c r="BT245" t="b">
        <f>AND('Black &amp; White load sheet'!E114,"AAAAAHf7d0c=")</f>
        <v>1</v>
      </c>
      <c r="BU245" t="b">
        <f>AND('Black &amp; White load sheet'!F114,"AAAAAHf7d0g=")</f>
        <v>1</v>
      </c>
      <c r="BV245" t="b">
        <f>AND('Black &amp; White load sheet'!G114,"AAAAAHf7d0k=")</f>
        <v>0</v>
      </c>
      <c r="BW245" t="b">
        <f>AND('Black &amp; White load sheet'!H114,"AAAAAHf7d0o=")</f>
        <v>0</v>
      </c>
      <c r="BX245" t="b">
        <f>AND('Black &amp; White load sheet'!I114,"AAAAAHf7d0s=")</f>
        <v>1</v>
      </c>
      <c r="BY245" t="b">
        <f>AND('Black &amp; White load sheet'!J114,"AAAAAHf7d0w=")</f>
        <v>0</v>
      </c>
      <c r="BZ245" t="e">
        <f>AND('Black &amp; White load sheet'!K114,"AAAAAHf7d00=")</f>
        <v>#VALUE!</v>
      </c>
      <c r="CA245" t="b">
        <f>AND('Black &amp; White load sheet'!L114,"AAAAAHf7d04=")</f>
        <v>1</v>
      </c>
      <c r="CB245" t="b">
        <f>AND('Black &amp; White load sheet'!M114,"AAAAAHf7d08=")</f>
        <v>1</v>
      </c>
      <c r="CC245">
        <f>IF('Black &amp; White load sheet'!115:115,"AAAAAHf7d1A=",0)</f>
        <v>0</v>
      </c>
      <c r="CD245" t="b">
        <f>AND('Black &amp; White load sheet'!A115,"AAAAAHf7d1E=")</f>
        <v>1</v>
      </c>
      <c r="CE245" t="b">
        <f>AND('Black &amp; White load sheet'!B115,"AAAAAHf7d1I=")</f>
        <v>1</v>
      </c>
      <c r="CF245" t="b">
        <f>AND('Black &amp; White load sheet'!C115,"AAAAAHf7d1M=")</f>
        <v>0</v>
      </c>
      <c r="CG245" t="b">
        <f>AND('Black &amp; White load sheet'!D115,"AAAAAHf7d1Q=")</f>
        <v>0</v>
      </c>
      <c r="CH245" t="b">
        <f>AND('Black &amp; White load sheet'!E115,"AAAAAHf7d1U=")</f>
        <v>1</v>
      </c>
      <c r="CI245" t="b">
        <f>AND('Black &amp; White load sheet'!F115,"AAAAAHf7d1Y=")</f>
        <v>1</v>
      </c>
      <c r="CJ245" t="b">
        <f>AND('Black &amp; White load sheet'!G115,"AAAAAHf7d1c=")</f>
        <v>0</v>
      </c>
      <c r="CK245" t="b">
        <f>AND('Black &amp; White load sheet'!H115,"AAAAAHf7d1g=")</f>
        <v>0</v>
      </c>
      <c r="CL245" t="b">
        <f>AND('Black &amp; White load sheet'!I115,"AAAAAHf7d1k=")</f>
        <v>1</v>
      </c>
      <c r="CM245" t="b">
        <f>AND('Black &amp; White load sheet'!J115,"AAAAAHf7d1o=")</f>
        <v>1</v>
      </c>
      <c r="CN245" t="e">
        <f>AND('Black &amp; White load sheet'!K115,"AAAAAHf7d1s=")</f>
        <v>#VALUE!</v>
      </c>
      <c r="CO245" t="b">
        <f>AND('Black &amp; White load sheet'!L115,"AAAAAHf7d1w=")</f>
        <v>1</v>
      </c>
      <c r="CP245" t="b">
        <f>AND('Black &amp; White load sheet'!M115,"AAAAAHf7d10=")</f>
        <v>1</v>
      </c>
      <c r="CQ245">
        <f>IF('Black &amp; White load sheet'!116:116,"AAAAAHf7d14=",0)</f>
        <v>0</v>
      </c>
      <c r="CR245" t="b">
        <f>AND('Black &amp; White load sheet'!A116,"AAAAAHf7d18=")</f>
        <v>1</v>
      </c>
      <c r="CS245" t="b">
        <f>AND('Black &amp; White load sheet'!B116,"AAAAAHf7d2A=")</f>
        <v>1</v>
      </c>
      <c r="CT245" t="b">
        <f>AND('Black &amp; White load sheet'!C116,"AAAAAHf7d2E=")</f>
        <v>0</v>
      </c>
      <c r="CU245" t="b">
        <f>AND('Black &amp; White load sheet'!D116,"AAAAAHf7d2I=")</f>
        <v>0</v>
      </c>
      <c r="CV245" t="b">
        <f>AND('Black &amp; White load sheet'!E116,"AAAAAHf7d2M=")</f>
        <v>1</v>
      </c>
      <c r="CW245" t="b">
        <f>AND('Black &amp; White load sheet'!F116,"AAAAAHf7d2Q=")</f>
        <v>0</v>
      </c>
      <c r="CX245" t="b">
        <f>AND('Black &amp; White load sheet'!G116,"AAAAAHf7d2U=")</f>
        <v>0</v>
      </c>
      <c r="CY245" t="b">
        <f>AND('Black &amp; White load sheet'!H116,"AAAAAHf7d2Y=")</f>
        <v>0</v>
      </c>
      <c r="CZ245" t="b">
        <f>AND('Black &amp; White load sheet'!I116,"AAAAAHf7d2c=")</f>
        <v>0</v>
      </c>
      <c r="DA245" t="b">
        <f>AND('Black &amp; White load sheet'!J116,"AAAAAHf7d2g=")</f>
        <v>0</v>
      </c>
      <c r="DB245" t="e">
        <f>AND('Black &amp; White load sheet'!K116,"AAAAAHf7d2k=")</f>
        <v>#VALUE!</v>
      </c>
      <c r="DC245" t="b">
        <f>AND('Black &amp; White load sheet'!L116,"AAAAAHf7d2o=")</f>
        <v>1</v>
      </c>
      <c r="DD245" t="b">
        <f>AND('Black &amp; White load sheet'!M116,"AAAAAHf7d2s=")</f>
        <v>1</v>
      </c>
      <c r="DE245">
        <f>IF('Black &amp; White load sheet'!117:117,"AAAAAHf7d2w=",0)</f>
        <v>0</v>
      </c>
      <c r="DF245" t="b">
        <f>AND('Black &amp; White load sheet'!A117,"AAAAAHf7d20=")</f>
        <v>1</v>
      </c>
      <c r="DG245" t="b">
        <f>AND('Black &amp; White load sheet'!B117,"AAAAAHf7d24=")</f>
        <v>1</v>
      </c>
      <c r="DH245" t="b">
        <f>AND('Black &amp; White load sheet'!C117,"AAAAAHf7d28=")</f>
        <v>0</v>
      </c>
      <c r="DI245" t="b">
        <f>AND('Black &amp; White load sheet'!D117,"AAAAAHf7d3A=")</f>
        <v>0</v>
      </c>
      <c r="DJ245" t="b">
        <f>AND('Black &amp; White load sheet'!E117,"AAAAAHf7d3E=")</f>
        <v>1</v>
      </c>
      <c r="DK245" t="b">
        <f>AND('Black &amp; White load sheet'!F117,"AAAAAHf7d3I=")</f>
        <v>0</v>
      </c>
      <c r="DL245" t="b">
        <f>AND('Black &amp; White load sheet'!G117,"AAAAAHf7d3M=")</f>
        <v>0</v>
      </c>
      <c r="DM245" t="b">
        <f>AND('Black &amp; White load sheet'!H117,"AAAAAHf7d3Q=")</f>
        <v>0</v>
      </c>
      <c r="DN245" t="b">
        <f>AND('Black &amp; White load sheet'!I117,"AAAAAHf7d3U=")</f>
        <v>0</v>
      </c>
      <c r="DO245" t="b">
        <f>AND('Black &amp; White load sheet'!J117,"AAAAAHf7d3Y=")</f>
        <v>1</v>
      </c>
      <c r="DP245" t="e">
        <f>AND('Black &amp; White load sheet'!K117,"AAAAAHf7d3c=")</f>
        <v>#VALUE!</v>
      </c>
      <c r="DQ245" t="b">
        <f>AND('Black &amp; White load sheet'!L117,"AAAAAHf7d3g=")</f>
        <v>1</v>
      </c>
      <c r="DR245" t="b">
        <f>AND('Black &amp; White load sheet'!M117,"AAAAAHf7d3k=")</f>
        <v>1</v>
      </c>
      <c r="DS245">
        <f>IF('Black &amp; White load sheet'!118:118,"AAAAAHf7d3o=",0)</f>
        <v>0</v>
      </c>
      <c r="DT245" t="b">
        <f>AND('Black &amp; White load sheet'!A118,"AAAAAHf7d3s=")</f>
        <v>1</v>
      </c>
      <c r="DU245" t="b">
        <f>AND('Black &amp; White load sheet'!B118,"AAAAAHf7d3w=")</f>
        <v>1</v>
      </c>
      <c r="DV245" t="b">
        <f>AND('Black &amp; White load sheet'!C118,"AAAAAHf7d30=")</f>
        <v>0</v>
      </c>
      <c r="DW245" t="b">
        <f>AND('Black &amp; White load sheet'!D118,"AAAAAHf7d34=")</f>
        <v>0</v>
      </c>
      <c r="DX245" t="b">
        <f>AND('Black &amp; White load sheet'!E118,"AAAAAHf7d38=")</f>
        <v>1</v>
      </c>
      <c r="DY245" t="b">
        <f>AND('Black &amp; White load sheet'!F118,"AAAAAHf7d4A=")</f>
        <v>0</v>
      </c>
      <c r="DZ245" t="b">
        <f>AND('Black &amp; White load sheet'!G118,"AAAAAHf7d4E=")</f>
        <v>0</v>
      </c>
      <c r="EA245" t="b">
        <f>AND('Black &amp; White load sheet'!H118,"AAAAAHf7d4I=")</f>
        <v>0</v>
      </c>
      <c r="EB245" t="b">
        <f>AND('Black &amp; White load sheet'!I118,"AAAAAHf7d4M=")</f>
        <v>1</v>
      </c>
      <c r="EC245" t="b">
        <f>AND('Black &amp; White load sheet'!J118,"AAAAAHf7d4Q=")</f>
        <v>0</v>
      </c>
      <c r="ED245" t="e">
        <f>AND('Black &amp; White load sheet'!K118,"AAAAAHf7d4U=")</f>
        <v>#VALUE!</v>
      </c>
      <c r="EE245" t="b">
        <f>AND('Black &amp; White load sheet'!L118,"AAAAAHf7d4Y=")</f>
        <v>1</v>
      </c>
      <c r="EF245" t="b">
        <f>AND('Black &amp; White load sheet'!M118,"AAAAAHf7d4c=")</f>
        <v>1</v>
      </c>
      <c r="EG245">
        <f>IF('Black &amp; White load sheet'!119:119,"AAAAAHf7d4g=",0)</f>
        <v>0</v>
      </c>
      <c r="EH245" t="b">
        <f>AND('Black &amp; White load sheet'!A119,"AAAAAHf7d4k=")</f>
        <v>1</v>
      </c>
      <c r="EI245" t="b">
        <f>AND('Black &amp; White load sheet'!B119,"AAAAAHf7d4o=")</f>
        <v>1</v>
      </c>
      <c r="EJ245" t="b">
        <f>AND('Black &amp; White load sheet'!C119,"AAAAAHf7d4s=")</f>
        <v>0</v>
      </c>
      <c r="EK245" t="b">
        <f>AND('Black &amp; White load sheet'!D119,"AAAAAHf7d4w=")</f>
        <v>0</v>
      </c>
      <c r="EL245" t="b">
        <f>AND('Black &amp; White load sheet'!E119,"AAAAAHf7d40=")</f>
        <v>1</v>
      </c>
      <c r="EM245" t="b">
        <f>AND('Black &amp; White load sheet'!F119,"AAAAAHf7d44=")</f>
        <v>0</v>
      </c>
      <c r="EN245" t="b">
        <f>AND('Black &amp; White load sheet'!G119,"AAAAAHf7d48=")</f>
        <v>0</v>
      </c>
      <c r="EO245" t="b">
        <f>AND('Black &amp; White load sheet'!H119,"AAAAAHf7d5A=")</f>
        <v>0</v>
      </c>
      <c r="EP245" t="b">
        <f>AND('Black &amp; White load sheet'!I119,"AAAAAHf7d5E=")</f>
        <v>1</v>
      </c>
      <c r="EQ245" t="b">
        <f>AND('Black &amp; White load sheet'!J119,"AAAAAHf7d5I=")</f>
        <v>1</v>
      </c>
      <c r="ER245" t="e">
        <f>AND('Black &amp; White load sheet'!K119,"AAAAAHf7d5M=")</f>
        <v>#VALUE!</v>
      </c>
      <c r="ES245" t="b">
        <f>AND('Black &amp; White load sheet'!L119,"AAAAAHf7d5Q=")</f>
        <v>1</v>
      </c>
      <c r="ET245" t="b">
        <f>AND('Black &amp; White load sheet'!M119,"AAAAAHf7d5U=")</f>
        <v>1</v>
      </c>
      <c r="EU245">
        <f>IF('Black &amp; White load sheet'!120:120,"AAAAAHf7d5Y=",0)</f>
        <v>0</v>
      </c>
      <c r="EV245" t="b">
        <f>AND('Black &amp; White load sheet'!A120,"AAAAAHf7d5c=")</f>
        <v>1</v>
      </c>
      <c r="EW245" t="b">
        <f>AND('Black &amp; White load sheet'!B120,"AAAAAHf7d5g=")</f>
        <v>1</v>
      </c>
      <c r="EX245" t="b">
        <f>AND('Black &amp; White load sheet'!C120,"AAAAAHf7d5k=")</f>
        <v>0</v>
      </c>
      <c r="EY245" t="b">
        <f>AND('Black &amp; White load sheet'!D120,"AAAAAHf7d5o=")</f>
        <v>0</v>
      </c>
      <c r="EZ245" t="b">
        <f>AND('Black &amp; White load sheet'!E120,"AAAAAHf7d5s=")</f>
        <v>1</v>
      </c>
      <c r="FA245" t="b">
        <f>AND('Black &amp; White load sheet'!F120,"AAAAAHf7d5w=")</f>
        <v>0</v>
      </c>
      <c r="FB245" t="b">
        <f>AND('Black &amp; White load sheet'!G120,"AAAAAHf7d50=")</f>
        <v>0</v>
      </c>
      <c r="FC245" t="b">
        <f>AND('Black &amp; White load sheet'!H120,"AAAAAHf7d54=")</f>
        <v>1</v>
      </c>
      <c r="FD245" t="b">
        <f>AND('Black &amp; White load sheet'!I120,"AAAAAHf7d58=")</f>
        <v>0</v>
      </c>
      <c r="FE245" t="b">
        <f>AND('Black &amp; White load sheet'!J120,"AAAAAHf7d6A=")</f>
        <v>0</v>
      </c>
      <c r="FF245" t="e">
        <f>AND('Black &amp; White load sheet'!K120,"AAAAAHf7d6E=")</f>
        <v>#VALUE!</v>
      </c>
      <c r="FG245" t="b">
        <f>AND('Black &amp; White load sheet'!L120,"AAAAAHf7d6I=")</f>
        <v>1</v>
      </c>
      <c r="FH245" t="b">
        <f>AND('Black &amp; White load sheet'!M120,"AAAAAHf7d6M=")</f>
        <v>1</v>
      </c>
      <c r="FI245">
        <f>IF('Black &amp; White load sheet'!121:121,"AAAAAHf7d6Q=",0)</f>
        <v>0</v>
      </c>
      <c r="FJ245" t="b">
        <f>AND('Black &amp; White load sheet'!A121,"AAAAAHf7d6U=")</f>
        <v>1</v>
      </c>
      <c r="FK245" t="b">
        <f>AND('Black &amp; White load sheet'!B121,"AAAAAHf7d6Y=")</f>
        <v>1</v>
      </c>
      <c r="FL245" t="b">
        <f>AND('Black &amp; White load sheet'!C121,"AAAAAHf7d6c=")</f>
        <v>0</v>
      </c>
      <c r="FM245" t="b">
        <f>AND('Black &amp; White load sheet'!D121,"AAAAAHf7d6g=")</f>
        <v>0</v>
      </c>
      <c r="FN245" t="b">
        <f>AND('Black &amp; White load sheet'!E121,"AAAAAHf7d6k=")</f>
        <v>1</v>
      </c>
      <c r="FO245" t="b">
        <f>AND('Black &amp; White load sheet'!F121,"AAAAAHf7d6o=")</f>
        <v>0</v>
      </c>
      <c r="FP245" t="b">
        <f>AND('Black &amp; White load sheet'!G121,"AAAAAHf7d6s=")</f>
        <v>0</v>
      </c>
      <c r="FQ245" t="b">
        <f>AND('Black &amp; White load sheet'!H121,"AAAAAHf7d6w=")</f>
        <v>1</v>
      </c>
      <c r="FR245" t="b">
        <f>AND('Black &amp; White load sheet'!I121,"AAAAAHf7d60=")</f>
        <v>0</v>
      </c>
      <c r="FS245" t="b">
        <f>AND('Black &amp; White load sheet'!J121,"AAAAAHf7d64=")</f>
        <v>1</v>
      </c>
      <c r="FT245" t="e">
        <f>AND('Black &amp; White load sheet'!K121,"AAAAAHf7d68=")</f>
        <v>#VALUE!</v>
      </c>
      <c r="FU245" t="b">
        <f>AND('Black &amp; White load sheet'!L121,"AAAAAHf7d7A=")</f>
        <v>1</v>
      </c>
      <c r="FV245" t="b">
        <f>AND('Black &amp; White load sheet'!M121,"AAAAAHf7d7E=")</f>
        <v>1</v>
      </c>
      <c r="FW245">
        <f>IF('Black &amp; White load sheet'!122:122,"AAAAAHf7d7I=",0)</f>
        <v>0</v>
      </c>
      <c r="FX245" t="b">
        <f>AND('Black &amp; White load sheet'!A122,"AAAAAHf7d7M=")</f>
        <v>1</v>
      </c>
      <c r="FY245" t="b">
        <f>AND('Black &amp; White load sheet'!B122,"AAAAAHf7d7Q=")</f>
        <v>1</v>
      </c>
      <c r="FZ245" t="b">
        <f>AND('Black &amp; White load sheet'!C122,"AAAAAHf7d7U=")</f>
        <v>0</v>
      </c>
      <c r="GA245" t="b">
        <f>AND('Black &amp; White load sheet'!D122,"AAAAAHf7d7Y=")</f>
        <v>0</v>
      </c>
      <c r="GB245" t="b">
        <f>AND('Black &amp; White load sheet'!E122,"AAAAAHf7d7c=")</f>
        <v>1</v>
      </c>
      <c r="GC245" t="b">
        <f>AND('Black &amp; White load sheet'!F122,"AAAAAHf7d7g=")</f>
        <v>0</v>
      </c>
      <c r="GD245" t="b">
        <f>AND('Black &amp; White load sheet'!G122,"AAAAAHf7d7k=")</f>
        <v>0</v>
      </c>
      <c r="GE245" t="b">
        <f>AND('Black &amp; White load sheet'!H122,"AAAAAHf7d7o=")</f>
        <v>1</v>
      </c>
      <c r="GF245" t="b">
        <f>AND('Black &amp; White load sheet'!I122,"AAAAAHf7d7s=")</f>
        <v>1</v>
      </c>
      <c r="GG245" t="b">
        <f>AND('Black &amp; White load sheet'!J122,"AAAAAHf7d7w=")</f>
        <v>0</v>
      </c>
      <c r="GH245" t="e">
        <f>AND('Black &amp; White load sheet'!K122,"AAAAAHf7d70=")</f>
        <v>#VALUE!</v>
      </c>
      <c r="GI245" t="b">
        <f>AND('Black &amp; White load sheet'!L122,"AAAAAHf7d74=")</f>
        <v>1</v>
      </c>
      <c r="GJ245" t="b">
        <f>AND('Black &amp; White load sheet'!M122,"AAAAAHf7d78=")</f>
        <v>1</v>
      </c>
      <c r="GK245">
        <f>IF('Black &amp; White load sheet'!123:123,"AAAAAHf7d8A=",0)</f>
        <v>0</v>
      </c>
      <c r="GL245" t="b">
        <f>AND('Black &amp; White load sheet'!A123,"AAAAAHf7d8E=")</f>
        <v>1</v>
      </c>
      <c r="GM245" t="b">
        <f>AND('Black &amp; White load sheet'!B123,"AAAAAHf7d8I=")</f>
        <v>1</v>
      </c>
      <c r="GN245" t="b">
        <f>AND('Black &amp; White load sheet'!C123,"AAAAAHf7d8M=")</f>
        <v>0</v>
      </c>
      <c r="GO245" t="b">
        <f>AND('Black &amp; White load sheet'!D123,"AAAAAHf7d8Q=")</f>
        <v>0</v>
      </c>
      <c r="GP245" t="b">
        <f>AND('Black &amp; White load sheet'!E123,"AAAAAHf7d8U=")</f>
        <v>1</v>
      </c>
      <c r="GQ245" t="b">
        <f>AND('Black &amp; White load sheet'!F123,"AAAAAHf7d8Y=")</f>
        <v>0</v>
      </c>
      <c r="GR245" t="b">
        <f>AND('Black &amp; White load sheet'!G123,"AAAAAHf7d8c=")</f>
        <v>0</v>
      </c>
      <c r="GS245" t="b">
        <f>AND('Black &amp; White load sheet'!H123,"AAAAAHf7d8g=")</f>
        <v>1</v>
      </c>
      <c r="GT245" t="b">
        <f>AND('Black &amp; White load sheet'!I123,"AAAAAHf7d8k=")</f>
        <v>1</v>
      </c>
      <c r="GU245" t="b">
        <f>AND('Black &amp; White load sheet'!J123,"AAAAAHf7d8o=")</f>
        <v>1</v>
      </c>
      <c r="GV245" t="e">
        <f>AND('Black &amp; White load sheet'!K123,"AAAAAHf7d8s=")</f>
        <v>#VALUE!</v>
      </c>
      <c r="GW245" t="b">
        <f>AND('Black &amp; White load sheet'!L123,"AAAAAHf7d8w=")</f>
        <v>1</v>
      </c>
      <c r="GX245" t="b">
        <f>AND('Black &amp; White load sheet'!M123,"AAAAAHf7d80=")</f>
        <v>1</v>
      </c>
      <c r="GY245">
        <f>IF('Black &amp; White load sheet'!124:124,"AAAAAHf7d84=",0)</f>
        <v>0</v>
      </c>
      <c r="GZ245" t="b">
        <f>AND('Black &amp; White load sheet'!A124,"AAAAAHf7d88=")</f>
        <v>1</v>
      </c>
      <c r="HA245" t="b">
        <f>AND('Black &amp; White load sheet'!B124,"AAAAAHf7d9A=")</f>
        <v>1</v>
      </c>
      <c r="HB245" t="b">
        <f>AND('Black &amp; White load sheet'!C124,"AAAAAHf7d9E=")</f>
        <v>0</v>
      </c>
      <c r="HC245" t="b">
        <f>AND('Black &amp; White load sheet'!D124,"AAAAAHf7d9I=")</f>
        <v>0</v>
      </c>
      <c r="HD245" t="b">
        <f>AND('Black &amp; White load sheet'!E124,"AAAAAHf7d9M=")</f>
        <v>1</v>
      </c>
      <c r="HE245" t="b">
        <f>AND('Black &amp; White load sheet'!F124,"AAAAAHf7d9Q=")</f>
        <v>0</v>
      </c>
      <c r="HF245" t="b">
        <f>AND('Black &amp; White load sheet'!G124,"AAAAAHf7d9U=")</f>
        <v>1</v>
      </c>
      <c r="HG245" t="b">
        <f>AND('Black &amp; White load sheet'!H124,"AAAAAHf7d9Y=")</f>
        <v>0</v>
      </c>
      <c r="HH245" t="b">
        <f>AND('Black &amp; White load sheet'!I124,"AAAAAHf7d9c=")</f>
        <v>0</v>
      </c>
      <c r="HI245" t="b">
        <f>AND('Black &amp; White load sheet'!J124,"AAAAAHf7d9g=")</f>
        <v>0</v>
      </c>
      <c r="HJ245" t="e">
        <f>AND('Black &amp; White load sheet'!K124,"AAAAAHf7d9k=")</f>
        <v>#VALUE!</v>
      </c>
      <c r="HK245" t="b">
        <f>AND('Black &amp; White load sheet'!L124,"AAAAAHf7d9o=")</f>
        <v>1</v>
      </c>
      <c r="HL245" t="b">
        <f>AND('Black &amp; White load sheet'!M124,"AAAAAHf7d9s=")</f>
        <v>1</v>
      </c>
      <c r="HM245">
        <f>IF('Black &amp; White load sheet'!125:125,"AAAAAHf7d9w=",0)</f>
        <v>0</v>
      </c>
      <c r="HN245" t="b">
        <f>AND('Black &amp; White load sheet'!A125,"AAAAAHf7d90=")</f>
        <v>1</v>
      </c>
      <c r="HO245" t="b">
        <f>AND('Black &amp; White load sheet'!B125,"AAAAAHf7d94=")</f>
        <v>1</v>
      </c>
      <c r="HP245" t="b">
        <f>AND('Black &amp; White load sheet'!C125,"AAAAAHf7d98=")</f>
        <v>0</v>
      </c>
      <c r="HQ245" t="b">
        <f>AND('Black &amp; White load sheet'!D125,"AAAAAHf7d+A=")</f>
        <v>0</v>
      </c>
      <c r="HR245" t="b">
        <f>AND('Black &amp; White load sheet'!E125,"AAAAAHf7d+E=")</f>
        <v>1</v>
      </c>
      <c r="HS245" t="b">
        <f>AND('Black &amp; White load sheet'!F125,"AAAAAHf7d+I=")</f>
        <v>0</v>
      </c>
      <c r="HT245" t="b">
        <f>AND('Black &amp; White load sheet'!G125,"AAAAAHf7d+M=")</f>
        <v>1</v>
      </c>
      <c r="HU245" t="b">
        <f>AND('Black &amp; White load sheet'!H125,"AAAAAHf7d+Q=")</f>
        <v>0</v>
      </c>
      <c r="HV245" t="b">
        <f>AND('Black &amp; White load sheet'!I125,"AAAAAHf7d+U=")</f>
        <v>0</v>
      </c>
      <c r="HW245" t="b">
        <f>AND('Black &amp; White load sheet'!J125,"AAAAAHf7d+Y=")</f>
        <v>1</v>
      </c>
      <c r="HX245" t="e">
        <f>AND('Black &amp; White load sheet'!K125,"AAAAAHf7d+c=")</f>
        <v>#VALUE!</v>
      </c>
      <c r="HY245" t="b">
        <f>AND('Black &amp; White load sheet'!L125,"AAAAAHf7d+g=")</f>
        <v>1</v>
      </c>
      <c r="HZ245" t="b">
        <f>AND('Black &amp; White load sheet'!M125,"AAAAAHf7d+k=")</f>
        <v>1</v>
      </c>
      <c r="IA245">
        <f>IF('Black &amp; White load sheet'!126:126,"AAAAAHf7d+o=",0)</f>
        <v>0</v>
      </c>
      <c r="IB245" t="b">
        <f>AND('Black &amp; White load sheet'!A126,"AAAAAHf7d+s=")</f>
        <v>1</v>
      </c>
      <c r="IC245" t="b">
        <f>AND('Black &amp; White load sheet'!B126,"AAAAAHf7d+w=")</f>
        <v>1</v>
      </c>
      <c r="ID245" t="b">
        <f>AND('Black &amp; White load sheet'!C126,"AAAAAHf7d+0=")</f>
        <v>0</v>
      </c>
      <c r="IE245" t="b">
        <f>AND('Black &amp; White load sheet'!D126,"AAAAAHf7d+4=")</f>
        <v>0</v>
      </c>
      <c r="IF245" t="b">
        <f>AND('Black &amp; White load sheet'!E126,"AAAAAHf7d+8=")</f>
        <v>1</v>
      </c>
      <c r="IG245" t="b">
        <f>AND('Black &amp; White load sheet'!F126,"AAAAAHf7d/A=")</f>
        <v>0</v>
      </c>
      <c r="IH245" t="b">
        <f>AND('Black &amp; White load sheet'!G126,"AAAAAHf7d/E=")</f>
        <v>1</v>
      </c>
      <c r="II245" t="b">
        <f>AND('Black &amp; White load sheet'!H126,"AAAAAHf7d/I=")</f>
        <v>0</v>
      </c>
      <c r="IJ245" t="b">
        <f>AND('Black &amp; White load sheet'!I126,"AAAAAHf7d/M=")</f>
        <v>1</v>
      </c>
      <c r="IK245" t="b">
        <f>AND('Black &amp; White load sheet'!J126,"AAAAAHf7d/Q=")</f>
        <v>0</v>
      </c>
      <c r="IL245" t="e">
        <f>AND('Black &amp; White load sheet'!K126,"AAAAAHf7d/U=")</f>
        <v>#VALUE!</v>
      </c>
      <c r="IM245" t="b">
        <f>AND('Black &amp; White load sheet'!L126,"AAAAAHf7d/Y=")</f>
        <v>1</v>
      </c>
      <c r="IN245" t="b">
        <f>AND('Black &amp; White load sheet'!M126,"AAAAAHf7d/c=")</f>
        <v>1</v>
      </c>
      <c r="IO245">
        <f>IF('Black &amp; White load sheet'!127:127,"AAAAAHf7d/g=",0)</f>
        <v>0</v>
      </c>
      <c r="IP245" t="b">
        <f>AND('Black &amp; White load sheet'!A127,"AAAAAHf7d/k=")</f>
        <v>1</v>
      </c>
      <c r="IQ245" t="b">
        <f>AND('Black &amp; White load sheet'!B127,"AAAAAHf7d/o=")</f>
        <v>1</v>
      </c>
      <c r="IR245" t="b">
        <f>AND('Black &amp; White load sheet'!C127,"AAAAAHf7d/s=")</f>
        <v>0</v>
      </c>
      <c r="IS245" t="b">
        <f>AND('Black &amp; White load sheet'!D127,"AAAAAHf7d/w=")</f>
        <v>0</v>
      </c>
      <c r="IT245" t="b">
        <f>AND('Black &amp; White load sheet'!E127,"AAAAAHf7d/0=")</f>
        <v>1</v>
      </c>
      <c r="IU245" t="b">
        <f>AND('Black &amp; White load sheet'!F127,"AAAAAHf7d/4=")</f>
        <v>0</v>
      </c>
      <c r="IV245" t="b">
        <f>AND('Black &amp; White load sheet'!G127,"AAAAAHf7d/8=")</f>
        <v>1</v>
      </c>
    </row>
    <row r="246" spans="1:256" x14ac:dyDescent="0.25">
      <c r="A246" t="b">
        <f>AND('Black &amp; White load sheet'!H127,"AAAAADr7+wA=")</f>
        <v>0</v>
      </c>
      <c r="B246" t="b">
        <f>AND('Black &amp; White load sheet'!I127,"AAAAADr7+wE=")</f>
        <v>1</v>
      </c>
      <c r="C246" t="b">
        <f>AND('Black &amp; White load sheet'!J127,"AAAAADr7+wI=")</f>
        <v>1</v>
      </c>
      <c r="D246" t="e">
        <f>AND('Black &amp; White load sheet'!K127,"AAAAADr7+wM=")</f>
        <v>#VALUE!</v>
      </c>
      <c r="E246" t="b">
        <f>AND('Black &amp; White load sheet'!L127,"AAAAADr7+wQ=")</f>
        <v>1</v>
      </c>
      <c r="F246" t="b">
        <f>AND('Black &amp; White load sheet'!M127,"AAAAADr7+wU=")</f>
        <v>1</v>
      </c>
      <c r="G246">
        <f>IF('Black &amp; White load sheet'!128:128,"AAAAADr7+wY=",0)</f>
        <v>0</v>
      </c>
      <c r="H246" t="b">
        <f>AND('Black &amp; White load sheet'!A128,"AAAAADr7+wc=")</f>
        <v>1</v>
      </c>
      <c r="I246" t="b">
        <f>AND('Black &amp; White load sheet'!B128,"AAAAADr7+wg=")</f>
        <v>1</v>
      </c>
      <c r="J246" t="b">
        <f>AND('Black &amp; White load sheet'!C128,"AAAAADr7+wk=")</f>
        <v>0</v>
      </c>
      <c r="K246" t="b">
        <f>AND('Black &amp; White load sheet'!D128,"AAAAADr7+wo=")</f>
        <v>0</v>
      </c>
      <c r="L246" t="b">
        <f>AND('Black &amp; White load sheet'!E128,"AAAAADr7+ws=")</f>
        <v>1</v>
      </c>
      <c r="M246" t="b">
        <f>AND('Black &amp; White load sheet'!F128,"AAAAADr7+ww=")</f>
        <v>1</v>
      </c>
      <c r="N246" t="b">
        <f>AND('Black &amp; White load sheet'!G128,"AAAAADr7+w0=")</f>
        <v>0</v>
      </c>
      <c r="O246" t="b">
        <f>AND('Black &amp; White load sheet'!H128,"AAAAADr7+w4=")</f>
        <v>0</v>
      </c>
      <c r="P246" t="b">
        <f>AND('Black &amp; White load sheet'!I128,"AAAAADr7+w8=")</f>
        <v>0</v>
      </c>
      <c r="Q246" t="b">
        <f>AND('Black &amp; White load sheet'!J128,"AAAAADr7+xA=")</f>
        <v>0</v>
      </c>
      <c r="R246" t="e">
        <f>AND('Black &amp; White load sheet'!K128,"AAAAADr7+xE=")</f>
        <v>#VALUE!</v>
      </c>
      <c r="S246" t="b">
        <f>AND('Black &amp; White load sheet'!L128,"AAAAADr7+xI=")</f>
        <v>1</v>
      </c>
      <c r="T246" t="b">
        <f>AND('Black &amp; White load sheet'!M128,"AAAAADr7+xM=")</f>
        <v>1</v>
      </c>
      <c r="U246">
        <f>IF('Black &amp; White load sheet'!129:129,"AAAAADr7+xQ=",0)</f>
        <v>0</v>
      </c>
      <c r="V246" t="b">
        <f>AND('Black &amp; White load sheet'!A129,"AAAAADr7+xU=")</f>
        <v>1</v>
      </c>
      <c r="W246" t="b">
        <f>AND('Black &amp; White load sheet'!B129,"AAAAADr7+xY=")</f>
        <v>1</v>
      </c>
      <c r="X246" t="b">
        <f>AND('Black &amp; White load sheet'!C129,"AAAAADr7+xc=")</f>
        <v>0</v>
      </c>
      <c r="Y246" t="b">
        <f>AND('Black &amp; White load sheet'!D129,"AAAAADr7+xg=")</f>
        <v>0</v>
      </c>
      <c r="Z246" t="b">
        <f>AND('Black &amp; White load sheet'!E129,"AAAAADr7+xk=")</f>
        <v>1</v>
      </c>
      <c r="AA246" t="b">
        <f>AND('Black &amp; White load sheet'!F129,"AAAAADr7+xo=")</f>
        <v>1</v>
      </c>
      <c r="AB246" t="b">
        <f>AND('Black &amp; White load sheet'!G129,"AAAAADr7+xs=")</f>
        <v>0</v>
      </c>
      <c r="AC246" t="b">
        <f>AND('Black &amp; White load sheet'!H129,"AAAAADr7+xw=")</f>
        <v>0</v>
      </c>
      <c r="AD246" t="b">
        <f>AND('Black &amp; White load sheet'!I129,"AAAAADr7+x0=")</f>
        <v>0</v>
      </c>
      <c r="AE246" t="b">
        <f>AND('Black &amp; White load sheet'!J129,"AAAAADr7+x4=")</f>
        <v>1</v>
      </c>
      <c r="AF246" t="e">
        <f>AND('Black &amp; White load sheet'!K129,"AAAAADr7+x8=")</f>
        <v>#VALUE!</v>
      </c>
      <c r="AG246" t="b">
        <f>AND('Black &amp; White load sheet'!L129,"AAAAADr7+yA=")</f>
        <v>1</v>
      </c>
      <c r="AH246" t="b">
        <f>AND('Black &amp; White load sheet'!M129,"AAAAADr7+yE=")</f>
        <v>1</v>
      </c>
      <c r="AI246">
        <f>IF('Black &amp; White load sheet'!130:130,"AAAAADr7+yI=",0)</f>
        <v>0</v>
      </c>
      <c r="AJ246" t="b">
        <f>AND('Black &amp; White load sheet'!A130,"AAAAADr7+yM=")</f>
        <v>1</v>
      </c>
      <c r="AK246" t="b">
        <f>AND('Black &amp; White load sheet'!B130,"AAAAADr7+yQ=")</f>
        <v>1</v>
      </c>
      <c r="AL246" t="b">
        <f>AND('Black &amp; White load sheet'!C130,"AAAAADr7+yU=")</f>
        <v>0</v>
      </c>
      <c r="AM246" t="b">
        <f>AND('Black &amp; White load sheet'!D130,"AAAAADr7+yY=")</f>
        <v>0</v>
      </c>
      <c r="AN246" t="b">
        <f>AND('Black &amp; White load sheet'!E130,"AAAAADr7+yc=")</f>
        <v>1</v>
      </c>
      <c r="AO246" t="b">
        <f>AND('Black &amp; White load sheet'!F130,"AAAAADr7+yg=")</f>
        <v>1</v>
      </c>
      <c r="AP246" t="b">
        <f>AND('Black &amp; White load sheet'!G130,"AAAAADr7+yk=")</f>
        <v>0</v>
      </c>
      <c r="AQ246" t="b">
        <f>AND('Black &amp; White load sheet'!H130,"AAAAADr7+yo=")</f>
        <v>0</v>
      </c>
      <c r="AR246" t="b">
        <f>AND('Black &amp; White load sheet'!I130,"AAAAADr7+ys=")</f>
        <v>1</v>
      </c>
      <c r="AS246" t="b">
        <f>AND('Black &amp; White load sheet'!J130,"AAAAADr7+yw=")</f>
        <v>0</v>
      </c>
      <c r="AT246" t="e">
        <f>AND('Black &amp; White load sheet'!K130,"AAAAADr7+y0=")</f>
        <v>#VALUE!</v>
      </c>
      <c r="AU246" t="b">
        <f>AND('Black &amp; White load sheet'!L130,"AAAAADr7+y4=")</f>
        <v>1</v>
      </c>
      <c r="AV246" t="b">
        <f>AND('Black &amp; White load sheet'!M130,"AAAAADr7+y8=")</f>
        <v>1</v>
      </c>
      <c r="AW246">
        <f>IF('Black &amp; White load sheet'!131:131,"AAAAADr7+zA=",0)</f>
        <v>0</v>
      </c>
      <c r="AX246" t="b">
        <f>AND('Black &amp; White load sheet'!A131,"AAAAADr7+zE=")</f>
        <v>1</v>
      </c>
      <c r="AY246" t="b">
        <f>AND('Black &amp; White load sheet'!B131,"AAAAADr7+zI=")</f>
        <v>1</v>
      </c>
      <c r="AZ246" t="b">
        <f>AND('Black &amp; White load sheet'!C131,"AAAAADr7+zM=")</f>
        <v>0</v>
      </c>
      <c r="BA246" t="b">
        <f>AND('Black &amp; White load sheet'!D131,"AAAAADr7+zQ=")</f>
        <v>0</v>
      </c>
      <c r="BB246" t="b">
        <f>AND('Black &amp; White load sheet'!E131,"AAAAADr7+zU=")</f>
        <v>1</v>
      </c>
      <c r="BC246" t="b">
        <f>AND('Black &amp; White load sheet'!F131,"AAAAADr7+zY=")</f>
        <v>1</v>
      </c>
      <c r="BD246" t="b">
        <f>AND('Black &amp; White load sheet'!G131,"AAAAADr7+zc=")</f>
        <v>0</v>
      </c>
      <c r="BE246" t="b">
        <f>AND('Black &amp; White load sheet'!H131,"AAAAADr7+zg=")</f>
        <v>0</v>
      </c>
      <c r="BF246" t="b">
        <f>AND('Black &amp; White load sheet'!I131,"AAAAADr7+zk=")</f>
        <v>1</v>
      </c>
      <c r="BG246" t="b">
        <f>AND('Black &amp; White load sheet'!J131,"AAAAADr7+zo=")</f>
        <v>1</v>
      </c>
      <c r="BH246" t="e">
        <f>AND('Black &amp; White load sheet'!K131,"AAAAADr7+zs=")</f>
        <v>#VALUE!</v>
      </c>
      <c r="BI246" t="b">
        <f>AND('Black &amp; White load sheet'!L131,"AAAAADr7+zw=")</f>
        <v>1</v>
      </c>
      <c r="BJ246" t="b">
        <f>AND('Black &amp; White load sheet'!M131,"AAAAADr7+z0=")</f>
        <v>1</v>
      </c>
      <c r="BK246">
        <f>IF('Black &amp; White load sheet'!132:132,"AAAAADr7+z4=",0)</f>
        <v>0</v>
      </c>
      <c r="BL246" t="b">
        <f>AND('Black &amp; White load sheet'!A132,"AAAAADr7+z8=")</f>
        <v>1</v>
      </c>
      <c r="BM246" t="b">
        <f>AND('Black &amp; White load sheet'!B132,"AAAAADr7+0A=")</f>
        <v>1</v>
      </c>
      <c r="BN246" t="b">
        <f>AND('Black &amp; White load sheet'!C132,"AAAAADr7+0E=")</f>
        <v>0</v>
      </c>
      <c r="BO246" t="b">
        <f>AND('Black &amp; White load sheet'!D132,"AAAAADr7+0I=")</f>
        <v>0</v>
      </c>
      <c r="BP246" t="b">
        <f>AND('Black &amp; White load sheet'!E132,"AAAAADr7+0M=")</f>
        <v>1</v>
      </c>
      <c r="BQ246" t="b">
        <f>AND('Black &amp; White load sheet'!F132,"AAAAADr7+0Q=")</f>
        <v>0</v>
      </c>
      <c r="BR246" t="b">
        <f>AND('Black &amp; White load sheet'!G132,"AAAAADr7+0U=")</f>
        <v>0</v>
      </c>
      <c r="BS246" t="b">
        <f>AND('Black &amp; White load sheet'!H132,"AAAAADr7+0Y=")</f>
        <v>0</v>
      </c>
      <c r="BT246" t="b">
        <f>AND('Black &amp; White load sheet'!I132,"AAAAADr7+0c=")</f>
        <v>0</v>
      </c>
      <c r="BU246" t="b">
        <f>AND('Black &amp; White load sheet'!J132,"AAAAADr7+0g=")</f>
        <v>0</v>
      </c>
      <c r="BV246" t="e">
        <f>AND('Black &amp; White load sheet'!K132,"AAAAADr7+0k=")</f>
        <v>#VALUE!</v>
      </c>
      <c r="BW246" t="b">
        <f>AND('Black &amp; White load sheet'!L132,"AAAAADr7+0o=")</f>
        <v>1</v>
      </c>
      <c r="BX246" t="b">
        <f>AND('Black &amp; White load sheet'!M132,"AAAAADr7+0s=")</f>
        <v>1</v>
      </c>
      <c r="BY246">
        <f>IF('Black &amp; White load sheet'!133:133,"AAAAADr7+0w=",0)</f>
        <v>0</v>
      </c>
      <c r="BZ246" t="b">
        <f>AND('Black &amp; White load sheet'!A133,"AAAAADr7+00=")</f>
        <v>1</v>
      </c>
      <c r="CA246" t="b">
        <f>AND('Black &amp; White load sheet'!B133,"AAAAADr7+04=")</f>
        <v>1</v>
      </c>
      <c r="CB246" t="b">
        <f>AND('Black &amp; White load sheet'!C133,"AAAAADr7+08=")</f>
        <v>0</v>
      </c>
      <c r="CC246" t="b">
        <f>AND('Black &amp; White load sheet'!D133,"AAAAADr7+1A=")</f>
        <v>0</v>
      </c>
      <c r="CD246" t="b">
        <f>AND('Black &amp; White load sheet'!E133,"AAAAADr7+1E=")</f>
        <v>1</v>
      </c>
      <c r="CE246" t="b">
        <f>AND('Black &amp; White load sheet'!F133,"AAAAADr7+1I=")</f>
        <v>0</v>
      </c>
      <c r="CF246" t="b">
        <f>AND('Black &amp; White load sheet'!G133,"AAAAADr7+1M=")</f>
        <v>0</v>
      </c>
      <c r="CG246" t="b">
        <f>AND('Black &amp; White load sheet'!H133,"AAAAADr7+1Q=")</f>
        <v>0</v>
      </c>
      <c r="CH246" t="b">
        <f>AND('Black &amp; White load sheet'!I133,"AAAAADr7+1U=")</f>
        <v>0</v>
      </c>
      <c r="CI246" t="b">
        <f>AND('Black &amp; White load sheet'!J133,"AAAAADr7+1Y=")</f>
        <v>1</v>
      </c>
      <c r="CJ246" t="e">
        <f>AND('Black &amp; White load sheet'!K133,"AAAAADr7+1c=")</f>
        <v>#VALUE!</v>
      </c>
      <c r="CK246" t="b">
        <f>AND('Black &amp; White load sheet'!L133,"AAAAADr7+1g=")</f>
        <v>1</v>
      </c>
      <c r="CL246" t="b">
        <f>AND('Black &amp; White load sheet'!M133,"AAAAADr7+1k=")</f>
        <v>1</v>
      </c>
      <c r="CM246">
        <f>IF('Black &amp; White load sheet'!134:134,"AAAAADr7+1o=",0)</f>
        <v>0</v>
      </c>
      <c r="CN246" t="b">
        <f>AND('Black &amp; White load sheet'!A134,"AAAAADr7+1s=")</f>
        <v>1</v>
      </c>
      <c r="CO246" t="b">
        <f>AND('Black &amp; White load sheet'!B134,"AAAAADr7+1w=")</f>
        <v>1</v>
      </c>
      <c r="CP246" t="b">
        <f>AND('Black &amp; White load sheet'!C134,"AAAAADr7+10=")</f>
        <v>0</v>
      </c>
      <c r="CQ246" t="b">
        <f>AND('Black &amp; White load sheet'!D134,"AAAAADr7+14=")</f>
        <v>0</v>
      </c>
      <c r="CR246" t="b">
        <f>AND('Black &amp; White load sheet'!E134,"AAAAADr7+18=")</f>
        <v>1</v>
      </c>
      <c r="CS246" t="b">
        <f>AND('Black &amp; White load sheet'!F134,"AAAAADr7+2A=")</f>
        <v>0</v>
      </c>
      <c r="CT246" t="b">
        <f>AND('Black &amp; White load sheet'!G134,"AAAAADr7+2E=")</f>
        <v>0</v>
      </c>
      <c r="CU246" t="b">
        <f>AND('Black &amp; White load sheet'!H134,"AAAAADr7+2I=")</f>
        <v>0</v>
      </c>
      <c r="CV246" t="b">
        <f>AND('Black &amp; White load sheet'!I134,"AAAAADr7+2M=")</f>
        <v>1</v>
      </c>
      <c r="CW246" t="b">
        <f>AND('Black &amp; White load sheet'!J134,"AAAAADr7+2Q=")</f>
        <v>0</v>
      </c>
      <c r="CX246" t="e">
        <f>AND('Black &amp; White load sheet'!K134,"AAAAADr7+2U=")</f>
        <v>#VALUE!</v>
      </c>
      <c r="CY246" t="b">
        <f>AND('Black &amp; White load sheet'!L134,"AAAAADr7+2Y=")</f>
        <v>1</v>
      </c>
      <c r="CZ246" t="b">
        <f>AND('Black &amp; White load sheet'!M134,"AAAAADr7+2c=")</f>
        <v>1</v>
      </c>
      <c r="DA246">
        <f>IF('Black &amp; White load sheet'!135:135,"AAAAADr7+2g=",0)</f>
        <v>0</v>
      </c>
      <c r="DB246" t="b">
        <f>AND('Black &amp; White load sheet'!A135,"AAAAADr7+2k=")</f>
        <v>1</v>
      </c>
      <c r="DC246" t="b">
        <f>AND('Black &amp; White load sheet'!B135,"AAAAADr7+2o=")</f>
        <v>1</v>
      </c>
      <c r="DD246" t="b">
        <f>AND('Black &amp; White load sheet'!C135,"AAAAADr7+2s=")</f>
        <v>0</v>
      </c>
      <c r="DE246" t="b">
        <f>AND('Black &amp; White load sheet'!D135,"AAAAADr7+2w=")</f>
        <v>0</v>
      </c>
      <c r="DF246" t="b">
        <f>AND('Black &amp; White load sheet'!E135,"AAAAADr7+20=")</f>
        <v>1</v>
      </c>
      <c r="DG246" t="b">
        <f>AND('Black &amp; White load sheet'!F135,"AAAAADr7+24=")</f>
        <v>0</v>
      </c>
      <c r="DH246" t="b">
        <f>AND('Black &amp; White load sheet'!G135,"AAAAADr7+28=")</f>
        <v>0</v>
      </c>
      <c r="DI246" t="b">
        <f>AND('Black &amp; White load sheet'!H135,"AAAAADr7+3A=")</f>
        <v>0</v>
      </c>
      <c r="DJ246" t="b">
        <f>AND('Black &amp; White load sheet'!I135,"AAAAADr7+3E=")</f>
        <v>1</v>
      </c>
      <c r="DK246" t="b">
        <f>AND('Black &amp; White load sheet'!J135,"AAAAADr7+3I=")</f>
        <v>1</v>
      </c>
      <c r="DL246" t="e">
        <f>AND('Black &amp; White load sheet'!K135,"AAAAADr7+3M=")</f>
        <v>#VALUE!</v>
      </c>
      <c r="DM246" t="b">
        <f>AND('Black &amp; White load sheet'!L135,"AAAAADr7+3Q=")</f>
        <v>1</v>
      </c>
      <c r="DN246" t="b">
        <f>AND('Black &amp; White load sheet'!M135,"AAAAADr7+3U=")</f>
        <v>1</v>
      </c>
      <c r="DO246">
        <f>IF('Black &amp; White load sheet'!136:136,"AAAAADr7+3Y=",0)</f>
        <v>0</v>
      </c>
      <c r="DP246" t="b">
        <f>AND('Black &amp; White load sheet'!A136,"AAAAADr7+3c=")</f>
        <v>1</v>
      </c>
      <c r="DQ246" t="b">
        <f>AND('Black &amp; White load sheet'!B136,"AAAAADr7+3g=")</f>
        <v>1</v>
      </c>
      <c r="DR246" t="b">
        <f>AND('Black &amp; White load sheet'!C136,"AAAAADr7+3k=")</f>
        <v>0</v>
      </c>
      <c r="DS246" t="b">
        <f>AND('Black &amp; White load sheet'!D136,"AAAAADr7+3o=")</f>
        <v>0</v>
      </c>
      <c r="DT246" t="b">
        <f>AND('Black &amp; White load sheet'!E136,"AAAAADr7+3s=")</f>
        <v>1</v>
      </c>
      <c r="DU246" t="b">
        <f>AND('Black &amp; White load sheet'!F136,"AAAAADr7+3w=")</f>
        <v>0</v>
      </c>
      <c r="DV246" t="b">
        <f>AND('Black &amp; White load sheet'!G136,"AAAAADr7+30=")</f>
        <v>0</v>
      </c>
      <c r="DW246" t="b">
        <f>AND('Black &amp; White load sheet'!H136,"AAAAADr7+34=")</f>
        <v>1</v>
      </c>
      <c r="DX246" t="b">
        <f>AND('Black &amp; White load sheet'!I136,"AAAAADr7+38=")</f>
        <v>0</v>
      </c>
      <c r="DY246" t="b">
        <f>AND('Black &amp; White load sheet'!J136,"AAAAADr7+4A=")</f>
        <v>0</v>
      </c>
      <c r="DZ246" t="e">
        <f>AND('Black &amp; White load sheet'!K136,"AAAAADr7+4E=")</f>
        <v>#VALUE!</v>
      </c>
      <c r="EA246" t="b">
        <f>AND('Black &amp; White load sheet'!L136,"AAAAADr7+4I=")</f>
        <v>1</v>
      </c>
      <c r="EB246" t="b">
        <f>AND('Black &amp; White load sheet'!M136,"AAAAADr7+4M=")</f>
        <v>1</v>
      </c>
      <c r="EC246">
        <f>IF('Black &amp; White load sheet'!137:137,"AAAAADr7+4Q=",0)</f>
        <v>0</v>
      </c>
      <c r="ED246" t="b">
        <f>AND('Black &amp; White load sheet'!A137,"AAAAADr7+4U=")</f>
        <v>1</v>
      </c>
      <c r="EE246" t="b">
        <f>AND('Black &amp; White load sheet'!B137,"AAAAADr7+4Y=")</f>
        <v>1</v>
      </c>
      <c r="EF246" t="b">
        <f>AND('Black &amp; White load sheet'!C137,"AAAAADr7+4c=")</f>
        <v>0</v>
      </c>
      <c r="EG246" t="b">
        <f>AND('Black &amp; White load sheet'!D137,"AAAAADr7+4g=")</f>
        <v>0</v>
      </c>
      <c r="EH246" t="b">
        <f>AND('Black &amp; White load sheet'!E137,"AAAAADr7+4k=")</f>
        <v>1</v>
      </c>
      <c r="EI246" t="b">
        <f>AND('Black &amp; White load sheet'!F137,"AAAAADr7+4o=")</f>
        <v>0</v>
      </c>
      <c r="EJ246" t="b">
        <f>AND('Black &amp; White load sheet'!G137,"AAAAADr7+4s=")</f>
        <v>0</v>
      </c>
      <c r="EK246" t="b">
        <f>AND('Black &amp; White load sheet'!H137,"AAAAADr7+4w=")</f>
        <v>1</v>
      </c>
      <c r="EL246" t="b">
        <f>AND('Black &amp; White load sheet'!I137,"AAAAADr7+40=")</f>
        <v>0</v>
      </c>
      <c r="EM246" t="b">
        <f>AND('Black &amp; White load sheet'!J137,"AAAAADr7+44=")</f>
        <v>1</v>
      </c>
      <c r="EN246" t="e">
        <f>AND('Black &amp; White load sheet'!K137,"AAAAADr7+48=")</f>
        <v>#VALUE!</v>
      </c>
      <c r="EO246" t="b">
        <f>AND('Black &amp; White load sheet'!L137,"AAAAADr7+5A=")</f>
        <v>1</v>
      </c>
      <c r="EP246" t="b">
        <f>AND('Black &amp; White load sheet'!M137,"AAAAADr7+5E=")</f>
        <v>1</v>
      </c>
      <c r="EQ246">
        <f>IF('Black &amp; White load sheet'!138:138,"AAAAADr7+5I=",0)</f>
        <v>0</v>
      </c>
      <c r="ER246" t="b">
        <f>AND('Black &amp; White load sheet'!A138,"AAAAADr7+5M=")</f>
        <v>1</v>
      </c>
      <c r="ES246" t="b">
        <f>AND('Black &amp; White load sheet'!B138,"AAAAADr7+5Q=")</f>
        <v>1</v>
      </c>
      <c r="ET246" t="b">
        <f>AND('Black &amp; White load sheet'!C138,"AAAAADr7+5U=")</f>
        <v>0</v>
      </c>
      <c r="EU246" t="b">
        <f>AND('Black &amp; White load sheet'!D138,"AAAAADr7+5Y=")</f>
        <v>0</v>
      </c>
      <c r="EV246" t="b">
        <f>AND('Black &amp; White load sheet'!E138,"AAAAADr7+5c=")</f>
        <v>1</v>
      </c>
      <c r="EW246" t="b">
        <f>AND('Black &amp; White load sheet'!F138,"AAAAADr7+5g=")</f>
        <v>0</v>
      </c>
      <c r="EX246" t="b">
        <f>AND('Black &amp; White load sheet'!G138,"AAAAADr7+5k=")</f>
        <v>0</v>
      </c>
      <c r="EY246" t="b">
        <f>AND('Black &amp; White load sheet'!H138,"AAAAADr7+5o=")</f>
        <v>1</v>
      </c>
      <c r="EZ246" t="b">
        <f>AND('Black &amp; White load sheet'!I138,"AAAAADr7+5s=")</f>
        <v>1</v>
      </c>
      <c r="FA246" t="b">
        <f>AND('Black &amp; White load sheet'!J138,"AAAAADr7+5w=")</f>
        <v>0</v>
      </c>
      <c r="FB246" t="e">
        <f>AND('Black &amp; White load sheet'!K138,"AAAAADr7+50=")</f>
        <v>#VALUE!</v>
      </c>
      <c r="FC246" t="b">
        <f>AND('Black &amp; White load sheet'!L138,"AAAAADr7+54=")</f>
        <v>1</v>
      </c>
      <c r="FD246" t="b">
        <f>AND('Black &amp; White load sheet'!M138,"AAAAADr7+58=")</f>
        <v>1</v>
      </c>
      <c r="FE246">
        <f>IF('Black &amp; White load sheet'!139:139,"AAAAADr7+6A=",0)</f>
        <v>0</v>
      </c>
      <c r="FF246" t="b">
        <f>AND('Black &amp; White load sheet'!A139,"AAAAADr7+6E=")</f>
        <v>1</v>
      </c>
      <c r="FG246" t="b">
        <f>AND('Black &amp; White load sheet'!B139,"AAAAADr7+6I=")</f>
        <v>1</v>
      </c>
      <c r="FH246" t="b">
        <f>AND('Black &amp; White load sheet'!C139,"AAAAADr7+6M=")</f>
        <v>0</v>
      </c>
      <c r="FI246" t="b">
        <f>AND('Black &amp; White load sheet'!D139,"AAAAADr7+6Q=")</f>
        <v>0</v>
      </c>
      <c r="FJ246" t="b">
        <f>AND('Black &amp; White load sheet'!E139,"AAAAADr7+6U=")</f>
        <v>1</v>
      </c>
      <c r="FK246" t="b">
        <f>AND('Black &amp; White load sheet'!F139,"AAAAADr7+6Y=")</f>
        <v>0</v>
      </c>
      <c r="FL246" t="b">
        <f>AND('Black &amp; White load sheet'!G139,"AAAAADr7+6c=")</f>
        <v>0</v>
      </c>
      <c r="FM246" t="b">
        <f>AND('Black &amp; White load sheet'!H139,"AAAAADr7+6g=")</f>
        <v>1</v>
      </c>
      <c r="FN246" t="b">
        <f>AND('Black &amp; White load sheet'!I139,"AAAAADr7+6k=")</f>
        <v>1</v>
      </c>
      <c r="FO246" t="b">
        <f>AND('Black &amp; White load sheet'!J139,"AAAAADr7+6o=")</f>
        <v>1</v>
      </c>
      <c r="FP246" t="e">
        <f>AND('Black &amp; White load sheet'!K139,"AAAAADr7+6s=")</f>
        <v>#VALUE!</v>
      </c>
      <c r="FQ246" t="b">
        <f>AND('Black &amp; White load sheet'!L139,"AAAAADr7+6w=")</f>
        <v>1</v>
      </c>
      <c r="FR246" t="b">
        <f>AND('Black &amp; White load sheet'!M139,"AAAAADr7+60=")</f>
        <v>1</v>
      </c>
      <c r="FS246">
        <f>IF('Black &amp; White load sheet'!140:140,"AAAAADr7+64=",0)</f>
        <v>0</v>
      </c>
      <c r="FT246" t="b">
        <f>AND('Black &amp; White load sheet'!A140,"AAAAADr7+68=")</f>
        <v>1</v>
      </c>
      <c r="FU246" t="b">
        <f>AND('Black &amp; White load sheet'!B140,"AAAAADr7+7A=")</f>
        <v>1</v>
      </c>
      <c r="FV246" t="b">
        <f>AND('Black &amp; White load sheet'!C140,"AAAAADr7+7E=")</f>
        <v>0</v>
      </c>
      <c r="FW246" t="b">
        <f>AND('Black &amp; White load sheet'!D140,"AAAAADr7+7I=")</f>
        <v>0</v>
      </c>
      <c r="FX246" t="b">
        <f>AND('Black &amp; White load sheet'!E140,"AAAAADr7+7M=")</f>
        <v>1</v>
      </c>
      <c r="FY246" t="b">
        <f>AND('Black &amp; White load sheet'!F140,"AAAAADr7+7Q=")</f>
        <v>0</v>
      </c>
      <c r="FZ246" t="b">
        <f>AND('Black &amp; White load sheet'!G140,"AAAAADr7+7U=")</f>
        <v>1</v>
      </c>
      <c r="GA246" t="b">
        <f>AND('Black &amp; White load sheet'!H140,"AAAAADr7+7Y=")</f>
        <v>0</v>
      </c>
      <c r="GB246" t="b">
        <f>AND('Black &amp; White load sheet'!I140,"AAAAADr7+7c=")</f>
        <v>0</v>
      </c>
      <c r="GC246" t="b">
        <f>AND('Black &amp; White load sheet'!J140,"AAAAADr7+7g=")</f>
        <v>0</v>
      </c>
      <c r="GD246" t="e">
        <f>AND('Black &amp; White load sheet'!K140,"AAAAADr7+7k=")</f>
        <v>#VALUE!</v>
      </c>
      <c r="GE246" t="b">
        <f>AND('Black &amp; White load sheet'!L140,"AAAAADr7+7o=")</f>
        <v>1</v>
      </c>
      <c r="GF246" t="b">
        <f>AND('Black &amp; White load sheet'!M140,"AAAAADr7+7s=")</f>
        <v>1</v>
      </c>
      <c r="GG246">
        <f>IF('Black &amp; White load sheet'!141:141,"AAAAADr7+7w=",0)</f>
        <v>0</v>
      </c>
      <c r="GH246" t="b">
        <f>AND('Black &amp; White load sheet'!A141,"AAAAADr7+70=")</f>
        <v>1</v>
      </c>
      <c r="GI246" t="b">
        <f>AND('Black &amp; White load sheet'!B141,"AAAAADr7+74=")</f>
        <v>1</v>
      </c>
      <c r="GJ246" t="b">
        <f>AND('Black &amp; White load sheet'!C141,"AAAAADr7+78=")</f>
        <v>0</v>
      </c>
      <c r="GK246" t="b">
        <f>AND('Black &amp; White load sheet'!D141,"AAAAADr7+8A=")</f>
        <v>0</v>
      </c>
      <c r="GL246" t="b">
        <f>AND('Black &amp; White load sheet'!E141,"AAAAADr7+8E=")</f>
        <v>1</v>
      </c>
      <c r="GM246" t="b">
        <f>AND('Black &amp; White load sheet'!F141,"AAAAADr7+8I=")</f>
        <v>0</v>
      </c>
      <c r="GN246" t="b">
        <f>AND('Black &amp; White load sheet'!G141,"AAAAADr7+8M=")</f>
        <v>1</v>
      </c>
      <c r="GO246" t="b">
        <f>AND('Black &amp; White load sheet'!H141,"AAAAADr7+8Q=")</f>
        <v>0</v>
      </c>
      <c r="GP246" t="b">
        <f>AND('Black &amp; White load sheet'!I141,"AAAAADr7+8U=")</f>
        <v>0</v>
      </c>
      <c r="GQ246" t="b">
        <f>AND('Black &amp; White load sheet'!J141,"AAAAADr7+8Y=")</f>
        <v>1</v>
      </c>
      <c r="GR246" t="e">
        <f>AND('Black &amp; White load sheet'!K141,"AAAAADr7+8c=")</f>
        <v>#VALUE!</v>
      </c>
      <c r="GS246" t="b">
        <f>AND('Black &amp; White load sheet'!L141,"AAAAADr7+8g=")</f>
        <v>1</v>
      </c>
      <c r="GT246" t="b">
        <f>AND('Black &amp; White load sheet'!M141,"AAAAADr7+8k=")</f>
        <v>1</v>
      </c>
      <c r="GU246">
        <f>IF('Black &amp; White load sheet'!142:142,"AAAAADr7+8o=",0)</f>
        <v>0</v>
      </c>
      <c r="GV246" t="b">
        <f>AND('Black &amp; White load sheet'!A142,"AAAAADr7+8s=")</f>
        <v>1</v>
      </c>
      <c r="GW246" t="b">
        <f>AND('Black &amp; White load sheet'!B142,"AAAAADr7+8w=")</f>
        <v>1</v>
      </c>
      <c r="GX246" t="b">
        <f>AND('Black &amp; White load sheet'!C142,"AAAAADr7+80=")</f>
        <v>0</v>
      </c>
      <c r="GY246" t="b">
        <f>AND('Black &amp; White load sheet'!D142,"AAAAADr7+84=")</f>
        <v>0</v>
      </c>
      <c r="GZ246" t="b">
        <f>AND('Black &amp; White load sheet'!E142,"AAAAADr7+88=")</f>
        <v>1</v>
      </c>
      <c r="HA246" t="b">
        <f>AND('Black &amp; White load sheet'!F142,"AAAAADr7+9A=")</f>
        <v>0</v>
      </c>
      <c r="HB246" t="b">
        <f>AND('Black &amp; White load sheet'!G142,"AAAAADr7+9E=")</f>
        <v>1</v>
      </c>
      <c r="HC246" t="b">
        <f>AND('Black &amp; White load sheet'!H142,"AAAAADr7+9I=")</f>
        <v>0</v>
      </c>
      <c r="HD246" t="b">
        <f>AND('Black &amp; White load sheet'!I142,"AAAAADr7+9M=")</f>
        <v>1</v>
      </c>
      <c r="HE246" t="b">
        <f>AND('Black &amp; White load sheet'!J142,"AAAAADr7+9Q=")</f>
        <v>0</v>
      </c>
      <c r="HF246" t="e">
        <f>AND('Black &amp; White load sheet'!K142,"AAAAADr7+9U=")</f>
        <v>#VALUE!</v>
      </c>
      <c r="HG246" t="b">
        <f>AND('Black &amp; White load sheet'!L142,"AAAAADr7+9Y=")</f>
        <v>1</v>
      </c>
      <c r="HH246" t="b">
        <f>AND('Black &amp; White load sheet'!M142,"AAAAADr7+9c=")</f>
        <v>1</v>
      </c>
      <c r="HI246">
        <f>IF('Black &amp; White load sheet'!143:143,"AAAAADr7+9g=",0)</f>
        <v>0</v>
      </c>
      <c r="HJ246" t="b">
        <f>AND('Black &amp; White load sheet'!A143,"AAAAADr7+9k=")</f>
        <v>1</v>
      </c>
      <c r="HK246" t="b">
        <f>AND('Black &amp; White load sheet'!B143,"AAAAADr7+9o=")</f>
        <v>1</v>
      </c>
      <c r="HL246" t="b">
        <f>AND('Black &amp; White load sheet'!C143,"AAAAADr7+9s=")</f>
        <v>0</v>
      </c>
      <c r="HM246" t="b">
        <f>AND('Black &amp; White load sheet'!D143,"AAAAADr7+9w=")</f>
        <v>0</v>
      </c>
      <c r="HN246" t="b">
        <f>AND('Black &amp; White load sheet'!E143,"AAAAADr7+90=")</f>
        <v>1</v>
      </c>
      <c r="HO246" t="b">
        <f>AND('Black &amp; White load sheet'!F143,"AAAAADr7+94=")</f>
        <v>0</v>
      </c>
      <c r="HP246" t="b">
        <f>AND('Black &amp; White load sheet'!G143,"AAAAADr7+98=")</f>
        <v>1</v>
      </c>
      <c r="HQ246" t="b">
        <f>AND('Black &amp; White load sheet'!H143,"AAAAADr7++A=")</f>
        <v>0</v>
      </c>
      <c r="HR246" t="b">
        <f>AND('Black &amp; White load sheet'!I143,"AAAAADr7++E=")</f>
        <v>1</v>
      </c>
      <c r="HS246" t="b">
        <f>AND('Black &amp; White load sheet'!J143,"AAAAADr7++I=")</f>
        <v>1</v>
      </c>
      <c r="HT246" t="e">
        <f>AND('Black &amp; White load sheet'!K143,"AAAAADr7++M=")</f>
        <v>#VALUE!</v>
      </c>
      <c r="HU246" t="b">
        <f>AND('Black &amp; White load sheet'!L143,"AAAAADr7++Q=")</f>
        <v>1</v>
      </c>
      <c r="HV246" t="b">
        <f>AND('Black &amp; White load sheet'!M143,"AAAAADr7++U=")</f>
        <v>1</v>
      </c>
      <c r="HW246">
        <f>IF('Black &amp; White load sheet'!144:144,"AAAAADr7++Y=",0)</f>
        <v>0</v>
      </c>
      <c r="HX246" t="b">
        <f>AND('Black &amp; White load sheet'!A144,"AAAAADr7++c=")</f>
        <v>1</v>
      </c>
      <c r="HY246" t="b">
        <f>AND('Black &amp; White load sheet'!B144,"AAAAADr7++g=")</f>
        <v>1</v>
      </c>
      <c r="HZ246" t="b">
        <f>AND('Black &amp; White load sheet'!C144,"AAAAADr7++k=")</f>
        <v>0</v>
      </c>
      <c r="IA246" t="b">
        <f>AND('Black &amp; White load sheet'!D144,"AAAAADr7++o=")</f>
        <v>0</v>
      </c>
      <c r="IB246" t="b">
        <f>AND('Black &amp; White load sheet'!E144,"AAAAADr7++s=")</f>
        <v>1</v>
      </c>
      <c r="IC246" t="b">
        <f>AND('Black &amp; White load sheet'!F144,"AAAAADr7++w=")</f>
        <v>1</v>
      </c>
      <c r="ID246" t="b">
        <f>AND('Black &amp; White load sheet'!G144,"AAAAADr7++0=")</f>
        <v>0</v>
      </c>
      <c r="IE246" t="b">
        <f>AND('Black &amp; White load sheet'!H144,"AAAAADr7++4=")</f>
        <v>0</v>
      </c>
      <c r="IF246" t="b">
        <f>AND('Black &amp; White load sheet'!I144,"AAAAADr7++8=")</f>
        <v>0</v>
      </c>
      <c r="IG246" t="b">
        <f>AND('Black &amp; White load sheet'!J144,"AAAAADr7+/A=")</f>
        <v>0</v>
      </c>
      <c r="IH246" t="e">
        <f>AND('Black &amp; White load sheet'!K144,"AAAAADr7+/E=")</f>
        <v>#VALUE!</v>
      </c>
      <c r="II246" t="b">
        <f>AND('Black &amp; White load sheet'!L144,"AAAAADr7+/I=")</f>
        <v>1</v>
      </c>
      <c r="IJ246" t="b">
        <f>AND('Black &amp; White load sheet'!M144,"AAAAADr7+/M=")</f>
        <v>1</v>
      </c>
      <c r="IK246">
        <f>IF('Black &amp; White load sheet'!145:145,"AAAAADr7+/Q=",0)</f>
        <v>0</v>
      </c>
      <c r="IL246" t="b">
        <f>AND('Black &amp; White load sheet'!A145,"AAAAADr7+/U=")</f>
        <v>1</v>
      </c>
      <c r="IM246" t="b">
        <f>AND('Black &amp; White load sheet'!B145,"AAAAADr7+/Y=")</f>
        <v>1</v>
      </c>
      <c r="IN246" t="b">
        <f>AND('Black &amp; White load sheet'!C145,"AAAAADr7+/c=")</f>
        <v>0</v>
      </c>
      <c r="IO246" t="b">
        <f>AND('Black &amp; White load sheet'!D145,"AAAAADr7+/g=")</f>
        <v>0</v>
      </c>
      <c r="IP246" t="b">
        <f>AND('Black &amp; White load sheet'!E145,"AAAAADr7+/k=")</f>
        <v>1</v>
      </c>
      <c r="IQ246" t="b">
        <f>AND('Black &amp; White load sheet'!F145,"AAAAADr7+/o=")</f>
        <v>1</v>
      </c>
      <c r="IR246" t="b">
        <f>AND('Black &amp; White load sheet'!G145,"AAAAADr7+/s=")</f>
        <v>0</v>
      </c>
      <c r="IS246" t="b">
        <f>AND('Black &amp; White load sheet'!H145,"AAAAADr7+/w=")</f>
        <v>0</v>
      </c>
      <c r="IT246" t="b">
        <f>AND('Black &amp; White load sheet'!I145,"AAAAADr7+/0=")</f>
        <v>0</v>
      </c>
      <c r="IU246" t="b">
        <f>AND('Black &amp; White load sheet'!J145,"AAAAADr7+/4=")</f>
        <v>1</v>
      </c>
      <c r="IV246" t="e">
        <f>AND('Black &amp; White load sheet'!K145,"AAAAADr7+/8=")</f>
        <v>#VALUE!</v>
      </c>
    </row>
    <row r="247" spans="1:256" x14ac:dyDescent="0.25">
      <c r="A247" t="b">
        <f>AND('Black &amp; White load sheet'!L145,"AAAAAH/3jwA=")</f>
        <v>1</v>
      </c>
      <c r="B247" t="b">
        <f>AND('Black &amp; White load sheet'!M145,"AAAAAH/3jwE=")</f>
        <v>1</v>
      </c>
      <c r="C247">
        <f>IF('Black &amp; White load sheet'!146:146,"AAAAAH/3jwI=",0)</f>
        <v>0</v>
      </c>
      <c r="D247" t="b">
        <f>AND('Black &amp; White load sheet'!A146,"AAAAAH/3jwM=")</f>
        <v>1</v>
      </c>
      <c r="E247" t="b">
        <f>AND('Black &amp; White load sheet'!B146,"AAAAAH/3jwQ=")</f>
        <v>1</v>
      </c>
      <c r="F247" t="b">
        <f>AND('Black &amp; White load sheet'!C146,"AAAAAH/3jwU=")</f>
        <v>0</v>
      </c>
      <c r="G247" t="b">
        <f>AND('Black &amp; White load sheet'!D146,"AAAAAH/3jwY=")</f>
        <v>0</v>
      </c>
      <c r="H247" t="b">
        <f>AND('Black &amp; White load sheet'!E146,"AAAAAH/3jwc=")</f>
        <v>1</v>
      </c>
      <c r="I247" t="b">
        <f>AND('Black &amp; White load sheet'!F146,"AAAAAH/3jwg=")</f>
        <v>1</v>
      </c>
      <c r="J247" t="b">
        <f>AND('Black &amp; White load sheet'!G146,"AAAAAH/3jwk=")</f>
        <v>0</v>
      </c>
      <c r="K247" t="b">
        <f>AND('Black &amp; White load sheet'!H146,"AAAAAH/3jwo=")</f>
        <v>0</v>
      </c>
      <c r="L247" t="b">
        <f>AND('Black &amp; White load sheet'!I146,"AAAAAH/3jws=")</f>
        <v>1</v>
      </c>
      <c r="M247" t="b">
        <f>AND('Black &amp; White load sheet'!J146,"AAAAAH/3jww=")</f>
        <v>0</v>
      </c>
      <c r="N247" t="e">
        <f>AND('Black &amp; White load sheet'!K146,"AAAAAH/3jw0=")</f>
        <v>#VALUE!</v>
      </c>
      <c r="O247" t="b">
        <f>AND('Black &amp; White load sheet'!L146,"AAAAAH/3jw4=")</f>
        <v>1</v>
      </c>
      <c r="P247" t="b">
        <f>AND('Black &amp; White load sheet'!M146,"AAAAAH/3jw8=")</f>
        <v>1</v>
      </c>
      <c r="Q247">
        <f>IF('Black &amp; White load sheet'!147:147,"AAAAAH/3jxA=",0)</f>
        <v>0</v>
      </c>
      <c r="R247" t="b">
        <f>AND('Black &amp; White load sheet'!A147,"AAAAAH/3jxE=")</f>
        <v>1</v>
      </c>
      <c r="S247" t="b">
        <f>AND('Black &amp; White load sheet'!B147,"AAAAAH/3jxI=")</f>
        <v>1</v>
      </c>
      <c r="T247" t="b">
        <f>AND('Black &amp; White load sheet'!C147,"AAAAAH/3jxM=")</f>
        <v>0</v>
      </c>
      <c r="U247" t="b">
        <f>AND('Black &amp; White load sheet'!D147,"AAAAAH/3jxQ=")</f>
        <v>0</v>
      </c>
      <c r="V247" t="b">
        <f>AND('Black &amp; White load sheet'!E147,"AAAAAH/3jxU=")</f>
        <v>1</v>
      </c>
      <c r="W247" t="b">
        <f>AND('Black &amp; White load sheet'!F147,"AAAAAH/3jxY=")</f>
        <v>1</v>
      </c>
      <c r="X247" t="b">
        <f>AND('Black &amp; White load sheet'!G147,"AAAAAH/3jxc=")</f>
        <v>0</v>
      </c>
      <c r="Y247" t="b">
        <f>AND('Black &amp; White load sheet'!H147,"AAAAAH/3jxg=")</f>
        <v>0</v>
      </c>
      <c r="Z247" t="b">
        <f>AND('Black &amp; White load sheet'!I147,"AAAAAH/3jxk=")</f>
        <v>1</v>
      </c>
      <c r="AA247" t="b">
        <f>AND('Black &amp; White load sheet'!J147,"AAAAAH/3jxo=")</f>
        <v>1</v>
      </c>
      <c r="AB247" t="e">
        <f>AND('Black &amp; White load sheet'!K147,"AAAAAH/3jxs=")</f>
        <v>#VALUE!</v>
      </c>
      <c r="AC247" t="b">
        <f>AND('Black &amp; White load sheet'!L147,"AAAAAH/3jxw=")</f>
        <v>1</v>
      </c>
      <c r="AD247" t="b">
        <f>AND('Black &amp; White load sheet'!M147,"AAAAAH/3jx0=")</f>
        <v>1</v>
      </c>
      <c r="AE247">
        <f>IF('Black &amp; White load sheet'!148:148,"AAAAAH/3jx4=",0)</f>
        <v>0</v>
      </c>
      <c r="AF247" t="b">
        <f>AND('Black &amp; White load sheet'!A148,"AAAAAH/3jx8=")</f>
        <v>1</v>
      </c>
      <c r="AG247" t="b">
        <f>AND('Black &amp; White load sheet'!B148,"AAAAAH/3jyA=")</f>
        <v>1</v>
      </c>
      <c r="AH247" t="b">
        <f>AND('Black &amp; White load sheet'!C148,"AAAAAH/3jyE=")</f>
        <v>0</v>
      </c>
      <c r="AI247" t="b">
        <f>AND('Black &amp; White load sheet'!D148,"AAAAAH/3jyI=")</f>
        <v>0</v>
      </c>
      <c r="AJ247" t="b">
        <f>AND('Black &amp; White load sheet'!E148,"AAAAAH/3jyM=")</f>
        <v>1</v>
      </c>
      <c r="AK247" t="b">
        <f>AND('Black &amp; White load sheet'!F148,"AAAAAH/3jyQ=")</f>
        <v>0</v>
      </c>
      <c r="AL247" t="b">
        <f>AND('Black &amp; White load sheet'!G148,"AAAAAH/3jyU=")</f>
        <v>0</v>
      </c>
      <c r="AM247" t="b">
        <f>AND('Black &amp; White load sheet'!H148,"AAAAAH/3jyY=")</f>
        <v>0</v>
      </c>
      <c r="AN247" t="b">
        <f>AND('Black &amp; White load sheet'!I148,"AAAAAH/3jyc=")</f>
        <v>0</v>
      </c>
      <c r="AO247" t="b">
        <f>AND('Black &amp; White load sheet'!J148,"AAAAAH/3jyg=")</f>
        <v>0</v>
      </c>
      <c r="AP247" t="e">
        <f>AND('Black &amp; White load sheet'!K148,"AAAAAH/3jyk=")</f>
        <v>#VALUE!</v>
      </c>
      <c r="AQ247" t="b">
        <f>AND('Black &amp; White load sheet'!L148,"AAAAAH/3jyo=")</f>
        <v>1</v>
      </c>
      <c r="AR247" t="b">
        <f>AND('Black &amp; White load sheet'!M148,"AAAAAH/3jys=")</f>
        <v>1</v>
      </c>
      <c r="AS247">
        <f>IF('Black &amp; White load sheet'!149:149,"AAAAAH/3jyw=",0)</f>
        <v>0</v>
      </c>
      <c r="AT247" t="b">
        <f>AND('Black &amp; White load sheet'!A149,"AAAAAH/3jy0=")</f>
        <v>1</v>
      </c>
      <c r="AU247" t="b">
        <f>AND('Black &amp; White load sheet'!B149,"AAAAAH/3jy4=")</f>
        <v>1</v>
      </c>
      <c r="AV247" t="b">
        <f>AND('Black &amp; White load sheet'!C149,"AAAAAH/3jy8=")</f>
        <v>0</v>
      </c>
      <c r="AW247" t="b">
        <f>AND('Black &amp; White load sheet'!D149,"AAAAAH/3jzA=")</f>
        <v>0</v>
      </c>
      <c r="AX247" t="b">
        <f>AND('Black &amp; White load sheet'!E149,"AAAAAH/3jzE=")</f>
        <v>1</v>
      </c>
      <c r="AY247" t="b">
        <f>AND('Black &amp; White load sheet'!F149,"AAAAAH/3jzI=")</f>
        <v>0</v>
      </c>
      <c r="AZ247" t="b">
        <f>AND('Black &amp; White load sheet'!G149,"AAAAAH/3jzM=")</f>
        <v>0</v>
      </c>
      <c r="BA247" t="b">
        <f>AND('Black &amp; White load sheet'!H149,"AAAAAH/3jzQ=")</f>
        <v>0</v>
      </c>
      <c r="BB247" t="b">
        <f>AND('Black &amp; White load sheet'!I149,"AAAAAH/3jzU=")</f>
        <v>0</v>
      </c>
      <c r="BC247" t="b">
        <f>AND('Black &amp; White load sheet'!J149,"AAAAAH/3jzY=")</f>
        <v>1</v>
      </c>
      <c r="BD247" t="e">
        <f>AND('Black &amp; White load sheet'!K149,"AAAAAH/3jzc=")</f>
        <v>#VALUE!</v>
      </c>
      <c r="BE247" t="b">
        <f>AND('Black &amp; White load sheet'!L149,"AAAAAH/3jzg=")</f>
        <v>1</v>
      </c>
      <c r="BF247" t="b">
        <f>AND('Black &amp; White load sheet'!M149,"AAAAAH/3jzk=")</f>
        <v>1</v>
      </c>
      <c r="BG247">
        <f>IF('Black &amp; White load sheet'!150:150,"AAAAAH/3jzo=",0)</f>
        <v>0</v>
      </c>
      <c r="BH247" t="b">
        <f>AND('Black &amp; White load sheet'!A150,"AAAAAH/3jzs=")</f>
        <v>1</v>
      </c>
      <c r="BI247" t="b">
        <f>AND('Black &amp; White load sheet'!B150,"AAAAAH/3jzw=")</f>
        <v>1</v>
      </c>
      <c r="BJ247" t="b">
        <f>AND('Black &amp; White load sheet'!C150,"AAAAAH/3jz0=")</f>
        <v>0</v>
      </c>
      <c r="BK247" t="b">
        <f>AND('Black &amp; White load sheet'!D150,"AAAAAH/3jz4=")</f>
        <v>0</v>
      </c>
      <c r="BL247" t="b">
        <f>AND('Black &amp; White load sheet'!E150,"AAAAAH/3jz8=")</f>
        <v>1</v>
      </c>
      <c r="BM247" t="b">
        <f>AND('Black &amp; White load sheet'!F150,"AAAAAH/3j0A=")</f>
        <v>0</v>
      </c>
      <c r="BN247" t="b">
        <f>AND('Black &amp; White load sheet'!G150,"AAAAAH/3j0E=")</f>
        <v>0</v>
      </c>
      <c r="BO247" t="b">
        <f>AND('Black &amp; White load sheet'!H150,"AAAAAH/3j0I=")</f>
        <v>0</v>
      </c>
      <c r="BP247" t="b">
        <f>AND('Black &amp; White load sheet'!I150,"AAAAAH/3j0M=")</f>
        <v>1</v>
      </c>
      <c r="BQ247" t="b">
        <f>AND('Black &amp; White load sheet'!J150,"AAAAAH/3j0Q=")</f>
        <v>0</v>
      </c>
      <c r="BR247" t="e">
        <f>AND('Black &amp; White load sheet'!K150,"AAAAAH/3j0U=")</f>
        <v>#VALUE!</v>
      </c>
      <c r="BS247" t="b">
        <f>AND('Black &amp; White load sheet'!L150,"AAAAAH/3j0Y=")</f>
        <v>1</v>
      </c>
      <c r="BT247" t="b">
        <f>AND('Black &amp; White load sheet'!M150,"AAAAAH/3j0c=")</f>
        <v>1</v>
      </c>
      <c r="BU247">
        <f>IF('Black &amp; White load sheet'!151:151,"AAAAAH/3j0g=",0)</f>
        <v>0</v>
      </c>
      <c r="BV247" t="b">
        <f>AND('Black &amp; White load sheet'!A151,"AAAAAH/3j0k=")</f>
        <v>1</v>
      </c>
      <c r="BW247" t="b">
        <f>AND('Black &amp; White load sheet'!B151,"AAAAAH/3j0o=")</f>
        <v>1</v>
      </c>
      <c r="BX247" t="b">
        <f>AND('Black &amp; White load sheet'!C151,"AAAAAH/3j0s=")</f>
        <v>0</v>
      </c>
      <c r="BY247" t="b">
        <f>AND('Black &amp; White load sheet'!D151,"AAAAAH/3j0w=")</f>
        <v>0</v>
      </c>
      <c r="BZ247" t="b">
        <f>AND('Black &amp; White load sheet'!E151,"AAAAAH/3j00=")</f>
        <v>1</v>
      </c>
      <c r="CA247" t="b">
        <f>AND('Black &amp; White load sheet'!F151,"AAAAAH/3j04=")</f>
        <v>0</v>
      </c>
      <c r="CB247" t="b">
        <f>AND('Black &amp; White load sheet'!G151,"AAAAAH/3j08=")</f>
        <v>0</v>
      </c>
      <c r="CC247" t="b">
        <f>AND('Black &amp; White load sheet'!H151,"AAAAAH/3j1A=")</f>
        <v>0</v>
      </c>
      <c r="CD247" t="b">
        <f>AND('Black &amp; White load sheet'!I151,"AAAAAH/3j1E=")</f>
        <v>1</v>
      </c>
      <c r="CE247" t="b">
        <f>AND('Black &amp; White load sheet'!J151,"AAAAAH/3j1I=")</f>
        <v>1</v>
      </c>
      <c r="CF247" t="e">
        <f>AND('Black &amp; White load sheet'!K151,"AAAAAH/3j1M=")</f>
        <v>#VALUE!</v>
      </c>
      <c r="CG247" t="b">
        <f>AND('Black &amp; White load sheet'!L151,"AAAAAH/3j1Q=")</f>
        <v>1</v>
      </c>
      <c r="CH247" t="b">
        <f>AND('Black &amp; White load sheet'!M151,"AAAAAH/3j1U=")</f>
        <v>1</v>
      </c>
      <c r="CI247">
        <f>IF('Black &amp; White load sheet'!152:152,"AAAAAH/3j1Y=",0)</f>
        <v>0</v>
      </c>
      <c r="CJ247" t="b">
        <f>AND('Black &amp; White load sheet'!A152,"AAAAAH/3j1c=")</f>
        <v>1</v>
      </c>
      <c r="CK247" t="b">
        <f>AND('Black &amp; White load sheet'!B152,"AAAAAH/3j1g=")</f>
        <v>1</v>
      </c>
      <c r="CL247" t="b">
        <f>AND('Black &amp; White load sheet'!C152,"AAAAAH/3j1k=")</f>
        <v>0</v>
      </c>
      <c r="CM247" t="b">
        <f>AND('Black &amp; White load sheet'!D152,"AAAAAH/3j1o=")</f>
        <v>0</v>
      </c>
      <c r="CN247" t="b">
        <f>AND('Black &amp; White load sheet'!E152,"AAAAAH/3j1s=")</f>
        <v>1</v>
      </c>
      <c r="CO247" t="b">
        <f>AND('Black &amp; White load sheet'!F152,"AAAAAH/3j1w=")</f>
        <v>0</v>
      </c>
      <c r="CP247" t="b">
        <f>AND('Black &amp; White load sheet'!G152,"AAAAAH/3j10=")</f>
        <v>0</v>
      </c>
      <c r="CQ247" t="b">
        <f>AND('Black &amp; White load sheet'!H152,"AAAAAH/3j14=")</f>
        <v>1</v>
      </c>
      <c r="CR247" t="b">
        <f>AND('Black &amp; White load sheet'!I152,"AAAAAH/3j18=")</f>
        <v>0</v>
      </c>
      <c r="CS247" t="b">
        <f>AND('Black &amp; White load sheet'!J152,"AAAAAH/3j2A=")</f>
        <v>0</v>
      </c>
      <c r="CT247" t="e">
        <f>AND('Black &amp; White load sheet'!K152,"AAAAAH/3j2E=")</f>
        <v>#VALUE!</v>
      </c>
      <c r="CU247" t="b">
        <f>AND('Black &amp; White load sheet'!L152,"AAAAAH/3j2I=")</f>
        <v>1</v>
      </c>
      <c r="CV247" t="b">
        <f>AND('Black &amp; White load sheet'!M152,"AAAAAH/3j2M=")</f>
        <v>1</v>
      </c>
      <c r="CW247">
        <f>IF('Black &amp; White load sheet'!153:153,"AAAAAH/3j2Q=",0)</f>
        <v>0</v>
      </c>
      <c r="CX247" t="b">
        <f>AND('Black &amp; White load sheet'!A153,"AAAAAH/3j2U=")</f>
        <v>1</v>
      </c>
      <c r="CY247" t="b">
        <f>AND('Black &amp; White load sheet'!B153,"AAAAAH/3j2Y=")</f>
        <v>1</v>
      </c>
      <c r="CZ247" t="b">
        <f>AND('Black &amp; White load sheet'!C153,"AAAAAH/3j2c=")</f>
        <v>0</v>
      </c>
      <c r="DA247" t="b">
        <f>AND('Black &amp; White load sheet'!D153,"AAAAAH/3j2g=")</f>
        <v>0</v>
      </c>
      <c r="DB247" t="b">
        <f>AND('Black &amp; White load sheet'!E153,"AAAAAH/3j2k=")</f>
        <v>1</v>
      </c>
      <c r="DC247" t="b">
        <f>AND('Black &amp; White load sheet'!F153,"AAAAAH/3j2o=")</f>
        <v>0</v>
      </c>
      <c r="DD247" t="b">
        <f>AND('Black &amp; White load sheet'!G153,"AAAAAH/3j2s=")</f>
        <v>0</v>
      </c>
      <c r="DE247" t="b">
        <f>AND('Black &amp; White load sheet'!H153,"AAAAAH/3j2w=")</f>
        <v>1</v>
      </c>
      <c r="DF247" t="b">
        <f>AND('Black &amp; White load sheet'!I153,"AAAAAH/3j20=")</f>
        <v>0</v>
      </c>
      <c r="DG247" t="b">
        <f>AND('Black &amp; White load sheet'!J153,"AAAAAH/3j24=")</f>
        <v>1</v>
      </c>
      <c r="DH247" t="e">
        <f>AND('Black &amp; White load sheet'!K153,"AAAAAH/3j28=")</f>
        <v>#VALUE!</v>
      </c>
      <c r="DI247" t="b">
        <f>AND('Black &amp; White load sheet'!L153,"AAAAAH/3j3A=")</f>
        <v>1</v>
      </c>
      <c r="DJ247" t="b">
        <f>AND('Black &amp; White load sheet'!M153,"AAAAAH/3j3E=")</f>
        <v>1</v>
      </c>
      <c r="DK247">
        <f>IF('Black &amp; White load sheet'!154:154,"AAAAAH/3j3I=",0)</f>
        <v>0</v>
      </c>
      <c r="DL247" t="b">
        <f>AND('Black &amp; White load sheet'!A154,"AAAAAH/3j3M=")</f>
        <v>1</v>
      </c>
      <c r="DM247" t="b">
        <f>AND('Black &amp; White load sheet'!B154,"AAAAAH/3j3Q=")</f>
        <v>1</v>
      </c>
      <c r="DN247" t="b">
        <f>AND('Black &amp; White load sheet'!C154,"AAAAAH/3j3U=")</f>
        <v>0</v>
      </c>
      <c r="DO247" t="b">
        <f>AND('Black &amp; White load sheet'!D154,"AAAAAH/3j3Y=")</f>
        <v>0</v>
      </c>
      <c r="DP247" t="b">
        <f>AND('Black &amp; White load sheet'!E154,"AAAAAH/3j3c=")</f>
        <v>1</v>
      </c>
      <c r="DQ247" t="b">
        <f>AND('Black &amp; White load sheet'!F154,"AAAAAH/3j3g=")</f>
        <v>0</v>
      </c>
      <c r="DR247" t="b">
        <f>AND('Black &amp; White load sheet'!G154,"AAAAAH/3j3k=")</f>
        <v>0</v>
      </c>
      <c r="DS247" t="b">
        <f>AND('Black &amp; White load sheet'!H154,"AAAAAH/3j3o=")</f>
        <v>1</v>
      </c>
      <c r="DT247" t="b">
        <f>AND('Black &amp; White load sheet'!I154,"AAAAAH/3j3s=")</f>
        <v>1</v>
      </c>
      <c r="DU247" t="b">
        <f>AND('Black &amp; White load sheet'!J154,"AAAAAH/3j3w=")</f>
        <v>0</v>
      </c>
      <c r="DV247" t="e">
        <f>AND('Black &amp; White load sheet'!K154,"AAAAAH/3j30=")</f>
        <v>#VALUE!</v>
      </c>
      <c r="DW247" t="b">
        <f>AND('Black &amp; White load sheet'!L154,"AAAAAH/3j34=")</f>
        <v>1</v>
      </c>
      <c r="DX247" t="b">
        <f>AND('Black &amp; White load sheet'!M154,"AAAAAH/3j38=")</f>
        <v>1</v>
      </c>
      <c r="DY247">
        <f>IF('Black &amp; White load sheet'!155:155,"AAAAAH/3j4A=",0)</f>
        <v>0</v>
      </c>
      <c r="DZ247" t="b">
        <f>AND('Black &amp; White load sheet'!A155,"AAAAAH/3j4E=")</f>
        <v>1</v>
      </c>
      <c r="EA247" t="b">
        <f>AND('Black &amp; White load sheet'!B155,"AAAAAH/3j4I=")</f>
        <v>1</v>
      </c>
      <c r="EB247" t="b">
        <f>AND('Black &amp; White load sheet'!C155,"AAAAAH/3j4M=")</f>
        <v>0</v>
      </c>
      <c r="EC247" t="b">
        <f>AND('Black &amp; White load sheet'!D155,"AAAAAH/3j4Q=")</f>
        <v>0</v>
      </c>
      <c r="ED247" t="b">
        <f>AND('Black &amp; White load sheet'!E155,"AAAAAH/3j4U=")</f>
        <v>1</v>
      </c>
      <c r="EE247" t="b">
        <f>AND('Black &amp; White load sheet'!F155,"AAAAAH/3j4Y=")</f>
        <v>0</v>
      </c>
      <c r="EF247" t="b">
        <f>AND('Black &amp; White load sheet'!G155,"AAAAAH/3j4c=")</f>
        <v>0</v>
      </c>
      <c r="EG247" t="b">
        <f>AND('Black &amp; White load sheet'!H155,"AAAAAH/3j4g=")</f>
        <v>1</v>
      </c>
      <c r="EH247" t="b">
        <f>AND('Black &amp; White load sheet'!I155,"AAAAAH/3j4k=")</f>
        <v>1</v>
      </c>
      <c r="EI247" t="b">
        <f>AND('Black &amp; White load sheet'!J155,"AAAAAH/3j4o=")</f>
        <v>1</v>
      </c>
      <c r="EJ247" t="e">
        <f>AND('Black &amp; White load sheet'!K155,"AAAAAH/3j4s=")</f>
        <v>#VALUE!</v>
      </c>
      <c r="EK247" t="b">
        <f>AND('Black &amp; White load sheet'!L155,"AAAAAH/3j4w=")</f>
        <v>1</v>
      </c>
      <c r="EL247" t="b">
        <f>AND('Black &amp; White load sheet'!M155,"AAAAAH/3j40=")</f>
        <v>1</v>
      </c>
      <c r="EM247">
        <f>IF('Black &amp; White load sheet'!156:156,"AAAAAH/3j44=",0)</f>
        <v>0</v>
      </c>
      <c r="EN247" t="b">
        <f>AND('Black &amp; White load sheet'!A156,"AAAAAH/3j48=")</f>
        <v>1</v>
      </c>
      <c r="EO247" t="b">
        <f>AND('Black &amp; White load sheet'!B156,"AAAAAH/3j5A=")</f>
        <v>1</v>
      </c>
      <c r="EP247" t="b">
        <f>AND('Black &amp; White load sheet'!C156,"AAAAAH/3j5E=")</f>
        <v>0</v>
      </c>
      <c r="EQ247" t="b">
        <f>AND('Black &amp; White load sheet'!D156,"AAAAAH/3j5I=")</f>
        <v>0</v>
      </c>
      <c r="ER247" t="b">
        <f>AND('Black &amp; White load sheet'!E156,"AAAAAH/3j5M=")</f>
        <v>1</v>
      </c>
      <c r="ES247" t="b">
        <f>AND('Black &amp; White load sheet'!F156,"AAAAAH/3j5Q=")</f>
        <v>0</v>
      </c>
      <c r="ET247" t="b">
        <f>AND('Black &amp; White load sheet'!G156,"AAAAAH/3j5U=")</f>
        <v>1</v>
      </c>
      <c r="EU247" t="b">
        <f>AND('Black &amp; White load sheet'!H156,"AAAAAH/3j5Y=")</f>
        <v>0</v>
      </c>
      <c r="EV247" t="b">
        <f>AND('Black &amp; White load sheet'!I156,"AAAAAH/3j5c=")</f>
        <v>0</v>
      </c>
      <c r="EW247" t="b">
        <f>AND('Black &amp; White load sheet'!J156,"AAAAAH/3j5g=")</f>
        <v>0</v>
      </c>
      <c r="EX247" t="e">
        <f>AND('Black &amp; White load sheet'!K156,"AAAAAH/3j5k=")</f>
        <v>#VALUE!</v>
      </c>
      <c r="EY247" t="b">
        <f>AND('Black &amp; White load sheet'!L156,"AAAAAH/3j5o=")</f>
        <v>1</v>
      </c>
      <c r="EZ247" t="b">
        <f>AND('Black &amp; White load sheet'!M156,"AAAAAH/3j5s=")</f>
        <v>1</v>
      </c>
      <c r="FA247">
        <f>IF('Black &amp; White load sheet'!157:157,"AAAAAH/3j5w=",0)</f>
        <v>0</v>
      </c>
      <c r="FB247" t="b">
        <f>AND('Black &amp; White load sheet'!A157,"AAAAAH/3j50=")</f>
        <v>1</v>
      </c>
      <c r="FC247" t="b">
        <f>AND('Black &amp; White load sheet'!B157,"AAAAAH/3j54=")</f>
        <v>1</v>
      </c>
      <c r="FD247" t="b">
        <f>AND('Black &amp; White load sheet'!C157,"AAAAAH/3j58=")</f>
        <v>0</v>
      </c>
      <c r="FE247" t="b">
        <f>AND('Black &amp; White load sheet'!D157,"AAAAAH/3j6A=")</f>
        <v>0</v>
      </c>
      <c r="FF247" t="b">
        <f>AND('Black &amp; White load sheet'!E157,"AAAAAH/3j6E=")</f>
        <v>1</v>
      </c>
      <c r="FG247" t="b">
        <f>AND('Black &amp; White load sheet'!F157,"AAAAAH/3j6I=")</f>
        <v>0</v>
      </c>
      <c r="FH247" t="b">
        <f>AND('Black &amp; White load sheet'!G157,"AAAAAH/3j6M=")</f>
        <v>1</v>
      </c>
      <c r="FI247" t="b">
        <f>AND('Black &amp; White load sheet'!H157,"AAAAAH/3j6Q=")</f>
        <v>0</v>
      </c>
      <c r="FJ247" t="b">
        <f>AND('Black &amp; White load sheet'!I157,"AAAAAH/3j6U=")</f>
        <v>0</v>
      </c>
      <c r="FK247" t="b">
        <f>AND('Black &amp; White load sheet'!J157,"AAAAAH/3j6Y=")</f>
        <v>1</v>
      </c>
      <c r="FL247" t="e">
        <f>AND('Black &amp; White load sheet'!K157,"AAAAAH/3j6c=")</f>
        <v>#VALUE!</v>
      </c>
      <c r="FM247" t="b">
        <f>AND('Black &amp; White load sheet'!L157,"AAAAAH/3j6g=")</f>
        <v>1</v>
      </c>
      <c r="FN247" t="b">
        <f>AND('Black &amp; White load sheet'!M157,"AAAAAH/3j6k=")</f>
        <v>1</v>
      </c>
      <c r="FO247">
        <f>IF('Black &amp; White load sheet'!158:158,"AAAAAH/3j6o=",0)</f>
        <v>0</v>
      </c>
      <c r="FP247" t="b">
        <f>AND('Black &amp; White load sheet'!A158,"AAAAAH/3j6s=")</f>
        <v>1</v>
      </c>
      <c r="FQ247" t="b">
        <f>AND('Black &amp; White load sheet'!B158,"AAAAAH/3j6w=")</f>
        <v>1</v>
      </c>
      <c r="FR247" t="b">
        <f>AND('Black &amp; White load sheet'!C158,"AAAAAH/3j60=")</f>
        <v>0</v>
      </c>
      <c r="FS247" t="b">
        <f>AND('Black &amp; White load sheet'!D158,"AAAAAH/3j64=")</f>
        <v>0</v>
      </c>
      <c r="FT247" t="b">
        <f>AND('Black &amp; White load sheet'!E158,"AAAAAH/3j68=")</f>
        <v>1</v>
      </c>
      <c r="FU247" t="b">
        <f>AND('Black &amp; White load sheet'!F158,"AAAAAH/3j7A=")</f>
        <v>0</v>
      </c>
      <c r="FV247" t="b">
        <f>AND('Black &amp; White load sheet'!G158,"AAAAAH/3j7E=")</f>
        <v>1</v>
      </c>
      <c r="FW247" t="b">
        <f>AND('Black &amp; White load sheet'!H158,"AAAAAH/3j7I=")</f>
        <v>0</v>
      </c>
      <c r="FX247" t="b">
        <f>AND('Black &amp; White load sheet'!I158,"AAAAAH/3j7M=")</f>
        <v>1</v>
      </c>
      <c r="FY247" t="b">
        <f>AND('Black &amp; White load sheet'!J158,"AAAAAH/3j7Q=")</f>
        <v>0</v>
      </c>
      <c r="FZ247" t="e">
        <f>AND('Black &amp; White load sheet'!K158,"AAAAAH/3j7U=")</f>
        <v>#VALUE!</v>
      </c>
      <c r="GA247" t="b">
        <f>AND('Black &amp; White load sheet'!L158,"AAAAAH/3j7Y=")</f>
        <v>1</v>
      </c>
      <c r="GB247" t="b">
        <f>AND('Black &amp; White load sheet'!M158,"AAAAAH/3j7c=")</f>
        <v>1</v>
      </c>
      <c r="GC247">
        <f>IF('Black &amp; White load sheet'!159:159,"AAAAAH/3j7g=",0)</f>
        <v>0</v>
      </c>
      <c r="GD247" t="b">
        <f>AND('Black &amp; White load sheet'!A159,"AAAAAH/3j7k=")</f>
        <v>1</v>
      </c>
      <c r="GE247" t="b">
        <f>AND('Black &amp; White load sheet'!B159,"AAAAAH/3j7o=")</f>
        <v>1</v>
      </c>
      <c r="GF247" t="b">
        <f>AND('Black &amp; White load sheet'!C159,"AAAAAH/3j7s=")</f>
        <v>0</v>
      </c>
      <c r="GG247" t="b">
        <f>AND('Black &amp; White load sheet'!D159,"AAAAAH/3j7w=")</f>
        <v>0</v>
      </c>
      <c r="GH247" t="b">
        <f>AND('Black &amp; White load sheet'!E159,"AAAAAH/3j70=")</f>
        <v>1</v>
      </c>
      <c r="GI247" t="b">
        <f>AND('Black &amp; White load sheet'!F159,"AAAAAH/3j74=")</f>
        <v>0</v>
      </c>
      <c r="GJ247" t="b">
        <f>AND('Black &amp; White load sheet'!G159,"AAAAAH/3j78=")</f>
        <v>1</v>
      </c>
      <c r="GK247" t="b">
        <f>AND('Black &amp; White load sheet'!H159,"AAAAAH/3j8A=")</f>
        <v>0</v>
      </c>
      <c r="GL247" t="b">
        <f>AND('Black &amp; White load sheet'!I159,"AAAAAH/3j8E=")</f>
        <v>1</v>
      </c>
      <c r="GM247" t="b">
        <f>AND('Black &amp; White load sheet'!J159,"AAAAAH/3j8I=")</f>
        <v>1</v>
      </c>
      <c r="GN247" t="e">
        <f>AND('Black &amp; White load sheet'!K159,"AAAAAH/3j8M=")</f>
        <v>#VALUE!</v>
      </c>
      <c r="GO247" t="b">
        <f>AND('Black &amp; White load sheet'!L159,"AAAAAH/3j8Q=")</f>
        <v>1</v>
      </c>
      <c r="GP247" t="b">
        <f>AND('Black &amp; White load sheet'!M159,"AAAAAH/3j8U=")</f>
        <v>1</v>
      </c>
      <c r="GQ247">
        <f>IF('Black &amp; White load sheet'!160:160,"AAAAAH/3j8Y=",0)</f>
        <v>0</v>
      </c>
      <c r="GR247" t="b">
        <f>AND('Black &amp; White load sheet'!A160,"AAAAAH/3j8c=")</f>
        <v>1</v>
      </c>
      <c r="GS247" t="b">
        <f>AND('Black &amp; White load sheet'!B160,"AAAAAH/3j8g=")</f>
        <v>1</v>
      </c>
      <c r="GT247" t="b">
        <f>AND('Black &amp; White load sheet'!C160,"AAAAAH/3j8k=")</f>
        <v>0</v>
      </c>
      <c r="GU247" t="b">
        <f>AND('Black &amp; White load sheet'!D160,"AAAAAH/3j8o=")</f>
        <v>0</v>
      </c>
      <c r="GV247" t="b">
        <f>AND('Black &amp; White load sheet'!E160,"AAAAAH/3j8s=")</f>
        <v>1</v>
      </c>
      <c r="GW247" t="b">
        <f>AND('Black &amp; White load sheet'!F160,"AAAAAH/3j8w=")</f>
        <v>1</v>
      </c>
      <c r="GX247" t="b">
        <f>AND('Black &amp; White load sheet'!G160,"AAAAAH/3j80=")</f>
        <v>0</v>
      </c>
      <c r="GY247" t="b">
        <f>AND('Black &amp; White load sheet'!H160,"AAAAAH/3j84=")</f>
        <v>0</v>
      </c>
      <c r="GZ247" t="b">
        <f>AND('Black &amp; White load sheet'!I160,"AAAAAH/3j88=")</f>
        <v>0</v>
      </c>
      <c r="HA247" t="b">
        <f>AND('Black &amp; White load sheet'!J160,"AAAAAH/3j9A=")</f>
        <v>0</v>
      </c>
      <c r="HB247" t="e">
        <f>AND('Black &amp; White load sheet'!K160,"AAAAAH/3j9E=")</f>
        <v>#VALUE!</v>
      </c>
      <c r="HC247" t="b">
        <f>AND('Black &amp; White load sheet'!L160,"AAAAAH/3j9I=")</f>
        <v>1</v>
      </c>
      <c r="HD247" t="b">
        <f>AND('Black &amp; White load sheet'!M160,"AAAAAH/3j9M=")</f>
        <v>1</v>
      </c>
      <c r="HE247">
        <f>IF('Black &amp; White load sheet'!161:161,"AAAAAH/3j9Q=",0)</f>
        <v>0</v>
      </c>
      <c r="HF247" t="b">
        <f>AND('Black &amp; White load sheet'!A161,"AAAAAH/3j9U=")</f>
        <v>1</v>
      </c>
      <c r="HG247" t="b">
        <f>AND('Black &amp; White load sheet'!B161,"AAAAAH/3j9Y=")</f>
        <v>1</v>
      </c>
      <c r="HH247" t="b">
        <f>AND('Black &amp; White load sheet'!C161,"AAAAAH/3j9c=")</f>
        <v>0</v>
      </c>
      <c r="HI247" t="b">
        <f>AND('Black &amp; White load sheet'!D161,"AAAAAH/3j9g=")</f>
        <v>0</v>
      </c>
      <c r="HJ247" t="b">
        <f>AND('Black &amp; White load sheet'!E161,"AAAAAH/3j9k=")</f>
        <v>1</v>
      </c>
      <c r="HK247" t="b">
        <f>AND('Black &amp; White load sheet'!F161,"AAAAAH/3j9o=")</f>
        <v>1</v>
      </c>
      <c r="HL247" t="b">
        <f>AND('Black &amp; White load sheet'!G161,"AAAAAH/3j9s=")</f>
        <v>0</v>
      </c>
      <c r="HM247" t="b">
        <f>AND('Black &amp; White load sheet'!H161,"AAAAAH/3j9w=")</f>
        <v>0</v>
      </c>
      <c r="HN247" t="b">
        <f>AND('Black &amp; White load sheet'!I161,"AAAAAH/3j90=")</f>
        <v>0</v>
      </c>
      <c r="HO247" t="b">
        <f>AND('Black &amp; White load sheet'!J161,"AAAAAH/3j94=")</f>
        <v>1</v>
      </c>
      <c r="HP247" t="e">
        <f>AND('Black &amp; White load sheet'!K161,"AAAAAH/3j98=")</f>
        <v>#VALUE!</v>
      </c>
      <c r="HQ247" t="b">
        <f>AND('Black &amp; White load sheet'!L161,"AAAAAH/3j+A=")</f>
        <v>1</v>
      </c>
      <c r="HR247" t="b">
        <f>AND('Black &amp; White load sheet'!M161,"AAAAAH/3j+E=")</f>
        <v>1</v>
      </c>
      <c r="HS247">
        <f>IF('Black &amp; White load sheet'!162:162,"AAAAAH/3j+I=",0)</f>
        <v>0</v>
      </c>
      <c r="HT247" t="b">
        <f>AND('Black &amp; White load sheet'!A162,"AAAAAH/3j+M=")</f>
        <v>1</v>
      </c>
      <c r="HU247" t="b">
        <f>AND('Black &amp; White load sheet'!B162,"AAAAAH/3j+Q=")</f>
        <v>1</v>
      </c>
      <c r="HV247" t="b">
        <f>AND('Black &amp; White load sheet'!C162,"AAAAAH/3j+U=")</f>
        <v>0</v>
      </c>
      <c r="HW247" t="b">
        <f>AND('Black &amp; White load sheet'!D162,"AAAAAH/3j+Y=")</f>
        <v>0</v>
      </c>
      <c r="HX247" t="b">
        <f>AND('Black &amp; White load sheet'!E162,"AAAAAH/3j+c=")</f>
        <v>1</v>
      </c>
      <c r="HY247" t="b">
        <f>AND('Black &amp; White load sheet'!F162,"AAAAAH/3j+g=")</f>
        <v>1</v>
      </c>
      <c r="HZ247" t="b">
        <f>AND('Black &amp; White load sheet'!G162,"AAAAAH/3j+k=")</f>
        <v>0</v>
      </c>
      <c r="IA247" t="b">
        <f>AND('Black &amp; White load sheet'!H162,"AAAAAH/3j+o=")</f>
        <v>0</v>
      </c>
      <c r="IB247" t="b">
        <f>AND('Black &amp; White load sheet'!I162,"AAAAAH/3j+s=")</f>
        <v>1</v>
      </c>
      <c r="IC247" t="b">
        <f>AND('Black &amp; White load sheet'!J162,"AAAAAH/3j+w=")</f>
        <v>0</v>
      </c>
      <c r="ID247" t="e">
        <f>AND('Black &amp; White load sheet'!K162,"AAAAAH/3j+0=")</f>
        <v>#VALUE!</v>
      </c>
      <c r="IE247" t="b">
        <f>AND('Black &amp; White load sheet'!L162,"AAAAAH/3j+4=")</f>
        <v>1</v>
      </c>
      <c r="IF247" t="b">
        <f>AND('Black &amp; White load sheet'!M162,"AAAAAH/3j+8=")</f>
        <v>1</v>
      </c>
      <c r="IG247">
        <f>IF('Black &amp; White load sheet'!163:163,"AAAAAH/3j/A=",0)</f>
        <v>0</v>
      </c>
      <c r="IH247" t="b">
        <f>AND('Black &amp; White load sheet'!A163,"AAAAAH/3j/E=")</f>
        <v>1</v>
      </c>
      <c r="II247" t="b">
        <f>AND('Black &amp; White load sheet'!B163,"AAAAAH/3j/I=")</f>
        <v>1</v>
      </c>
      <c r="IJ247" t="b">
        <f>AND('Black &amp; White load sheet'!C163,"AAAAAH/3j/M=")</f>
        <v>0</v>
      </c>
      <c r="IK247" t="b">
        <f>AND('Black &amp; White load sheet'!D163,"AAAAAH/3j/Q=")</f>
        <v>0</v>
      </c>
      <c r="IL247" t="b">
        <f>AND('Black &amp; White load sheet'!E163,"AAAAAH/3j/U=")</f>
        <v>1</v>
      </c>
      <c r="IM247" t="b">
        <f>AND('Black &amp; White load sheet'!F163,"AAAAAH/3j/Y=")</f>
        <v>1</v>
      </c>
      <c r="IN247" t="b">
        <f>AND('Black &amp; White load sheet'!G163,"AAAAAH/3j/c=")</f>
        <v>0</v>
      </c>
      <c r="IO247" t="b">
        <f>AND('Black &amp; White load sheet'!H163,"AAAAAH/3j/g=")</f>
        <v>0</v>
      </c>
      <c r="IP247" t="b">
        <f>AND('Black &amp; White load sheet'!I163,"AAAAAH/3j/k=")</f>
        <v>1</v>
      </c>
      <c r="IQ247" t="b">
        <f>AND('Black &amp; White load sheet'!J163,"AAAAAH/3j/o=")</f>
        <v>1</v>
      </c>
      <c r="IR247" t="e">
        <f>AND('Black &amp; White load sheet'!K163,"AAAAAH/3j/s=")</f>
        <v>#VALUE!</v>
      </c>
      <c r="IS247" t="b">
        <f>AND('Black &amp; White load sheet'!L163,"AAAAAH/3j/w=")</f>
        <v>1</v>
      </c>
      <c r="IT247" t="b">
        <f>AND('Black &amp; White load sheet'!M163,"AAAAAH/3j/0=")</f>
        <v>1</v>
      </c>
      <c r="IU247">
        <f>IF('Black &amp; White load sheet'!164:164,"AAAAAH/3j/4=",0)</f>
        <v>0</v>
      </c>
      <c r="IV247" t="b">
        <f>AND('Black &amp; White load sheet'!A164,"AAAAAH/3j/8=")</f>
        <v>1</v>
      </c>
    </row>
    <row r="248" spans="1:256" x14ac:dyDescent="0.25">
      <c r="A248" t="b">
        <f>AND('Black &amp; White load sheet'!B164,"AAAAAH867wA=")</f>
        <v>1</v>
      </c>
      <c r="B248" t="b">
        <f>AND('Black &amp; White load sheet'!C164,"AAAAAH867wE=")</f>
        <v>0</v>
      </c>
      <c r="C248" t="b">
        <f>AND('Black &amp; White load sheet'!D164,"AAAAAH867wI=")</f>
        <v>0</v>
      </c>
      <c r="D248" t="b">
        <f>AND('Black &amp; White load sheet'!E164,"AAAAAH867wM=")</f>
        <v>1</v>
      </c>
      <c r="E248" t="b">
        <f>AND('Black &amp; White load sheet'!F164,"AAAAAH867wQ=")</f>
        <v>0</v>
      </c>
      <c r="F248" t="b">
        <f>AND('Black &amp; White load sheet'!G164,"AAAAAH867wU=")</f>
        <v>0</v>
      </c>
      <c r="G248" t="b">
        <f>AND('Black &amp; White load sheet'!H164,"AAAAAH867wY=")</f>
        <v>0</v>
      </c>
      <c r="H248" t="b">
        <f>AND('Black &amp; White load sheet'!I164,"AAAAAH867wc=")</f>
        <v>0</v>
      </c>
      <c r="I248" t="b">
        <f>AND('Black &amp; White load sheet'!J164,"AAAAAH867wg=")</f>
        <v>0</v>
      </c>
      <c r="J248" t="e">
        <f>AND('Black &amp; White load sheet'!K164,"AAAAAH867wk=")</f>
        <v>#VALUE!</v>
      </c>
      <c r="K248" t="b">
        <f>AND('Black &amp; White load sheet'!L164,"AAAAAH867wo=")</f>
        <v>1</v>
      </c>
      <c r="L248" t="b">
        <f>AND('Black &amp; White load sheet'!M164,"AAAAAH867ws=")</f>
        <v>1</v>
      </c>
      <c r="M248" t="str">
        <f>IF('Black &amp; White load sheet'!165:165,"AAAAAH867ww=",0)</f>
        <v>AAAAAH867ww=</v>
      </c>
      <c r="N248" t="b">
        <f>AND('Black &amp; White load sheet'!A165,"AAAAAH867w0=")</f>
        <v>1</v>
      </c>
      <c r="O248" t="b">
        <f>AND('Black &amp; White load sheet'!B165,"AAAAAH867w4=")</f>
        <v>1</v>
      </c>
      <c r="P248" t="b">
        <f>AND('Black &amp; White load sheet'!C165,"AAAAAH867w8=")</f>
        <v>0</v>
      </c>
      <c r="Q248" t="b">
        <f>AND('Black &amp; White load sheet'!D165,"AAAAAH867xA=")</f>
        <v>0</v>
      </c>
      <c r="R248" t="b">
        <f>AND('Black &amp; White load sheet'!E165,"AAAAAH867xE=")</f>
        <v>1</v>
      </c>
      <c r="S248" t="b">
        <f>AND('Black &amp; White load sheet'!F165,"AAAAAH867xI=")</f>
        <v>0</v>
      </c>
      <c r="T248" t="b">
        <f>AND('Black &amp; White load sheet'!G165,"AAAAAH867xM=")</f>
        <v>0</v>
      </c>
      <c r="U248" t="b">
        <f>AND('Black &amp; White load sheet'!H165,"AAAAAH867xQ=")</f>
        <v>0</v>
      </c>
      <c r="V248" t="b">
        <f>AND('Black &amp; White load sheet'!I165,"AAAAAH867xU=")</f>
        <v>0</v>
      </c>
      <c r="W248" t="b">
        <f>AND('Black &amp; White load sheet'!J165,"AAAAAH867xY=")</f>
        <v>1</v>
      </c>
      <c r="X248" t="e">
        <f>AND('Black &amp; White load sheet'!K165,"AAAAAH867xc=")</f>
        <v>#VALUE!</v>
      </c>
      <c r="Y248" t="b">
        <f>AND('Black &amp; White load sheet'!L165,"AAAAAH867xg=")</f>
        <v>1</v>
      </c>
      <c r="Z248" t="b">
        <f>AND('Black &amp; White load sheet'!M165,"AAAAAH867xk=")</f>
        <v>1</v>
      </c>
      <c r="AA248">
        <f>IF('Black &amp; White load sheet'!166:166,"AAAAAH867xo=",0)</f>
        <v>0</v>
      </c>
      <c r="AB248" t="b">
        <f>AND('Black &amp; White load sheet'!A166,"AAAAAH867xs=")</f>
        <v>1</v>
      </c>
      <c r="AC248" t="b">
        <f>AND('Black &amp; White load sheet'!B166,"AAAAAH867xw=")</f>
        <v>1</v>
      </c>
      <c r="AD248" t="b">
        <f>AND('Black &amp; White load sheet'!C166,"AAAAAH867x0=")</f>
        <v>0</v>
      </c>
      <c r="AE248" t="b">
        <f>AND('Black &amp; White load sheet'!D166,"AAAAAH867x4=")</f>
        <v>0</v>
      </c>
      <c r="AF248" t="b">
        <f>AND('Black &amp; White load sheet'!E166,"AAAAAH867x8=")</f>
        <v>1</v>
      </c>
      <c r="AG248" t="b">
        <f>AND('Black &amp; White load sheet'!F166,"AAAAAH867yA=")</f>
        <v>0</v>
      </c>
      <c r="AH248" t="b">
        <f>AND('Black &amp; White load sheet'!G166,"AAAAAH867yE=")</f>
        <v>0</v>
      </c>
      <c r="AI248" t="b">
        <f>AND('Black &amp; White load sheet'!H166,"AAAAAH867yI=")</f>
        <v>0</v>
      </c>
      <c r="AJ248" t="b">
        <f>AND('Black &amp; White load sheet'!I166,"AAAAAH867yM=")</f>
        <v>1</v>
      </c>
      <c r="AK248" t="b">
        <f>AND('Black &amp; White load sheet'!J166,"AAAAAH867yQ=")</f>
        <v>0</v>
      </c>
      <c r="AL248" t="e">
        <f>AND('Black &amp; White load sheet'!K166,"AAAAAH867yU=")</f>
        <v>#VALUE!</v>
      </c>
      <c r="AM248" t="b">
        <f>AND('Black &amp; White load sheet'!L166,"AAAAAH867yY=")</f>
        <v>1</v>
      </c>
      <c r="AN248" t="b">
        <f>AND('Black &amp; White load sheet'!M166,"AAAAAH867yc=")</f>
        <v>1</v>
      </c>
      <c r="AO248">
        <f>IF('Black &amp; White load sheet'!167:167,"AAAAAH867yg=",0)</f>
        <v>0</v>
      </c>
      <c r="AP248" t="b">
        <f>AND('Black &amp; White load sheet'!A167,"AAAAAH867yk=")</f>
        <v>1</v>
      </c>
      <c r="AQ248" t="b">
        <f>AND('Black &amp; White load sheet'!B167,"AAAAAH867yo=")</f>
        <v>1</v>
      </c>
      <c r="AR248" t="b">
        <f>AND('Black &amp; White load sheet'!C167,"AAAAAH867ys=")</f>
        <v>0</v>
      </c>
      <c r="AS248" t="b">
        <f>AND('Black &amp; White load sheet'!D167,"AAAAAH867yw=")</f>
        <v>0</v>
      </c>
      <c r="AT248" t="b">
        <f>AND('Black &amp; White load sheet'!E167,"AAAAAH867y0=")</f>
        <v>1</v>
      </c>
      <c r="AU248" t="b">
        <f>AND('Black &amp; White load sheet'!F167,"AAAAAH867y4=")</f>
        <v>0</v>
      </c>
      <c r="AV248" t="b">
        <f>AND('Black &amp; White load sheet'!G167,"AAAAAH867y8=")</f>
        <v>0</v>
      </c>
      <c r="AW248" t="b">
        <f>AND('Black &amp; White load sheet'!H167,"AAAAAH867zA=")</f>
        <v>0</v>
      </c>
      <c r="AX248" t="b">
        <f>AND('Black &amp; White load sheet'!I167,"AAAAAH867zE=")</f>
        <v>1</v>
      </c>
      <c r="AY248" t="b">
        <f>AND('Black &amp; White load sheet'!J167,"AAAAAH867zI=")</f>
        <v>1</v>
      </c>
      <c r="AZ248" t="e">
        <f>AND('Black &amp; White load sheet'!K167,"AAAAAH867zM=")</f>
        <v>#VALUE!</v>
      </c>
      <c r="BA248" t="b">
        <f>AND('Black &amp; White load sheet'!L167,"AAAAAH867zQ=")</f>
        <v>1</v>
      </c>
      <c r="BB248" t="b">
        <f>AND('Black &amp; White load sheet'!M167,"AAAAAH867zU=")</f>
        <v>1</v>
      </c>
      <c r="BC248">
        <f>IF('Black &amp; White load sheet'!168:168,"AAAAAH867zY=",0)</f>
        <v>0</v>
      </c>
      <c r="BD248" t="b">
        <f>AND('Black &amp; White load sheet'!A168,"AAAAAH867zc=")</f>
        <v>1</v>
      </c>
      <c r="BE248" t="b">
        <f>AND('Black &amp; White load sheet'!B168,"AAAAAH867zg=")</f>
        <v>1</v>
      </c>
      <c r="BF248" t="b">
        <f>AND('Black &amp; White load sheet'!C168,"AAAAAH867zk=")</f>
        <v>0</v>
      </c>
      <c r="BG248" t="b">
        <f>AND('Black &amp; White load sheet'!D168,"AAAAAH867zo=")</f>
        <v>0</v>
      </c>
      <c r="BH248" t="b">
        <f>AND('Black &amp; White load sheet'!E168,"AAAAAH867zs=")</f>
        <v>1</v>
      </c>
      <c r="BI248" t="b">
        <f>AND('Black &amp; White load sheet'!F168,"AAAAAH867zw=")</f>
        <v>0</v>
      </c>
      <c r="BJ248" t="b">
        <f>AND('Black &amp; White load sheet'!G168,"AAAAAH867z0=")</f>
        <v>0</v>
      </c>
      <c r="BK248" t="b">
        <f>AND('Black &amp; White load sheet'!H168,"AAAAAH867z4=")</f>
        <v>1</v>
      </c>
      <c r="BL248" t="b">
        <f>AND('Black &amp; White load sheet'!I168,"AAAAAH867z8=")</f>
        <v>0</v>
      </c>
      <c r="BM248" t="b">
        <f>AND('Black &amp; White load sheet'!J168,"AAAAAH8670A=")</f>
        <v>0</v>
      </c>
      <c r="BN248" t="e">
        <f>AND('Black &amp; White load sheet'!K168,"AAAAAH8670E=")</f>
        <v>#VALUE!</v>
      </c>
      <c r="BO248" t="b">
        <f>AND('Black &amp; White load sheet'!L168,"AAAAAH8670I=")</f>
        <v>1</v>
      </c>
      <c r="BP248" t="b">
        <f>AND('Black &amp; White load sheet'!M168,"AAAAAH8670M=")</f>
        <v>1</v>
      </c>
      <c r="BQ248">
        <f>IF('Black &amp; White load sheet'!169:169,"AAAAAH8670Q=",0)</f>
        <v>0</v>
      </c>
      <c r="BR248" t="b">
        <f>AND('Black &amp; White load sheet'!A169,"AAAAAH8670U=")</f>
        <v>1</v>
      </c>
      <c r="BS248" t="b">
        <f>AND('Black &amp; White load sheet'!B169,"AAAAAH8670Y=")</f>
        <v>1</v>
      </c>
      <c r="BT248" t="b">
        <f>AND('Black &amp; White load sheet'!C169,"AAAAAH8670c=")</f>
        <v>0</v>
      </c>
      <c r="BU248" t="b">
        <f>AND('Black &amp; White load sheet'!D169,"AAAAAH8670g=")</f>
        <v>0</v>
      </c>
      <c r="BV248" t="b">
        <f>AND('Black &amp; White load sheet'!E169,"AAAAAH8670k=")</f>
        <v>1</v>
      </c>
      <c r="BW248" t="b">
        <f>AND('Black &amp; White load sheet'!F169,"AAAAAH8670o=")</f>
        <v>0</v>
      </c>
      <c r="BX248" t="b">
        <f>AND('Black &amp; White load sheet'!G169,"AAAAAH8670s=")</f>
        <v>0</v>
      </c>
      <c r="BY248" t="b">
        <f>AND('Black &amp; White load sheet'!H169,"AAAAAH8670w=")</f>
        <v>1</v>
      </c>
      <c r="BZ248" t="b">
        <f>AND('Black &amp; White load sheet'!I169,"AAAAAH86700=")</f>
        <v>0</v>
      </c>
      <c r="CA248" t="b">
        <f>AND('Black &amp; White load sheet'!J169,"AAAAAH86704=")</f>
        <v>1</v>
      </c>
      <c r="CB248" t="e">
        <f>AND('Black &amp; White load sheet'!K169,"AAAAAH86708=")</f>
        <v>#VALUE!</v>
      </c>
      <c r="CC248" t="b">
        <f>AND('Black &amp; White load sheet'!L169,"AAAAAH8671A=")</f>
        <v>1</v>
      </c>
      <c r="CD248" t="b">
        <f>AND('Black &amp; White load sheet'!M169,"AAAAAH8671E=")</f>
        <v>1</v>
      </c>
      <c r="CE248">
        <f>IF('Black &amp; White load sheet'!170:170,"AAAAAH8671I=",0)</f>
        <v>0</v>
      </c>
      <c r="CF248" t="b">
        <f>AND('Black &amp; White load sheet'!A170,"AAAAAH8671M=")</f>
        <v>1</v>
      </c>
      <c r="CG248" t="b">
        <f>AND('Black &amp; White load sheet'!B170,"AAAAAH8671Q=")</f>
        <v>1</v>
      </c>
      <c r="CH248" t="b">
        <f>AND('Black &amp; White load sheet'!C170,"AAAAAH8671U=")</f>
        <v>0</v>
      </c>
      <c r="CI248" t="b">
        <f>AND('Black &amp; White load sheet'!D170,"AAAAAH8671Y=")</f>
        <v>0</v>
      </c>
      <c r="CJ248" t="b">
        <f>AND('Black &amp; White load sheet'!E170,"AAAAAH8671c=")</f>
        <v>1</v>
      </c>
      <c r="CK248" t="b">
        <f>AND('Black &amp; White load sheet'!F170,"AAAAAH8671g=")</f>
        <v>0</v>
      </c>
      <c r="CL248" t="b">
        <f>AND('Black &amp; White load sheet'!G170,"AAAAAH8671k=")</f>
        <v>0</v>
      </c>
      <c r="CM248" t="b">
        <f>AND('Black &amp; White load sheet'!H170,"AAAAAH8671o=")</f>
        <v>1</v>
      </c>
      <c r="CN248" t="b">
        <f>AND('Black &amp; White load sheet'!I170,"AAAAAH8671s=")</f>
        <v>1</v>
      </c>
      <c r="CO248" t="b">
        <f>AND('Black &amp; White load sheet'!J170,"AAAAAH8671w=")</f>
        <v>0</v>
      </c>
      <c r="CP248" t="e">
        <f>AND('Black &amp; White load sheet'!K170,"AAAAAH86710=")</f>
        <v>#VALUE!</v>
      </c>
      <c r="CQ248" t="b">
        <f>AND('Black &amp; White load sheet'!L170,"AAAAAH86714=")</f>
        <v>1</v>
      </c>
      <c r="CR248" t="b">
        <f>AND('Black &amp; White load sheet'!M170,"AAAAAH86718=")</f>
        <v>1</v>
      </c>
      <c r="CS248">
        <f>IF('Black &amp; White load sheet'!171:171,"AAAAAH8672A=",0)</f>
        <v>0</v>
      </c>
      <c r="CT248" t="b">
        <f>AND('Black &amp; White load sheet'!A171,"AAAAAH8672E=")</f>
        <v>1</v>
      </c>
      <c r="CU248" t="b">
        <f>AND('Black &amp; White load sheet'!B171,"AAAAAH8672I=")</f>
        <v>1</v>
      </c>
      <c r="CV248" t="b">
        <f>AND('Black &amp; White load sheet'!C171,"AAAAAH8672M=")</f>
        <v>0</v>
      </c>
      <c r="CW248" t="b">
        <f>AND('Black &amp; White load sheet'!D171,"AAAAAH8672Q=")</f>
        <v>0</v>
      </c>
      <c r="CX248" t="b">
        <f>AND('Black &amp; White load sheet'!E171,"AAAAAH8672U=")</f>
        <v>1</v>
      </c>
      <c r="CY248" t="b">
        <f>AND('Black &amp; White load sheet'!F171,"AAAAAH8672Y=")</f>
        <v>0</v>
      </c>
      <c r="CZ248" t="b">
        <f>AND('Black &amp; White load sheet'!G171,"AAAAAH8672c=")</f>
        <v>0</v>
      </c>
      <c r="DA248" t="b">
        <f>AND('Black &amp; White load sheet'!H171,"AAAAAH8672g=")</f>
        <v>1</v>
      </c>
      <c r="DB248" t="b">
        <f>AND('Black &amp; White load sheet'!I171,"AAAAAH8672k=")</f>
        <v>1</v>
      </c>
      <c r="DC248" t="b">
        <f>AND('Black &amp; White load sheet'!J171,"AAAAAH8672o=")</f>
        <v>1</v>
      </c>
      <c r="DD248" t="e">
        <f>AND('Black &amp; White load sheet'!K171,"AAAAAH8672s=")</f>
        <v>#VALUE!</v>
      </c>
      <c r="DE248" t="b">
        <f>AND('Black &amp; White load sheet'!L171,"AAAAAH8672w=")</f>
        <v>1</v>
      </c>
      <c r="DF248" t="b">
        <f>AND('Black &amp; White load sheet'!M171,"AAAAAH86720=")</f>
        <v>1</v>
      </c>
      <c r="DG248">
        <f>IF('Black &amp; White load sheet'!172:172,"AAAAAH86724=",0)</f>
        <v>0</v>
      </c>
      <c r="DH248" t="b">
        <f>AND('Black &amp; White load sheet'!A172,"AAAAAH86728=")</f>
        <v>1</v>
      </c>
      <c r="DI248" t="b">
        <f>AND('Black &amp; White load sheet'!B172,"AAAAAH8673A=")</f>
        <v>1</v>
      </c>
      <c r="DJ248" t="b">
        <f>AND('Black &amp; White load sheet'!C172,"AAAAAH8673E=")</f>
        <v>0</v>
      </c>
      <c r="DK248" t="b">
        <f>AND('Black &amp; White load sheet'!D172,"AAAAAH8673I=")</f>
        <v>0</v>
      </c>
      <c r="DL248" t="b">
        <f>AND('Black &amp; White load sheet'!E172,"AAAAAH8673M=")</f>
        <v>1</v>
      </c>
      <c r="DM248" t="b">
        <f>AND('Black &amp; White load sheet'!F172,"AAAAAH8673Q=")</f>
        <v>0</v>
      </c>
      <c r="DN248" t="b">
        <f>AND('Black &amp; White load sheet'!G172,"AAAAAH8673U=")</f>
        <v>1</v>
      </c>
      <c r="DO248" t="b">
        <f>AND('Black &amp; White load sheet'!H172,"AAAAAH8673Y=")</f>
        <v>0</v>
      </c>
      <c r="DP248" t="b">
        <f>AND('Black &amp; White load sheet'!I172,"AAAAAH8673c=")</f>
        <v>0</v>
      </c>
      <c r="DQ248" t="b">
        <f>AND('Black &amp; White load sheet'!J172,"AAAAAH8673g=")</f>
        <v>0</v>
      </c>
      <c r="DR248" t="e">
        <f>AND('Black &amp; White load sheet'!K172,"AAAAAH8673k=")</f>
        <v>#VALUE!</v>
      </c>
      <c r="DS248" t="b">
        <f>AND('Black &amp; White load sheet'!L172,"AAAAAH8673o=")</f>
        <v>1</v>
      </c>
      <c r="DT248" t="b">
        <f>AND('Black &amp; White load sheet'!M172,"AAAAAH8673s=")</f>
        <v>1</v>
      </c>
      <c r="DU248">
        <f>IF('Black &amp; White load sheet'!173:173,"AAAAAH8673w=",0)</f>
        <v>0</v>
      </c>
      <c r="DV248" t="b">
        <f>AND('Black &amp; White load sheet'!A173,"AAAAAH86730=")</f>
        <v>1</v>
      </c>
      <c r="DW248" t="b">
        <f>AND('Black &amp; White load sheet'!B173,"AAAAAH86734=")</f>
        <v>1</v>
      </c>
      <c r="DX248" t="b">
        <f>AND('Black &amp; White load sheet'!C173,"AAAAAH86738=")</f>
        <v>0</v>
      </c>
      <c r="DY248" t="b">
        <f>AND('Black &amp; White load sheet'!D173,"AAAAAH8674A=")</f>
        <v>0</v>
      </c>
      <c r="DZ248" t="b">
        <f>AND('Black &amp; White load sheet'!E173,"AAAAAH8674E=")</f>
        <v>1</v>
      </c>
      <c r="EA248" t="b">
        <f>AND('Black &amp; White load sheet'!F173,"AAAAAH8674I=")</f>
        <v>0</v>
      </c>
      <c r="EB248" t="b">
        <f>AND('Black &amp; White load sheet'!G173,"AAAAAH8674M=")</f>
        <v>1</v>
      </c>
      <c r="EC248" t="b">
        <f>AND('Black &amp; White load sheet'!H173,"AAAAAH8674Q=")</f>
        <v>0</v>
      </c>
      <c r="ED248" t="b">
        <f>AND('Black &amp; White load sheet'!I173,"AAAAAH8674U=")</f>
        <v>0</v>
      </c>
      <c r="EE248" t="b">
        <f>AND('Black &amp; White load sheet'!J173,"AAAAAH8674Y=")</f>
        <v>1</v>
      </c>
      <c r="EF248" t="e">
        <f>AND('Black &amp; White load sheet'!K173,"AAAAAH8674c=")</f>
        <v>#VALUE!</v>
      </c>
      <c r="EG248" t="b">
        <f>AND('Black &amp; White load sheet'!L173,"AAAAAH8674g=")</f>
        <v>1</v>
      </c>
      <c r="EH248" t="b">
        <f>AND('Black &amp; White load sheet'!M173,"AAAAAH8674k=")</f>
        <v>1</v>
      </c>
      <c r="EI248">
        <f>IF('Black &amp; White load sheet'!174:174,"AAAAAH8674o=",0)</f>
        <v>0</v>
      </c>
      <c r="EJ248" t="b">
        <f>AND('Black &amp; White load sheet'!A174,"AAAAAH8674s=")</f>
        <v>1</v>
      </c>
      <c r="EK248" t="b">
        <f>AND('Black &amp; White load sheet'!B174,"AAAAAH8674w=")</f>
        <v>1</v>
      </c>
      <c r="EL248" t="b">
        <f>AND('Black &amp; White load sheet'!C174,"AAAAAH86740=")</f>
        <v>0</v>
      </c>
      <c r="EM248" t="b">
        <f>AND('Black &amp; White load sheet'!D174,"AAAAAH86744=")</f>
        <v>0</v>
      </c>
      <c r="EN248" t="b">
        <f>AND('Black &amp; White load sheet'!E174,"AAAAAH86748=")</f>
        <v>1</v>
      </c>
      <c r="EO248" t="b">
        <f>AND('Black &amp; White load sheet'!F174,"AAAAAH8675A=")</f>
        <v>0</v>
      </c>
      <c r="EP248" t="b">
        <f>AND('Black &amp; White load sheet'!G174,"AAAAAH8675E=")</f>
        <v>1</v>
      </c>
      <c r="EQ248" t="b">
        <f>AND('Black &amp; White load sheet'!H174,"AAAAAH8675I=")</f>
        <v>0</v>
      </c>
      <c r="ER248" t="b">
        <f>AND('Black &amp; White load sheet'!I174,"AAAAAH8675M=")</f>
        <v>1</v>
      </c>
      <c r="ES248" t="b">
        <f>AND('Black &amp; White load sheet'!J174,"AAAAAH8675Q=")</f>
        <v>0</v>
      </c>
      <c r="ET248" t="e">
        <f>AND('Black &amp; White load sheet'!K174,"AAAAAH8675U=")</f>
        <v>#VALUE!</v>
      </c>
      <c r="EU248" t="b">
        <f>AND('Black &amp; White load sheet'!L174,"AAAAAH8675Y=")</f>
        <v>1</v>
      </c>
      <c r="EV248" t="b">
        <f>AND('Black &amp; White load sheet'!M174,"AAAAAH8675c=")</f>
        <v>1</v>
      </c>
      <c r="EW248">
        <f>IF('Black &amp; White load sheet'!175:175,"AAAAAH8675g=",0)</f>
        <v>0</v>
      </c>
      <c r="EX248" t="b">
        <f>AND('Black &amp; White load sheet'!A175,"AAAAAH8675k=")</f>
        <v>1</v>
      </c>
      <c r="EY248" t="b">
        <f>AND('Black &amp; White load sheet'!B175,"AAAAAH8675o=")</f>
        <v>1</v>
      </c>
      <c r="EZ248" t="b">
        <f>AND('Black &amp; White load sheet'!C175,"AAAAAH8675s=")</f>
        <v>0</v>
      </c>
      <c r="FA248" t="b">
        <f>AND('Black &amp; White load sheet'!D175,"AAAAAH8675w=")</f>
        <v>0</v>
      </c>
      <c r="FB248" t="b">
        <f>AND('Black &amp; White load sheet'!E175,"AAAAAH86750=")</f>
        <v>1</v>
      </c>
      <c r="FC248" t="b">
        <f>AND('Black &amp; White load sheet'!F175,"AAAAAH86754=")</f>
        <v>0</v>
      </c>
      <c r="FD248" t="b">
        <f>AND('Black &amp; White load sheet'!G175,"AAAAAH86758=")</f>
        <v>1</v>
      </c>
      <c r="FE248" t="b">
        <f>AND('Black &amp; White load sheet'!H175,"AAAAAH8676A=")</f>
        <v>0</v>
      </c>
      <c r="FF248" t="b">
        <f>AND('Black &amp; White load sheet'!I175,"AAAAAH8676E=")</f>
        <v>1</v>
      </c>
      <c r="FG248" t="b">
        <f>AND('Black &amp; White load sheet'!J175,"AAAAAH8676I=")</f>
        <v>1</v>
      </c>
      <c r="FH248" t="e">
        <f>AND('Black &amp; White load sheet'!K175,"AAAAAH8676M=")</f>
        <v>#VALUE!</v>
      </c>
      <c r="FI248" t="b">
        <f>AND('Black &amp; White load sheet'!L175,"AAAAAH8676Q=")</f>
        <v>1</v>
      </c>
      <c r="FJ248" t="b">
        <f>AND('Black &amp; White load sheet'!M175,"AAAAAH8676U=")</f>
        <v>1</v>
      </c>
      <c r="FK248">
        <f>IF('Black &amp; White load sheet'!176:176,"AAAAAH8676Y=",0)</f>
        <v>0</v>
      </c>
      <c r="FL248" t="b">
        <f>AND('Black &amp; White load sheet'!A176,"AAAAAH8676c=")</f>
        <v>1</v>
      </c>
      <c r="FM248" t="b">
        <f>AND('Black &amp; White load sheet'!B176,"AAAAAH8676g=")</f>
        <v>1</v>
      </c>
      <c r="FN248" t="b">
        <f>AND('Black &amp; White load sheet'!C176,"AAAAAH8676k=")</f>
        <v>0</v>
      </c>
      <c r="FO248" t="b">
        <f>AND('Black &amp; White load sheet'!D176,"AAAAAH8676o=")</f>
        <v>0</v>
      </c>
      <c r="FP248" t="b">
        <f>AND('Black &amp; White load sheet'!E176,"AAAAAH8676s=")</f>
        <v>1</v>
      </c>
      <c r="FQ248" t="b">
        <f>AND('Black &amp; White load sheet'!F176,"AAAAAH8676w=")</f>
        <v>1</v>
      </c>
      <c r="FR248" t="b">
        <f>AND('Black &amp; White load sheet'!G176,"AAAAAH86760=")</f>
        <v>0</v>
      </c>
      <c r="FS248" t="b">
        <f>AND('Black &amp; White load sheet'!H176,"AAAAAH86764=")</f>
        <v>0</v>
      </c>
      <c r="FT248" t="b">
        <f>AND('Black &amp; White load sheet'!I176,"AAAAAH86768=")</f>
        <v>0</v>
      </c>
      <c r="FU248" t="b">
        <f>AND('Black &amp; White load sheet'!J176,"AAAAAH8677A=")</f>
        <v>0</v>
      </c>
      <c r="FV248" t="e">
        <f>AND('Black &amp; White load sheet'!K176,"AAAAAH8677E=")</f>
        <v>#VALUE!</v>
      </c>
      <c r="FW248" t="b">
        <f>AND('Black &amp; White load sheet'!L176,"AAAAAH8677I=")</f>
        <v>1</v>
      </c>
      <c r="FX248" t="b">
        <f>AND('Black &amp; White load sheet'!M176,"AAAAAH8677M=")</f>
        <v>1</v>
      </c>
      <c r="FY248">
        <f>IF('Black &amp; White load sheet'!177:177,"AAAAAH8677Q=",0)</f>
        <v>0</v>
      </c>
      <c r="FZ248" t="b">
        <f>AND('Black &amp; White load sheet'!A177,"AAAAAH8677U=")</f>
        <v>1</v>
      </c>
      <c r="GA248" t="b">
        <f>AND('Black &amp; White load sheet'!B177,"AAAAAH8677Y=")</f>
        <v>1</v>
      </c>
      <c r="GB248" t="b">
        <f>AND('Black &amp; White load sheet'!C177,"AAAAAH8677c=")</f>
        <v>0</v>
      </c>
      <c r="GC248" t="b">
        <f>AND('Black &amp; White load sheet'!D177,"AAAAAH8677g=")</f>
        <v>0</v>
      </c>
      <c r="GD248" t="b">
        <f>AND('Black &amp; White load sheet'!E177,"AAAAAH8677k=")</f>
        <v>1</v>
      </c>
      <c r="GE248" t="b">
        <f>AND('Black &amp; White load sheet'!F177,"AAAAAH8677o=")</f>
        <v>1</v>
      </c>
      <c r="GF248" t="b">
        <f>AND('Black &amp; White load sheet'!G177,"AAAAAH8677s=")</f>
        <v>0</v>
      </c>
      <c r="GG248" t="b">
        <f>AND('Black &amp; White load sheet'!H177,"AAAAAH8677w=")</f>
        <v>0</v>
      </c>
      <c r="GH248" t="b">
        <f>AND('Black &amp; White load sheet'!I177,"AAAAAH86770=")</f>
        <v>0</v>
      </c>
      <c r="GI248" t="b">
        <f>AND('Black &amp; White load sheet'!J177,"AAAAAH86774=")</f>
        <v>1</v>
      </c>
      <c r="GJ248" t="e">
        <f>AND('Black &amp; White load sheet'!K177,"AAAAAH86778=")</f>
        <v>#VALUE!</v>
      </c>
      <c r="GK248" t="b">
        <f>AND('Black &amp; White load sheet'!L177,"AAAAAH8678A=")</f>
        <v>1</v>
      </c>
      <c r="GL248" t="b">
        <f>AND('Black &amp; White load sheet'!M177,"AAAAAH8678E=")</f>
        <v>1</v>
      </c>
      <c r="GM248">
        <f>IF('Black &amp; White load sheet'!178:178,"AAAAAH8678I=",0)</f>
        <v>0</v>
      </c>
      <c r="GN248" t="b">
        <f>AND('Black &amp; White load sheet'!A178,"AAAAAH8678M=")</f>
        <v>1</v>
      </c>
      <c r="GO248" t="b">
        <f>AND('Black &amp; White load sheet'!B178,"AAAAAH8678Q=")</f>
        <v>1</v>
      </c>
      <c r="GP248" t="b">
        <f>AND('Black &amp; White load sheet'!C178,"AAAAAH8678U=")</f>
        <v>0</v>
      </c>
      <c r="GQ248" t="b">
        <f>AND('Black &amp; White load sheet'!D178,"AAAAAH8678Y=")</f>
        <v>0</v>
      </c>
      <c r="GR248" t="b">
        <f>AND('Black &amp; White load sheet'!E178,"AAAAAH8678c=")</f>
        <v>1</v>
      </c>
      <c r="GS248" t="b">
        <f>AND('Black &amp; White load sheet'!F178,"AAAAAH8678g=")</f>
        <v>1</v>
      </c>
      <c r="GT248" t="b">
        <f>AND('Black &amp; White load sheet'!G178,"AAAAAH8678k=")</f>
        <v>0</v>
      </c>
      <c r="GU248" t="b">
        <f>AND('Black &amp; White load sheet'!H178,"AAAAAH8678o=")</f>
        <v>0</v>
      </c>
      <c r="GV248" t="b">
        <f>AND('Black &amp; White load sheet'!I178,"AAAAAH8678s=")</f>
        <v>1</v>
      </c>
      <c r="GW248" t="b">
        <f>AND('Black &amp; White load sheet'!J178,"AAAAAH8678w=")</f>
        <v>0</v>
      </c>
      <c r="GX248" t="e">
        <f>AND('Black &amp; White load sheet'!K178,"AAAAAH86780=")</f>
        <v>#VALUE!</v>
      </c>
      <c r="GY248" t="b">
        <f>AND('Black &amp; White load sheet'!L178,"AAAAAH86784=")</f>
        <v>1</v>
      </c>
      <c r="GZ248" t="b">
        <f>AND('Black &amp; White load sheet'!M178,"AAAAAH86788=")</f>
        <v>1</v>
      </c>
      <c r="HA248">
        <f>IF('Black &amp; White load sheet'!179:179,"AAAAAH8679A=",0)</f>
        <v>0</v>
      </c>
      <c r="HB248" t="b">
        <f>AND('Black &amp; White load sheet'!A179,"AAAAAH8679E=")</f>
        <v>1</v>
      </c>
      <c r="HC248" t="b">
        <f>AND('Black &amp; White load sheet'!B179,"AAAAAH8679I=")</f>
        <v>1</v>
      </c>
      <c r="HD248" t="b">
        <f>AND('Black &amp; White load sheet'!C179,"AAAAAH8679M=")</f>
        <v>0</v>
      </c>
      <c r="HE248" t="b">
        <f>AND('Black &amp; White load sheet'!D179,"AAAAAH8679Q=")</f>
        <v>0</v>
      </c>
      <c r="HF248" t="b">
        <f>AND('Black &amp; White load sheet'!E179,"AAAAAH8679U=")</f>
        <v>1</v>
      </c>
      <c r="HG248" t="b">
        <f>AND('Black &amp; White load sheet'!F179,"AAAAAH8679Y=")</f>
        <v>1</v>
      </c>
      <c r="HH248" t="b">
        <f>AND('Black &amp; White load sheet'!G179,"AAAAAH8679c=")</f>
        <v>0</v>
      </c>
      <c r="HI248" t="b">
        <f>AND('Black &amp; White load sheet'!H179,"AAAAAH8679g=")</f>
        <v>0</v>
      </c>
      <c r="HJ248" t="b">
        <f>AND('Black &amp; White load sheet'!I179,"AAAAAH8679k=")</f>
        <v>1</v>
      </c>
      <c r="HK248" t="b">
        <f>AND('Black &amp; White load sheet'!J179,"AAAAAH8679o=")</f>
        <v>1</v>
      </c>
      <c r="HL248" t="e">
        <f>AND('Black &amp; White load sheet'!K179,"AAAAAH8679s=")</f>
        <v>#VALUE!</v>
      </c>
      <c r="HM248" t="b">
        <f>AND('Black &amp; White load sheet'!L179,"AAAAAH8679w=")</f>
        <v>1</v>
      </c>
      <c r="HN248" t="b">
        <f>AND('Black &amp; White load sheet'!M179,"AAAAAH86790=")</f>
        <v>1</v>
      </c>
      <c r="HO248">
        <f>IF('Black &amp; White load sheet'!180:180,"AAAAAH86794=",0)</f>
        <v>0</v>
      </c>
      <c r="HP248" t="b">
        <f>AND('Black &amp; White load sheet'!A180,"AAAAAH86798=")</f>
        <v>1</v>
      </c>
      <c r="HQ248" t="b">
        <f>AND('Black &amp; White load sheet'!B180,"AAAAAH867+A=")</f>
        <v>1</v>
      </c>
      <c r="HR248" t="b">
        <f>AND('Black &amp; White load sheet'!C180,"AAAAAH867+E=")</f>
        <v>0</v>
      </c>
      <c r="HS248" t="b">
        <f>AND('Black &amp; White load sheet'!D180,"AAAAAH867+I=")</f>
        <v>0</v>
      </c>
      <c r="HT248" t="b">
        <f>AND('Black &amp; White load sheet'!E180,"AAAAAH867+M=")</f>
        <v>1</v>
      </c>
      <c r="HU248" t="b">
        <f>AND('Black &amp; White load sheet'!F180,"AAAAAH867+Q=")</f>
        <v>0</v>
      </c>
      <c r="HV248" t="b">
        <f>AND('Black &amp; White load sheet'!G180,"AAAAAH867+U=")</f>
        <v>0</v>
      </c>
      <c r="HW248" t="b">
        <f>AND('Black &amp; White load sheet'!H180,"AAAAAH867+Y=")</f>
        <v>0</v>
      </c>
      <c r="HX248" t="b">
        <f>AND('Black &amp; White load sheet'!I180,"AAAAAH867+c=")</f>
        <v>0</v>
      </c>
      <c r="HY248" t="b">
        <f>AND('Black &amp; White load sheet'!J180,"AAAAAH867+g=")</f>
        <v>0</v>
      </c>
      <c r="HZ248" t="e">
        <f>AND('Black &amp; White load sheet'!K180,"AAAAAH867+k=")</f>
        <v>#VALUE!</v>
      </c>
      <c r="IA248" t="b">
        <f>AND('Black &amp; White load sheet'!L180,"AAAAAH867+o=")</f>
        <v>1</v>
      </c>
      <c r="IB248" t="b">
        <f>AND('Black &amp; White load sheet'!M180,"AAAAAH867+s=")</f>
        <v>1</v>
      </c>
      <c r="IC248">
        <f>IF('Black &amp; White load sheet'!181:181,"AAAAAH867+w=",0)</f>
        <v>0</v>
      </c>
      <c r="ID248" t="b">
        <f>AND('Black &amp; White load sheet'!A181,"AAAAAH867+0=")</f>
        <v>1</v>
      </c>
      <c r="IE248" t="b">
        <f>AND('Black &amp; White load sheet'!B181,"AAAAAH867+4=")</f>
        <v>1</v>
      </c>
      <c r="IF248" t="b">
        <f>AND('Black &amp; White load sheet'!C181,"AAAAAH867+8=")</f>
        <v>0</v>
      </c>
      <c r="IG248" t="b">
        <f>AND('Black &amp; White load sheet'!D181,"AAAAAH867/A=")</f>
        <v>0</v>
      </c>
      <c r="IH248" t="b">
        <f>AND('Black &amp; White load sheet'!E181,"AAAAAH867/E=")</f>
        <v>1</v>
      </c>
      <c r="II248" t="b">
        <f>AND('Black &amp; White load sheet'!F181,"AAAAAH867/I=")</f>
        <v>0</v>
      </c>
      <c r="IJ248" t="b">
        <f>AND('Black &amp; White load sheet'!G181,"AAAAAH867/M=")</f>
        <v>0</v>
      </c>
      <c r="IK248" t="b">
        <f>AND('Black &amp; White load sheet'!H181,"AAAAAH867/Q=")</f>
        <v>0</v>
      </c>
      <c r="IL248" t="b">
        <f>AND('Black &amp; White load sheet'!I181,"AAAAAH867/U=")</f>
        <v>0</v>
      </c>
      <c r="IM248" t="b">
        <f>AND('Black &amp; White load sheet'!J181,"AAAAAH867/Y=")</f>
        <v>1</v>
      </c>
      <c r="IN248" t="e">
        <f>AND('Black &amp; White load sheet'!K181,"AAAAAH867/c=")</f>
        <v>#VALUE!</v>
      </c>
      <c r="IO248" t="b">
        <f>AND('Black &amp; White load sheet'!L181,"AAAAAH867/g=")</f>
        <v>1</v>
      </c>
      <c r="IP248" t="b">
        <f>AND('Black &amp; White load sheet'!M181,"AAAAAH867/k=")</f>
        <v>1</v>
      </c>
      <c r="IQ248">
        <f>IF('Black &amp; White load sheet'!182:182,"AAAAAH867/o=",0)</f>
        <v>0</v>
      </c>
      <c r="IR248" t="b">
        <f>AND('Black &amp; White load sheet'!A182,"AAAAAH867/s=")</f>
        <v>1</v>
      </c>
      <c r="IS248" t="b">
        <f>AND('Black &amp; White load sheet'!B182,"AAAAAH867/w=")</f>
        <v>1</v>
      </c>
      <c r="IT248" t="b">
        <f>AND('Black &amp; White load sheet'!C182,"AAAAAH867/0=")</f>
        <v>0</v>
      </c>
      <c r="IU248" t="b">
        <f>AND('Black &amp; White load sheet'!D182,"AAAAAH867/4=")</f>
        <v>0</v>
      </c>
      <c r="IV248" t="b">
        <f>AND('Black &amp; White load sheet'!E182,"AAAAAH867/8=")</f>
        <v>1</v>
      </c>
    </row>
    <row r="249" spans="1:256" x14ac:dyDescent="0.25">
      <c r="A249" t="b">
        <f>AND('Black &amp; White load sheet'!F182,"AAAAAHW31wA=")</f>
        <v>0</v>
      </c>
      <c r="B249" t="b">
        <f>AND('Black &amp; White load sheet'!G182,"AAAAAHW31wE=")</f>
        <v>0</v>
      </c>
      <c r="C249" t="b">
        <f>AND('Black &amp; White load sheet'!H182,"AAAAAHW31wI=")</f>
        <v>0</v>
      </c>
      <c r="D249" t="b">
        <f>AND('Black &amp; White load sheet'!I182,"AAAAAHW31wM=")</f>
        <v>1</v>
      </c>
      <c r="E249" t="b">
        <f>AND('Black &amp; White load sheet'!J182,"AAAAAHW31wQ=")</f>
        <v>0</v>
      </c>
      <c r="F249" t="e">
        <f>AND('Black &amp; White load sheet'!K182,"AAAAAHW31wU=")</f>
        <v>#VALUE!</v>
      </c>
      <c r="G249" t="b">
        <f>AND('Black &amp; White load sheet'!L182,"AAAAAHW31wY=")</f>
        <v>1</v>
      </c>
      <c r="H249" t="b">
        <f>AND('Black &amp; White load sheet'!M182,"AAAAAHW31wc=")</f>
        <v>1</v>
      </c>
      <c r="I249" t="str">
        <f>IF('Black &amp; White load sheet'!183:183,"AAAAAHW31wg=",0)</f>
        <v>AAAAAHW31wg=</v>
      </c>
      <c r="J249" t="b">
        <f>AND('Black &amp; White load sheet'!A183,"AAAAAHW31wk=")</f>
        <v>1</v>
      </c>
      <c r="K249" t="b">
        <f>AND('Black &amp; White load sheet'!B183,"AAAAAHW31wo=")</f>
        <v>1</v>
      </c>
      <c r="L249" t="b">
        <f>AND('Black &amp; White load sheet'!C183,"AAAAAHW31ws=")</f>
        <v>0</v>
      </c>
      <c r="M249" t="b">
        <f>AND('Black &amp; White load sheet'!D183,"AAAAAHW31ww=")</f>
        <v>0</v>
      </c>
      <c r="N249" t="b">
        <f>AND('Black &amp; White load sheet'!E183,"AAAAAHW31w0=")</f>
        <v>1</v>
      </c>
      <c r="O249" t="b">
        <f>AND('Black &amp; White load sheet'!F183,"AAAAAHW31w4=")</f>
        <v>0</v>
      </c>
      <c r="P249" t="b">
        <f>AND('Black &amp; White load sheet'!G183,"AAAAAHW31w8=")</f>
        <v>0</v>
      </c>
      <c r="Q249" t="b">
        <f>AND('Black &amp; White load sheet'!H183,"AAAAAHW31xA=")</f>
        <v>0</v>
      </c>
      <c r="R249" t="b">
        <f>AND('Black &amp; White load sheet'!I183,"AAAAAHW31xE=")</f>
        <v>1</v>
      </c>
      <c r="S249" t="b">
        <f>AND('Black &amp; White load sheet'!J183,"AAAAAHW31xI=")</f>
        <v>1</v>
      </c>
      <c r="T249" t="e">
        <f>AND('Black &amp; White load sheet'!K183,"AAAAAHW31xM=")</f>
        <v>#VALUE!</v>
      </c>
      <c r="U249" t="b">
        <f>AND('Black &amp; White load sheet'!L183,"AAAAAHW31xQ=")</f>
        <v>1</v>
      </c>
      <c r="V249" t="b">
        <f>AND('Black &amp; White load sheet'!M183,"AAAAAHW31xU=")</f>
        <v>1</v>
      </c>
      <c r="W249">
        <f>IF('Black &amp; White load sheet'!184:184,"AAAAAHW31xY=",0)</f>
        <v>0</v>
      </c>
      <c r="X249" t="b">
        <f>AND('Black &amp; White load sheet'!A184,"AAAAAHW31xc=")</f>
        <v>1</v>
      </c>
      <c r="Y249" t="b">
        <f>AND('Black &amp; White load sheet'!B184,"AAAAAHW31xg=")</f>
        <v>1</v>
      </c>
      <c r="Z249" t="b">
        <f>AND('Black &amp; White load sheet'!C184,"AAAAAHW31xk=")</f>
        <v>0</v>
      </c>
      <c r="AA249" t="b">
        <f>AND('Black &amp; White load sheet'!D184,"AAAAAHW31xo=")</f>
        <v>0</v>
      </c>
      <c r="AB249" t="b">
        <f>AND('Black &amp; White load sheet'!E184,"AAAAAHW31xs=")</f>
        <v>1</v>
      </c>
      <c r="AC249" t="b">
        <f>AND('Black &amp; White load sheet'!F184,"AAAAAHW31xw=")</f>
        <v>0</v>
      </c>
      <c r="AD249" t="b">
        <f>AND('Black &amp; White load sheet'!G184,"AAAAAHW31x0=")</f>
        <v>0</v>
      </c>
      <c r="AE249" t="b">
        <f>AND('Black &amp; White load sheet'!H184,"AAAAAHW31x4=")</f>
        <v>1</v>
      </c>
      <c r="AF249" t="b">
        <f>AND('Black &amp; White load sheet'!I184,"AAAAAHW31x8=")</f>
        <v>0</v>
      </c>
      <c r="AG249" t="b">
        <f>AND('Black &amp; White load sheet'!J184,"AAAAAHW31yA=")</f>
        <v>0</v>
      </c>
      <c r="AH249" t="e">
        <f>AND('Black &amp; White load sheet'!K184,"AAAAAHW31yE=")</f>
        <v>#VALUE!</v>
      </c>
      <c r="AI249" t="b">
        <f>AND('Black &amp; White load sheet'!L184,"AAAAAHW31yI=")</f>
        <v>1</v>
      </c>
      <c r="AJ249" t="b">
        <f>AND('Black &amp; White load sheet'!M184,"AAAAAHW31yM=")</f>
        <v>1</v>
      </c>
      <c r="AK249">
        <f>IF('Black &amp; White load sheet'!185:185,"AAAAAHW31yQ=",0)</f>
        <v>0</v>
      </c>
      <c r="AL249" t="b">
        <f>AND('Black &amp; White load sheet'!A185,"AAAAAHW31yU=")</f>
        <v>1</v>
      </c>
      <c r="AM249" t="b">
        <f>AND('Black &amp; White load sheet'!B185,"AAAAAHW31yY=")</f>
        <v>1</v>
      </c>
      <c r="AN249" t="b">
        <f>AND('Black &amp; White load sheet'!C185,"AAAAAHW31yc=")</f>
        <v>0</v>
      </c>
      <c r="AO249" t="b">
        <f>AND('Black &amp; White load sheet'!D185,"AAAAAHW31yg=")</f>
        <v>0</v>
      </c>
      <c r="AP249" t="b">
        <f>AND('Black &amp; White load sheet'!E185,"AAAAAHW31yk=")</f>
        <v>1</v>
      </c>
      <c r="AQ249" t="b">
        <f>AND('Black &amp; White load sheet'!F185,"AAAAAHW31yo=")</f>
        <v>0</v>
      </c>
      <c r="AR249" t="b">
        <f>AND('Black &amp; White load sheet'!G185,"AAAAAHW31ys=")</f>
        <v>0</v>
      </c>
      <c r="AS249" t="b">
        <f>AND('Black &amp; White load sheet'!H185,"AAAAAHW31yw=")</f>
        <v>1</v>
      </c>
      <c r="AT249" t="b">
        <f>AND('Black &amp; White load sheet'!I185,"AAAAAHW31y0=")</f>
        <v>0</v>
      </c>
      <c r="AU249" t="b">
        <f>AND('Black &amp; White load sheet'!J185,"AAAAAHW31y4=")</f>
        <v>1</v>
      </c>
      <c r="AV249" t="e">
        <f>AND('Black &amp; White load sheet'!K185,"AAAAAHW31y8=")</f>
        <v>#VALUE!</v>
      </c>
      <c r="AW249" t="b">
        <f>AND('Black &amp; White load sheet'!L185,"AAAAAHW31zA=")</f>
        <v>1</v>
      </c>
      <c r="AX249" t="b">
        <f>AND('Black &amp; White load sheet'!M185,"AAAAAHW31zE=")</f>
        <v>1</v>
      </c>
      <c r="AY249">
        <f>IF('Black &amp; White load sheet'!186:186,"AAAAAHW31zI=",0)</f>
        <v>0</v>
      </c>
      <c r="AZ249" t="b">
        <f>AND('Black &amp; White load sheet'!A186,"AAAAAHW31zM=")</f>
        <v>1</v>
      </c>
      <c r="BA249" t="b">
        <f>AND('Black &amp; White load sheet'!B186,"AAAAAHW31zQ=")</f>
        <v>1</v>
      </c>
      <c r="BB249" t="b">
        <f>AND('Black &amp; White load sheet'!C186,"AAAAAHW31zU=")</f>
        <v>0</v>
      </c>
      <c r="BC249" t="b">
        <f>AND('Black &amp; White load sheet'!D186,"AAAAAHW31zY=")</f>
        <v>0</v>
      </c>
      <c r="BD249" t="b">
        <f>AND('Black &amp; White load sheet'!E186,"AAAAAHW31zc=")</f>
        <v>1</v>
      </c>
      <c r="BE249" t="b">
        <f>AND('Black &amp; White load sheet'!F186,"AAAAAHW31zg=")</f>
        <v>0</v>
      </c>
      <c r="BF249" t="b">
        <f>AND('Black &amp; White load sheet'!G186,"AAAAAHW31zk=")</f>
        <v>0</v>
      </c>
      <c r="BG249" t="b">
        <f>AND('Black &amp; White load sheet'!H186,"AAAAAHW31zo=")</f>
        <v>1</v>
      </c>
      <c r="BH249" t="b">
        <f>AND('Black &amp; White load sheet'!I186,"AAAAAHW31zs=")</f>
        <v>1</v>
      </c>
      <c r="BI249" t="b">
        <f>AND('Black &amp; White load sheet'!J186,"AAAAAHW31zw=")</f>
        <v>0</v>
      </c>
      <c r="BJ249" t="e">
        <f>AND('Black &amp; White load sheet'!K186,"AAAAAHW31z0=")</f>
        <v>#VALUE!</v>
      </c>
      <c r="BK249" t="b">
        <f>AND('Black &amp; White load sheet'!L186,"AAAAAHW31z4=")</f>
        <v>1</v>
      </c>
      <c r="BL249" t="b">
        <f>AND('Black &amp; White load sheet'!M186,"AAAAAHW31z8=")</f>
        <v>1</v>
      </c>
      <c r="BM249">
        <f>IF('Black &amp; White load sheet'!187:187,"AAAAAHW310A=",0)</f>
        <v>0</v>
      </c>
      <c r="BN249" t="b">
        <f>AND('Black &amp; White load sheet'!A187,"AAAAAHW310E=")</f>
        <v>1</v>
      </c>
      <c r="BO249" t="b">
        <f>AND('Black &amp; White load sheet'!B187,"AAAAAHW310I=")</f>
        <v>1</v>
      </c>
      <c r="BP249" t="b">
        <f>AND('Black &amp; White load sheet'!C187,"AAAAAHW310M=")</f>
        <v>0</v>
      </c>
      <c r="BQ249" t="b">
        <f>AND('Black &amp; White load sheet'!D187,"AAAAAHW310Q=")</f>
        <v>0</v>
      </c>
      <c r="BR249" t="b">
        <f>AND('Black &amp; White load sheet'!E187,"AAAAAHW310U=")</f>
        <v>1</v>
      </c>
      <c r="BS249" t="b">
        <f>AND('Black &amp; White load sheet'!F187,"AAAAAHW310Y=")</f>
        <v>0</v>
      </c>
      <c r="BT249" t="b">
        <f>AND('Black &amp; White load sheet'!G187,"AAAAAHW310c=")</f>
        <v>0</v>
      </c>
      <c r="BU249" t="b">
        <f>AND('Black &amp; White load sheet'!H187,"AAAAAHW310g=")</f>
        <v>1</v>
      </c>
      <c r="BV249" t="b">
        <f>AND('Black &amp; White load sheet'!I187,"AAAAAHW310k=")</f>
        <v>1</v>
      </c>
      <c r="BW249" t="b">
        <f>AND('Black &amp; White load sheet'!J187,"AAAAAHW310o=")</f>
        <v>1</v>
      </c>
      <c r="BX249" t="e">
        <f>AND('Black &amp; White load sheet'!K187,"AAAAAHW310s=")</f>
        <v>#VALUE!</v>
      </c>
      <c r="BY249" t="b">
        <f>AND('Black &amp; White load sheet'!L187,"AAAAAHW310w=")</f>
        <v>1</v>
      </c>
      <c r="BZ249" t="b">
        <f>AND('Black &amp; White load sheet'!M187,"AAAAAHW3100=")</f>
        <v>1</v>
      </c>
      <c r="CA249">
        <f>IF('Black &amp; White load sheet'!188:188,"AAAAAHW3104=",0)</f>
        <v>0</v>
      </c>
      <c r="CB249" t="b">
        <f>AND('Black &amp; White load sheet'!A188,"AAAAAHW3108=")</f>
        <v>1</v>
      </c>
      <c r="CC249" t="b">
        <f>AND('Black &amp; White load sheet'!B188,"AAAAAHW311A=")</f>
        <v>1</v>
      </c>
      <c r="CD249" t="b">
        <f>AND('Black &amp; White load sheet'!C188,"AAAAAHW311E=")</f>
        <v>0</v>
      </c>
      <c r="CE249" t="b">
        <f>AND('Black &amp; White load sheet'!D188,"AAAAAHW311I=")</f>
        <v>0</v>
      </c>
      <c r="CF249" t="b">
        <f>AND('Black &amp; White load sheet'!E188,"AAAAAHW311M=")</f>
        <v>1</v>
      </c>
      <c r="CG249" t="b">
        <f>AND('Black &amp; White load sheet'!F188,"AAAAAHW311Q=")</f>
        <v>0</v>
      </c>
      <c r="CH249" t="b">
        <f>AND('Black &amp; White load sheet'!G188,"AAAAAHW311U=")</f>
        <v>1</v>
      </c>
      <c r="CI249" t="b">
        <f>AND('Black &amp; White load sheet'!H188,"AAAAAHW311Y=")</f>
        <v>0</v>
      </c>
      <c r="CJ249" t="b">
        <f>AND('Black &amp; White load sheet'!I188,"AAAAAHW311c=")</f>
        <v>0</v>
      </c>
      <c r="CK249" t="b">
        <f>AND('Black &amp; White load sheet'!J188,"AAAAAHW311g=")</f>
        <v>0</v>
      </c>
      <c r="CL249" t="e">
        <f>AND('Black &amp; White load sheet'!K188,"AAAAAHW311k=")</f>
        <v>#VALUE!</v>
      </c>
      <c r="CM249" t="b">
        <f>AND('Black &amp; White load sheet'!L188,"AAAAAHW311o=")</f>
        <v>1</v>
      </c>
      <c r="CN249" t="b">
        <f>AND('Black &amp; White load sheet'!M188,"AAAAAHW311s=")</f>
        <v>1</v>
      </c>
      <c r="CO249">
        <f>IF('Black &amp; White load sheet'!189:189,"AAAAAHW311w=",0)</f>
        <v>0</v>
      </c>
      <c r="CP249" t="b">
        <f>AND('Black &amp; White load sheet'!A189,"AAAAAHW3110=")</f>
        <v>1</v>
      </c>
      <c r="CQ249" t="b">
        <f>AND('Black &amp; White load sheet'!B189,"AAAAAHW3114=")</f>
        <v>1</v>
      </c>
      <c r="CR249" t="b">
        <f>AND('Black &amp; White load sheet'!C189,"AAAAAHW3118=")</f>
        <v>0</v>
      </c>
      <c r="CS249" t="b">
        <f>AND('Black &amp; White load sheet'!D189,"AAAAAHW312A=")</f>
        <v>0</v>
      </c>
      <c r="CT249" t="b">
        <f>AND('Black &amp; White load sheet'!E189,"AAAAAHW312E=")</f>
        <v>1</v>
      </c>
      <c r="CU249" t="b">
        <f>AND('Black &amp; White load sheet'!F189,"AAAAAHW312I=")</f>
        <v>0</v>
      </c>
      <c r="CV249" t="b">
        <f>AND('Black &amp; White load sheet'!G189,"AAAAAHW312M=")</f>
        <v>1</v>
      </c>
      <c r="CW249" t="b">
        <f>AND('Black &amp; White load sheet'!H189,"AAAAAHW312Q=")</f>
        <v>0</v>
      </c>
      <c r="CX249" t="b">
        <f>AND('Black &amp; White load sheet'!I189,"AAAAAHW312U=")</f>
        <v>0</v>
      </c>
      <c r="CY249" t="b">
        <f>AND('Black &amp; White load sheet'!J189,"AAAAAHW312Y=")</f>
        <v>1</v>
      </c>
      <c r="CZ249" t="e">
        <f>AND('Black &amp; White load sheet'!K189,"AAAAAHW312c=")</f>
        <v>#VALUE!</v>
      </c>
      <c r="DA249" t="b">
        <f>AND('Black &amp; White load sheet'!L189,"AAAAAHW312g=")</f>
        <v>1</v>
      </c>
      <c r="DB249" t="b">
        <f>AND('Black &amp; White load sheet'!M189,"AAAAAHW312k=")</f>
        <v>1</v>
      </c>
      <c r="DC249">
        <f>IF('Black &amp; White load sheet'!190:190,"AAAAAHW312o=",0)</f>
        <v>0</v>
      </c>
      <c r="DD249" t="b">
        <f>AND('Black &amp; White load sheet'!A190,"AAAAAHW312s=")</f>
        <v>1</v>
      </c>
      <c r="DE249" t="b">
        <f>AND('Black &amp; White load sheet'!B190,"AAAAAHW312w=")</f>
        <v>1</v>
      </c>
      <c r="DF249" t="b">
        <f>AND('Black &amp; White load sheet'!C190,"AAAAAHW3120=")</f>
        <v>0</v>
      </c>
      <c r="DG249" t="b">
        <f>AND('Black &amp; White load sheet'!D190,"AAAAAHW3124=")</f>
        <v>0</v>
      </c>
      <c r="DH249" t="b">
        <f>AND('Black &amp; White load sheet'!E190,"AAAAAHW3128=")</f>
        <v>1</v>
      </c>
      <c r="DI249" t="b">
        <f>AND('Black &amp; White load sheet'!F190,"AAAAAHW313A=")</f>
        <v>0</v>
      </c>
      <c r="DJ249" t="b">
        <f>AND('Black &amp; White load sheet'!G190,"AAAAAHW313E=")</f>
        <v>1</v>
      </c>
      <c r="DK249" t="b">
        <f>AND('Black &amp; White load sheet'!H190,"AAAAAHW313I=")</f>
        <v>0</v>
      </c>
      <c r="DL249" t="b">
        <f>AND('Black &amp; White load sheet'!I190,"AAAAAHW313M=")</f>
        <v>1</v>
      </c>
      <c r="DM249" t="b">
        <f>AND('Black &amp; White load sheet'!J190,"AAAAAHW313Q=")</f>
        <v>0</v>
      </c>
      <c r="DN249" t="e">
        <f>AND('Black &amp; White load sheet'!K190,"AAAAAHW313U=")</f>
        <v>#VALUE!</v>
      </c>
      <c r="DO249" t="b">
        <f>AND('Black &amp; White load sheet'!L190,"AAAAAHW313Y=")</f>
        <v>1</v>
      </c>
      <c r="DP249" t="b">
        <f>AND('Black &amp; White load sheet'!M190,"AAAAAHW313c=")</f>
        <v>1</v>
      </c>
      <c r="DQ249">
        <f>IF('Black &amp; White load sheet'!191:191,"AAAAAHW313g=",0)</f>
        <v>0</v>
      </c>
      <c r="DR249" t="b">
        <f>AND('Black &amp; White load sheet'!A191,"AAAAAHW313k=")</f>
        <v>1</v>
      </c>
      <c r="DS249" t="b">
        <f>AND('Black &amp; White load sheet'!B191,"AAAAAHW313o=")</f>
        <v>1</v>
      </c>
      <c r="DT249" t="b">
        <f>AND('Black &amp; White load sheet'!C191,"AAAAAHW313s=")</f>
        <v>0</v>
      </c>
      <c r="DU249" t="b">
        <f>AND('Black &amp; White load sheet'!D191,"AAAAAHW313w=")</f>
        <v>0</v>
      </c>
      <c r="DV249" t="b">
        <f>AND('Black &amp; White load sheet'!E191,"AAAAAHW3130=")</f>
        <v>1</v>
      </c>
      <c r="DW249" t="b">
        <f>AND('Black &amp; White load sheet'!F191,"AAAAAHW3134=")</f>
        <v>0</v>
      </c>
      <c r="DX249" t="b">
        <f>AND('Black &amp; White load sheet'!G191,"AAAAAHW3138=")</f>
        <v>1</v>
      </c>
      <c r="DY249" t="b">
        <f>AND('Black &amp; White load sheet'!H191,"AAAAAHW314A=")</f>
        <v>0</v>
      </c>
      <c r="DZ249" t="b">
        <f>AND('Black &amp; White load sheet'!I191,"AAAAAHW314E=")</f>
        <v>1</v>
      </c>
      <c r="EA249" t="b">
        <f>AND('Black &amp; White load sheet'!J191,"AAAAAHW314I=")</f>
        <v>1</v>
      </c>
      <c r="EB249" t="e">
        <f>AND('Black &amp; White load sheet'!K191,"AAAAAHW314M=")</f>
        <v>#VALUE!</v>
      </c>
      <c r="EC249" t="b">
        <f>AND('Black &amp; White load sheet'!L191,"AAAAAHW314Q=")</f>
        <v>1</v>
      </c>
      <c r="ED249" t="b">
        <f>AND('Black &amp; White load sheet'!M191,"AAAAAHW314U=")</f>
        <v>1</v>
      </c>
      <c r="EE249">
        <f>IF('Black &amp; White load sheet'!192:192,"AAAAAHW314Y=",0)</f>
        <v>0</v>
      </c>
      <c r="EF249" t="b">
        <f>AND('Black &amp; White load sheet'!A192,"AAAAAHW314c=")</f>
        <v>1</v>
      </c>
      <c r="EG249" t="b">
        <f>AND('Black &amp; White load sheet'!B192,"AAAAAHW314g=")</f>
        <v>1</v>
      </c>
      <c r="EH249" t="b">
        <f>AND('Black &amp; White load sheet'!C192,"AAAAAHW314k=")</f>
        <v>0</v>
      </c>
      <c r="EI249" t="b">
        <f>AND('Black &amp; White load sheet'!D192,"AAAAAHW314o=")</f>
        <v>0</v>
      </c>
      <c r="EJ249" t="b">
        <f>AND('Black &amp; White load sheet'!E192,"AAAAAHW314s=")</f>
        <v>1</v>
      </c>
      <c r="EK249" t="b">
        <f>AND('Black &amp; White load sheet'!F192,"AAAAAHW314w=")</f>
        <v>1</v>
      </c>
      <c r="EL249" t="b">
        <f>AND('Black &amp; White load sheet'!G192,"AAAAAHW3140=")</f>
        <v>0</v>
      </c>
      <c r="EM249" t="b">
        <f>AND('Black &amp; White load sheet'!H192,"AAAAAHW3144=")</f>
        <v>0</v>
      </c>
      <c r="EN249" t="b">
        <f>AND('Black &amp; White load sheet'!I192,"AAAAAHW3148=")</f>
        <v>0</v>
      </c>
      <c r="EO249" t="b">
        <f>AND('Black &amp; White load sheet'!J192,"AAAAAHW315A=")</f>
        <v>0</v>
      </c>
      <c r="EP249" t="e">
        <f>AND('Black &amp; White load sheet'!K192,"AAAAAHW315E=")</f>
        <v>#VALUE!</v>
      </c>
      <c r="EQ249" t="b">
        <f>AND('Black &amp; White load sheet'!L192,"AAAAAHW315I=")</f>
        <v>1</v>
      </c>
      <c r="ER249" t="b">
        <f>AND('Black &amp; White load sheet'!M192,"AAAAAHW315M=")</f>
        <v>1</v>
      </c>
      <c r="ES249">
        <f>IF('Black &amp; White load sheet'!193:193,"AAAAAHW315Q=",0)</f>
        <v>0</v>
      </c>
      <c r="ET249" t="b">
        <f>AND('Black &amp; White load sheet'!A193,"AAAAAHW315U=")</f>
        <v>1</v>
      </c>
      <c r="EU249" t="b">
        <f>AND('Black &amp; White load sheet'!B193,"AAAAAHW315Y=")</f>
        <v>1</v>
      </c>
      <c r="EV249" t="b">
        <f>AND('Black &amp; White load sheet'!C193,"AAAAAHW315c=")</f>
        <v>0</v>
      </c>
      <c r="EW249" t="b">
        <f>AND('Black &amp; White load sheet'!D193,"AAAAAHW315g=")</f>
        <v>0</v>
      </c>
      <c r="EX249" t="b">
        <f>AND('Black &amp; White load sheet'!E193,"AAAAAHW315k=")</f>
        <v>1</v>
      </c>
      <c r="EY249" t="b">
        <f>AND('Black &amp; White load sheet'!F193,"AAAAAHW315o=")</f>
        <v>1</v>
      </c>
      <c r="EZ249" t="b">
        <f>AND('Black &amp; White load sheet'!G193,"AAAAAHW315s=")</f>
        <v>0</v>
      </c>
      <c r="FA249" t="b">
        <f>AND('Black &amp; White load sheet'!H193,"AAAAAHW315w=")</f>
        <v>0</v>
      </c>
      <c r="FB249" t="b">
        <f>AND('Black &amp; White load sheet'!I193,"AAAAAHW3150=")</f>
        <v>0</v>
      </c>
      <c r="FC249" t="b">
        <f>AND('Black &amp; White load sheet'!J193,"AAAAAHW3154=")</f>
        <v>1</v>
      </c>
      <c r="FD249" t="e">
        <f>AND('Black &amp; White load sheet'!K193,"AAAAAHW3158=")</f>
        <v>#VALUE!</v>
      </c>
      <c r="FE249" t="b">
        <f>AND('Black &amp; White load sheet'!L193,"AAAAAHW316A=")</f>
        <v>1</v>
      </c>
      <c r="FF249" t="b">
        <f>AND('Black &amp; White load sheet'!M193,"AAAAAHW316E=")</f>
        <v>1</v>
      </c>
      <c r="FG249">
        <f>IF('Black &amp; White load sheet'!194:194,"AAAAAHW316I=",0)</f>
        <v>0</v>
      </c>
      <c r="FH249" t="b">
        <f>AND('Black &amp; White load sheet'!A194,"AAAAAHW316M=")</f>
        <v>1</v>
      </c>
      <c r="FI249" t="b">
        <f>AND('Black &amp; White load sheet'!B194,"AAAAAHW316Q=")</f>
        <v>1</v>
      </c>
      <c r="FJ249" t="b">
        <f>AND('Black &amp; White load sheet'!C194,"AAAAAHW316U=")</f>
        <v>0</v>
      </c>
      <c r="FK249" t="b">
        <f>AND('Black &amp; White load sheet'!D194,"AAAAAHW316Y=")</f>
        <v>0</v>
      </c>
      <c r="FL249" t="b">
        <f>AND('Black &amp; White load sheet'!E194,"AAAAAHW316c=")</f>
        <v>1</v>
      </c>
      <c r="FM249" t="b">
        <f>AND('Black &amp; White load sheet'!F194,"AAAAAHW316g=")</f>
        <v>1</v>
      </c>
      <c r="FN249" t="b">
        <f>AND('Black &amp; White load sheet'!G194,"AAAAAHW316k=")</f>
        <v>0</v>
      </c>
      <c r="FO249" t="b">
        <f>AND('Black &amp; White load sheet'!H194,"AAAAAHW316o=")</f>
        <v>0</v>
      </c>
      <c r="FP249" t="b">
        <f>AND('Black &amp; White load sheet'!I194,"AAAAAHW316s=")</f>
        <v>1</v>
      </c>
      <c r="FQ249" t="b">
        <f>AND('Black &amp; White load sheet'!J194,"AAAAAHW316w=")</f>
        <v>0</v>
      </c>
      <c r="FR249" t="e">
        <f>AND('Black &amp; White load sheet'!K194,"AAAAAHW3160=")</f>
        <v>#VALUE!</v>
      </c>
      <c r="FS249" t="b">
        <f>AND('Black &amp; White load sheet'!L194,"AAAAAHW3164=")</f>
        <v>1</v>
      </c>
      <c r="FT249" t="b">
        <f>AND('Black &amp; White load sheet'!M194,"AAAAAHW3168=")</f>
        <v>1</v>
      </c>
      <c r="FU249">
        <f>IF('Black &amp; White load sheet'!195:195,"AAAAAHW317A=",0)</f>
        <v>0</v>
      </c>
      <c r="FV249" t="b">
        <f>AND('Black &amp; White load sheet'!A195,"AAAAAHW317E=")</f>
        <v>1</v>
      </c>
      <c r="FW249" t="b">
        <f>AND('Black &amp; White load sheet'!B195,"AAAAAHW317I=")</f>
        <v>1</v>
      </c>
      <c r="FX249" t="b">
        <f>AND('Black &amp; White load sheet'!C195,"AAAAAHW317M=")</f>
        <v>0</v>
      </c>
      <c r="FY249" t="b">
        <f>AND('Black &amp; White load sheet'!D195,"AAAAAHW317Q=")</f>
        <v>0</v>
      </c>
      <c r="FZ249" t="b">
        <f>AND('Black &amp; White load sheet'!E195,"AAAAAHW317U=")</f>
        <v>1</v>
      </c>
      <c r="GA249" t="b">
        <f>AND('Black &amp; White load sheet'!F195,"AAAAAHW317Y=")</f>
        <v>1</v>
      </c>
      <c r="GB249" t="b">
        <f>AND('Black &amp; White load sheet'!G195,"AAAAAHW317c=")</f>
        <v>0</v>
      </c>
      <c r="GC249" t="b">
        <f>AND('Black &amp; White load sheet'!H195,"AAAAAHW317g=")</f>
        <v>0</v>
      </c>
      <c r="GD249" t="b">
        <f>AND('Black &amp; White load sheet'!I195,"AAAAAHW317k=")</f>
        <v>1</v>
      </c>
      <c r="GE249" t="b">
        <f>AND('Black &amp; White load sheet'!J195,"AAAAAHW317o=")</f>
        <v>1</v>
      </c>
      <c r="GF249" t="e">
        <f>AND('Black &amp; White load sheet'!K195,"AAAAAHW317s=")</f>
        <v>#VALUE!</v>
      </c>
      <c r="GG249" t="b">
        <f>AND('Black &amp; White load sheet'!L195,"AAAAAHW317w=")</f>
        <v>1</v>
      </c>
      <c r="GH249" t="b">
        <f>AND('Black &amp; White load sheet'!M195,"AAAAAHW3170=")</f>
        <v>1</v>
      </c>
      <c r="GI249">
        <f>IF('Black &amp; White load sheet'!196:196,"AAAAAHW3174=",0)</f>
        <v>0</v>
      </c>
      <c r="GJ249" t="b">
        <f>AND('Black &amp; White load sheet'!A196,"AAAAAHW3178=")</f>
        <v>1</v>
      </c>
      <c r="GK249" t="b">
        <f>AND('Black &amp; White load sheet'!B196,"AAAAAHW318A=")</f>
        <v>1</v>
      </c>
      <c r="GL249" t="b">
        <f>AND('Black &amp; White load sheet'!C196,"AAAAAHW318E=")</f>
        <v>0</v>
      </c>
      <c r="GM249" t="b">
        <f>AND('Black &amp; White load sheet'!D196,"AAAAAHW318I=")</f>
        <v>0</v>
      </c>
      <c r="GN249" t="b">
        <f>AND('Black &amp; White load sheet'!E196,"AAAAAHW318M=")</f>
        <v>1</v>
      </c>
      <c r="GO249" t="b">
        <f>AND('Black &amp; White load sheet'!F196,"AAAAAHW318Q=")</f>
        <v>0</v>
      </c>
      <c r="GP249" t="b">
        <f>AND('Black &amp; White load sheet'!G196,"AAAAAHW318U=")</f>
        <v>0</v>
      </c>
      <c r="GQ249" t="b">
        <f>AND('Black &amp; White load sheet'!H196,"AAAAAHW318Y=")</f>
        <v>0</v>
      </c>
      <c r="GR249" t="b">
        <f>AND('Black &amp; White load sheet'!I196,"AAAAAHW318c=")</f>
        <v>0</v>
      </c>
      <c r="GS249" t="b">
        <f>AND('Black &amp; White load sheet'!J196,"AAAAAHW318g=")</f>
        <v>0</v>
      </c>
      <c r="GT249" t="e">
        <f>AND('Black &amp; White load sheet'!K196,"AAAAAHW318k=")</f>
        <v>#VALUE!</v>
      </c>
      <c r="GU249" t="b">
        <f>AND('Black &amp; White load sheet'!L196,"AAAAAHW318o=")</f>
        <v>1</v>
      </c>
      <c r="GV249" t="b">
        <f>AND('Black &amp; White load sheet'!M196,"AAAAAHW318s=")</f>
        <v>1</v>
      </c>
      <c r="GW249">
        <f>IF('Black &amp; White load sheet'!197:197,"AAAAAHW318w=",0)</f>
        <v>0</v>
      </c>
      <c r="GX249" t="b">
        <f>AND('Black &amp; White load sheet'!A197,"AAAAAHW3180=")</f>
        <v>1</v>
      </c>
      <c r="GY249" t="b">
        <f>AND('Black &amp; White load sheet'!B197,"AAAAAHW3184=")</f>
        <v>1</v>
      </c>
      <c r="GZ249" t="b">
        <f>AND('Black &amp; White load sheet'!C197,"AAAAAHW3188=")</f>
        <v>0</v>
      </c>
      <c r="HA249" t="b">
        <f>AND('Black &amp; White load sheet'!D197,"AAAAAHW319A=")</f>
        <v>0</v>
      </c>
      <c r="HB249" t="b">
        <f>AND('Black &amp; White load sheet'!E197,"AAAAAHW319E=")</f>
        <v>1</v>
      </c>
      <c r="HC249" t="b">
        <f>AND('Black &amp; White load sheet'!F197,"AAAAAHW319I=")</f>
        <v>0</v>
      </c>
      <c r="HD249" t="b">
        <f>AND('Black &amp; White load sheet'!G197,"AAAAAHW319M=")</f>
        <v>0</v>
      </c>
      <c r="HE249" t="b">
        <f>AND('Black &amp; White load sheet'!H197,"AAAAAHW319Q=")</f>
        <v>0</v>
      </c>
      <c r="HF249" t="b">
        <f>AND('Black &amp; White load sheet'!I197,"AAAAAHW319U=")</f>
        <v>0</v>
      </c>
      <c r="HG249" t="b">
        <f>AND('Black &amp; White load sheet'!J197,"AAAAAHW319Y=")</f>
        <v>1</v>
      </c>
      <c r="HH249" t="e">
        <f>AND('Black &amp; White load sheet'!K197,"AAAAAHW319c=")</f>
        <v>#VALUE!</v>
      </c>
      <c r="HI249" t="b">
        <f>AND('Black &amp; White load sheet'!L197,"AAAAAHW319g=")</f>
        <v>1</v>
      </c>
      <c r="HJ249" t="b">
        <f>AND('Black &amp; White load sheet'!M197,"AAAAAHW319k=")</f>
        <v>1</v>
      </c>
      <c r="HK249">
        <f>IF('Black &amp; White load sheet'!198:198,"AAAAAHW319o=",0)</f>
        <v>0</v>
      </c>
      <c r="HL249" t="b">
        <f>AND('Black &amp; White load sheet'!A198,"AAAAAHW319s=")</f>
        <v>1</v>
      </c>
      <c r="HM249" t="b">
        <f>AND('Black &amp; White load sheet'!B198,"AAAAAHW319w=")</f>
        <v>1</v>
      </c>
      <c r="HN249" t="b">
        <f>AND('Black &amp; White load sheet'!C198,"AAAAAHW3190=")</f>
        <v>0</v>
      </c>
      <c r="HO249" t="b">
        <f>AND('Black &amp; White load sheet'!D198,"AAAAAHW3194=")</f>
        <v>0</v>
      </c>
      <c r="HP249" t="b">
        <f>AND('Black &amp; White load sheet'!E198,"AAAAAHW3198=")</f>
        <v>1</v>
      </c>
      <c r="HQ249" t="b">
        <f>AND('Black &amp; White load sheet'!F198,"AAAAAHW31+A=")</f>
        <v>0</v>
      </c>
      <c r="HR249" t="b">
        <f>AND('Black &amp; White load sheet'!G198,"AAAAAHW31+E=")</f>
        <v>0</v>
      </c>
      <c r="HS249" t="b">
        <f>AND('Black &amp; White load sheet'!H198,"AAAAAHW31+I=")</f>
        <v>0</v>
      </c>
      <c r="HT249" t="b">
        <f>AND('Black &amp; White load sheet'!I198,"AAAAAHW31+M=")</f>
        <v>1</v>
      </c>
      <c r="HU249" t="b">
        <f>AND('Black &amp; White load sheet'!J198,"AAAAAHW31+Q=")</f>
        <v>0</v>
      </c>
      <c r="HV249" t="e">
        <f>AND('Black &amp; White load sheet'!K198,"AAAAAHW31+U=")</f>
        <v>#VALUE!</v>
      </c>
      <c r="HW249" t="b">
        <f>AND('Black &amp; White load sheet'!L198,"AAAAAHW31+Y=")</f>
        <v>1</v>
      </c>
      <c r="HX249" t="b">
        <f>AND('Black &amp; White load sheet'!M198,"AAAAAHW31+c=")</f>
        <v>1</v>
      </c>
      <c r="HY249">
        <f>IF('Black &amp; White load sheet'!199:199,"AAAAAHW31+g=",0)</f>
        <v>0</v>
      </c>
      <c r="HZ249" t="b">
        <f>AND('Black &amp; White load sheet'!A199,"AAAAAHW31+k=")</f>
        <v>1</v>
      </c>
      <c r="IA249" t="b">
        <f>AND('Black &amp; White load sheet'!B199,"AAAAAHW31+o=")</f>
        <v>1</v>
      </c>
      <c r="IB249" t="b">
        <f>AND('Black &amp; White load sheet'!C199,"AAAAAHW31+s=")</f>
        <v>0</v>
      </c>
      <c r="IC249" t="b">
        <f>AND('Black &amp; White load sheet'!D199,"AAAAAHW31+w=")</f>
        <v>0</v>
      </c>
      <c r="ID249" t="b">
        <f>AND('Black &amp; White load sheet'!E199,"AAAAAHW31+0=")</f>
        <v>1</v>
      </c>
      <c r="IE249" t="b">
        <f>AND('Black &amp; White load sheet'!F199,"AAAAAHW31+4=")</f>
        <v>0</v>
      </c>
      <c r="IF249" t="b">
        <f>AND('Black &amp; White load sheet'!G199,"AAAAAHW31+8=")</f>
        <v>0</v>
      </c>
      <c r="IG249" t="b">
        <f>AND('Black &amp; White load sheet'!H199,"AAAAAHW31/A=")</f>
        <v>0</v>
      </c>
      <c r="IH249" t="b">
        <f>AND('Black &amp; White load sheet'!I199,"AAAAAHW31/E=")</f>
        <v>1</v>
      </c>
      <c r="II249" t="b">
        <f>AND('Black &amp; White load sheet'!J199,"AAAAAHW31/I=")</f>
        <v>1</v>
      </c>
      <c r="IJ249" t="e">
        <f>AND('Black &amp; White load sheet'!K199,"AAAAAHW31/M=")</f>
        <v>#VALUE!</v>
      </c>
      <c r="IK249" t="b">
        <f>AND('Black &amp; White load sheet'!L199,"AAAAAHW31/Q=")</f>
        <v>1</v>
      </c>
      <c r="IL249" t="b">
        <f>AND('Black &amp; White load sheet'!M199,"AAAAAHW31/U=")</f>
        <v>1</v>
      </c>
      <c r="IM249">
        <f>IF('Black &amp; White load sheet'!200:200,"AAAAAHW31/Y=",0)</f>
        <v>0</v>
      </c>
      <c r="IN249" t="b">
        <f>AND('Black &amp; White load sheet'!A200,"AAAAAHW31/c=")</f>
        <v>1</v>
      </c>
      <c r="IO249" t="b">
        <f>AND('Black &amp; White load sheet'!B200,"AAAAAHW31/g=")</f>
        <v>1</v>
      </c>
      <c r="IP249" t="b">
        <f>AND('Black &amp; White load sheet'!C200,"AAAAAHW31/k=")</f>
        <v>0</v>
      </c>
      <c r="IQ249" t="b">
        <f>AND('Black &amp; White load sheet'!D200,"AAAAAHW31/o=")</f>
        <v>0</v>
      </c>
      <c r="IR249" t="b">
        <f>AND('Black &amp; White load sheet'!E200,"AAAAAHW31/s=")</f>
        <v>1</v>
      </c>
      <c r="IS249" t="b">
        <f>AND('Black &amp; White load sheet'!F200,"AAAAAHW31/w=")</f>
        <v>0</v>
      </c>
      <c r="IT249" t="b">
        <f>AND('Black &amp; White load sheet'!G200,"AAAAAHW31/0=")</f>
        <v>0</v>
      </c>
      <c r="IU249" t="b">
        <f>AND('Black &amp; White load sheet'!H200,"AAAAAHW31/4=")</f>
        <v>1</v>
      </c>
      <c r="IV249" t="b">
        <f>AND('Black &amp; White load sheet'!I200,"AAAAAHW31/8=")</f>
        <v>0</v>
      </c>
    </row>
    <row r="250" spans="1:256" x14ac:dyDescent="0.25">
      <c r="A250" t="b">
        <f>AND('Black &amp; White load sheet'!J200,"AAAAAHbCXQA=")</f>
        <v>0</v>
      </c>
      <c r="B250" t="e">
        <f>AND('Black &amp; White load sheet'!K200,"AAAAAHbCXQE=")</f>
        <v>#VALUE!</v>
      </c>
      <c r="C250" t="b">
        <f>AND('Black &amp; White load sheet'!L200,"AAAAAHbCXQI=")</f>
        <v>1</v>
      </c>
      <c r="D250" t="b">
        <f>AND('Black &amp; White load sheet'!M200,"AAAAAHbCXQM=")</f>
        <v>1</v>
      </c>
      <c r="E250" t="str">
        <f>IF('Black &amp; White load sheet'!201:201,"AAAAAHbCXQQ=",0)</f>
        <v>AAAAAHbCXQQ=</v>
      </c>
      <c r="F250" t="b">
        <f>AND('Black &amp; White load sheet'!A201,"AAAAAHbCXQU=")</f>
        <v>1</v>
      </c>
      <c r="G250" t="b">
        <f>AND('Black &amp; White load sheet'!B201,"AAAAAHbCXQY=")</f>
        <v>1</v>
      </c>
      <c r="H250" t="b">
        <f>AND('Black &amp; White load sheet'!C201,"AAAAAHbCXQc=")</f>
        <v>0</v>
      </c>
      <c r="I250" t="b">
        <f>AND('Black &amp; White load sheet'!D201,"AAAAAHbCXQg=")</f>
        <v>0</v>
      </c>
      <c r="J250" t="b">
        <f>AND('Black &amp; White load sheet'!E201,"AAAAAHbCXQk=")</f>
        <v>1</v>
      </c>
      <c r="K250" t="b">
        <f>AND('Black &amp; White load sheet'!F201,"AAAAAHbCXQo=")</f>
        <v>0</v>
      </c>
      <c r="L250" t="b">
        <f>AND('Black &amp; White load sheet'!G201,"AAAAAHbCXQs=")</f>
        <v>0</v>
      </c>
      <c r="M250" t="b">
        <f>AND('Black &amp; White load sheet'!H201,"AAAAAHbCXQw=")</f>
        <v>1</v>
      </c>
      <c r="N250" t="b">
        <f>AND('Black &amp; White load sheet'!I201,"AAAAAHbCXQ0=")</f>
        <v>0</v>
      </c>
      <c r="O250" t="b">
        <f>AND('Black &amp; White load sheet'!J201,"AAAAAHbCXQ4=")</f>
        <v>1</v>
      </c>
      <c r="P250" t="e">
        <f>AND('Black &amp; White load sheet'!K201,"AAAAAHbCXQ8=")</f>
        <v>#VALUE!</v>
      </c>
      <c r="Q250" t="b">
        <f>AND('Black &amp; White load sheet'!L201,"AAAAAHbCXRA=")</f>
        <v>1</v>
      </c>
      <c r="R250" t="b">
        <f>AND('Black &amp; White load sheet'!M201,"AAAAAHbCXRE=")</f>
        <v>1</v>
      </c>
      <c r="S250">
        <f>IF('Black &amp; White load sheet'!202:202,"AAAAAHbCXRI=",0)</f>
        <v>0</v>
      </c>
      <c r="T250" t="b">
        <f>AND('Black &amp; White load sheet'!A202,"AAAAAHbCXRM=")</f>
        <v>1</v>
      </c>
      <c r="U250" t="b">
        <f>AND('Black &amp; White load sheet'!B202,"AAAAAHbCXRQ=")</f>
        <v>1</v>
      </c>
      <c r="V250" t="b">
        <f>AND('Black &amp; White load sheet'!C202,"AAAAAHbCXRU=")</f>
        <v>0</v>
      </c>
      <c r="W250" t="b">
        <f>AND('Black &amp; White load sheet'!D202,"AAAAAHbCXRY=")</f>
        <v>0</v>
      </c>
      <c r="X250" t="b">
        <f>AND('Black &amp; White load sheet'!E202,"AAAAAHbCXRc=")</f>
        <v>1</v>
      </c>
      <c r="Y250" t="b">
        <f>AND('Black &amp; White load sheet'!F202,"AAAAAHbCXRg=")</f>
        <v>0</v>
      </c>
      <c r="Z250" t="b">
        <f>AND('Black &amp; White load sheet'!G202,"AAAAAHbCXRk=")</f>
        <v>0</v>
      </c>
      <c r="AA250" t="b">
        <f>AND('Black &amp; White load sheet'!H202,"AAAAAHbCXRo=")</f>
        <v>1</v>
      </c>
      <c r="AB250" t="b">
        <f>AND('Black &amp; White load sheet'!I202,"AAAAAHbCXRs=")</f>
        <v>1</v>
      </c>
      <c r="AC250" t="b">
        <f>AND('Black &amp; White load sheet'!J202,"AAAAAHbCXRw=")</f>
        <v>0</v>
      </c>
      <c r="AD250" t="e">
        <f>AND('Black &amp; White load sheet'!K202,"AAAAAHbCXR0=")</f>
        <v>#VALUE!</v>
      </c>
      <c r="AE250" t="b">
        <f>AND('Black &amp; White load sheet'!L202,"AAAAAHbCXR4=")</f>
        <v>1</v>
      </c>
      <c r="AF250" t="b">
        <f>AND('Black &amp; White load sheet'!M202,"AAAAAHbCXR8=")</f>
        <v>1</v>
      </c>
      <c r="AG250">
        <f>IF('Black &amp; White load sheet'!203:203,"AAAAAHbCXSA=",0)</f>
        <v>0</v>
      </c>
      <c r="AH250" t="b">
        <f>AND('Black &amp; White load sheet'!A203,"AAAAAHbCXSE=")</f>
        <v>1</v>
      </c>
      <c r="AI250" t="b">
        <f>AND('Black &amp; White load sheet'!B203,"AAAAAHbCXSI=")</f>
        <v>1</v>
      </c>
      <c r="AJ250" t="b">
        <f>AND('Black &amp; White load sheet'!C203,"AAAAAHbCXSM=")</f>
        <v>0</v>
      </c>
      <c r="AK250" t="b">
        <f>AND('Black &amp; White load sheet'!D203,"AAAAAHbCXSQ=")</f>
        <v>0</v>
      </c>
      <c r="AL250" t="b">
        <f>AND('Black &amp; White load sheet'!E203,"AAAAAHbCXSU=")</f>
        <v>1</v>
      </c>
      <c r="AM250" t="b">
        <f>AND('Black &amp; White load sheet'!F203,"AAAAAHbCXSY=")</f>
        <v>0</v>
      </c>
      <c r="AN250" t="b">
        <f>AND('Black &amp; White load sheet'!G203,"AAAAAHbCXSc=")</f>
        <v>0</v>
      </c>
      <c r="AO250" t="b">
        <f>AND('Black &amp; White load sheet'!H203,"AAAAAHbCXSg=")</f>
        <v>1</v>
      </c>
      <c r="AP250" t="b">
        <f>AND('Black &amp; White load sheet'!I203,"AAAAAHbCXSk=")</f>
        <v>1</v>
      </c>
      <c r="AQ250" t="b">
        <f>AND('Black &amp; White load sheet'!J203,"AAAAAHbCXSo=")</f>
        <v>1</v>
      </c>
      <c r="AR250" t="e">
        <f>AND('Black &amp; White load sheet'!K203,"AAAAAHbCXSs=")</f>
        <v>#VALUE!</v>
      </c>
      <c r="AS250" t="b">
        <f>AND('Black &amp; White load sheet'!L203,"AAAAAHbCXSw=")</f>
        <v>1</v>
      </c>
      <c r="AT250" t="b">
        <f>AND('Black &amp; White load sheet'!M203,"AAAAAHbCXS0=")</f>
        <v>1</v>
      </c>
      <c r="AU250">
        <f>IF('Black &amp; White load sheet'!204:204,"AAAAAHbCXS4=",0)</f>
        <v>0</v>
      </c>
      <c r="AV250" t="b">
        <f>AND('Black &amp; White load sheet'!A204,"AAAAAHbCXS8=")</f>
        <v>1</v>
      </c>
      <c r="AW250" t="b">
        <f>AND('Black &amp; White load sheet'!B204,"AAAAAHbCXTA=")</f>
        <v>1</v>
      </c>
      <c r="AX250" t="b">
        <f>AND('Black &amp; White load sheet'!C204,"AAAAAHbCXTE=")</f>
        <v>0</v>
      </c>
      <c r="AY250" t="b">
        <f>AND('Black &amp; White load sheet'!D204,"AAAAAHbCXTI=")</f>
        <v>0</v>
      </c>
      <c r="AZ250" t="b">
        <f>AND('Black &amp; White load sheet'!E204,"AAAAAHbCXTM=")</f>
        <v>1</v>
      </c>
      <c r="BA250" t="b">
        <f>AND('Black &amp; White load sheet'!F204,"AAAAAHbCXTQ=")</f>
        <v>0</v>
      </c>
      <c r="BB250" t="b">
        <f>AND('Black &amp; White load sheet'!G204,"AAAAAHbCXTU=")</f>
        <v>1</v>
      </c>
      <c r="BC250" t="b">
        <f>AND('Black &amp; White load sheet'!H204,"AAAAAHbCXTY=")</f>
        <v>0</v>
      </c>
      <c r="BD250" t="b">
        <f>AND('Black &amp; White load sheet'!I204,"AAAAAHbCXTc=")</f>
        <v>0</v>
      </c>
      <c r="BE250" t="b">
        <f>AND('Black &amp; White load sheet'!J204,"AAAAAHbCXTg=")</f>
        <v>0</v>
      </c>
      <c r="BF250" t="e">
        <f>AND('Black &amp; White load sheet'!K204,"AAAAAHbCXTk=")</f>
        <v>#VALUE!</v>
      </c>
      <c r="BG250" t="b">
        <f>AND('Black &amp; White load sheet'!L204,"AAAAAHbCXTo=")</f>
        <v>1</v>
      </c>
      <c r="BH250" t="b">
        <f>AND('Black &amp; White load sheet'!M204,"AAAAAHbCXTs=")</f>
        <v>1</v>
      </c>
      <c r="BI250">
        <f>IF('Black &amp; White load sheet'!205:205,"AAAAAHbCXTw=",0)</f>
        <v>0</v>
      </c>
      <c r="BJ250" t="b">
        <f>AND('Black &amp; White load sheet'!A205,"AAAAAHbCXT0=")</f>
        <v>1</v>
      </c>
      <c r="BK250" t="b">
        <f>AND('Black &amp; White load sheet'!B205,"AAAAAHbCXT4=")</f>
        <v>1</v>
      </c>
      <c r="BL250" t="b">
        <f>AND('Black &amp; White load sheet'!C205,"AAAAAHbCXT8=")</f>
        <v>0</v>
      </c>
      <c r="BM250" t="b">
        <f>AND('Black &amp; White load sheet'!D205,"AAAAAHbCXUA=")</f>
        <v>0</v>
      </c>
      <c r="BN250" t="b">
        <f>AND('Black &amp; White load sheet'!E205,"AAAAAHbCXUE=")</f>
        <v>1</v>
      </c>
      <c r="BO250" t="b">
        <f>AND('Black &amp; White load sheet'!F205,"AAAAAHbCXUI=")</f>
        <v>0</v>
      </c>
      <c r="BP250" t="b">
        <f>AND('Black &amp; White load sheet'!G205,"AAAAAHbCXUM=")</f>
        <v>1</v>
      </c>
      <c r="BQ250" t="b">
        <f>AND('Black &amp; White load sheet'!H205,"AAAAAHbCXUQ=")</f>
        <v>0</v>
      </c>
      <c r="BR250" t="b">
        <f>AND('Black &amp; White load sheet'!I205,"AAAAAHbCXUU=")</f>
        <v>0</v>
      </c>
      <c r="BS250" t="b">
        <f>AND('Black &amp; White load sheet'!J205,"AAAAAHbCXUY=")</f>
        <v>1</v>
      </c>
      <c r="BT250" t="e">
        <f>AND('Black &amp; White load sheet'!K205,"AAAAAHbCXUc=")</f>
        <v>#VALUE!</v>
      </c>
      <c r="BU250" t="b">
        <f>AND('Black &amp; White load sheet'!L205,"AAAAAHbCXUg=")</f>
        <v>1</v>
      </c>
      <c r="BV250" t="b">
        <f>AND('Black &amp; White load sheet'!M205,"AAAAAHbCXUk=")</f>
        <v>1</v>
      </c>
      <c r="BW250">
        <f>IF('Black &amp; White load sheet'!206:206,"AAAAAHbCXUo=",0)</f>
        <v>0</v>
      </c>
      <c r="BX250" t="b">
        <f>AND('Black &amp; White load sheet'!A206,"AAAAAHbCXUs=")</f>
        <v>1</v>
      </c>
      <c r="BY250" t="b">
        <f>AND('Black &amp; White load sheet'!B206,"AAAAAHbCXUw=")</f>
        <v>1</v>
      </c>
      <c r="BZ250" t="b">
        <f>AND('Black &amp; White load sheet'!C206,"AAAAAHbCXU0=")</f>
        <v>0</v>
      </c>
      <c r="CA250" t="b">
        <f>AND('Black &amp; White load sheet'!D206,"AAAAAHbCXU4=")</f>
        <v>0</v>
      </c>
      <c r="CB250" t="b">
        <f>AND('Black &amp; White load sheet'!E206,"AAAAAHbCXU8=")</f>
        <v>1</v>
      </c>
      <c r="CC250" t="b">
        <f>AND('Black &amp; White load sheet'!F206,"AAAAAHbCXVA=")</f>
        <v>0</v>
      </c>
      <c r="CD250" t="b">
        <f>AND('Black &amp; White load sheet'!G206,"AAAAAHbCXVE=")</f>
        <v>1</v>
      </c>
      <c r="CE250" t="b">
        <f>AND('Black &amp; White load sheet'!H206,"AAAAAHbCXVI=")</f>
        <v>0</v>
      </c>
      <c r="CF250" t="b">
        <f>AND('Black &amp; White load sheet'!I206,"AAAAAHbCXVM=")</f>
        <v>1</v>
      </c>
      <c r="CG250" t="b">
        <f>AND('Black &amp; White load sheet'!J206,"AAAAAHbCXVQ=")</f>
        <v>0</v>
      </c>
      <c r="CH250" t="e">
        <f>AND('Black &amp; White load sheet'!K206,"AAAAAHbCXVU=")</f>
        <v>#VALUE!</v>
      </c>
      <c r="CI250" t="b">
        <f>AND('Black &amp; White load sheet'!L206,"AAAAAHbCXVY=")</f>
        <v>1</v>
      </c>
      <c r="CJ250" t="b">
        <f>AND('Black &amp; White load sheet'!M206,"AAAAAHbCXVc=")</f>
        <v>1</v>
      </c>
      <c r="CK250">
        <f>IF('Black &amp; White load sheet'!207:207,"AAAAAHbCXVg=",0)</f>
        <v>0</v>
      </c>
      <c r="CL250" t="b">
        <f>AND('Black &amp; White load sheet'!A207,"AAAAAHbCXVk=")</f>
        <v>1</v>
      </c>
      <c r="CM250" t="b">
        <f>AND('Black &amp; White load sheet'!B207,"AAAAAHbCXVo=")</f>
        <v>1</v>
      </c>
      <c r="CN250" t="b">
        <f>AND('Black &amp; White load sheet'!C207,"AAAAAHbCXVs=")</f>
        <v>0</v>
      </c>
      <c r="CO250" t="b">
        <f>AND('Black &amp; White load sheet'!D207,"AAAAAHbCXVw=")</f>
        <v>0</v>
      </c>
      <c r="CP250" t="b">
        <f>AND('Black &amp; White load sheet'!E207,"AAAAAHbCXV0=")</f>
        <v>1</v>
      </c>
      <c r="CQ250" t="b">
        <f>AND('Black &amp; White load sheet'!F207,"AAAAAHbCXV4=")</f>
        <v>0</v>
      </c>
      <c r="CR250" t="b">
        <f>AND('Black &amp; White load sheet'!G207,"AAAAAHbCXV8=")</f>
        <v>1</v>
      </c>
      <c r="CS250" t="b">
        <f>AND('Black &amp; White load sheet'!H207,"AAAAAHbCXWA=")</f>
        <v>0</v>
      </c>
      <c r="CT250" t="b">
        <f>AND('Black &amp; White load sheet'!I207,"AAAAAHbCXWE=")</f>
        <v>1</v>
      </c>
      <c r="CU250" t="b">
        <f>AND('Black &amp; White load sheet'!J207,"AAAAAHbCXWI=")</f>
        <v>1</v>
      </c>
      <c r="CV250" t="e">
        <f>AND('Black &amp; White load sheet'!K207,"AAAAAHbCXWM=")</f>
        <v>#VALUE!</v>
      </c>
      <c r="CW250" t="b">
        <f>AND('Black &amp; White load sheet'!L207,"AAAAAHbCXWQ=")</f>
        <v>1</v>
      </c>
      <c r="CX250" t="b">
        <f>AND('Black &amp; White load sheet'!M207,"AAAAAHbCXWU=")</f>
        <v>1</v>
      </c>
      <c r="CY250">
        <f>IF('Black &amp; White load sheet'!208:208,"AAAAAHbCXWY=",0)</f>
        <v>0</v>
      </c>
      <c r="CZ250" t="b">
        <f>AND('Black &amp; White load sheet'!A208,"AAAAAHbCXWc=")</f>
        <v>1</v>
      </c>
      <c r="DA250" t="b">
        <f>AND('Black &amp; White load sheet'!B208,"AAAAAHbCXWg=")</f>
        <v>1</v>
      </c>
      <c r="DB250" t="b">
        <f>AND('Black &amp; White load sheet'!C208,"AAAAAHbCXWk=")</f>
        <v>0</v>
      </c>
      <c r="DC250" t="b">
        <f>AND('Black &amp; White load sheet'!D208,"AAAAAHbCXWo=")</f>
        <v>0</v>
      </c>
      <c r="DD250" t="b">
        <f>AND('Black &amp; White load sheet'!E208,"AAAAAHbCXWs=")</f>
        <v>1</v>
      </c>
      <c r="DE250" t="b">
        <f>AND('Black &amp; White load sheet'!F208,"AAAAAHbCXWw=")</f>
        <v>1</v>
      </c>
      <c r="DF250" t="b">
        <f>AND('Black &amp; White load sheet'!G208,"AAAAAHbCXW0=")</f>
        <v>0</v>
      </c>
      <c r="DG250" t="b">
        <f>AND('Black &amp; White load sheet'!H208,"AAAAAHbCXW4=")</f>
        <v>0</v>
      </c>
      <c r="DH250" t="b">
        <f>AND('Black &amp; White load sheet'!I208,"AAAAAHbCXW8=")</f>
        <v>0</v>
      </c>
      <c r="DI250" t="b">
        <f>AND('Black &amp; White load sheet'!J208,"AAAAAHbCXXA=")</f>
        <v>0</v>
      </c>
      <c r="DJ250" t="e">
        <f>AND('Black &amp; White load sheet'!K208,"AAAAAHbCXXE=")</f>
        <v>#VALUE!</v>
      </c>
      <c r="DK250" t="b">
        <f>AND('Black &amp; White load sheet'!L208,"AAAAAHbCXXI=")</f>
        <v>1</v>
      </c>
      <c r="DL250" t="b">
        <f>AND('Black &amp; White load sheet'!M208,"AAAAAHbCXXM=")</f>
        <v>1</v>
      </c>
      <c r="DM250">
        <f>IF('Black &amp; White load sheet'!209:209,"AAAAAHbCXXQ=",0)</f>
        <v>0</v>
      </c>
      <c r="DN250" t="b">
        <f>AND('Black &amp; White load sheet'!A209,"AAAAAHbCXXU=")</f>
        <v>1</v>
      </c>
      <c r="DO250" t="b">
        <f>AND('Black &amp; White load sheet'!B209,"AAAAAHbCXXY=")</f>
        <v>1</v>
      </c>
      <c r="DP250" t="b">
        <f>AND('Black &amp; White load sheet'!C209,"AAAAAHbCXXc=")</f>
        <v>0</v>
      </c>
      <c r="DQ250" t="b">
        <f>AND('Black &amp; White load sheet'!D209,"AAAAAHbCXXg=")</f>
        <v>0</v>
      </c>
      <c r="DR250" t="b">
        <f>AND('Black &amp; White load sheet'!E209,"AAAAAHbCXXk=")</f>
        <v>1</v>
      </c>
      <c r="DS250" t="b">
        <f>AND('Black &amp; White load sheet'!F209,"AAAAAHbCXXo=")</f>
        <v>1</v>
      </c>
      <c r="DT250" t="b">
        <f>AND('Black &amp; White load sheet'!G209,"AAAAAHbCXXs=")</f>
        <v>0</v>
      </c>
      <c r="DU250" t="b">
        <f>AND('Black &amp; White load sheet'!H209,"AAAAAHbCXXw=")</f>
        <v>0</v>
      </c>
      <c r="DV250" t="b">
        <f>AND('Black &amp; White load sheet'!I209,"AAAAAHbCXX0=")</f>
        <v>0</v>
      </c>
      <c r="DW250" t="b">
        <f>AND('Black &amp; White load sheet'!J209,"AAAAAHbCXX4=")</f>
        <v>1</v>
      </c>
      <c r="DX250" t="e">
        <f>AND('Black &amp; White load sheet'!K209,"AAAAAHbCXX8=")</f>
        <v>#VALUE!</v>
      </c>
      <c r="DY250" t="b">
        <f>AND('Black &amp; White load sheet'!L209,"AAAAAHbCXYA=")</f>
        <v>1</v>
      </c>
      <c r="DZ250" t="b">
        <f>AND('Black &amp; White load sheet'!M209,"AAAAAHbCXYE=")</f>
        <v>1</v>
      </c>
      <c r="EA250">
        <f>IF('Black &amp; White load sheet'!210:210,"AAAAAHbCXYI=",0)</f>
        <v>0</v>
      </c>
      <c r="EB250" t="b">
        <f>AND('Black &amp; White load sheet'!A210,"AAAAAHbCXYM=")</f>
        <v>1</v>
      </c>
      <c r="EC250" t="b">
        <f>AND('Black &amp; White load sheet'!B210,"AAAAAHbCXYQ=")</f>
        <v>1</v>
      </c>
      <c r="ED250" t="b">
        <f>AND('Black &amp; White load sheet'!C210,"AAAAAHbCXYU=")</f>
        <v>0</v>
      </c>
      <c r="EE250" t="b">
        <f>AND('Black &amp; White load sheet'!D210,"AAAAAHbCXYY=")</f>
        <v>0</v>
      </c>
      <c r="EF250" t="b">
        <f>AND('Black &amp; White load sheet'!E210,"AAAAAHbCXYc=")</f>
        <v>1</v>
      </c>
      <c r="EG250" t="b">
        <f>AND('Black &amp; White load sheet'!F210,"AAAAAHbCXYg=")</f>
        <v>1</v>
      </c>
      <c r="EH250" t="b">
        <f>AND('Black &amp; White load sheet'!G210,"AAAAAHbCXYk=")</f>
        <v>0</v>
      </c>
      <c r="EI250" t="b">
        <f>AND('Black &amp; White load sheet'!H210,"AAAAAHbCXYo=")</f>
        <v>0</v>
      </c>
      <c r="EJ250" t="b">
        <f>AND('Black &amp; White load sheet'!I210,"AAAAAHbCXYs=")</f>
        <v>1</v>
      </c>
      <c r="EK250" t="b">
        <f>AND('Black &amp; White load sheet'!J210,"AAAAAHbCXYw=")</f>
        <v>0</v>
      </c>
      <c r="EL250" t="e">
        <f>AND('Black &amp; White load sheet'!K210,"AAAAAHbCXY0=")</f>
        <v>#VALUE!</v>
      </c>
      <c r="EM250" t="b">
        <f>AND('Black &amp; White load sheet'!L210,"AAAAAHbCXY4=")</f>
        <v>1</v>
      </c>
      <c r="EN250" t="b">
        <f>AND('Black &amp; White load sheet'!M210,"AAAAAHbCXY8=")</f>
        <v>1</v>
      </c>
      <c r="EO250">
        <f>IF('Black &amp; White load sheet'!211:211,"AAAAAHbCXZA=",0)</f>
        <v>0</v>
      </c>
      <c r="EP250" t="b">
        <f>AND('Black &amp; White load sheet'!A211,"AAAAAHbCXZE=")</f>
        <v>1</v>
      </c>
      <c r="EQ250" t="b">
        <f>AND('Black &amp; White load sheet'!B211,"AAAAAHbCXZI=")</f>
        <v>1</v>
      </c>
      <c r="ER250" t="b">
        <f>AND('Black &amp; White load sheet'!C211,"AAAAAHbCXZM=")</f>
        <v>0</v>
      </c>
      <c r="ES250" t="b">
        <f>AND('Black &amp; White load sheet'!D211,"AAAAAHbCXZQ=")</f>
        <v>0</v>
      </c>
      <c r="ET250" t="b">
        <f>AND('Black &amp; White load sheet'!E211,"AAAAAHbCXZU=")</f>
        <v>1</v>
      </c>
      <c r="EU250" t="b">
        <f>AND('Black &amp; White load sheet'!F211,"AAAAAHbCXZY=")</f>
        <v>1</v>
      </c>
      <c r="EV250" t="b">
        <f>AND('Black &amp; White load sheet'!G211,"AAAAAHbCXZc=")</f>
        <v>0</v>
      </c>
      <c r="EW250" t="b">
        <f>AND('Black &amp; White load sheet'!H211,"AAAAAHbCXZg=")</f>
        <v>0</v>
      </c>
      <c r="EX250" t="b">
        <f>AND('Black &amp; White load sheet'!I211,"AAAAAHbCXZk=")</f>
        <v>1</v>
      </c>
      <c r="EY250" t="b">
        <f>AND('Black &amp; White load sheet'!J211,"AAAAAHbCXZo=")</f>
        <v>1</v>
      </c>
      <c r="EZ250" t="e">
        <f>AND('Black &amp; White load sheet'!K211,"AAAAAHbCXZs=")</f>
        <v>#VALUE!</v>
      </c>
      <c r="FA250" t="b">
        <f>AND('Black &amp; White load sheet'!L211,"AAAAAHbCXZw=")</f>
        <v>1</v>
      </c>
      <c r="FB250" t="b">
        <f>AND('Black &amp; White load sheet'!M211,"AAAAAHbCXZ0=")</f>
        <v>1</v>
      </c>
      <c r="FC250">
        <f>IF('Black &amp; White load sheet'!212:212,"AAAAAHbCXZ4=",0)</f>
        <v>0</v>
      </c>
      <c r="FD250" t="b">
        <f>AND('Black &amp; White load sheet'!A212,"AAAAAHbCXZ8=")</f>
        <v>1</v>
      </c>
      <c r="FE250" t="b">
        <f>AND('Black &amp; White load sheet'!B212,"AAAAAHbCXaA=")</f>
        <v>1</v>
      </c>
      <c r="FF250" t="b">
        <f>AND('Black &amp; White load sheet'!C212,"AAAAAHbCXaE=")</f>
        <v>0</v>
      </c>
      <c r="FG250" t="b">
        <f>AND('Black &amp; White load sheet'!D212,"AAAAAHbCXaI=")</f>
        <v>0</v>
      </c>
      <c r="FH250" t="b">
        <f>AND('Black &amp; White load sheet'!E212,"AAAAAHbCXaM=")</f>
        <v>1</v>
      </c>
      <c r="FI250" t="b">
        <f>AND('Black &amp; White load sheet'!F212,"AAAAAHbCXaQ=")</f>
        <v>0</v>
      </c>
      <c r="FJ250" t="b">
        <f>AND('Black &amp; White load sheet'!G212,"AAAAAHbCXaU=")</f>
        <v>0</v>
      </c>
      <c r="FK250" t="b">
        <f>AND('Black &amp; White load sheet'!H212,"AAAAAHbCXaY=")</f>
        <v>0</v>
      </c>
      <c r="FL250" t="b">
        <f>AND('Black &amp; White load sheet'!I212,"AAAAAHbCXac=")</f>
        <v>0</v>
      </c>
      <c r="FM250" t="b">
        <f>AND('Black &amp; White load sheet'!J212,"AAAAAHbCXag=")</f>
        <v>0</v>
      </c>
      <c r="FN250" t="e">
        <f>AND('Black &amp; White load sheet'!K212,"AAAAAHbCXak=")</f>
        <v>#VALUE!</v>
      </c>
      <c r="FO250" t="b">
        <f>AND('Black &amp; White load sheet'!L212,"AAAAAHbCXao=")</f>
        <v>1</v>
      </c>
      <c r="FP250" t="b">
        <f>AND('Black &amp; White load sheet'!M212,"AAAAAHbCXas=")</f>
        <v>1</v>
      </c>
      <c r="FQ250">
        <f>IF('Black &amp; White load sheet'!213:213,"AAAAAHbCXaw=",0)</f>
        <v>0</v>
      </c>
      <c r="FR250" t="b">
        <f>AND('Black &amp; White load sheet'!A213,"AAAAAHbCXa0=")</f>
        <v>1</v>
      </c>
      <c r="FS250" t="b">
        <f>AND('Black &amp; White load sheet'!B213,"AAAAAHbCXa4=")</f>
        <v>1</v>
      </c>
      <c r="FT250" t="b">
        <f>AND('Black &amp; White load sheet'!C213,"AAAAAHbCXa8=")</f>
        <v>0</v>
      </c>
      <c r="FU250" t="b">
        <f>AND('Black &amp; White load sheet'!D213,"AAAAAHbCXbA=")</f>
        <v>0</v>
      </c>
      <c r="FV250" t="b">
        <f>AND('Black &amp; White load sheet'!E213,"AAAAAHbCXbE=")</f>
        <v>1</v>
      </c>
      <c r="FW250" t="b">
        <f>AND('Black &amp; White load sheet'!F213,"AAAAAHbCXbI=")</f>
        <v>0</v>
      </c>
      <c r="FX250" t="b">
        <f>AND('Black &amp; White load sheet'!G213,"AAAAAHbCXbM=")</f>
        <v>0</v>
      </c>
      <c r="FY250" t="b">
        <f>AND('Black &amp; White load sheet'!H213,"AAAAAHbCXbQ=")</f>
        <v>0</v>
      </c>
      <c r="FZ250" t="b">
        <f>AND('Black &amp; White load sheet'!I213,"AAAAAHbCXbU=")</f>
        <v>0</v>
      </c>
      <c r="GA250" t="b">
        <f>AND('Black &amp; White load sheet'!J213,"AAAAAHbCXbY=")</f>
        <v>1</v>
      </c>
      <c r="GB250" t="e">
        <f>AND('Black &amp; White load sheet'!K213,"AAAAAHbCXbc=")</f>
        <v>#VALUE!</v>
      </c>
      <c r="GC250" t="b">
        <f>AND('Black &amp; White load sheet'!L213,"AAAAAHbCXbg=")</f>
        <v>1</v>
      </c>
      <c r="GD250" t="b">
        <f>AND('Black &amp; White load sheet'!M213,"AAAAAHbCXbk=")</f>
        <v>1</v>
      </c>
      <c r="GE250">
        <f>IF('Black &amp; White load sheet'!214:214,"AAAAAHbCXbo=",0)</f>
        <v>0</v>
      </c>
      <c r="GF250" t="b">
        <f>AND('Black &amp; White load sheet'!A214,"AAAAAHbCXbs=")</f>
        <v>1</v>
      </c>
      <c r="GG250" t="b">
        <f>AND('Black &amp; White load sheet'!B214,"AAAAAHbCXbw=")</f>
        <v>1</v>
      </c>
      <c r="GH250" t="b">
        <f>AND('Black &amp; White load sheet'!C214,"AAAAAHbCXb0=")</f>
        <v>0</v>
      </c>
      <c r="GI250" t="b">
        <f>AND('Black &amp; White load sheet'!D214,"AAAAAHbCXb4=")</f>
        <v>0</v>
      </c>
      <c r="GJ250" t="b">
        <f>AND('Black &amp; White load sheet'!E214,"AAAAAHbCXb8=")</f>
        <v>1</v>
      </c>
      <c r="GK250" t="b">
        <f>AND('Black &amp; White load sheet'!F214,"AAAAAHbCXcA=")</f>
        <v>0</v>
      </c>
      <c r="GL250" t="b">
        <f>AND('Black &amp; White load sheet'!G214,"AAAAAHbCXcE=")</f>
        <v>0</v>
      </c>
      <c r="GM250" t="b">
        <f>AND('Black &amp; White load sheet'!H214,"AAAAAHbCXcI=")</f>
        <v>0</v>
      </c>
      <c r="GN250" t="b">
        <f>AND('Black &amp; White load sheet'!I214,"AAAAAHbCXcM=")</f>
        <v>1</v>
      </c>
      <c r="GO250" t="b">
        <f>AND('Black &amp; White load sheet'!J214,"AAAAAHbCXcQ=")</f>
        <v>0</v>
      </c>
      <c r="GP250" t="e">
        <f>AND('Black &amp; White load sheet'!K214,"AAAAAHbCXcU=")</f>
        <v>#VALUE!</v>
      </c>
      <c r="GQ250" t="b">
        <f>AND('Black &amp; White load sheet'!L214,"AAAAAHbCXcY=")</f>
        <v>1</v>
      </c>
      <c r="GR250" t="b">
        <f>AND('Black &amp; White load sheet'!M214,"AAAAAHbCXcc=")</f>
        <v>1</v>
      </c>
      <c r="GS250">
        <f>IF('Black &amp; White load sheet'!215:215,"AAAAAHbCXcg=",0)</f>
        <v>0</v>
      </c>
      <c r="GT250" t="b">
        <f>AND('Black &amp; White load sheet'!A215,"AAAAAHbCXck=")</f>
        <v>1</v>
      </c>
      <c r="GU250" t="b">
        <f>AND('Black &amp; White load sheet'!B215,"AAAAAHbCXco=")</f>
        <v>1</v>
      </c>
      <c r="GV250" t="b">
        <f>AND('Black &amp; White load sheet'!C215,"AAAAAHbCXcs=")</f>
        <v>0</v>
      </c>
      <c r="GW250" t="b">
        <f>AND('Black &amp; White load sheet'!D215,"AAAAAHbCXcw=")</f>
        <v>0</v>
      </c>
      <c r="GX250" t="b">
        <f>AND('Black &amp; White load sheet'!E215,"AAAAAHbCXc0=")</f>
        <v>1</v>
      </c>
      <c r="GY250" t="b">
        <f>AND('Black &amp; White load sheet'!F215,"AAAAAHbCXc4=")</f>
        <v>0</v>
      </c>
      <c r="GZ250" t="b">
        <f>AND('Black &amp; White load sheet'!G215,"AAAAAHbCXc8=")</f>
        <v>0</v>
      </c>
      <c r="HA250" t="b">
        <f>AND('Black &amp; White load sheet'!H215,"AAAAAHbCXdA=")</f>
        <v>0</v>
      </c>
      <c r="HB250" t="b">
        <f>AND('Black &amp; White load sheet'!I215,"AAAAAHbCXdE=")</f>
        <v>1</v>
      </c>
      <c r="HC250" t="b">
        <f>AND('Black &amp; White load sheet'!J215,"AAAAAHbCXdI=")</f>
        <v>1</v>
      </c>
      <c r="HD250" t="e">
        <f>AND('Black &amp; White load sheet'!K215,"AAAAAHbCXdM=")</f>
        <v>#VALUE!</v>
      </c>
      <c r="HE250" t="b">
        <f>AND('Black &amp; White load sheet'!L215,"AAAAAHbCXdQ=")</f>
        <v>1</v>
      </c>
      <c r="HF250" t="b">
        <f>AND('Black &amp; White load sheet'!M215,"AAAAAHbCXdU=")</f>
        <v>1</v>
      </c>
      <c r="HG250">
        <f>IF('Black &amp; White load sheet'!216:216,"AAAAAHbCXdY=",0)</f>
        <v>0</v>
      </c>
      <c r="HH250" t="b">
        <f>AND('Black &amp; White load sheet'!A216,"AAAAAHbCXdc=")</f>
        <v>1</v>
      </c>
      <c r="HI250" t="b">
        <f>AND('Black &amp; White load sheet'!B216,"AAAAAHbCXdg=")</f>
        <v>1</v>
      </c>
      <c r="HJ250" t="b">
        <f>AND('Black &amp; White load sheet'!C216,"AAAAAHbCXdk=")</f>
        <v>0</v>
      </c>
      <c r="HK250" t="b">
        <f>AND('Black &amp; White load sheet'!D216,"AAAAAHbCXdo=")</f>
        <v>0</v>
      </c>
      <c r="HL250" t="b">
        <f>AND('Black &amp; White load sheet'!E216,"AAAAAHbCXds=")</f>
        <v>1</v>
      </c>
      <c r="HM250" t="b">
        <f>AND('Black &amp; White load sheet'!F216,"AAAAAHbCXdw=")</f>
        <v>0</v>
      </c>
      <c r="HN250" t="b">
        <f>AND('Black &amp; White load sheet'!G216,"AAAAAHbCXd0=")</f>
        <v>0</v>
      </c>
      <c r="HO250" t="b">
        <f>AND('Black &amp; White load sheet'!H216,"AAAAAHbCXd4=")</f>
        <v>1</v>
      </c>
      <c r="HP250" t="b">
        <f>AND('Black &amp; White load sheet'!I216,"AAAAAHbCXd8=")</f>
        <v>0</v>
      </c>
      <c r="HQ250" t="b">
        <f>AND('Black &amp; White load sheet'!J216,"AAAAAHbCXeA=")</f>
        <v>0</v>
      </c>
      <c r="HR250" t="e">
        <f>AND('Black &amp; White load sheet'!K216,"AAAAAHbCXeE=")</f>
        <v>#VALUE!</v>
      </c>
      <c r="HS250" t="b">
        <f>AND('Black &amp; White load sheet'!L216,"AAAAAHbCXeI=")</f>
        <v>1</v>
      </c>
      <c r="HT250" t="b">
        <f>AND('Black &amp; White load sheet'!M216,"AAAAAHbCXeM=")</f>
        <v>1</v>
      </c>
      <c r="HU250">
        <f>IF('Black &amp; White load sheet'!217:217,"AAAAAHbCXeQ=",0)</f>
        <v>0</v>
      </c>
      <c r="HV250" t="b">
        <f>AND('Black &amp; White load sheet'!A217,"AAAAAHbCXeU=")</f>
        <v>1</v>
      </c>
      <c r="HW250" t="b">
        <f>AND('Black &amp; White load sheet'!B217,"AAAAAHbCXeY=")</f>
        <v>1</v>
      </c>
      <c r="HX250" t="b">
        <f>AND('Black &amp; White load sheet'!C217,"AAAAAHbCXec=")</f>
        <v>0</v>
      </c>
      <c r="HY250" t="b">
        <f>AND('Black &amp; White load sheet'!D217,"AAAAAHbCXeg=")</f>
        <v>0</v>
      </c>
      <c r="HZ250" t="b">
        <f>AND('Black &amp; White load sheet'!E217,"AAAAAHbCXek=")</f>
        <v>1</v>
      </c>
      <c r="IA250" t="b">
        <f>AND('Black &amp; White load sheet'!F217,"AAAAAHbCXeo=")</f>
        <v>0</v>
      </c>
      <c r="IB250" t="b">
        <f>AND('Black &amp; White load sheet'!G217,"AAAAAHbCXes=")</f>
        <v>0</v>
      </c>
      <c r="IC250" t="b">
        <f>AND('Black &amp; White load sheet'!H217,"AAAAAHbCXew=")</f>
        <v>1</v>
      </c>
      <c r="ID250" t="b">
        <f>AND('Black &amp; White load sheet'!I217,"AAAAAHbCXe0=")</f>
        <v>0</v>
      </c>
      <c r="IE250" t="b">
        <f>AND('Black &amp; White load sheet'!J217,"AAAAAHbCXe4=")</f>
        <v>1</v>
      </c>
      <c r="IF250" t="e">
        <f>AND('Black &amp; White load sheet'!K217,"AAAAAHbCXe8=")</f>
        <v>#VALUE!</v>
      </c>
      <c r="IG250" t="b">
        <f>AND('Black &amp; White load sheet'!L217,"AAAAAHbCXfA=")</f>
        <v>1</v>
      </c>
      <c r="IH250" t="b">
        <f>AND('Black &amp; White load sheet'!M217,"AAAAAHbCXfE=")</f>
        <v>1</v>
      </c>
      <c r="II250">
        <f>IF('Black &amp; White load sheet'!218:218,"AAAAAHbCXfI=",0)</f>
        <v>0</v>
      </c>
      <c r="IJ250" t="b">
        <f>AND('Black &amp; White load sheet'!A218,"AAAAAHbCXfM=")</f>
        <v>1</v>
      </c>
      <c r="IK250" t="b">
        <f>AND('Black &amp; White load sheet'!B218,"AAAAAHbCXfQ=")</f>
        <v>1</v>
      </c>
      <c r="IL250" t="b">
        <f>AND('Black &amp; White load sheet'!C218,"AAAAAHbCXfU=")</f>
        <v>0</v>
      </c>
      <c r="IM250" t="b">
        <f>AND('Black &amp; White load sheet'!D218,"AAAAAHbCXfY=")</f>
        <v>0</v>
      </c>
      <c r="IN250" t="b">
        <f>AND('Black &amp; White load sheet'!E218,"AAAAAHbCXfc=")</f>
        <v>1</v>
      </c>
      <c r="IO250" t="b">
        <f>AND('Black &amp; White load sheet'!F218,"AAAAAHbCXfg=")</f>
        <v>0</v>
      </c>
      <c r="IP250" t="b">
        <f>AND('Black &amp; White load sheet'!G218,"AAAAAHbCXfk=")</f>
        <v>0</v>
      </c>
      <c r="IQ250" t="b">
        <f>AND('Black &amp; White load sheet'!H218,"AAAAAHbCXfo=")</f>
        <v>1</v>
      </c>
      <c r="IR250" t="b">
        <f>AND('Black &amp; White load sheet'!I218,"AAAAAHbCXfs=")</f>
        <v>1</v>
      </c>
      <c r="IS250" t="b">
        <f>AND('Black &amp; White load sheet'!J218,"AAAAAHbCXfw=")</f>
        <v>0</v>
      </c>
      <c r="IT250" t="e">
        <f>AND('Black &amp; White load sheet'!K218,"AAAAAHbCXf0=")</f>
        <v>#VALUE!</v>
      </c>
      <c r="IU250" t="b">
        <f>AND('Black &amp; White load sheet'!L218,"AAAAAHbCXf4=")</f>
        <v>1</v>
      </c>
      <c r="IV250" t="b">
        <f>AND('Black &amp; White load sheet'!M218,"AAAAAHbCXf8=")</f>
        <v>1</v>
      </c>
    </row>
    <row r="251" spans="1:256" x14ac:dyDescent="0.25">
      <c r="A251" t="str">
        <f>IF('Black &amp; White load sheet'!219:219,"AAAAAC/1owA=",0)</f>
        <v>AAAAAC/1owA=</v>
      </c>
      <c r="B251" t="b">
        <f>AND('Black &amp; White load sheet'!A219,"AAAAAC/1owE=")</f>
        <v>1</v>
      </c>
      <c r="C251" t="b">
        <f>AND('Black &amp; White load sheet'!B219,"AAAAAC/1owI=")</f>
        <v>1</v>
      </c>
      <c r="D251" t="b">
        <f>AND('Black &amp; White load sheet'!C219,"AAAAAC/1owM=")</f>
        <v>0</v>
      </c>
      <c r="E251" t="b">
        <f>AND('Black &amp; White load sheet'!D219,"AAAAAC/1owQ=")</f>
        <v>0</v>
      </c>
      <c r="F251" t="b">
        <f>AND('Black &amp; White load sheet'!E219,"AAAAAC/1owU=")</f>
        <v>1</v>
      </c>
      <c r="G251" t="b">
        <f>AND('Black &amp; White load sheet'!F219,"AAAAAC/1owY=")</f>
        <v>0</v>
      </c>
      <c r="H251" t="b">
        <f>AND('Black &amp; White load sheet'!G219,"AAAAAC/1owc=")</f>
        <v>0</v>
      </c>
      <c r="I251" t="b">
        <f>AND('Black &amp; White load sheet'!H219,"AAAAAC/1owg=")</f>
        <v>1</v>
      </c>
      <c r="J251" t="b">
        <f>AND('Black &amp; White load sheet'!I219,"AAAAAC/1owk=")</f>
        <v>1</v>
      </c>
      <c r="K251" t="b">
        <f>AND('Black &amp; White load sheet'!J219,"AAAAAC/1owo=")</f>
        <v>1</v>
      </c>
      <c r="L251" t="e">
        <f>AND('Black &amp; White load sheet'!K219,"AAAAAC/1ows=")</f>
        <v>#VALUE!</v>
      </c>
      <c r="M251" t="b">
        <f>AND('Black &amp; White load sheet'!L219,"AAAAAC/1oww=")</f>
        <v>1</v>
      </c>
      <c r="N251" t="b">
        <f>AND('Black &amp; White load sheet'!M219,"AAAAAC/1ow0=")</f>
        <v>1</v>
      </c>
      <c r="O251">
        <f>IF('Black &amp; White load sheet'!220:220,"AAAAAC/1ow4=",0)</f>
        <v>0</v>
      </c>
      <c r="P251" t="b">
        <f>AND('Black &amp; White load sheet'!A220,"AAAAAC/1ow8=")</f>
        <v>1</v>
      </c>
      <c r="Q251" t="b">
        <f>AND('Black &amp; White load sheet'!B220,"AAAAAC/1oxA=")</f>
        <v>1</v>
      </c>
      <c r="R251" t="b">
        <f>AND('Black &amp; White load sheet'!C220,"AAAAAC/1oxE=")</f>
        <v>0</v>
      </c>
      <c r="S251" t="b">
        <f>AND('Black &amp; White load sheet'!D220,"AAAAAC/1oxI=")</f>
        <v>0</v>
      </c>
      <c r="T251" t="b">
        <f>AND('Black &amp; White load sheet'!E220,"AAAAAC/1oxM=")</f>
        <v>1</v>
      </c>
      <c r="U251" t="b">
        <f>AND('Black &amp; White load sheet'!F220,"AAAAAC/1oxQ=")</f>
        <v>0</v>
      </c>
      <c r="V251" t="b">
        <f>AND('Black &amp; White load sheet'!G220,"AAAAAC/1oxU=")</f>
        <v>1</v>
      </c>
      <c r="W251" t="b">
        <f>AND('Black &amp; White load sheet'!H220,"AAAAAC/1oxY=")</f>
        <v>0</v>
      </c>
      <c r="X251" t="b">
        <f>AND('Black &amp; White load sheet'!I220,"AAAAAC/1oxc=")</f>
        <v>0</v>
      </c>
      <c r="Y251" t="b">
        <f>AND('Black &amp; White load sheet'!J220,"AAAAAC/1oxg=")</f>
        <v>0</v>
      </c>
      <c r="Z251" t="e">
        <f>AND('Black &amp; White load sheet'!K220,"AAAAAC/1oxk=")</f>
        <v>#VALUE!</v>
      </c>
      <c r="AA251" t="b">
        <f>AND('Black &amp; White load sheet'!L220,"AAAAAC/1oxo=")</f>
        <v>1</v>
      </c>
      <c r="AB251" t="b">
        <f>AND('Black &amp; White load sheet'!M220,"AAAAAC/1oxs=")</f>
        <v>1</v>
      </c>
      <c r="AC251">
        <f>IF('Black &amp; White load sheet'!221:221,"AAAAAC/1oxw=",0)</f>
        <v>0</v>
      </c>
      <c r="AD251" t="b">
        <f>AND('Black &amp; White load sheet'!A221,"AAAAAC/1ox0=")</f>
        <v>1</v>
      </c>
      <c r="AE251" t="b">
        <f>AND('Black &amp; White load sheet'!B221,"AAAAAC/1ox4=")</f>
        <v>1</v>
      </c>
      <c r="AF251" t="b">
        <f>AND('Black &amp; White load sheet'!C221,"AAAAAC/1ox8=")</f>
        <v>0</v>
      </c>
      <c r="AG251" t="b">
        <f>AND('Black &amp; White load sheet'!D221,"AAAAAC/1oyA=")</f>
        <v>0</v>
      </c>
      <c r="AH251" t="b">
        <f>AND('Black &amp; White load sheet'!E221,"AAAAAC/1oyE=")</f>
        <v>1</v>
      </c>
      <c r="AI251" t="b">
        <f>AND('Black &amp; White load sheet'!F221,"AAAAAC/1oyI=")</f>
        <v>0</v>
      </c>
      <c r="AJ251" t="b">
        <f>AND('Black &amp; White load sheet'!G221,"AAAAAC/1oyM=")</f>
        <v>1</v>
      </c>
      <c r="AK251" t="b">
        <f>AND('Black &amp; White load sheet'!H221,"AAAAAC/1oyQ=")</f>
        <v>0</v>
      </c>
      <c r="AL251" t="b">
        <f>AND('Black &amp; White load sheet'!I221,"AAAAAC/1oyU=")</f>
        <v>0</v>
      </c>
      <c r="AM251" t="b">
        <f>AND('Black &amp; White load sheet'!J221,"AAAAAC/1oyY=")</f>
        <v>1</v>
      </c>
      <c r="AN251" t="e">
        <f>AND('Black &amp; White load sheet'!K221,"AAAAAC/1oyc=")</f>
        <v>#VALUE!</v>
      </c>
      <c r="AO251" t="b">
        <f>AND('Black &amp; White load sheet'!L221,"AAAAAC/1oyg=")</f>
        <v>1</v>
      </c>
      <c r="AP251" t="b">
        <f>AND('Black &amp; White load sheet'!M221,"AAAAAC/1oyk=")</f>
        <v>1</v>
      </c>
      <c r="AQ251">
        <f>IF('Black &amp; White load sheet'!222:222,"AAAAAC/1oyo=",0)</f>
        <v>0</v>
      </c>
      <c r="AR251" t="b">
        <f>AND('Black &amp; White load sheet'!A222,"AAAAAC/1oys=")</f>
        <v>1</v>
      </c>
      <c r="AS251" t="b">
        <f>AND('Black &amp; White load sheet'!B222,"AAAAAC/1oyw=")</f>
        <v>1</v>
      </c>
      <c r="AT251" t="b">
        <f>AND('Black &amp; White load sheet'!C222,"AAAAAC/1oy0=")</f>
        <v>0</v>
      </c>
      <c r="AU251" t="b">
        <f>AND('Black &amp; White load sheet'!D222,"AAAAAC/1oy4=")</f>
        <v>0</v>
      </c>
      <c r="AV251" t="b">
        <f>AND('Black &amp; White load sheet'!E222,"AAAAAC/1oy8=")</f>
        <v>1</v>
      </c>
      <c r="AW251" t="b">
        <f>AND('Black &amp; White load sheet'!F222,"AAAAAC/1ozA=")</f>
        <v>0</v>
      </c>
      <c r="AX251" t="b">
        <f>AND('Black &amp; White load sheet'!G222,"AAAAAC/1ozE=")</f>
        <v>1</v>
      </c>
      <c r="AY251" t="b">
        <f>AND('Black &amp; White load sheet'!H222,"AAAAAC/1ozI=")</f>
        <v>0</v>
      </c>
      <c r="AZ251" t="b">
        <f>AND('Black &amp; White load sheet'!I222,"AAAAAC/1ozM=")</f>
        <v>1</v>
      </c>
      <c r="BA251" t="b">
        <f>AND('Black &amp; White load sheet'!J222,"AAAAAC/1ozQ=")</f>
        <v>0</v>
      </c>
      <c r="BB251" t="e">
        <f>AND('Black &amp; White load sheet'!K222,"AAAAAC/1ozU=")</f>
        <v>#VALUE!</v>
      </c>
      <c r="BC251" t="b">
        <f>AND('Black &amp; White load sheet'!L222,"AAAAAC/1ozY=")</f>
        <v>1</v>
      </c>
      <c r="BD251" t="b">
        <f>AND('Black &amp; White load sheet'!M222,"AAAAAC/1ozc=")</f>
        <v>1</v>
      </c>
      <c r="BE251">
        <f>IF('Black &amp; White load sheet'!223:223,"AAAAAC/1ozg=",0)</f>
        <v>0</v>
      </c>
      <c r="BF251" t="b">
        <f>AND('Black &amp; White load sheet'!A223,"AAAAAC/1ozk=")</f>
        <v>1</v>
      </c>
      <c r="BG251" t="b">
        <f>AND('Black &amp; White load sheet'!B223,"AAAAAC/1ozo=")</f>
        <v>1</v>
      </c>
      <c r="BH251" t="b">
        <f>AND('Black &amp; White load sheet'!C223,"AAAAAC/1ozs=")</f>
        <v>0</v>
      </c>
      <c r="BI251" t="b">
        <f>AND('Black &amp; White load sheet'!D223,"AAAAAC/1ozw=")</f>
        <v>0</v>
      </c>
      <c r="BJ251" t="b">
        <f>AND('Black &amp; White load sheet'!E223,"AAAAAC/1oz0=")</f>
        <v>1</v>
      </c>
      <c r="BK251" t="b">
        <f>AND('Black &amp; White load sheet'!F223,"AAAAAC/1oz4=")</f>
        <v>0</v>
      </c>
      <c r="BL251" t="b">
        <f>AND('Black &amp; White load sheet'!G223,"AAAAAC/1oz8=")</f>
        <v>1</v>
      </c>
      <c r="BM251" t="b">
        <f>AND('Black &amp; White load sheet'!H223,"AAAAAC/1o0A=")</f>
        <v>0</v>
      </c>
      <c r="BN251" t="b">
        <f>AND('Black &amp; White load sheet'!I223,"AAAAAC/1o0E=")</f>
        <v>1</v>
      </c>
      <c r="BO251" t="b">
        <f>AND('Black &amp; White load sheet'!J223,"AAAAAC/1o0I=")</f>
        <v>1</v>
      </c>
      <c r="BP251" t="e">
        <f>AND('Black &amp; White load sheet'!K223,"AAAAAC/1o0M=")</f>
        <v>#VALUE!</v>
      </c>
      <c r="BQ251" t="b">
        <f>AND('Black &amp; White load sheet'!L223,"AAAAAC/1o0Q=")</f>
        <v>1</v>
      </c>
      <c r="BR251" t="b">
        <f>AND('Black &amp; White load sheet'!M223,"AAAAAC/1o0U=")</f>
        <v>1</v>
      </c>
      <c r="BS251">
        <f>IF('Black &amp; White load sheet'!224:224,"AAAAAC/1o0Y=",0)</f>
        <v>0</v>
      </c>
      <c r="BT251" t="b">
        <f>AND('Black &amp; White load sheet'!A224,"AAAAAC/1o0c=")</f>
        <v>1</v>
      </c>
      <c r="BU251" t="b">
        <f>AND('Black &amp; White load sheet'!B224,"AAAAAC/1o0g=")</f>
        <v>1</v>
      </c>
      <c r="BV251" t="b">
        <f>AND('Black &amp; White load sheet'!C224,"AAAAAC/1o0k=")</f>
        <v>0</v>
      </c>
      <c r="BW251" t="b">
        <f>AND('Black &amp; White load sheet'!D224,"AAAAAC/1o0o=")</f>
        <v>0</v>
      </c>
      <c r="BX251" t="b">
        <f>AND('Black &amp; White load sheet'!E224,"AAAAAC/1o0s=")</f>
        <v>1</v>
      </c>
      <c r="BY251" t="b">
        <f>AND('Black &amp; White load sheet'!F224,"AAAAAC/1o0w=")</f>
        <v>1</v>
      </c>
      <c r="BZ251" t="b">
        <f>AND('Black &amp; White load sheet'!G224,"AAAAAC/1o00=")</f>
        <v>0</v>
      </c>
      <c r="CA251" t="b">
        <f>AND('Black &amp; White load sheet'!H224,"AAAAAC/1o04=")</f>
        <v>0</v>
      </c>
      <c r="CB251" t="b">
        <f>AND('Black &amp; White load sheet'!I224,"AAAAAC/1o08=")</f>
        <v>0</v>
      </c>
      <c r="CC251" t="b">
        <f>AND('Black &amp; White load sheet'!J224,"AAAAAC/1o1A=")</f>
        <v>0</v>
      </c>
      <c r="CD251" t="e">
        <f>AND('Black &amp; White load sheet'!K224,"AAAAAC/1o1E=")</f>
        <v>#VALUE!</v>
      </c>
      <c r="CE251" t="b">
        <f>AND('Black &amp; White load sheet'!L224,"AAAAAC/1o1I=")</f>
        <v>1</v>
      </c>
      <c r="CF251" t="b">
        <f>AND('Black &amp; White load sheet'!M224,"AAAAAC/1o1M=")</f>
        <v>1</v>
      </c>
      <c r="CG251">
        <f>IF('Black &amp; White load sheet'!225:225,"AAAAAC/1o1Q=",0)</f>
        <v>0</v>
      </c>
      <c r="CH251" t="b">
        <f>AND('Black &amp; White load sheet'!A225,"AAAAAC/1o1U=")</f>
        <v>1</v>
      </c>
      <c r="CI251" t="b">
        <f>AND('Black &amp; White load sheet'!B225,"AAAAAC/1o1Y=")</f>
        <v>1</v>
      </c>
      <c r="CJ251" t="b">
        <f>AND('Black &amp; White load sheet'!C225,"AAAAAC/1o1c=")</f>
        <v>0</v>
      </c>
      <c r="CK251" t="b">
        <f>AND('Black &amp; White load sheet'!D225,"AAAAAC/1o1g=")</f>
        <v>0</v>
      </c>
      <c r="CL251" t="b">
        <f>AND('Black &amp; White load sheet'!E225,"AAAAAC/1o1k=")</f>
        <v>1</v>
      </c>
      <c r="CM251" t="b">
        <f>AND('Black &amp; White load sheet'!F225,"AAAAAC/1o1o=")</f>
        <v>1</v>
      </c>
      <c r="CN251" t="b">
        <f>AND('Black &amp; White load sheet'!G225,"AAAAAC/1o1s=")</f>
        <v>0</v>
      </c>
      <c r="CO251" t="b">
        <f>AND('Black &amp; White load sheet'!H225,"AAAAAC/1o1w=")</f>
        <v>0</v>
      </c>
      <c r="CP251" t="b">
        <f>AND('Black &amp; White load sheet'!I225,"AAAAAC/1o10=")</f>
        <v>0</v>
      </c>
      <c r="CQ251" t="b">
        <f>AND('Black &amp; White load sheet'!J225,"AAAAAC/1o14=")</f>
        <v>1</v>
      </c>
      <c r="CR251" t="e">
        <f>AND('Black &amp; White load sheet'!K225,"AAAAAC/1o18=")</f>
        <v>#VALUE!</v>
      </c>
      <c r="CS251" t="b">
        <f>AND('Black &amp; White load sheet'!L225,"AAAAAC/1o2A=")</f>
        <v>1</v>
      </c>
      <c r="CT251" t="b">
        <f>AND('Black &amp; White load sheet'!M225,"AAAAAC/1o2E=")</f>
        <v>1</v>
      </c>
      <c r="CU251">
        <f>IF('Black &amp; White load sheet'!226:226,"AAAAAC/1o2I=",0)</f>
        <v>0</v>
      </c>
      <c r="CV251" t="b">
        <f>AND('Black &amp; White load sheet'!A226,"AAAAAC/1o2M=")</f>
        <v>1</v>
      </c>
      <c r="CW251" t="b">
        <f>AND('Black &amp; White load sheet'!B226,"AAAAAC/1o2Q=")</f>
        <v>1</v>
      </c>
      <c r="CX251" t="b">
        <f>AND('Black &amp; White load sheet'!C226,"AAAAAC/1o2U=")</f>
        <v>0</v>
      </c>
      <c r="CY251" t="b">
        <f>AND('Black &amp; White load sheet'!D226,"AAAAAC/1o2Y=")</f>
        <v>0</v>
      </c>
      <c r="CZ251" t="b">
        <f>AND('Black &amp; White load sheet'!E226,"AAAAAC/1o2c=")</f>
        <v>1</v>
      </c>
      <c r="DA251" t="b">
        <f>AND('Black &amp; White load sheet'!F226,"AAAAAC/1o2g=")</f>
        <v>1</v>
      </c>
      <c r="DB251" t="b">
        <f>AND('Black &amp; White load sheet'!G226,"AAAAAC/1o2k=")</f>
        <v>0</v>
      </c>
      <c r="DC251" t="b">
        <f>AND('Black &amp; White load sheet'!H226,"AAAAAC/1o2o=")</f>
        <v>0</v>
      </c>
      <c r="DD251" t="b">
        <f>AND('Black &amp; White load sheet'!I226,"AAAAAC/1o2s=")</f>
        <v>1</v>
      </c>
      <c r="DE251" t="b">
        <f>AND('Black &amp; White load sheet'!J226,"AAAAAC/1o2w=")</f>
        <v>0</v>
      </c>
      <c r="DF251" t="e">
        <f>AND('Black &amp; White load sheet'!K226,"AAAAAC/1o20=")</f>
        <v>#VALUE!</v>
      </c>
      <c r="DG251" t="b">
        <f>AND('Black &amp; White load sheet'!L226,"AAAAAC/1o24=")</f>
        <v>1</v>
      </c>
      <c r="DH251" t="b">
        <f>AND('Black &amp; White load sheet'!M226,"AAAAAC/1o28=")</f>
        <v>1</v>
      </c>
      <c r="DI251">
        <f>IF('Black &amp; White load sheet'!227:227,"AAAAAC/1o3A=",0)</f>
        <v>0</v>
      </c>
      <c r="DJ251" t="b">
        <f>AND('Black &amp; White load sheet'!A227,"AAAAAC/1o3E=")</f>
        <v>1</v>
      </c>
      <c r="DK251" t="b">
        <f>AND('Black &amp; White load sheet'!B227,"AAAAAC/1o3I=")</f>
        <v>1</v>
      </c>
      <c r="DL251" t="b">
        <f>AND('Black &amp; White load sheet'!C227,"AAAAAC/1o3M=")</f>
        <v>0</v>
      </c>
      <c r="DM251" t="b">
        <f>AND('Black &amp; White load sheet'!D227,"AAAAAC/1o3Q=")</f>
        <v>0</v>
      </c>
      <c r="DN251" t="b">
        <f>AND('Black &amp; White load sheet'!E227,"AAAAAC/1o3U=")</f>
        <v>1</v>
      </c>
      <c r="DO251" t="b">
        <f>AND('Black &amp; White load sheet'!F227,"AAAAAC/1o3Y=")</f>
        <v>1</v>
      </c>
      <c r="DP251" t="b">
        <f>AND('Black &amp; White load sheet'!G227,"AAAAAC/1o3c=")</f>
        <v>0</v>
      </c>
      <c r="DQ251" t="b">
        <f>AND('Black &amp; White load sheet'!H227,"AAAAAC/1o3g=")</f>
        <v>0</v>
      </c>
      <c r="DR251" t="b">
        <f>AND('Black &amp; White load sheet'!I227,"AAAAAC/1o3k=")</f>
        <v>1</v>
      </c>
      <c r="DS251" t="b">
        <f>AND('Black &amp; White load sheet'!J227,"AAAAAC/1o3o=")</f>
        <v>1</v>
      </c>
      <c r="DT251" t="e">
        <f>AND('Black &amp; White load sheet'!K227,"AAAAAC/1o3s=")</f>
        <v>#VALUE!</v>
      </c>
      <c r="DU251" t="b">
        <f>AND('Black &amp; White load sheet'!L227,"AAAAAC/1o3w=")</f>
        <v>1</v>
      </c>
      <c r="DV251" t="b">
        <f>AND('Black &amp; White load sheet'!M227,"AAAAAC/1o30=")</f>
        <v>1</v>
      </c>
      <c r="DW251">
        <f>IF('Black &amp; White load sheet'!228:228,"AAAAAC/1o34=",0)</f>
        <v>0</v>
      </c>
      <c r="DX251" t="b">
        <f>AND('Black &amp; White load sheet'!A228,"AAAAAC/1o38=")</f>
        <v>1</v>
      </c>
      <c r="DY251" t="b">
        <f>AND('Black &amp; White load sheet'!B228,"AAAAAC/1o4A=")</f>
        <v>1</v>
      </c>
      <c r="DZ251" t="b">
        <f>AND('Black &amp; White load sheet'!C228,"AAAAAC/1o4E=")</f>
        <v>0</v>
      </c>
      <c r="EA251" t="b">
        <f>AND('Black &amp; White load sheet'!D228,"AAAAAC/1o4I=")</f>
        <v>0</v>
      </c>
      <c r="EB251" t="b">
        <f>AND('Black &amp; White load sheet'!E228,"AAAAAC/1o4M=")</f>
        <v>1</v>
      </c>
      <c r="EC251" t="b">
        <f>AND('Black &amp; White load sheet'!F228,"AAAAAC/1o4Q=")</f>
        <v>1</v>
      </c>
      <c r="ED251" t="b">
        <f>AND('Black &amp; White load sheet'!G228,"AAAAAC/1o4U=")</f>
        <v>0</v>
      </c>
      <c r="EE251" t="b">
        <f>AND('Black &amp; White load sheet'!H228,"AAAAAC/1o4Y=")</f>
        <v>1</v>
      </c>
      <c r="EF251" t="b">
        <f>AND('Black &amp; White load sheet'!I228,"AAAAAC/1o4c=")</f>
        <v>0</v>
      </c>
      <c r="EG251" t="b">
        <f>AND('Black &amp; White load sheet'!J228,"AAAAAC/1o4g=")</f>
        <v>0</v>
      </c>
      <c r="EH251" t="e">
        <f>AND('Black &amp; White load sheet'!K228,"AAAAAC/1o4k=")</f>
        <v>#VALUE!</v>
      </c>
      <c r="EI251" t="b">
        <f>AND('Black &amp; White load sheet'!L228,"AAAAAC/1o4o=")</f>
        <v>1</v>
      </c>
      <c r="EJ251" t="b">
        <f>AND('Black &amp; White load sheet'!M228,"AAAAAC/1o4s=")</f>
        <v>1</v>
      </c>
      <c r="EK251">
        <f>IF('Black &amp; White load sheet'!229:229,"AAAAAC/1o4w=",0)</f>
        <v>0</v>
      </c>
      <c r="EL251" t="b">
        <f>AND('Black &amp; White load sheet'!A229,"AAAAAC/1o40=")</f>
        <v>1</v>
      </c>
      <c r="EM251" t="b">
        <f>AND('Black &amp; White load sheet'!B229,"AAAAAC/1o44=")</f>
        <v>1</v>
      </c>
      <c r="EN251" t="b">
        <f>AND('Black &amp; White load sheet'!C229,"AAAAAC/1o48=")</f>
        <v>0</v>
      </c>
      <c r="EO251" t="b">
        <f>AND('Black &amp; White load sheet'!D229,"AAAAAC/1o5A=")</f>
        <v>0</v>
      </c>
      <c r="EP251" t="b">
        <f>AND('Black &amp; White load sheet'!E229,"AAAAAC/1o5E=")</f>
        <v>1</v>
      </c>
      <c r="EQ251" t="b">
        <f>AND('Black &amp; White load sheet'!F229,"AAAAAC/1o5I=")</f>
        <v>1</v>
      </c>
      <c r="ER251" t="b">
        <f>AND('Black &amp; White load sheet'!G229,"AAAAAC/1o5M=")</f>
        <v>0</v>
      </c>
      <c r="ES251" t="b">
        <f>AND('Black &amp; White load sheet'!H229,"AAAAAC/1o5Q=")</f>
        <v>1</v>
      </c>
      <c r="ET251" t="b">
        <f>AND('Black &amp; White load sheet'!I229,"AAAAAC/1o5U=")</f>
        <v>0</v>
      </c>
      <c r="EU251" t="b">
        <f>AND('Black &amp; White load sheet'!J229,"AAAAAC/1o5Y=")</f>
        <v>1</v>
      </c>
      <c r="EV251" t="e">
        <f>AND('Black &amp; White load sheet'!K229,"AAAAAC/1o5c=")</f>
        <v>#VALUE!</v>
      </c>
      <c r="EW251" t="b">
        <f>AND('Black &amp; White load sheet'!L229,"AAAAAC/1o5g=")</f>
        <v>1</v>
      </c>
      <c r="EX251" t="b">
        <f>AND('Black &amp; White load sheet'!M229,"AAAAAC/1o5k=")</f>
        <v>1</v>
      </c>
      <c r="EY251">
        <f>IF('Black &amp; White load sheet'!230:230,"AAAAAC/1o5o=",0)</f>
        <v>0</v>
      </c>
      <c r="EZ251" t="b">
        <f>AND('Black &amp; White load sheet'!A230,"AAAAAC/1o5s=")</f>
        <v>1</v>
      </c>
      <c r="FA251" t="b">
        <f>AND('Black &amp; White load sheet'!B230,"AAAAAC/1o5w=")</f>
        <v>1</v>
      </c>
      <c r="FB251" t="b">
        <f>AND('Black &amp; White load sheet'!C230,"AAAAAC/1o50=")</f>
        <v>0</v>
      </c>
      <c r="FC251" t="b">
        <f>AND('Black &amp; White load sheet'!D230,"AAAAAC/1o54=")</f>
        <v>0</v>
      </c>
      <c r="FD251" t="b">
        <f>AND('Black &amp; White load sheet'!E230,"AAAAAC/1o58=")</f>
        <v>1</v>
      </c>
      <c r="FE251" t="b">
        <f>AND('Black &amp; White load sheet'!F230,"AAAAAC/1o6A=")</f>
        <v>1</v>
      </c>
      <c r="FF251" t="b">
        <f>AND('Black &amp; White load sheet'!G230,"AAAAAC/1o6E=")</f>
        <v>0</v>
      </c>
      <c r="FG251" t="b">
        <f>AND('Black &amp; White load sheet'!H230,"AAAAAC/1o6I=")</f>
        <v>1</v>
      </c>
      <c r="FH251" t="b">
        <f>AND('Black &amp; White load sheet'!I230,"AAAAAC/1o6M=")</f>
        <v>1</v>
      </c>
      <c r="FI251" t="b">
        <f>AND('Black &amp; White load sheet'!J230,"AAAAAC/1o6Q=")</f>
        <v>0</v>
      </c>
      <c r="FJ251" t="e">
        <f>AND('Black &amp; White load sheet'!K230,"AAAAAC/1o6U=")</f>
        <v>#VALUE!</v>
      </c>
      <c r="FK251" t="b">
        <f>AND('Black &amp; White load sheet'!L230,"AAAAAC/1o6Y=")</f>
        <v>1</v>
      </c>
      <c r="FL251" t="b">
        <f>AND('Black &amp; White load sheet'!M230,"AAAAAC/1o6c=")</f>
        <v>1</v>
      </c>
      <c r="FM251">
        <f>IF('Black &amp; White load sheet'!231:231,"AAAAAC/1o6g=",0)</f>
        <v>0</v>
      </c>
      <c r="FN251" t="b">
        <f>AND('Black &amp; White load sheet'!A231,"AAAAAC/1o6k=")</f>
        <v>1</v>
      </c>
      <c r="FO251" t="b">
        <f>AND('Black &amp; White load sheet'!B231,"AAAAAC/1o6o=")</f>
        <v>1</v>
      </c>
      <c r="FP251" t="b">
        <f>AND('Black &amp; White load sheet'!C231,"AAAAAC/1o6s=")</f>
        <v>0</v>
      </c>
      <c r="FQ251" t="b">
        <f>AND('Black &amp; White load sheet'!D231,"AAAAAC/1o6w=")</f>
        <v>0</v>
      </c>
      <c r="FR251" t="b">
        <f>AND('Black &amp; White load sheet'!E231,"AAAAAC/1o60=")</f>
        <v>1</v>
      </c>
      <c r="FS251" t="b">
        <f>AND('Black &amp; White load sheet'!F231,"AAAAAC/1o64=")</f>
        <v>1</v>
      </c>
      <c r="FT251" t="b">
        <f>AND('Black &amp; White load sheet'!G231,"AAAAAC/1o68=")</f>
        <v>0</v>
      </c>
      <c r="FU251" t="b">
        <f>AND('Black &amp; White load sheet'!H231,"AAAAAC/1o7A=")</f>
        <v>1</v>
      </c>
      <c r="FV251" t="b">
        <f>AND('Black &amp; White load sheet'!I231,"AAAAAC/1o7E=")</f>
        <v>1</v>
      </c>
      <c r="FW251" t="b">
        <f>AND('Black &amp; White load sheet'!J231,"AAAAAC/1o7I=")</f>
        <v>1</v>
      </c>
      <c r="FX251" t="e">
        <f>AND('Black &amp; White load sheet'!K231,"AAAAAC/1o7M=")</f>
        <v>#VALUE!</v>
      </c>
      <c r="FY251" t="b">
        <f>AND('Black &amp; White load sheet'!L231,"AAAAAC/1o7Q=")</f>
        <v>1</v>
      </c>
      <c r="FZ251" t="b">
        <f>AND('Black &amp; White load sheet'!M231,"AAAAAC/1o7U=")</f>
        <v>1</v>
      </c>
      <c r="GA251">
        <f>IF('Black &amp; White load sheet'!232:232,"AAAAAC/1o7Y=",0)</f>
        <v>0</v>
      </c>
      <c r="GB251" t="b">
        <f>AND('Black &amp; White load sheet'!A232,"AAAAAC/1o7c=")</f>
        <v>1</v>
      </c>
      <c r="GC251" t="b">
        <f>AND('Black &amp; White load sheet'!B232,"AAAAAC/1o7g=")</f>
        <v>1</v>
      </c>
      <c r="GD251" t="b">
        <f>AND('Black &amp; White load sheet'!C232,"AAAAAC/1o7k=")</f>
        <v>0</v>
      </c>
      <c r="GE251" t="b">
        <f>AND('Black &amp; White load sheet'!D232,"AAAAAC/1o7o=")</f>
        <v>0</v>
      </c>
      <c r="GF251" t="b">
        <f>AND('Black &amp; White load sheet'!E232,"AAAAAC/1o7s=")</f>
        <v>1</v>
      </c>
      <c r="GG251" t="b">
        <f>AND('Black &amp; White load sheet'!F232,"AAAAAC/1o7w=")</f>
        <v>1</v>
      </c>
      <c r="GH251" t="b">
        <f>AND('Black &amp; White load sheet'!G232,"AAAAAC/1o70=")</f>
        <v>1</v>
      </c>
      <c r="GI251" t="b">
        <f>AND('Black &amp; White load sheet'!H232,"AAAAAC/1o74=")</f>
        <v>0</v>
      </c>
      <c r="GJ251" t="b">
        <f>AND('Black &amp; White load sheet'!I232,"AAAAAC/1o78=")</f>
        <v>0</v>
      </c>
      <c r="GK251" t="b">
        <f>AND('Black &amp; White load sheet'!J232,"AAAAAC/1o8A=")</f>
        <v>0</v>
      </c>
      <c r="GL251" t="e">
        <f>AND('Black &amp; White load sheet'!K232,"AAAAAC/1o8E=")</f>
        <v>#VALUE!</v>
      </c>
      <c r="GM251" t="b">
        <f>AND('Black &amp; White load sheet'!L232,"AAAAAC/1o8I=")</f>
        <v>1</v>
      </c>
      <c r="GN251" t="b">
        <f>AND('Black &amp; White load sheet'!M232,"AAAAAC/1o8M=")</f>
        <v>1</v>
      </c>
      <c r="GO251">
        <f>IF('Black &amp; White load sheet'!233:233,"AAAAAC/1o8Q=",0)</f>
        <v>0</v>
      </c>
      <c r="GP251" t="b">
        <f>AND('Black &amp; White load sheet'!A233,"AAAAAC/1o8U=")</f>
        <v>1</v>
      </c>
      <c r="GQ251" t="b">
        <f>AND('Black &amp; White load sheet'!B233,"AAAAAC/1o8Y=")</f>
        <v>1</v>
      </c>
      <c r="GR251" t="b">
        <f>AND('Black &amp; White load sheet'!C233,"AAAAAC/1o8c=")</f>
        <v>0</v>
      </c>
      <c r="GS251" t="b">
        <f>AND('Black &amp; White load sheet'!D233,"AAAAAC/1o8g=")</f>
        <v>0</v>
      </c>
      <c r="GT251" t="b">
        <f>AND('Black &amp; White load sheet'!E233,"AAAAAC/1o8k=")</f>
        <v>1</v>
      </c>
      <c r="GU251" t="b">
        <f>AND('Black &amp; White load sheet'!F233,"AAAAAC/1o8o=")</f>
        <v>1</v>
      </c>
      <c r="GV251" t="b">
        <f>AND('Black &amp; White load sheet'!G233,"AAAAAC/1o8s=")</f>
        <v>1</v>
      </c>
      <c r="GW251" t="b">
        <f>AND('Black &amp; White load sheet'!H233,"AAAAAC/1o8w=")</f>
        <v>0</v>
      </c>
      <c r="GX251" t="b">
        <f>AND('Black &amp; White load sheet'!I233,"AAAAAC/1o80=")</f>
        <v>0</v>
      </c>
      <c r="GY251" t="b">
        <f>AND('Black &amp; White load sheet'!J233,"AAAAAC/1o84=")</f>
        <v>1</v>
      </c>
      <c r="GZ251" t="e">
        <f>AND('Black &amp; White load sheet'!K233,"AAAAAC/1o88=")</f>
        <v>#VALUE!</v>
      </c>
      <c r="HA251" t="b">
        <f>AND('Black &amp; White load sheet'!L233,"AAAAAC/1o9A=")</f>
        <v>1</v>
      </c>
      <c r="HB251" t="b">
        <f>AND('Black &amp; White load sheet'!M233,"AAAAAC/1o9E=")</f>
        <v>1</v>
      </c>
      <c r="HC251">
        <f>IF('Black &amp; White load sheet'!234:234,"AAAAAC/1o9I=",0)</f>
        <v>0</v>
      </c>
      <c r="HD251" t="b">
        <f>AND('Black &amp; White load sheet'!A234,"AAAAAC/1o9M=")</f>
        <v>1</v>
      </c>
      <c r="HE251" t="b">
        <f>AND('Black &amp; White load sheet'!B234,"AAAAAC/1o9Q=")</f>
        <v>1</v>
      </c>
      <c r="HF251" t="b">
        <f>AND('Black &amp; White load sheet'!C234,"AAAAAC/1o9U=")</f>
        <v>0</v>
      </c>
      <c r="HG251" t="b">
        <f>AND('Black &amp; White load sheet'!D234,"AAAAAC/1o9Y=")</f>
        <v>0</v>
      </c>
      <c r="HH251" t="b">
        <f>AND('Black &amp; White load sheet'!E234,"AAAAAC/1o9c=")</f>
        <v>1</v>
      </c>
      <c r="HI251" t="b">
        <f>AND('Black &amp; White load sheet'!F234,"AAAAAC/1o9g=")</f>
        <v>1</v>
      </c>
      <c r="HJ251" t="b">
        <f>AND('Black &amp; White load sheet'!G234,"AAAAAC/1o9k=")</f>
        <v>1</v>
      </c>
      <c r="HK251" t="b">
        <f>AND('Black &amp; White load sheet'!H234,"AAAAAC/1o9o=")</f>
        <v>0</v>
      </c>
      <c r="HL251" t="b">
        <f>AND('Black &amp; White load sheet'!I234,"AAAAAC/1o9s=")</f>
        <v>1</v>
      </c>
      <c r="HM251" t="b">
        <f>AND('Black &amp; White load sheet'!J234,"AAAAAC/1o9w=")</f>
        <v>0</v>
      </c>
      <c r="HN251" t="e">
        <f>AND('Black &amp; White load sheet'!K234,"AAAAAC/1o90=")</f>
        <v>#VALUE!</v>
      </c>
      <c r="HO251" t="b">
        <f>AND('Black &amp; White load sheet'!L234,"AAAAAC/1o94=")</f>
        <v>1</v>
      </c>
      <c r="HP251" t="b">
        <f>AND('Black &amp; White load sheet'!M234,"AAAAAC/1o98=")</f>
        <v>1</v>
      </c>
      <c r="HQ251">
        <f>IF('Black &amp; White load sheet'!235:235,"AAAAAC/1o+A=",0)</f>
        <v>0</v>
      </c>
      <c r="HR251" t="b">
        <f>AND('Black &amp; White load sheet'!A235,"AAAAAC/1o+E=")</f>
        <v>1</v>
      </c>
      <c r="HS251" t="b">
        <f>AND('Black &amp; White load sheet'!B235,"AAAAAC/1o+I=")</f>
        <v>1</v>
      </c>
      <c r="HT251" t="b">
        <f>AND('Black &amp; White load sheet'!C235,"AAAAAC/1o+M=")</f>
        <v>0</v>
      </c>
      <c r="HU251" t="b">
        <f>AND('Black &amp; White load sheet'!D235,"AAAAAC/1o+Q=")</f>
        <v>0</v>
      </c>
      <c r="HV251" t="b">
        <f>AND('Black &amp; White load sheet'!E235,"AAAAAC/1o+U=")</f>
        <v>1</v>
      </c>
      <c r="HW251" t="b">
        <f>AND('Black &amp; White load sheet'!F235,"AAAAAC/1o+Y=")</f>
        <v>1</v>
      </c>
      <c r="HX251" t="b">
        <f>AND('Black &amp; White load sheet'!G235,"AAAAAC/1o+c=")</f>
        <v>1</v>
      </c>
      <c r="HY251" t="b">
        <f>AND('Black &amp; White load sheet'!H235,"AAAAAC/1o+g=")</f>
        <v>0</v>
      </c>
      <c r="HZ251" t="b">
        <f>AND('Black &amp; White load sheet'!I235,"AAAAAC/1o+k=")</f>
        <v>1</v>
      </c>
      <c r="IA251" t="b">
        <f>AND('Black &amp; White load sheet'!J235,"AAAAAC/1o+o=")</f>
        <v>1</v>
      </c>
      <c r="IB251" t="e">
        <f>AND('Black &amp; White load sheet'!K235,"AAAAAC/1o+s=")</f>
        <v>#VALUE!</v>
      </c>
      <c r="IC251" t="b">
        <f>AND('Black &amp; White load sheet'!L235,"AAAAAC/1o+w=")</f>
        <v>1</v>
      </c>
      <c r="ID251" t="b">
        <f>AND('Black &amp; White load sheet'!M235,"AAAAAC/1o+0=")</f>
        <v>1</v>
      </c>
      <c r="IE251">
        <f>IF('Black &amp; White load sheet'!236:236,"AAAAAC/1o+4=",0)</f>
        <v>0</v>
      </c>
      <c r="IF251" t="b">
        <f>AND('Black &amp; White load sheet'!A236,"AAAAAC/1o+8=")</f>
        <v>1</v>
      </c>
      <c r="IG251" t="b">
        <f>AND('Black &amp; White load sheet'!B236,"AAAAAC/1o/A=")</f>
        <v>1</v>
      </c>
      <c r="IH251" t="b">
        <f>AND('Black &amp; White load sheet'!C236,"AAAAAC/1o/E=")</f>
        <v>0</v>
      </c>
      <c r="II251" t="b">
        <f>AND('Black &amp; White load sheet'!D236,"AAAAAC/1o/I=")</f>
        <v>0</v>
      </c>
      <c r="IJ251" t="b">
        <f>AND('Black &amp; White load sheet'!E236,"AAAAAC/1o/M=")</f>
        <v>1</v>
      </c>
      <c r="IK251" t="b">
        <f>AND('Black &amp; White load sheet'!F236,"AAAAAC/1o/Q=")</f>
        <v>1</v>
      </c>
      <c r="IL251" t="b">
        <f>AND('Black &amp; White load sheet'!G236,"AAAAAC/1o/U=")</f>
        <v>1</v>
      </c>
      <c r="IM251" t="b">
        <f>AND('Black &amp; White load sheet'!H236,"AAAAAC/1o/Y=")</f>
        <v>1</v>
      </c>
      <c r="IN251" t="b">
        <f>AND('Black &amp; White load sheet'!I236,"AAAAAC/1o/c=")</f>
        <v>0</v>
      </c>
      <c r="IO251" t="b">
        <f>AND('Black &amp; White load sheet'!J236,"AAAAAC/1o/g=")</f>
        <v>0</v>
      </c>
      <c r="IP251" t="e">
        <f>AND('Black &amp; White load sheet'!K236,"AAAAAC/1o/k=")</f>
        <v>#VALUE!</v>
      </c>
      <c r="IQ251" t="b">
        <f>AND('Black &amp; White load sheet'!L236,"AAAAAC/1o/o=")</f>
        <v>1</v>
      </c>
      <c r="IR251" t="b">
        <f>AND('Black &amp; White load sheet'!M236,"AAAAAC/1o/s=")</f>
        <v>1</v>
      </c>
      <c r="IS251">
        <f>IF('Black &amp; White load sheet'!237:237,"AAAAAC/1o/w=",0)</f>
        <v>0</v>
      </c>
      <c r="IT251" t="b">
        <f>AND('Black &amp; White load sheet'!A237,"AAAAAC/1o/0=")</f>
        <v>1</v>
      </c>
      <c r="IU251" t="b">
        <f>AND('Black &amp; White load sheet'!B237,"AAAAAC/1o/4=")</f>
        <v>1</v>
      </c>
      <c r="IV251" t="b">
        <f>AND('Black &amp; White load sheet'!C237,"AAAAAC/1o/8=")</f>
        <v>0</v>
      </c>
    </row>
    <row r="252" spans="1:256" x14ac:dyDescent="0.25">
      <c r="A252" t="b">
        <f>AND('Black &amp; White load sheet'!D237,"AAAAAEdb3wA=")</f>
        <v>0</v>
      </c>
      <c r="B252" t="b">
        <f>AND('Black &amp; White load sheet'!E237,"AAAAAEdb3wE=")</f>
        <v>1</v>
      </c>
      <c r="C252" t="b">
        <f>AND('Black &amp; White load sheet'!F237,"AAAAAEdb3wI=")</f>
        <v>1</v>
      </c>
      <c r="D252" t="b">
        <f>AND('Black &amp; White load sheet'!G237,"AAAAAEdb3wM=")</f>
        <v>1</v>
      </c>
      <c r="E252" t="b">
        <f>AND('Black &amp; White load sheet'!H237,"AAAAAEdb3wQ=")</f>
        <v>1</v>
      </c>
      <c r="F252" t="b">
        <f>AND('Black &amp; White load sheet'!I237,"AAAAAEdb3wU=")</f>
        <v>0</v>
      </c>
      <c r="G252" t="b">
        <f>AND('Black &amp; White load sheet'!J237,"AAAAAEdb3wY=")</f>
        <v>1</v>
      </c>
      <c r="H252" t="e">
        <f>AND('Black &amp; White load sheet'!K237,"AAAAAEdb3wc=")</f>
        <v>#VALUE!</v>
      </c>
      <c r="I252" t="b">
        <f>AND('Black &amp; White load sheet'!L237,"AAAAAEdb3wg=")</f>
        <v>1</v>
      </c>
      <c r="J252" t="b">
        <f>AND('Black &amp; White load sheet'!M237,"AAAAAEdb3wk=")</f>
        <v>1</v>
      </c>
      <c r="K252">
        <f>IF('Black &amp; White load sheet'!238:238,"AAAAAEdb3wo=",0)</f>
        <v>0</v>
      </c>
      <c r="L252" t="b">
        <f>AND('Black &amp; White load sheet'!A238,"AAAAAEdb3ws=")</f>
        <v>1</v>
      </c>
      <c r="M252" t="b">
        <f>AND('Black &amp; White load sheet'!B238,"AAAAAEdb3ww=")</f>
        <v>1</v>
      </c>
      <c r="N252" t="b">
        <f>AND('Black &amp; White load sheet'!C238,"AAAAAEdb3w0=")</f>
        <v>0</v>
      </c>
      <c r="O252" t="b">
        <f>AND('Black &amp; White load sheet'!D238,"AAAAAEdb3w4=")</f>
        <v>0</v>
      </c>
      <c r="P252" t="b">
        <f>AND('Black &amp; White load sheet'!E238,"AAAAAEdb3w8=")</f>
        <v>1</v>
      </c>
      <c r="Q252" t="b">
        <f>AND('Black &amp; White load sheet'!F238,"AAAAAEdb3xA=")</f>
        <v>1</v>
      </c>
      <c r="R252" t="b">
        <f>AND('Black &amp; White load sheet'!G238,"AAAAAEdb3xE=")</f>
        <v>1</v>
      </c>
      <c r="S252" t="b">
        <f>AND('Black &amp; White load sheet'!H238,"AAAAAEdb3xI=")</f>
        <v>1</v>
      </c>
      <c r="T252" t="b">
        <f>AND('Black &amp; White load sheet'!I238,"AAAAAEdb3xM=")</f>
        <v>1</v>
      </c>
      <c r="U252" t="b">
        <f>AND('Black &amp; White load sheet'!J238,"AAAAAEdb3xQ=")</f>
        <v>0</v>
      </c>
      <c r="V252" t="e">
        <f>AND('Black &amp; White load sheet'!K238,"AAAAAEdb3xU=")</f>
        <v>#VALUE!</v>
      </c>
      <c r="W252" t="b">
        <f>AND('Black &amp; White load sheet'!L238,"AAAAAEdb3xY=")</f>
        <v>1</v>
      </c>
      <c r="X252" t="b">
        <f>AND('Black &amp; White load sheet'!M238,"AAAAAEdb3xc=")</f>
        <v>1</v>
      </c>
      <c r="Y252">
        <f>IF('Black &amp; White load sheet'!239:239,"AAAAAEdb3xg=",0)</f>
        <v>0</v>
      </c>
      <c r="Z252" t="b">
        <f>AND('Black &amp; White load sheet'!A239,"AAAAAEdb3xk=")</f>
        <v>1</v>
      </c>
      <c r="AA252" t="b">
        <f>AND('Black &amp; White load sheet'!B239,"AAAAAEdb3xo=")</f>
        <v>1</v>
      </c>
      <c r="AB252" t="b">
        <f>AND('Black &amp; White load sheet'!C239,"AAAAAEdb3xs=")</f>
        <v>0</v>
      </c>
      <c r="AC252" t="b">
        <f>AND('Black &amp; White load sheet'!D239,"AAAAAEdb3xw=")</f>
        <v>0</v>
      </c>
      <c r="AD252" t="b">
        <f>AND('Black &amp; White load sheet'!E239,"AAAAAEdb3x0=")</f>
        <v>1</v>
      </c>
      <c r="AE252" t="b">
        <f>AND('Black &amp; White load sheet'!F239,"AAAAAEdb3x4=")</f>
        <v>1</v>
      </c>
      <c r="AF252" t="b">
        <f>AND('Black &amp; White load sheet'!G239,"AAAAAEdb3x8=")</f>
        <v>1</v>
      </c>
      <c r="AG252" t="b">
        <f>AND('Black &amp; White load sheet'!H239,"AAAAAEdb3yA=")</f>
        <v>1</v>
      </c>
      <c r="AH252" t="b">
        <f>AND('Black &amp; White load sheet'!I239,"AAAAAEdb3yE=")</f>
        <v>1</v>
      </c>
      <c r="AI252" t="b">
        <f>AND('Black &amp; White load sheet'!J239,"AAAAAEdb3yI=")</f>
        <v>1</v>
      </c>
      <c r="AJ252" t="e">
        <f>AND('Black &amp; White load sheet'!K239,"AAAAAEdb3yM=")</f>
        <v>#VALUE!</v>
      </c>
      <c r="AK252" t="b">
        <f>AND('Black &amp; White load sheet'!L239,"AAAAAEdb3yQ=")</f>
        <v>1</v>
      </c>
      <c r="AL252" t="b">
        <f>AND('Black &amp; White load sheet'!M239,"AAAAAEdb3yU=")</f>
        <v>1</v>
      </c>
      <c r="AM252">
        <f>IF('Black &amp; White load sheet'!240:240,"AAAAAEdb3yY=",0)</f>
        <v>0</v>
      </c>
      <c r="AN252" t="b">
        <f>AND('Black &amp; White load sheet'!A240,"AAAAAEdb3yc=")</f>
        <v>1</v>
      </c>
      <c r="AO252" t="b">
        <f>AND('Black &amp; White load sheet'!B240,"AAAAAEdb3yg=")</f>
        <v>1</v>
      </c>
      <c r="AP252" t="b">
        <f>AND('Black &amp; White load sheet'!C240,"AAAAAEdb3yk=")</f>
        <v>0</v>
      </c>
      <c r="AQ252" t="b">
        <f>AND('Black &amp; White load sheet'!D240,"AAAAAEdb3yo=")</f>
        <v>0</v>
      </c>
      <c r="AR252" t="b">
        <f>AND('Black &amp; White load sheet'!E240,"AAAAAEdb3ys=")</f>
        <v>1</v>
      </c>
      <c r="AS252" t="b">
        <f>AND('Black &amp; White load sheet'!F240,"AAAAAEdb3yw=")</f>
        <v>1</v>
      </c>
      <c r="AT252" t="b">
        <f>AND('Black &amp; White load sheet'!G240,"AAAAAEdb3y0=")</f>
        <v>1</v>
      </c>
      <c r="AU252" t="b">
        <f>AND('Black &amp; White load sheet'!H240,"AAAAAEdb3y4=")</f>
        <v>1</v>
      </c>
      <c r="AV252" t="b">
        <f>AND('Black &amp; White load sheet'!I240,"AAAAAEdb3y8=")</f>
        <v>0</v>
      </c>
      <c r="AW252" t="b">
        <f>AND('Black &amp; White load sheet'!J240,"AAAAAEdb3zA=")</f>
        <v>0</v>
      </c>
      <c r="AX252" t="e">
        <f>AND('Black &amp; White load sheet'!K240,"AAAAAEdb3zE=")</f>
        <v>#VALUE!</v>
      </c>
      <c r="AY252" t="b">
        <f>AND('Black &amp; White load sheet'!L240,"AAAAAEdb3zI=")</f>
        <v>1</v>
      </c>
      <c r="AZ252" t="b">
        <f>AND('Black &amp; White load sheet'!M240,"AAAAAEdb3zM=")</f>
        <v>1</v>
      </c>
      <c r="BA252">
        <f>IF('Black &amp; White load sheet'!241:241,"AAAAAEdb3zQ=",0)</f>
        <v>0</v>
      </c>
      <c r="BB252" t="b">
        <f>AND('Black &amp; White load sheet'!A241,"AAAAAEdb3zU=")</f>
        <v>1</v>
      </c>
      <c r="BC252" t="b">
        <f>AND('Black &amp; White load sheet'!B241,"AAAAAEdb3zY=")</f>
        <v>1</v>
      </c>
      <c r="BD252" t="b">
        <f>AND('Black &amp; White load sheet'!C241,"AAAAAEdb3zc=")</f>
        <v>0</v>
      </c>
      <c r="BE252" t="b">
        <f>AND('Black &amp; White load sheet'!D241,"AAAAAEdb3zg=")</f>
        <v>0</v>
      </c>
      <c r="BF252" t="b">
        <f>AND('Black &amp; White load sheet'!E241,"AAAAAEdb3zk=")</f>
        <v>1</v>
      </c>
      <c r="BG252" t="b">
        <f>AND('Black &amp; White load sheet'!F241,"AAAAAEdb3zo=")</f>
        <v>1</v>
      </c>
      <c r="BH252" t="b">
        <f>AND('Black &amp; White load sheet'!G241,"AAAAAEdb3zs=")</f>
        <v>1</v>
      </c>
      <c r="BI252" t="b">
        <f>AND('Black &amp; White load sheet'!H241,"AAAAAEdb3zw=")</f>
        <v>1</v>
      </c>
      <c r="BJ252" t="b">
        <f>AND('Black &amp; White load sheet'!I241,"AAAAAEdb3z0=")</f>
        <v>0</v>
      </c>
      <c r="BK252" t="b">
        <f>AND('Black &amp; White load sheet'!J241,"AAAAAEdb3z4=")</f>
        <v>1</v>
      </c>
      <c r="BL252" t="e">
        <f>AND('Black &amp; White load sheet'!K241,"AAAAAEdb3z8=")</f>
        <v>#VALUE!</v>
      </c>
      <c r="BM252" t="b">
        <f>AND('Black &amp; White load sheet'!L241,"AAAAAEdb30A=")</f>
        <v>1</v>
      </c>
      <c r="BN252" t="b">
        <f>AND('Black &amp; White load sheet'!M241,"AAAAAEdb30E=")</f>
        <v>1</v>
      </c>
      <c r="BO252">
        <f>IF('Black &amp; White load sheet'!242:242,"AAAAAEdb30I=",0)</f>
        <v>0</v>
      </c>
      <c r="BP252" t="b">
        <f>AND('Black &amp; White load sheet'!A242,"AAAAAEdb30M=")</f>
        <v>1</v>
      </c>
      <c r="BQ252" t="b">
        <f>AND('Black &amp; White load sheet'!B242,"AAAAAEdb30Q=")</f>
        <v>1</v>
      </c>
      <c r="BR252" t="b">
        <f>AND('Black &amp; White load sheet'!C242,"AAAAAEdb30U=")</f>
        <v>0</v>
      </c>
      <c r="BS252" t="b">
        <f>AND('Black &amp; White load sheet'!D242,"AAAAAEdb30Y=")</f>
        <v>0</v>
      </c>
      <c r="BT252" t="b">
        <f>AND('Black &amp; White load sheet'!E242,"AAAAAEdb30c=")</f>
        <v>1</v>
      </c>
      <c r="BU252" t="b">
        <f>AND('Black &amp; White load sheet'!F242,"AAAAAEdb30g=")</f>
        <v>1</v>
      </c>
      <c r="BV252" t="b">
        <f>AND('Black &amp; White load sheet'!G242,"AAAAAEdb30k=")</f>
        <v>1</v>
      </c>
      <c r="BW252" t="b">
        <f>AND('Black &amp; White load sheet'!H242,"AAAAAEdb30o=")</f>
        <v>1</v>
      </c>
      <c r="BX252" t="b">
        <f>AND('Black &amp; White load sheet'!I242,"AAAAAEdb30s=")</f>
        <v>1</v>
      </c>
      <c r="BY252" t="b">
        <f>AND('Black &amp; White load sheet'!J242,"AAAAAEdb30w=")</f>
        <v>0</v>
      </c>
      <c r="BZ252" t="e">
        <f>AND('Black &amp; White load sheet'!K242,"AAAAAEdb300=")</f>
        <v>#VALUE!</v>
      </c>
      <c r="CA252" t="b">
        <f>AND('Black &amp; White load sheet'!L242,"AAAAAEdb304=")</f>
        <v>1</v>
      </c>
      <c r="CB252" t="b">
        <f>AND('Black &amp; White load sheet'!M242,"AAAAAEdb308=")</f>
        <v>1</v>
      </c>
      <c r="CC252">
        <f>IF('Black &amp; White load sheet'!243:243,"AAAAAEdb31A=",0)</f>
        <v>0</v>
      </c>
      <c r="CD252" t="b">
        <f>AND('Black &amp; White load sheet'!A243,"AAAAAEdb31E=")</f>
        <v>1</v>
      </c>
      <c r="CE252" t="b">
        <f>AND('Black &amp; White load sheet'!B243,"AAAAAEdb31I=")</f>
        <v>1</v>
      </c>
      <c r="CF252" t="b">
        <f>AND('Black &amp; White load sheet'!C243,"AAAAAEdb31M=")</f>
        <v>0</v>
      </c>
      <c r="CG252" t="b">
        <f>AND('Black &amp; White load sheet'!D243,"AAAAAEdb31Q=")</f>
        <v>0</v>
      </c>
      <c r="CH252" t="b">
        <f>AND('Black &amp; White load sheet'!E243,"AAAAAEdb31U=")</f>
        <v>1</v>
      </c>
      <c r="CI252" t="b">
        <f>AND('Black &amp; White load sheet'!F243,"AAAAAEdb31Y=")</f>
        <v>1</v>
      </c>
      <c r="CJ252" t="b">
        <f>AND('Black &amp; White load sheet'!G243,"AAAAAEdb31c=")</f>
        <v>1</v>
      </c>
      <c r="CK252" t="b">
        <f>AND('Black &amp; White load sheet'!H243,"AAAAAEdb31g=")</f>
        <v>1</v>
      </c>
      <c r="CL252" t="b">
        <f>AND('Black &amp; White load sheet'!I243,"AAAAAEdb31k=")</f>
        <v>1</v>
      </c>
      <c r="CM252" t="b">
        <f>AND('Black &amp; White load sheet'!J243,"AAAAAEdb31o=")</f>
        <v>1</v>
      </c>
      <c r="CN252" t="e">
        <f>AND('Black &amp; White load sheet'!K243,"AAAAAEdb31s=")</f>
        <v>#VALUE!</v>
      </c>
      <c r="CO252" t="b">
        <f>AND('Black &amp; White load sheet'!L243,"AAAAAEdb31w=")</f>
        <v>1</v>
      </c>
      <c r="CP252" t="b">
        <f>AND('Black &amp; White load sheet'!M243,"AAAAAEdb310=")</f>
        <v>1</v>
      </c>
      <c r="CQ252">
        <f>IF('Black &amp; White load sheet'!244:244,"AAAAAEdb314=",0)</f>
        <v>0</v>
      </c>
      <c r="CR252" t="b">
        <f>AND('Black &amp; White load sheet'!A244,"AAAAAEdb318=")</f>
        <v>0</v>
      </c>
      <c r="CS252" t="b">
        <f>AND('Black &amp; White load sheet'!B244,"AAAAAEdb32A=")</f>
        <v>0</v>
      </c>
      <c r="CT252" t="b">
        <f>AND('Black &amp; White load sheet'!C244,"AAAAAEdb32E=")</f>
        <v>0</v>
      </c>
      <c r="CU252" t="b">
        <f>AND('Black &amp; White load sheet'!D244,"AAAAAEdb32I=")</f>
        <v>0</v>
      </c>
      <c r="CV252" t="b">
        <f>AND('Black &amp; White load sheet'!E244,"AAAAAEdb32M=")</f>
        <v>0</v>
      </c>
      <c r="CW252" t="b">
        <f>AND('Black &amp; White load sheet'!F244,"AAAAAEdb32Q=")</f>
        <v>0</v>
      </c>
      <c r="CX252" t="b">
        <f>AND('Black &amp; White load sheet'!G244,"AAAAAEdb32U=")</f>
        <v>0</v>
      </c>
      <c r="CY252" t="b">
        <f>AND('Black &amp; White load sheet'!H244,"AAAAAEdb32Y=")</f>
        <v>0</v>
      </c>
      <c r="CZ252" t="b">
        <f>AND('Black &amp; White load sheet'!I244,"AAAAAEdb32c=")</f>
        <v>0</v>
      </c>
      <c r="DA252" t="b">
        <f>AND('Black &amp; White load sheet'!J244,"AAAAAEdb32g=")</f>
        <v>0</v>
      </c>
      <c r="DB252" t="e">
        <f>AND('Black &amp; White load sheet'!K244,"AAAAAEdb32k=")</f>
        <v>#VALUE!</v>
      </c>
      <c r="DC252" t="b">
        <f>AND('Black &amp; White load sheet'!L244,"AAAAAEdb32o=")</f>
        <v>1</v>
      </c>
      <c r="DD252" t="b">
        <f>AND('Black &amp; White load sheet'!M244,"AAAAAEdb32s=")</f>
        <v>1</v>
      </c>
      <c r="DE252">
        <f>IF('Black &amp; White load sheet'!245:245,"AAAAAEdb32w=",0)</f>
        <v>0</v>
      </c>
      <c r="DF252" t="b">
        <f>AND('Black &amp; White load sheet'!A245,"AAAAAEdb320=")</f>
        <v>0</v>
      </c>
      <c r="DG252" t="b">
        <f>AND('Black &amp; White load sheet'!B245,"AAAAAEdb324=")</f>
        <v>0</v>
      </c>
      <c r="DH252" t="b">
        <f>AND('Black &amp; White load sheet'!C245,"AAAAAEdb328=")</f>
        <v>0</v>
      </c>
      <c r="DI252" t="b">
        <f>AND('Black &amp; White load sheet'!D245,"AAAAAEdb33A=")</f>
        <v>0</v>
      </c>
      <c r="DJ252" t="b">
        <f>AND('Black &amp; White load sheet'!E245,"AAAAAEdb33E=")</f>
        <v>0</v>
      </c>
      <c r="DK252" t="b">
        <f>AND('Black &amp; White load sheet'!F245,"AAAAAEdb33I=")</f>
        <v>0</v>
      </c>
      <c r="DL252" t="b">
        <f>AND('Black &amp; White load sheet'!G245,"AAAAAEdb33M=")</f>
        <v>0</v>
      </c>
      <c r="DM252" t="b">
        <f>AND('Black &amp; White load sheet'!H245,"AAAAAEdb33Q=")</f>
        <v>0</v>
      </c>
      <c r="DN252" t="b">
        <f>AND('Black &amp; White load sheet'!I245,"AAAAAEdb33U=")</f>
        <v>0</v>
      </c>
      <c r="DO252" t="b">
        <f>AND('Black &amp; White load sheet'!J245,"AAAAAEdb33Y=")</f>
        <v>0</v>
      </c>
      <c r="DP252" t="e">
        <f>AND('Black &amp; White load sheet'!K245,"AAAAAEdb33c=")</f>
        <v>#VALUE!</v>
      </c>
      <c r="DQ252" t="b">
        <f>AND('Black &amp; White load sheet'!L245,"AAAAAEdb33g=")</f>
        <v>1</v>
      </c>
      <c r="DR252" t="b">
        <f>AND('Black &amp; White load sheet'!M245,"AAAAAEdb33k=")</f>
        <v>1</v>
      </c>
      <c r="DS252">
        <f>IF('Black &amp; White load sheet'!246:246,"AAAAAEdb33o=",0)</f>
        <v>0</v>
      </c>
      <c r="DT252" t="b">
        <f>AND('Black &amp; White load sheet'!A246,"AAAAAEdb33s=")</f>
        <v>0</v>
      </c>
      <c r="DU252" t="b">
        <f>AND('Black &amp; White load sheet'!B246,"AAAAAEdb33w=")</f>
        <v>0</v>
      </c>
      <c r="DV252" t="b">
        <f>AND('Black &amp; White load sheet'!C246,"AAAAAEdb330=")</f>
        <v>0</v>
      </c>
      <c r="DW252" t="b">
        <f>AND('Black &amp; White load sheet'!D246,"AAAAAEdb334=")</f>
        <v>0</v>
      </c>
      <c r="DX252" t="b">
        <f>AND('Black &amp; White load sheet'!E246,"AAAAAEdb338=")</f>
        <v>0</v>
      </c>
      <c r="DY252" t="b">
        <f>AND('Black &amp; White load sheet'!F246,"AAAAAEdb34A=")</f>
        <v>0</v>
      </c>
      <c r="DZ252" t="b">
        <f>AND('Black &amp; White load sheet'!G246,"AAAAAEdb34E=")</f>
        <v>0</v>
      </c>
      <c r="EA252" t="b">
        <f>AND('Black &amp; White load sheet'!H246,"AAAAAEdb34I=")</f>
        <v>0</v>
      </c>
      <c r="EB252" t="b">
        <f>AND('Black &amp; White load sheet'!I246,"AAAAAEdb34M=")</f>
        <v>0</v>
      </c>
      <c r="EC252" t="b">
        <f>AND('Black &amp; White load sheet'!J246,"AAAAAEdb34Q=")</f>
        <v>0</v>
      </c>
      <c r="ED252" t="e">
        <f>AND('Black &amp; White load sheet'!K246,"AAAAAEdb34U=")</f>
        <v>#VALUE!</v>
      </c>
      <c r="EE252" t="b">
        <f>AND('Black &amp; White load sheet'!L246,"AAAAAEdb34Y=")</f>
        <v>1</v>
      </c>
      <c r="EF252" t="b">
        <f>AND('Black &amp; White load sheet'!M246,"AAAAAEdb34c=")</f>
        <v>1</v>
      </c>
      <c r="EG252">
        <f>IF('Black &amp; White load sheet'!247:247,"AAAAAEdb34g=",0)</f>
        <v>0</v>
      </c>
      <c r="EH252" t="b">
        <f>AND('Black &amp; White load sheet'!A247,"AAAAAEdb34k=")</f>
        <v>0</v>
      </c>
      <c r="EI252" t="b">
        <f>AND('Black &amp; White load sheet'!B247,"AAAAAEdb34o=")</f>
        <v>0</v>
      </c>
      <c r="EJ252" t="b">
        <f>AND('Black &amp; White load sheet'!C247,"AAAAAEdb34s=")</f>
        <v>0</v>
      </c>
      <c r="EK252" t="b">
        <f>AND('Black &amp; White load sheet'!D247,"AAAAAEdb34w=")</f>
        <v>0</v>
      </c>
      <c r="EL252" t="b">
        <f>AND('Black &amp; White load sheet'!E247,"AAAAAEdb340=")</f>
        <v>0</v>
      </c>
      <c r="EM252" t="b">
        <f>AND('Black &amp; White load sheet'!F247,"AAAAAEdb344=")</f>
        <v>0</v>
      </c>
      <c r="EN252" t="b">
        <f>AND('Black &amp; White load sheet'!G247,"AAAAAEdb348=")</f>
        <v>0</v>
      </c>
      <c r="EO252" t="b">
        <f>AND('Black &amp; White load sheet'!H247,"AAAAAEdb35A=")</f>
        <v>0</v>
      </c>
      <c r="EP252" t="b">
        <f>AND('Black &amp; White load sheet'!I247,"AAAAAEdb35E=")</f>
        <v>0</v>
      </c>
      <c r="EQ252" t="b">
        <f>AND('Black &amp; White load sheet'!J247,"AAAAAEdb35I=")</f>
        <v>0</v>
      </c>
      <c r="ER252" t="e">
        <f>AND('Black &amp; White load sheet'!K247,"AAAAAEdb35M=")</f>
        <v>#VALUE!</v>
      </c>
      <c r="ES252" t="b">
        <f>AND('Black &amp; White load sheet'!L247,"AAAAAEdb35Q=")</f>
        <v>1</v>
      </c>
      <c r="ET252" t="b">
        <f>AND('Black &amp; White load sheet'!M247,"AAAAAEdb35U=")</f>
        <v>1</v>
      </c>
      <c r="EU252">
        <f>IF('Black &amp; White load sheet'!248:248,"AAAAAEdb35Y=",0)</f>
        <v>0</v>
      </c>
      <c r="EV252" t="b">
        <f>AND('Black &amp; White load sheet'!A248,"AAAAAEdb35c=")</f>
        <v>0</v>
      </c>
      <c r="EW252" t="b">
        <f>AND('Black &amp; White load sheet'!B248,"AAAAAEdb35g=")</f>
        <v>0</v>
      </c>
      <c r="EX252" t="b">
        <f>AND('Black &amp; White load sheet'!C248,"AAAAAEdb35k=")</f>
        <v>0</v>
      </c>
      <c r="EY252" t="b">
        <f>AND('Black &amp; White load sheet'!D248,"AAAAAEdb35o=")</f>
        <v>0</v>
      </c>
      <c r="EZ252" t="b">
        <f>AND('Black &amp; White load sheet'!E248,"AAAAAEdb35s=")</f>
        <v>0</v>
      </c>
      <c r="FA252" t="b">
        <f>AND('Black &amp; White load sheet'!F248,"AAAAAEdb35w=")</f>
        <v>0</v>
      </c>
      <c r="FB252" t="b">
        <f>AND('Black &amp; White load sheet'!G248,"AAAAAEdb350=")</f>
        <v>0</v>
      </c>
      <c r="FC252" t="b">
        <f>AND('Black &amp; White load sheet'!H248,"AAAAAEdb354=")</f>
        <v>0</v>
      </c>
      <c r="FD252" t="b">
        <f>AND('Black &amp; White load sheet'!I248,"AAAAAEdb358=")</f>
        <v>0</v>
      </c>
      <c r="FE252" t="b">
        <f>AND('Black &amp; White load sheet'!J248,"AAAAAEdb36A=")</f>
        <v>0</v>
      </c>
      <c r="FF252" t="e">
        <f>AND('Black &amp; White load sheet'!K248,"AAAAAEdb36E=")</f>
        <v>#VALUE!</v>
      </c>
      <c r="FG252" t="b">
        <f>AND('Black &amp; White load sheet'!L248,"AAAAAEdb36I=")</f>
        <v>1</v>
      </c>
      <c r="FH252" t="b">
        <f>AND('Black &amp; White load sheet'!M248,"AAAAAEdb36M=")</f>
        <v>1</v>
      </c>
      <c r="FI252">
        <f>IF('Black &amp; White load sheet'!249:249,"AAAAAEdb36Q=",0)</f>
        <v>0</v>
      </c>
      <c r="FJ252" t="b">
        <f>AND('Black &amp; White load sheet'!A249,"AAAAAEdb36U=")</f>
        <v>0</v>
      </c>
      <c r="FK252" t="b">
        <f>AND('Black &amp; White load sheet'!B249,"AAAAAEdb36Y=")</f>
        <v>0</v>
      </c>
      <c r="FL252" t="b">
        <f>AND('Black &amp; White load sheet'!C249,"AAAAAEdb36c=")</f>
        <v>0</v>
      </c>
      <c r="FM252" t="b">
        <f>AND('Black &amp; White load sheet'!D249,"AAAAAEdb36g=")</f>
        <v>0</v>
      </c>
      <c r="FN252" t="b">
        <f>AND('Black &amp; White load sheet'!E249,"AAAAAEdb36k=")</f>
        <v>0</v>
      </c>
      <c r="FO252" t="b">
        <f>AND('Black &amp; White load sheet'!F249,"AAAAAEdb36o=")</f>
        <v>0</v>
      </c>
      <c r="FP252" t="b">
        <f>AND('Black &amp; White load sheet'!G249,"AAAAAEdb36s=")</f>
        <v>0</v>
      </c>
      <c r="FQ252" t="b">
        <f>AND('Black &amp; White load sheet'!H249,"AAAAAEdb36w=")</f>
        <v>0</v>
      </c>
      <c r="FR252" t="b">
        <f>AND('Black &amp; White load sheet'!I249,"AAAAAEdb360=")</f>
        <v>0</v>
      </c>
      <c r="FS252" t="b">
        <f>AND('Black &amp; White load sheet'!J249,"AAAAAEdb364=")</f>
        <v>0</v>
      </c>
      <c r="FT252" t="e">
        <f>AND('Black &amp; White load sheet'!K249,"AAAAAEdb368=")</f>
        <v>#VALUE!</v>
      </c>
      <c r="FU252" t="b">
        <f>AND('Black &amp; White load sheet'!L249,"AAAAAEdb37A=")</f>
        <v>1</v>
      </c>
      <c r="FV252" t="b">
        <f>AND('Black &amp; White load sheet'!M249,"AAAAAEdb37E=")</f>
        <v>1</v>
      </c>
      <c r="FW252">
        <f>IF('Black &amp; White load sheet'!250:250,"AAAAAEdb37I=",0)</f>
        <v>0</v>
      </c>
      <c r="FX252" t="b">
        <f>AND('Black &amp; White load sheet'!A250,"AAAAAEdb37M=")</f>
        <v>0</v>
      </c>
      <c r="FY252" t="b">
        <f>AND('Black &amp; White load sheet'!B250,"AAAAAEdb37Q=")</f>
        <v>0</v>
      </c>
      <c r="FZ252" t="b">
        <f>AND('Black &amp; White load sheet'!C250,"AAAAAEdb37U=")</f>
        <v>0</v>
      </c>
      <c r="GA252" t="b">
        <f>AND('Black &amp; White load sheet'!D250,"AAAAAEdb37Y=")</f>
        <v>0</v>
      </c>
      <c r="GB252" t="b">
        <f>AND('Black &amp; White load sheet'!E250,"AAAAAEdb37c=")</f>
        <v>0</v>
      </c>
      <c r="GC252" t="b">
        <f>AND('Black &amp; White load sheet'!F250,"AAAAAEdb37g=")</f>
        <v>0</v>
      </c>
      <c r="GD252" t="b">
        <f>AND('Black &amp; White load sheet'!G250,"AAAAAEdb37k=")</f>
        <v>0</v>
      </c>
      <c r="GE252" t="b">
        <f>AND('Black &amp; White load sheet'!H250,"AAAAAEdb37o=")</f>
        <v>0</v>
      </c>
      <c r="GF252" t="b">
        <f>AND('Black &amp; White load sheet'!I250,"AAAAAEdb37s=")</f>
        <v>0</v>
      </c>
      <c r="GG252" t="b">
        <f>AND('Black &amp; White load sheet'!J250,"AAAAAEdb37w=")</f>
        <v>0</v>
      </c>
      <c r="GH252" t="e">
        <f>AND('Black &amp; White load sheet'!K250,"AAAAAEdb370=")</f>
        <v>#VALUE!</v>
      </c>
      <c r="GI252" t="b">
        <f>AND('Black &amp; White load sheet'!L250,"AAAAAEdb374=")</f>
        <v>1</v>
      </c>
      <c r="GJ252" t="b">
        <f>AND('Black &amp; White load sheet'!M250,"AAAAAEdb378=")</f>
        <v>1</v>
      </c>
      <c r="GK252">
        <f>IF('Black &amp; White load sheet'!251:251,"AAAAAEdb38A=",0)</f>
        <v>0</v>
      </c>
      <c r="GL252" t="b">
        <f>AND('Black &amp; White load sheet'!A251,"AAAAAEdb38E=")</f>
        <v>0</v>
      </c>
      <c r="GM252" t="b">
        <f>AND('Black &amp; White load sheet'!B251,"AAAAAEdb38I=")</f>
        <v>0</v>
      </c>
      <c r="GN252" t="b">
        <f>AND('Black &amp; White load sheet'!C251,"AAAAAEdb38M=")</f>
        <v>0</v>
      </c>
      <c r="GO252" t="b">
        <f>AND('Black &amp; White load sheet'!D251,"AAAAAEdb38Q=")</f>
        <v>0</v>
      </c>
      <c r="GP252" t="b">
        <f>AND('Black &amp; White load sheet'!E251,"AAAAAEdb38U=")</f>
        <v>0</v>
      </c>
      <c r="GQ252" t="b">
        <f>AND('Black &amp; White load sheet'!F251,"AAAAAEdb38Y=")</f>
        <v>0</v>
      </c>
      <c r="GR252" t="b">
        <f>AND('Black &amp; White load sheet'!G251,"AAAAAEdb38c=")</f>
        <v>0</v>
      </c>
      <c r="GS252" t="b">
        <f>AND('Black &amp; White load sheet'!H251,"AAAAAEdb38g=")</f>
        <v>0</v>
      </c>
      <c r="GT252" t="b">
        <f>AND('Black &amp; White load sheet'!I251,"AAAAAEdb38k=")</f>
        <v>0</v>
      </c>
      <c r="GU252" t="b">
        <f>AND('Black &amp; White load sheet'!J251,"AAAAAEdb38o=")</f>
        <v>0</v>
      </c>
      <c r="GV252" t="e">
        <f>AND('Black &amp; White load sheet'!K251,"AAAAAEdb38s=")</f>
        <v>#VALUE!</v>
      </c>
      <c r="GW252" t="b">
        <f>AND('Black &amp; White load sheet'!L251,"AAAAAEdb38w=")</f>
        <v>1</v>
      </c>
      <c r="GX252" t="b">
        <f>AND('Black &amp; White load sheet'!M251,"AAAAAEdb380=")</f>
        <v>1</v>
      </c>
      <c r="GY252">
        <f>IF('Black &amp; White load sheet'!252:252,"AAAAAEdb384=",0)</f>
        <v>0</v>
      </c>
      <c r="GZ252" t="b">
        <f>AND('Black &amp; White load sheet'!A252,"AAAAAEdb388=")</f>
        <v>0</v>
      </c>
      <c r="HA252" t="b">
        <f>AND('Black &amp; White load sheet'!B252,"AAAAAEdb39A=")</f>
        <v>0</v>
      </c>
      <c r="HB252" t="b">
        <f>AND('Black &amp; White load sheet'!C252,"AAAAAEdb39E=")</f>
        <v>0</v>
      </c>
      <c r="HC252" t="b">
        <f>AND('Black &amp; White load sheet'!D252,"AAAAAEdb39I=")</f>
        <v>0</v>
      </c>
      <c r="HD252" t="b">
        <f>AND('Black &amp; White load sheet'!E252,"AAAAAEdb39M=")</f>
        <v>0</v>
      </c>
      <c r="HE252" t="b">
        <f>AND('Black &amp; White load sheet'!F252,"AAAAAEdb39Q=")</f>
        <v>0</v>
      </c>
      <c r="HF252" t="b">
        <f>AND('Black &amp; White load sheet'!G252,"AAAAAEdb39U=")</f>
        <v>0</v>
      </c>
      <c r="HG252" t="b">
        <f>AND('Black &amp; White load sheet'!H252,"AAAAAEdb39Y=")</f>
        <v>0</v>
      </c>
      <c r="HH252" t="b">
        <f>AND('Black &amp; White load sheet'!I252,"AAAAAEdb39c=")</f>
        <v>0</v>
      </c>
      <c r="HI252" t="b">
        <f>AND('Black &amp; White load sheet'!J252,"AAAAAEdb39g=")</f>
        <v>0</v>
      </c>
      <c r="HJ252" t="e">
        <f>AND('Black &amp; White load sheet'!K252,"AAAAAEdb39k=")</f>
        <v>#VALUE!</v>
      </c>
      <c r="HK252" t="b">
        <f>AND('Black &amp; White load sheet'!L252,"AAAAAEdb39o=")</f>
        <v>1</v>
      </c>
      <c r="HL252" t="b">
        <f>AND('Black &amp; White load sheet'!M252,"AAAAAEdb39s=")</f>
        <v>1</v>
      </c>
      <c r="HM252">
        <f>IF('Black &amp; White load sheet'!253:253,"AAAAAEdb39w=",0)</f>
        <v>0</v>
      </c>
      <c r="HN252" t="b">
        <f>AND('Black &amp; White load sheet'!A253,"AAAAAEdb390=")</f>
        <v>0</v>
      </c>
      <c r="HO252" t="b">
        <f>AND('Black &amp; White load sheet'!B253,"AAAAAEdb394=")</f>
        <v>0</v>
      </c>
      <c r="HP252" t="b">
        <f>AND('Black &amp; White load sheet'!C253,"AAAAAEdb398=")</f>
        <v>0</v>
      </c>
      <c r="HQ252" t="b">
        <f>AND('Black &amp; White load sheet'!D253,"AAAAAEdb3+A=")</f>
        <v>0</v>
      </c>
      <c r="HR252" t="b">
        <f>AND('Black &amp; White load sheet'!E253,"AAAAAEdb3+E=")</f>
        <v>0</v>
      </c>
      <c r="HS252" t="b">
        <f>AND('Black &amp; White load sheet'!F253,"AAAAAEdb3+I=")</f>
        <v>0</v>
      </c>
      <c r="HT252" t="b">
        <f>AND('Black &amp; White load sheet'!G253,"AAAAAEdb3+M=")</f>
        <v>0</v>
      </c>
      <c r="HU252" t="b">
        <f>AND('Black &amp; White load sheet'!H253,"AAAAAEdb3+Q=")</f>
        <v>0</v>
      </c>
      <c r="HV252" t="b">
        <f>AND('Black &amp; White load sheet'!I253,"AAAAAEdb3+U=")</f>
        <v>0</v>
      </c>
      <c r="HW252" t="b">
        <f>AND('Black &amp; White load sheet'!J253,"AAAAAEdb3+Y=")</f>
        <v>0</v>
      </c>
      <c r="HX252" t="e">
        <f>AND('Black &amp; White load sheet'!K253,"AAAAAEdb3+c=")</f>
        <v>#VALUE!</v>
      </c>
      <c r="HY252" t="b">
        <f>AND('Black &amp; White load sheet'!L253,"AAAAAEdb3+g=")</f>
        <v>1</v>
      </c>
      <c r="HZ252" t="b">
        <f>AND('Black &amp; White load sheet'!M253,"AAAAAEdb3+k=")</f>
        <v>1</v>
      </c>
      <c r="IA252">
        <f>IF('Black &amp; White load sheet'!254:254,"AAAAAEdb3+o=",0)</f>
        <v>0</v>
      </c>
      <c r="IB252" t="b">
        <f>AND('Black &amp; White load sheet'!A254,"AAAAAEdb3+s=")</f>
        <v>0</v>
      </c>
      <c r="IC252" t="b">
        <f>AND('Black &amp; White load sheet'!B254,"AAAAAEdb3+w=")</f>
        <v>0</v>
      </c>
      <c r="ID252" t="b">
        <f>AND('Black &amp; White load sheet'!C254,"AAAAAEdb3+0=")</f>
        <v>0</v>
      </c>
      <c r="IE252" t="b">
        <f>AND('Black &amp; White load sheet'!D254,"AAAAAEdb3+4=")</f>
        <v>0</v>
      </c>
      <c r="IF252" t="b">
        <f>AND('Black &amp; White load sheet'!E254,"AAAAAEdb3+8=")</f>
        <v>0</v>
      </c>
      <c r="IG252" t="b">
        <f>AND('Black &amp; White load sheet'!F254,"AAAAAEdb3/A=")</f>
        <v>0</v>
      </c>
      <c r="IH252" t="b">
        <f>AND('Black &amp; White load sheet'!G254,"AAAAAEdb3/E=")</f>
        <v>0</v>
      </c>
      <c r="II252" t="b">
        <f>AND('Black &amp; White load sheet'!H254,"AAAAAEdb3/I=")</f>
        <v>0</v>
      </c>
      <c r="IJ252" t="b">
        <f>AND('Black &amp; White load sheet'!I254,"AAAAAEdb3/M=")</f>
        <v>0</v>
      </c>
      <c r="IK252" t="b">
        <f>AND('Black &amp; White load sheet'!J254,"AAAAAEdb3/Q=")</f>
        <v>0</v>
      </c>
      <c r="IL252" t="e">
        <f>AND('Black &amp; White load sheet'!K254,"AAAAAEdb3/U=")</f>
        <v>#VALUE!</v>
      </c>
      <c r="IM252" t="b">
        <f>AND('Black &amp; White load sheet'!L254,"AAAAAEdb3/Y=")</f>
        <v>1</v>
      </c>
      <c r="IN252" t="b">
        <f>AND('Black &amp; White load sheet'!M254,"AAAAAEdb3/c=")</f>
        <v>1</v>
      </c>
      <c r="IO252">
        <f>IF('Black &amp; White load sheet'!255:255,"AAAAAEdb3/g=",0)</f>
        <v>0</v>
      </c>
      <c r="IP252" t="b">
        <f>AND('Black &amp; White load sheet'!A255,"AAAAAEdb3/k=")</f>
        <v>0</v>
      </c>
      <c r="IQ252" t="b">
        <f>AND('Black &amp; White load sheet'!B255,"AAAAAEdb3/o=")</f>
        <v>0</v>
      </c>
      <c r="IR252" t="b">
        <f>AND('Black &amp; White load sheet'!C255,"AAAAAEdb3/s=")</f>
        <v>0</v>
      </c>
      <c r="IS252" t="b">
        <f>AND('Black &amp; White load sheet'!D255,"AAAAAEdb3/w=")</f>
        <v>0</v>
      </c>
      <c r="IT252" t="b">
        <f>AND('Black &amp; White load sheet'!E255,"AAAAAEdb3/0=")</f>
        <v>0</v>
      </c>
      <c r="IU252" t="b">
        <f>AND('Black &amp; White load sheet'!F255,"AAAAAEdb3/4=")</f>
        <v>0</v>
      </c>
      <c r="IV252" t="b">
        <f>AND('Black &amp; White load sheet'!G255,"AAAAAEdb3/8=")</f>
        <v>0</v>
      </c>
    </row>
    <row r="253" spans="1:256" x14ac:dyDescent="0.25">
      <c r="A253" t="b">
        <f>AND('Black &amp; White load sheet'!H255,"AAAAABvfvQA=")</f>
        <v>0</v>
      </c>
      <c r="B253" t="b">
        <f>AND('Black &amp; White load sheet'!I255,"AAAAABvfvQE=")</f>
        <v>0</v>
      </c>
      <c r="C253" t="b">
        <f>AND('Black &amp; White load sheet'!J255,"AAAAABvfvQI=")</f>
        <v>0</v>
      </c>
      <c r="D253" t="e">
        <f>AND('Black &amp; White load sheet'!K255,"AAAAABvfvQM=")</f>
        <v>#VALUE!</v>
      </c>
      <c r="E253" t="b">
        <f>AND('Black &amp; White load sheet'!L255,"AAAAABvfvQQ=")</f>
        <v>1</v>
      </c>
      <c r="F253" t="b">
        <f>AND('Black &amp; White load sheet'!M255,"AAAAABvfvQU=")</f>
        <v>1</v>
      </c>
      <c r="G253">
        <f>IF('Black &amp; White load sheet'!256:256,"AAAAABvfvQY=",0)</f>
        <v>0</v>
      </c>
      <c r="H253" t="b">
        <f>AND('Black &amp; White load sheet'!A256,"AAAAABvfvQc=")</f>
        <v>0</v>
      </c>
      <c r="I253" t="b">
        <f>AND('Black &amp; White load sheet'!B256,"AAAAABvfvQg=")</f>
        <v>0</v>
      </c>
      <c r="J253" t="b">
        <f>AND('Black &amp; White load sheet'!C256,"AAAAABvfvQk=")</f>
        <v>0</v>
      </c>
      <c r="K253" t="b">
        <f>AND('Black &amp; White load sheet'!D256,"AAAAABvfvQo=")</f>
        <v>0</v>
      </c>
      <c r="L253" t="b">
        <f>AND('Black &amp; White load sheet'!E256,"AAAAABvfvQs=")</f>
        <v>0</v>
      </c>
      <c r="M253" t="b">
        <f>AND('Black &amp; White load sheet'!F256,"AAAAABvfvQw=")</f>
        <v>0</v>
      </c>
      <c r="N253" t="b">
        <f>AND('Black &amp; White load sheet'!G256,"AAAAABvfvQ0=")</f>
        <v>0</v>
      </c>
      <c r="O253" t="b">
        <f>AND('Black &amp; White load sheet'!H256,"AAAAABvfvQ4=")</f>
        <v>0</v>
      </c>
      <c r="P253" t="b">
        <f>AND('Black &amp; White load sheet'!I256,"AAAAABvfvQ8=")</f>
        <v>0</v>
      </c>
      <c r="Q253" t="b">
        <f>AND('Black &amp; White load sheet'!J256,"AAAAABvfvRA=")</f>
        <v>0</v>
      </c>
      <c r="R253" t="e">
        <f>AND('Black &amp; White load sheet'!K256,"AAAAABvfvRE=")</f>
        <v>#VALUE!</v>
      </c>
      <c r="S253" t="b">
        <f>AND('Black &amp; White load sheet'!L256,"AAAAABvfvRI=")</f>
        <v>1</v>
      </c>
      <c r="T253" t="b">
        <f>AND('Black &amp; White load sheet'!M256,"AAAAABvfvRM=")</f>
        <v>1</v>
      </c>
      <c r="U253">
        <f>IF('Black &amp; White load sheet'!257:257,"AAAAABvfvRQ=",0)</f>
        <v>0</v>
      </c>
      <c r="V253" t="b">
        <f>AND('Black &amp; White load sheet'!A257,"AAAAABvfvRU=")</f>
        <v>0</v>
      </c>
      <c r="W253" t="b">
        <f>AND('Black &amp; White load sheet'!B257,"AAAAABvfvRY=")</f>
        <v>0</v>
      </c>
      <c r="X253" t="b">
        <f>AND('Black &amp; White load sheet'!C257,"AAAAABvfvRc=")</f>
        <v>0</v>
      </c>
      <c r="Y253" t="b">
        <f>AND('Black &amp; White load sheet'!D257,"AAAAABvfvRg=")</f>
        <v>0</v>
      </c>
      <c r="Z253" t="b">
        <f>AND('Black &amp; White load sheet'!E257,"AAAAABvfvRk=")</f>
        <v>0</v>
      </c>
      <c r="AA253" t="b">
        <f>AND('Black &amp; White load sheet'!F257,"AAAAABvfvRo=")</f>
        <v>0</v>
      </c>
      <c r="AB253" t="b">
        <f>AND('Black &amp; White load sheet'!G257,"AAAAABvfvRs=")</f>
        <v>0</v>
      </c>
      <c r="AC253" t="b">
        <f>AND('Black &amp; White load sheet'!H257,"AAAAABvfvRw=")</f>
        <v>0</v>
      </c>
      <c r="AD253" t="b">
        <f>AND('Black &amp; White load sheet'!I257,"AAAAABvfvR0=")</f>
        <v>0</v>
      </c>
      <c r="AE253" t="b">
        <f>AND('Black &amp; White load sheet'!J257,"AAAAABvfvR4=")</f>
        <v>0</v>
      </c>
      <c r="AF253" t="e">
        <f>AND('Black &amp; White load sheet'!K257,"AAAAABvfvR8=")</f>
        <v>#VALUE!</v>
      </c>
      <c r="AG253" t="b">
        <f>AND('Black &amp; White load sheet'!L257,"AAAAABvfvSA=")</f>
        <v>1</v>
      </c>
      <c r="AH253" t="b">
        <f>AND('Black &amp; White load sheet'!M257,"AAAAABvfvSE=")</f>
        <v>1</v>
      </c>
      <c r="AI253">
        <f>IF('Black &amp; White load sheet'!258:258,"AAAAABvfvSI=",0)</f>
        <v>0</v>
      </c>
      <c r="AJ253" t="b">
        <f>AND('Black &amp; White load sheet'!A258,"AAAAABvfvSM=")</f>
        <v>0</v>
      </c>
      <c r="AK253" t="b">
        <f>AND('Black &amp; White load sheet'!B258,"AAAAABvfvSQ=")</f>
        <v>0</v>
      </c>
      <c r="AL253" t="b">
        <f>AND('Black &amp; White load sheet'!C258,"AAAAABvfvSU=")</f>
        <v>0</v>
      </c>
      <c r="AM253" t="b">
        <f>AND('Black &amp; White load sheet'!D258,"AAAAABvfvSY=")</f>
        <v>0</v>
      </c>
      <c r="AN253" t="b">
        <f>AND('Black &amp; White load sheet'!E258,"AAAAABvfvSc=")</f>
        <v>0</v>
      </c>
      <c r="AO253" t="b">
        <f>AND('Black &amp; White load sheet'!F258,"AAAAABvfvSg=")</f>
        <v>0</v>
      </c>
      <c r="AP253" t="b">
        <f>AND('Black &amp; White load sheet'!G258,"AAAAABvfvSk=")</f>
        <v>0</v>
      </c>
      <c r="AQ253" t="b">
        <f>AND('Black &amp; White load sheet'!H258,"AAAAABvfvSo=")</f>
        <v>0</v>
      </c>
      <c r="AR253" t="b">
        <f>AND('Black &amp; White load sheet'!I258,"AAAAABvfvSs=")</f>
        <v>0</v>
      </c>
      <c r="AS253" t="b">
        <f>AND('Black &amp; White load sheet'!J258,"AAAAABvfvSw=")</f>
        <v>0</v>
      </c>
      <c r="AT253" t="e">
        <f>AND('Black &amp; White load sheet'!K258,"AAAAABvfvS0=")</f>
        <v>#VALUE!</v>
      </c>
      <c r="AU253" t="b">
        <f>AND('Black &amp; White load sheet'!L258,"AAAAABvfvS4=")</f>
        <v>1</v>
      </c>
      <c r="AV253" t="b">
        <f>AND('Black &amp; White load sheet'!M258,"AAAAABvfvS8=")</f>
        <v>1</v>
      </c>
      <c r="AW253">
        <f>IF('Black &amp; White load sheet'!259:259,"AAAAABvfvTA=",0)</f>
        <v>0</v>
      </c>
      <c r="AX253" t="b">
        <f>AND('Black &amp; White load sheet'!A259,"AAAAABvfvTE=")</f>
        <v>0</v>
      </c>
      <c r="AY253" t="b">
        <f>AND('Black &amp; White load sheet'!B259,"AAAAABvfvTI=")</f>
        <v>0</v>
      </c>
      <c r="AZ253" t="b">
        <f>AND('Black &amp; White load sheet'!C259,"AAAAABvfvTM=")</f>
        <v>0</v>
      </c>
      <c r="BA253" t="b">
        <f>AND('Black &amp; White load sheet'!D259,"AAAAABvfvTQ=")</f>
        <v>0</v>
      </c>
      <c r="BB253" t="b">
        <f>AND('Black &amp; White load sheet'!E259,"AAAAABvfvTU=")</f>
        <v>0</v>
      </c>
      <c r="BC253" t="b">
        <f>AND('Black &amp; White load sheet'!F259,"AAAAABvfvTY=")</f>
        <v>0</v>
      </c>
      <c r="BD253" t="b">
        <f>AND('Black &amp; White load sheet'!G259,"AAAAABvfvTc=")</f>
        <v>0</v>
      </c>
      <c r="BE253" t="b">
        <f>AND('Black &amp; White load sheet'!H259,"AAAAABvfvTg=")</f>
        <v>0</v>
      </c>
      <c r="BF253" t="b">
        <f>AND('Black &amp; White load sheet'!I259,"AAAAABvfvTk=")</f>
        <v>0</v>
      </c>
      <c r="BG253" t="b">
        <f>AND('Black &amp; White load sheet'!J259,"AAAAABvfvTo=")</f>
        <v>0</v>
      </c>
      <c r="BH253" t="e">
        <f>AND('Black &amp; White load sheet'!K259,"AAAAABvfvTs=")</f>
        <v>#VALUE!</v>
      </c>
      <c r="BI253" t="b">
        <f>AND('Black &amp; White load sheet'!L259,"AAAAABvfvTw=")</f>
        <v>1</v>
      </c>
      <c r="BJ253" t="b">
        <f>AND('Black &amp; White load sheet'!M259,"AAAAABvfvT0=")</f>
        <v>1</v>
      </c>
      <c r="BK253">
        <f>IF('Black &amp; White load sheet'!260:260,"AAAAABvfvT4=",0)</f>
        <v>0</v>
      </c>
      <c r="BL253" t="b">
        <f>AND('Black &amp; White load sheet'!A260,"AAAAABvfvT8=")</f>
        <v>0</v>
      </c>
      <c r="BM253" t="b">
        <f>AND('Black &amp; White load sheet'!B260,"AAAAABvfvUA=")</f>
        <v>0</v>
      </c>
      <c r="BN253" t="b">
        <f>AND('Black &amp; White load sheet'!C260,"AAAAABvfvUE=")</f>
        <v>0</v>
      </c>
      <c r="BO253" t="b">
        <f>AND('Black &amp; White load sheet'!D260,"AAAAABvfvUI=")</f>
        <v>0</v>
      </c>
      <c r="BP253" t="b">
        <f>AND('Black &amp; White load sheet'!E260,"AAAAABvfvUM=")</f>
        <v>0</v>
      </c>
      <c r="BQ253" t="b">
        <f>AND('Black &amp; White load sheet'!F260,"AAAAABvfvUQ=")</f>
        <v>0</v>
      </c>
      <c r="BR253" t="b">
        <f>AND('Black &amp; White load sheet'!G260,"AAAAABvfvUU=")</f>
        <v>0</v>
      </c>
      <c r="BS253" t="b">
        <f>AND('Black &amp; White load sheet'!H260,"AAAAABvfvUY=")</f>
        <v>0</v>
      </c>
      <c r="BT253" t="b">
        <f>AND('Black &amp; White load sheet'!I260,"AAAAABvfvUc=")</f>
        <v>0</v>
      </c>
      <c r="BU253" t="b">
        <f>AND('Black &amp; White load sheet'!J260,"AAAAABvfvUg=")</f>
        <v>0</v>
      </c>
      <c r="BV253" t="e">
        <f>AND('Black &amp; White load sheet'!K260,"AAAAABvfvUk=")</f>
        <v>#VALUE!</v>
      </c>
      <c r="BW253" t="b">
        <f>AND('Black &amp; White load sheet'!L260,"AAAAABvfvUo=")</f>
        <v>1</v>
      </c>
      <c r="BX253" t="b">
        <f>AND('Black &amp; White load sheet'!M260,"AAAAABvfvUs=")</f>
        <v>1</v>
      </c>
      <c r="BY253">
        <f>IF('Black &amp; White load sheet'!A:A,"AAAAABvfvUw=",0)</f>
        <v>0</v>
      </c>
      <c r="BZ253">
        <f>IF('Black &amp; White load sheet'!B:B,"AAAAABvfvU0=",0)</f>
        <v>0</v>
      </c>
      <c r="CA253">
        <f>IF('Black &amp; White load sheet'!C:C,"AAAAABvfvU4=",0)</f>
        <v>0</v>
      </c>
      <c r="CB253">
        <f>IF('Black &amp; White load sheet'!D:D,"AAAAABvfvU8=",0)</f>
        <v>0</v>
      </c>
      <c r="CC253">
        <f>IF('Black &amp; White load sheet'!E:E,"AAAAABvfvVA=",0)</f>
        <v>0</v>
      </c>
      <c r="CD253">
        <f>IF('Black &amp; White load sheet'!F:F,"AAAAABvfvVE=",0)</f>
        <v>0</v>
      </c>
      <c r="CE253">
        <f>IF('Black &amp; White load sheet'!G:G,"AAAAABvfvVI=",0)</f>
        <v>0</v>
      </c>
      <c r="CF253">
        <f>IF('Black &amp; White load sheet'!H:H,"AAAAABvfvVM=",0)</f>
        <v>0</v>
      </c>
      <c r="CG253">
        <f>IF('Black &amp; White load sheet'!I:I,"AAAAABvfvVQ=",0)</f>
        <v>0</v>
      </c>
      <c r="CH253">
        <f>IF('Black &amp; White load sheet'!J:J,"AAAAABvfvVU=",0)</f>
        <v>0</v>
      </c>
      <c r="CI253">
        <f>IF('Black &amp; White load sheet'!K:K,"AAAAABvfvVY=",0)</f>
        <v>0</v>
      </c>
      <c r="CJ253" t="str">
        <f>IF('Black &amp; White load sheet'!L:L,"AAAAABvfvVc=",0)</f>
        <v>AAAAABvfvVc=</v>
      </c>
      <c r="CK253" t="str">
        <f>IF('Black &amp; White load sheet'!M:M,"AAAAABvfvVg=",0)</f>
        <v>AAAAABvfvVg=</v>
      </c>
      <c r="CL253">
        <f>IF('Black &amp; White load sheet'!N:N,"AAAAABvfvVk=",0)</f>
        <v>0</v>
      </c>
      <c r="CM253">
        <f>IF('Black &amp; White load sheet'!O:O,"AAAAABvfvVo=",0)</f>
        <v>0</v>
      </c>
      <c r="CN253">
        <f>IF('Black &amp; White load sheet'!P:P,"AAAAABvfvVs=",0)</f>
        <v>0</v>
      </c>
      <c r="CO253">
        <f>IF('Black &amp; White load sheet'!Q:Q,"AAAAABvfvVw=",0)</f>
        <v>0</v>
      </c>
      <c r="CP253" s="6" t="s">
        <v>77</v>
      </c>
      <c r="CQ253" t="s">
        <v>78</v>
      </c>
      <c r="CR253" s="45" t="s">
        <v>79</v>
      </c>
      <c r="CS253" t="e">
        <f>IF("N",'3-Lift'!_xlnm.Print_Area,"AAAAABvfvWA=")</f>
        <v>#VALUE!</v>
      </c>
      <c r="CT253" t="e">
        <f>IF("N",[0]!_xlnm.Print_Area,"AAAAABvfvWE=")</f>
        <v>#VALUE!</v>
      </c>
      <c r="CU253" t="e">
        <f>IF("N",[0]!_xlnm.Print_Area,"AAAAABvfvWI=")</f>
        <v>#VALUE!</v>
      </c>
      <c r="CV253" t="e">
        <f>_xlfn.SINGLE(IF("N",[0]!_xlnm.Print_Area,"AAAAABvfvWM="))</f>
        <v>#VALUE!</v>
      </c>
      <c r="CW253" t="e">
        <f>IF("N",[0]!_xlnm.Print_Area,"AAAAABvfvWQ=")</f>
        <v>#VALUE!</v>
      </c>
      <c r="CX253" t="e">
        <f>IF("N",[0]!_xlnm.Print_Area,"AAAAABvfvWU=")</f>
        <v>#VALUE!</v>
      </c>
      <c r="CY253" t="e">
        <f>IF("N",'Black &amp; White load sheet'!_xlnm.Print_Titles,"AAAAABvfvWY=")</f>
        <v>#VALUE!</v>
      </c>
      <c r="CZ253" t="e">
        <f>IF("N",[0]!_xlnm.Print_Titles,"AAAAABvfvWc=")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3-Lift</vt:lpstr>
      <vt:lpstr>DATA</vt:lpstr>
      <vt:lpstr>Please read</vt:lpstr>
      <vt:lpstr>Black &amp; White load sheet</vt:lpstr>
      <vt:lpstr>'Black &amp; White load sheet'!Print_Titles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Charlie Stevens</cp:lastModifiedBy>
  <cp:lastPrinted>2023-03-25T18:15:48Z</cp:lastPrinted>
  <dcterms:created xsi:type="dcterms:W3CDTF">2004-08-23T15:45:10Z</dcterms:created>
  <dcterms:modified xsi:type="dcterms:W3CDTF">2023-03-28T21:53:12Z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1lkYbAKYWHCExb7-fYkN3j7-pXqIipP13xiR_Q0Le2fs</vt:lpwstr>
  </property>
  <property fmtid="{D5CDD505-2E9C-101B-9397-08002B2CF9AE}" pid="4" name="Google.Documents.RevisionId">
    <vt:lpwstr>10141570230756923608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